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ЭтаКнига"/>
  <mc:AlternateContent xmlns:mc="http://schemas.openxmlformats.org/markup-compatibility/2006">
    <mc:Choice Requires="x15">
      <x15ac:absPath xmlns:x15ac="http://schemas.microsoft.com/office/spreadsheetml/2010/11/ac" url="X:\HeadOffice\Развитие розничного бизнеса\Конструкторское бюро\Замятина\Калькуляторы\Калькулятор КЭШ\Калькулятор 2024\"/>
    </mc:Choice>
  </mc:AlternateContent>
  <xr:revisionPtr revIDLastSave="0" documentId="13_ncr:1_{956AC64D-FCEA-4CE9-A0DF-16C0F5601AE9}" xr6:coauthVersionLast="45" xr6:coauthVersionMax="45" xr10:uidLastSave="{00000000-0000-0000-0000-000000000000}"/>
  <bookViews>
    <workbookView xWindow="-108" yWindow="-108" windowWidth="23256" windowHeight="12576" tabRatio="821" firstSheet="2" activeTab="2" xr2:uid="{00000000-000D-0000-FFFF-FFFF00000000}"/>
  </bookViews>
  <sheets>
    <sheet name="Рефинансирование" sheetId="61" state="hidden" r:id="rId1"/>
    <sheet name="КЭШ, Реф" sheetId="59" state="hidden" r:id="rId2"/>
    <sheet name="Оптимистичный" sheetId="94" r:id="rId3"/>
    <sheet name="КЭШ, Реф (БВ_ОПТИ_Льготный)" sheetId="111" state="hidden" r:id="rId4"/>
    <sheet name="КЭШ, Реф (БВ_ОПТИ_Базовый)" sheetId="103" state="hidden" r:id="rId5"/>
    <sheet name="Автомобильный (с залогом ТС)" sheetId="109" r:id="rId6"/>
    <sheet name="КЭШ, Реф (БВ_АВТО_Базовый)" sheetId="110" state="hidden" r:id="rId7"/>
    <sheet name="Суперсмарт" sheetId="105" state="hidden" r:id="rId8"/>
    <sheet name="Практичный" sheetId="106" state="hidden" r:id="rId9"/>
    <sheet name="КЭШ, Реф (БВ_АВТО_Льготный)" sheetId="112" state="hidden" r:id="rId10"/>
    <sheet name="Стабильный + Промо" sheetId="100" r:id="rId11"/>
    <sheet name="Снижаем ставку" sheetId="78" state="hidden" r:id="rId12"/>
    <sheet name="Для снижаем ставку" sheetId="79" state="hidden" r:id="rId13"/>
    <sheet name="Прайм" sheetId="75" state="hidden" r:id="rId14"/>
    <sheet name="Перспектива" sheetId="88" state="hidden" r:id="rId15"/>
    <sheet name="Перспектива Лайт" sheetId="86" state="hidden" r:id="rId16"/>
    <sheet name="Для Перспективы" sheetId="87" state="hidden" r:id="rId17"/>
    <sheet name="Для Прайм" sheetId="76" r:id="rId18"/>
    <sheet name="Реф.-Перспектива" sheetId="91" state="hidden" r:id="rId19"/>
    <sheet name="Расчет даты для переноса" sheetId="65" r:id="rId20"/>
    <sheet name="ДиВ!_График МЕП" sheetId="107" r:id="rId21"/>
    <sheet name="ДиВ!_График по сроку" sheetId="108" r:id="rId22"/>
    <sheet name="Сумма первого МЕП по КК" sheetId="63" r:id="rId23"/>
    <sheet name="Образовательный" sheetId="66" state="hidden" r:id="rId24"/>
  </sheets>
  <externalReferences>
    <externalReference r:id="rId25"/>
    <externalReference r:id="rId26"/>
  </externalReferences>
  <definedNames>
    <definedName name="_xlnm.Print_Area" localSheetId="5">'Автомобильный (с залогом ТС)'!$A$1:$BH$109</definedName>
    <definedName name="_xlnm.Print_Area" localSheetId="1">'КЭШ, Реф'!$A$1:$BC$109</definedName>
    <definedName name="_xlnm.Print_Area" localSheetId="6">'КЭШ, Реф (БВ_АВТО_Базовый)'!$A$1:$AW$116</definedName>
    <definedName name="_xlnm.Print_Area" localSheetId="4">'КЭШ, Реф (БВ_ОПТИ_Базовый)'!$A$1:$AW$116</definedName>
    <definedName name="_xlnm.Print_Area" localSheetId="2">Оптимистичный!$A$1:$BH$109</definedName>
    <definedName name="_xlnm.Print_Area" localSheetId="14">Перспектива!$A$1:$BG$109</definedName>
    <definedName name="_xlnm.Print_Area" localSheetId="15">'Перспектива Лайт'!$A$1:$BG$109</definedName>
    <definedName name="_xlnm.Print_Area" localSheetId="13">Прайм!$A$1:$BG$109</definedName>
    <definedName name="_xlnm.Print_Area" localSheetId="8">Практичный!$A$1:$BG$109</definedName>
    <definedName name="_xlnm.Print_Area" localSheetId="18">'Реф.-Перспектива'!$A$1:$BG$109</definedName>
    <definedName name="_xlnm.Print_Area" localSheetId="11">'Снижаем ставку'!$A$1:$BE$115</definedName>
    <definedName name="_xlnm.Print_Area" localSheetId="10">'Стабильный + Промо'!$A$1:$BG$109</definedName>
    <definedName name="_xlnm.Print_Area" localSheetId="7">Суперсмарт!$A$1:$BG$109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12" l="1"/>
  <c r="V9" i="112"/>
  <c r="V10" i="112"/>
  <c r="V11" i="112"/>
  <c r="V12" i="112"/>
  <c r="V8" i="112"/>
  <c r="E3" i="111" l="1"/>
  <c r="E9" i="111"/>
  <c r="M9" i="111"/>
  <c r="AM3" i="111"/>
  <c r="BC8" i="111"/>
  <c r="AM9" i="111"/>
  <c r="AM10" i="111" s="1"/>
  <c r="AM11" i="111" s="1"/>
  <c r="AM12" i="111" s="1"/>
  <c r="AM13" i="111" s="1"/>
  <c r="AM14" i="111" s="1"/>
  <c r="AM15" i="111" s="1"/>
  <c r="AM16" i="111" s="1"/>
  <c r="AM17" i="111" s="1"/>
  <c r="AM18" i="111" s="1"/>
  <c r="AM19" i="111" s="1"/>
  <c r="AM20" i="111" s="1"/>
  <c r="AM21" i="111" s="1"/>
  <c r="AM22" i="111" s="1"/>
  <c r="AM23" i="111" s="1"/>
  <c r="AM24" i="111" s="1"/>
  <c r="AM25" i="111" s="1"/>
  <c r="AM26" i="111" s="1"/>
  <c r="AM27" i="111" s="1"/>
  <c r="AM28" i="111" s="1"/>
  <c r="AM29" i="111" s="1"/>
  <c r="AM30" i="111" s="1"/>
  <c r="AM31" i="111" s="1"/>
  <c r="AM32" i="111" s="1"/>
  <c r="AM33" i="111" s="1"/>
  <c r="AM34" i="111" s="1"/>
  <c r="AM35" i="111" s="1"/>
  <c r="AM36" i="111" s="1"/>
  <c r="AM37" i="111" s="1"/>
  <c r="AM38" i="111" s="1"/>
  <c r="AM39" i="111" s="1"/>
  <c r="AM40" i="111" s="1"/>
  <c r="AM41" i="111" s="1"/>
  <c r="AM42" i="111" s="1"/>
  <c r="AM43" i="111" s="1"/>
  <c r="AM44" i="111" s="1"/>
  <c r="AM45" i="111" s="1"/>
  <c r="AM46" i="111" s="1"/>
  <c r="AM47" i="111" s="1"/>
  <c r="AM48" i="111" s="1"/>
  <c r="AM49" i="111" s="1"/>
  <c r="AM50" i="111" s="1"/>
  <c r="AM51" i="111" s="1"/>
  <c r="AM52" i="111" s="1"/>
  <c r="AM53" i="111" s="1"/>
  <c r="AM54" i="111" s="1"/>
  <c r="AM55" i="111" s="1"/>
  <c r="AM56" i="111" s="1"/>
  <c r="AM57" i="111" s="1"/>
  <c r="AM58" i="111" s="1"/>
  <c r="AM59" i="111" s="1"/>
  <c r="AM60" i="111" s="1"/>
  <c r="AM61" i="111" s="1"/>
  <c r="AM62" i="111" s="1"/>
  <c r="AM63" i="111" s="1"/>
  <c r="AM64" i="111" s="1"/>
  <c r="AM65" i="111" s="1"/>
  <c r="AM66" i="111" s="1"/>
  <c r="AM67" i="111" s="1"/>
  <c r="AM68" i="111" s="1"/>
  <c r="AM69" i="111" s="1"/>
  <c r="AM70" i="111" s="1"/>
  <c r="AM71" i="111" s="1"/>
  <c r="AM72" i="111" s="1"/>
  <c r="AM73" i="111" s="1"/>
  <c r="AM74" i="111" s="1"/>
  <c r="AM75" i="111" s="1"/>
  <c r="AM76" i="111" s="1"/>
  <c r="AM77" i="111" s="1"/>
  <c r="AM78" i="111" s="1"/>
  <c r="AM79" i="111" s="1"/>
  <c r="AM80" i="111" s="1"/>
  <c r="AM81" i="111" s="1"/>
  <c r="AM82" i="111" s="1"/>
  <c r="AM83" i="111" s="1"/>
  <c r="AM84" i="111" s="1"/>
  <c r="AM85" i="111" s="1"/>
  <c r="AM86" i="111" s="1"/>
  <c r="AM87" i="111" s="1"/>
  <c r="AM88" i="111" s="1"/>
  <c r="AM89" i="111" s="1"/>
  <c r="AM90" i="111" s="1"/>
  <c r="AM91" i="111" s="1"/>
  <c r="AM92" i="111" s="1"/>
  <c r="AM93" i="111" s="1"/>
  <c r="AM94" i="111" s="1"/>
  <c r="AM95" i="111" s="1"/>
  <c r="AM96" i="111" s="1"/>
  <c r="AM97" i="111" s="1"/>
  <c r="AM98" i="111" s="1"/>
  <c r="AM99" i="111" s="1"/>
  <c r="AM100" i="111" s="1"/>
  <c r="AM101" i="111" s="1"/>
  <c r="AM102" i="111" s="1"/>
  <c r="AM103" i="111" s="1"/>
  <c r="AM104" i="111" s="1"/>
  <c r="AM105" i="111" s="1"/>
  <c r="AM106" i="111" s="1"/>
  <c r="AM107" i="111" s="1"/>
  <c r="AM108" i="111" s="1"/>
  <c r="AM109" i="111" s="1"/>
  <c r="AM110" i="111" s="1"/>
  <c r="AM111" i="111" s="1"/>
  <c r="AM112" i="111" s="1"/>
  <c r="AM113" i="111" s="1"/>
  <c r="AM114" i="111" s="1"/>
  <c r="AM115" i="111" s="1"/>
  <c r="AM116" i="111" s="1"/>
  <c r="AM117" i="111" s="1"/>
  <c r="AM118" i="111" s="1"/>
  <c r="AM119" i="111" s="1"/>
  <c r="AM120" i="111" s="1"/>
  <c r="AM121" i="111" s="1"/>
  <c r="AM122" i="111" s="1"/>
  <c r="AM123" i="111" s="1"/>
  <c r="AM124" i="111" s="1"/>
  <c r="AM125" i="111" s="1"/>
  <c r="AM126" i="111" s="1"/>
  <c r="AM127" i="111" s="1"/>
  <c r="AM128" i="111" s="1"/>
  <c r="AM129" i="111" s="1"/>
  <c r="AZ110" i="111"/>
  <c r="BA111" i="111"/>
  <c r="BA112" i="111"/>
  <c r="BA113" i="111"/>
  <c r="BA114" i="111"/>
  <c r="BA115" i="111"/>
  <c r="E10" i="111" l="1"/>
  <c r="E11" i="111" l="1"/>
  <c r="D12" i="94"/>
  <c r="C21" i="94"/>
  <c r="C21" i="109"/>
  <c r="C27" i="109"/>
  <c r="C17" i="109"/>
  <c r="C22" i="112"/>
  <c r="E12" i="111" l="1"/>
  <c r="C17" i="112"/>
  <c r="C11" i="112"/>
  <c r="C10" i="112"/>
  <c r="D8" i="112" s="1"/>
  <c r="C8" i="112"/>
  <c r="AA7" i="112" s="1"/>
  <c r="C9" i="112"/>
  <c r="C7" i="112"/>
  <c r="AF66" i="112" s="1"/>
  <c r="G3" i="109"/>
  <c r="BA115" i="112"/>
  <c r="BA114" i="112"/>
  <c r="BA113" i="112"/>
  <c r="BA112" i="112"/>
  <c r="BA111" i="112"/>
  <c r="AZ110" i="112"/>
  <c r="AH80" i="112"/>
  <c r="AG80" i="112"/>
  <c r="AF80" i="112"/>
  <c r="AE80" i="112"/>
  <c r="AD80" i="112"/>
  <c r="AC80" i="112"/>
  <c r="AB80" i="112"/>
  <c r="AA80" i="112"/>
  <c r="Z80" i="112"/>
  <c r="AH69" i="112"/>
  <c r="AC68" i="112"/>
  <c r="AB68" i="112"/>
  <c r="W51" i="112"/>
  <c r="W52" i="112" s="1"/>
  <c r="W53" i="112" s="1"/>
  <c r="W54" i="112" s="1"/>
  <c r="W55" i="112" s="1"/>
  <c r="W56" i="112" s="1"/>
  <c r="W57" i="112" s="1"/>
  <c r="W58" i="112" s="1"/>
  <c r="W59" i="112" s="1"/>
  <c r="W60" i="112" s="1"/>
  <c r="W61" i="112" s="1"/>
  <c r="W62" i="112" s="1"/>
  <c r="W63" i="112" s="1"/>
  <c r="W64" i="112" s="1"/>
  <c r="W65" i="112" s="1"/>
  <c r="W66" i="112" s="1"/>
  <c r="W67" i="112" s="1"/>
  <c r="AJ47" i="112"/>
  <c r="AI47" i="112"/>
  <c r="T47" i="112"/>
  <c r="AJ46" i="112"/>
  <c r="D23" i="112"/>
  <c r="D18" i="112"/>
  <c r="D17" i="112"/>
  <c r="AC58" i="112" s="1"/>
  <c r="X11" i="112"/>
  <c r="W11" i="112"/>
  <c r="AM10" i="112"/>
  <c r="AM11" i="112" s="1"/>
  <c r="X10" i="112"/>
  <c r="W10" i="112"/>
  <c r="E10" i="112"/>
  <c r="AM9" i="112"/>
  <c r="X9" i="112"/>
  <c r="W9" i="112"/>
  <c r="M9" i="112"/>
  <c r="E9" i="112"/>
  <c r="BC8" i="112"/>
  <c r="AN8" i="112"/>
  <c r="X8" i="112"/>
  <c r="W8" i="112"/>
  <c r="F8" i="112"/>
  <c r="H2" i="112" s="1"/>
  <c r="X7" i="112"/>
  <c r="W7" i="112"/>
  <c r="X6" i="112"/>
  <c r="W6" i="112"/>
  <c r="V6" i="112"/>
  <c r="U6" i="112"/>
  <c r="X5" i="112"/>
  <c r="W5" i="112"/>
  <c r="V5" i="112"/>
  <c r="U5" i="112"/>
  <c r="AM3" i="112"/>
  <c r="E3" i="112"/>
  <c r="AI1" i="112"/>
  <c r="C27" i="94"/>
  <c r="C7" i="111"/>
  <c r="C17" i="94"/>
  <c r="C22" i="111"/>
  <c r="C11" i="111"/>
  <c r="C9" i="111"/>
  <c r="F8" i="111" s="1"/>
  <c r="C10" i="111"/>
  <c r="C8" i="111"/>
  <c r="AE90" i="111"/>
  <c r="AH80" i="111"/>
  <c r="AG80" i="111"/>
  <c r="AF80" i="111"/>
  <c r="AE80" i="111"/>
  <c r="AD80" i="111"/>
  <c r="AC80" i="111"/>
  <c r="AB80" i="111"/>
  <c r="AA80" i="111"/>
  <c r="Z80" i="111"/>
  <c r="AH69" i="111"/>
  <c r="AC68" i="111"/>
  <c r="AB68" i="111"/>
  <c r="W51" i="111"/>
  <c r="W52" i="111" s="1"/>
  <c r="W53" i="111" s="1"/>
  <c r="W54" i="111" s="1"/>
  <c r="W55" i="111" s="1"/>
  <c r="W56" i="111" s="1"/>
  <c r="W57" i="111" s="1"/>
  <c r="W58" i="111" s="1"/>
  <c r="W59" i="111" s="1"/>
  <c r="W60" i="111" s="1"/>
  <c r="W61" i="111" s="1"/>
  <c r="W62" i="111" s="1"/>
  <c r="W63" i="111" s="1"/>
  <c r="W64" i="111" s="1"/>
  <c r="W65" i="111" s="1"/>
  <c r="W66" i="111" s="1"/>
  <c r="W67" i="111" s="1"/>
  <c r="AJ47" i="111"/>
  <c r="AI47" i="111"/>
  <c r="T47" i="111"/>
  <c r="AJ46" i="111"/>
  <c r="D23" i="111"/>
  <c r="D18" i="111"/>
  <c r="X11" i="111"/>
  <c r="W11" i="111"/>
  <c r="X10" i="111"/>
  <c r="W10" i="111"/>
  <c r="X9" i="111"/>
  <c r="W9" i="111"/>
  <c r="X8" i="111"/>
  <c r="W8" i="111"/>
  <c r="X7" i="111"/>
  <c r="W7" i="111"/>
  <c r="V7" i="111"/>
  <c r="U7" i="111"/>
  <c r="X6" i="111"/>
  <c r="W6" i="111"/>
  <c r="V6" i="111"/>
  <c r="U6" i="111"/>
  <c r="X5" i="111"/>
  <c r="W5" i="111"/>
  <c r="V5" i="111"/>
  <c r="U5" i="111"/>
  <c r="AI1" i="111"/>
  <c r="V22" i="112" l="1"/>
  <c r="BE22" i="112"/>
  <c r="AB12" i="112"/>
  <c r="R9" i="112"/>
  <c r="R10" i="112" s="1"/>
  <c r="R11" i="112" s="1"/>
  <c r="R12" i="112" s="1"/>
  <c r="R13" i="112" s="1"/>
  <c r="R14" i="112" s="1"/>
  <c r="R15" i="112" s="1"/>
  <c r="R16" i="112" s="1"/>
  <c r="R17" i="112" s="1"/>
  <c r="R18" i="112" s="1"/>
  <c r="R19" i="112" s="1"/>
  <c r="R20" i="112" s="1"/>
  <c r="R21" i="112" s="1"/>
  <c r="R22" i="112" s="1"/>
  <c r="R23" i="112" s="1"/>
  <c r="R24" i="112" s="1"/>
  <c r="R25" i="112" s="1"/>
  <c r="R26" i="112" s="1"/>
  <c r="R27" i="112" s="1"/>
  <c r="R28" i="112" s="1"/>
  <c r="R29" i="112" s="1"/>
  <c r="R30" i="112" s="1"/>
  <c r="R31" i="112" s="1"/>
  <c r="R32" i="112" s="1"/>
  <c r="R33" i="112" s="1"/>
  <c r="R34" i="112" s="1"/>
  <c r="R35" i="112" s="1"/>
  <c r="R36" i="112" s="1"/>
  <c r="R37" i="112" s="1"/>
  <c r="R38" i="112" s="1"/>
  <c r="R39" i="112" s="1"/>
  <c r="R40" i="112" s="1"/>
  <c r="R41" i="112" s="1"/>
  <c r="R42" i="112" s="1"/>
  <c r="R43" i="112" s="1"/>
  <c r="R44" i="112" s="1"/>
  <c r="R45" i="112" s="1"/>
  <c r="R46" i="112" s="1"/>
  <c r="R47" i="112" s="1"/>
  <c r="R48" i="112" s="1"/>
  <c r="R49" i="112" s="1"/>
  <c r="R50" i="112" s="1"/>
  <c r="R51" i="112" s="1"/>
  <c r="R52" i="112" s="1"/>
  <c r="R53" i="112" s="1"/>
  <c r="R54" i="112" s="1"/>
  <c r="R55" i="112" s="1"/>
  <c r="R56" i="112" s="1"/>
  <c r="R57" i="112" s="1"/>
  <c r="R58" i="112" s="1"/>
  <c r="R59" i="112" s="1"/>
  <c r="R60" i="112" s="1"/>
  <c r="R61" i="112" s="1"/>
  <c r="R62" i="112" s="1"/>
  <c r="R63" i="112" s="1"/>
  <c r="R64" i="112" s="1"/>
  <c r="R65" i="112" s="1"/>
  <c r="R66" i="112" s="1"/>
  <c r="R67" i="112" s="1"/>
  <c r="R68" i="112" s="1"/>
  <c r="R69" i="112" s="1"/>
  <c r="R70" i="112" s="1"/>
  <c r="R71" i="112" s="1"/>
  <c r="R72" i="112" s="1"/>
  <c r="R73" i="112" s="1"/>
  <c r="R74" i="112" s="1"/>
  <c r="R75" i="112" s="1"/>
  <c r="R76" i="112" s="1"/>
  <c r="R77" i="112" s="1"/>
  <c r="R78" i="112" s="1"/>
  <c r="R79" i="112" s="1"/>
  <c r="R80" i="112" s="1"/>
  <c r="R81" i="112" s="1"/>
  <c r="R82" i="112" s="1"/>
  <c r="R83" i="112" s="1"/>
  <c r="R84" i="112" s="1"/>
  <c r="R85" i="112" s="1"/>
  <c r="R86" i="112" s="1"/>
  <c r="R87" i="112" s="1"/>
  <c r="R88" i="112" s="1"/>
  <c r="R89" i="112" s="1"/>
  <c r="R90" i="112" s="1"/>
  <c r="R91" i="112" s="1"/>
  <c r="R92" i="112" s="1"/>
  <c r="R93" i="112" s="1"/>
  <c r="R94" i="112" s="1"/>
  <c r="R95" i="112" s="1"/>
  <c r="R96" i="112" s="1"/>
  <c r="R97" i="112" s="1"/>
  <c r="R98" i="112" s="1"/>
  <c r="R99" i="112" s="1"/>
  <c r="R100" i="112" s="1"/>
  <c r="R101" i="112" s="1"/>
  <c r="R102" i="112" s="1"/>
  <c r="R103" i="112" s="1"/>
  <c r="R104" i="112" s="1"/>
  <c r="R105" i="112" s="1"/>
  <c r="R106" i="112" s="1"/>
  <c r="R107" i="112" s="1"/>
  <c r="R108" i="112" s="1"/>
  <c r="R109" i="112" s="1"/>
  <c r="R110" i="112" s="1"/>
  <c r="R111" i="112" s="1"/>
  <c r="R112" i="112" s="1"/>
  <c r="R113" i="112" s="1"/>
  <c r="R114" i="112" s="1"/>
  <c r="R115" i="112" s="1"/>
  <c r="R116" i="112" s="1"/>
  <c r="R117" i="112" s="1"/>
  <c r="R118" i="112" s="1"/>
  <c r="R119" i="112" s="1"/>
  <c r="R120" i="112" s="1"/>
  <c r="R121" i="112" s="1"/>
  <c r="R122" i="112" s="1"/>
  <c r="R123" i="112" s="1"/>
  <c r="R124" i="112" s="1"/>
  <c r="R125" i="112" s="1"/>
  <c r="R126" i="112" s="1"/>
  <c r="R127" i="112" s="1"/>
  <c r="R128" i="112" s="1"/>
  <c r="R129" i="112" s="1"/>
  <c r="R130" i="112" s="1"/>
  <c r="R131" i="112" s="1"/>
  <c r="R132" i="112" s="1"/>
  <c r="R133" i="112" s="1"/>
  <c r="R134" i="112" s="1"/>
  <c r="R135" i="112" s="1"/>
  <c r="R136" i="112" s="1"/>
  <c r="R137" i="112" s="1"/>
  <c r="R138" i="112" s="1"/>
  <c r="R139" i="112" s="1"/>
  <c r="R140" i="112" s="1"/>
  <c r="R141" i="112" s="1"/>
  <c r="R142" i="112" s="1"/>
  <c r="R143" i="112" s="1"/>
  <c r="R144" i="112" s="1"/>
  <c r="R145" i="112" s="1"/>
  <c r="R146" i="112" s="1"/>
  <c r="R147" i="112" s="1"/>
  <c r="R148" i="112" s="1"/>
  <c r="R149" i="112" s="1"/>
  <c r="R150" i="112" s="1"/>
  <c r="R151" i="112" s="1"/>
  <c r="R152" i="112" s="1"/>
  <c r="R153" i="112" s="1"/>
  <c r="R154" i="112" s="1"/>
  <c r="R155" i="112" s="1"/>
  <c r="R156" i="112" s="1"/>
  <c r="R157" i="112" s="1"/>
  <c r="R158" i="112" s="1"/>
  <c r="R159" i="112" s="1"/>
  <c r="AA4" i="112"/>
  <c r="U13" i="112"/>
  <c r="V13" i="112" s="1"/>
  <c r="R9" i="111"/>
  <c r="R10" i="111" s="1"/>
  <c r="R11" i="111" s="1"/>
  <c r="R12" i="111" s="1"/>
  <c r="R13" i="111" s="1"/>
  <c r="R14" i="111" s="1"/>
  <c r="R15" i="111" s="1"/>
  <c r="R16" i="111" s="1"/>
  <c r="R17" i="111" s="1"/>
  <c r="R18" i="111" s="1"/>
  <c r="R19" i="111" s="1"/>
  <c r="R20" i="111" s="1"/>
  <c r="R21" i="111" s="1"/>
  <c r="R22" i="111" s="1"/>
  <c r="R23" i="111" s="1"/>
  <c r="R24" i="111" s="1"/>
  <c r="R25" i="111" s="1"/>
  <c r="R26" i="111" s="1"/>
  <c r="R27" i="111" s="1"/>
  <c r="R28" i="111" s="1"/>
  <c r="R29" i="111" s="1"/>
  <c r="R30" i="111" s="1"/>
  <c r="R31" i="111" s="1"/>
  <c r="R32" i="111" s="1"/>
  <c r="R33" i="111" s="1"/>
  <c r="R34" i="111" s="1"/>
  <c r="R35" i="111" s="1"/>
  <c r="R36" i="111" s="1"/>
  <c r="R37" i="111" s="1"/>
  <c r="R38" i="111" s="1"/>
  <c r="R39" i="111" s="1"/>
  <c r="R40" i="111" s="1"/>
  <c r="R41" i="111" s="1"/>
  <c r="R42" i="111" s="1"/>
  <c r="R43" i="111" s="1"/>
  <c r="R44" i="111" s="1"/>
  <c r="R45" i="111" s="1"/>
  <c r="R46" i="111" s="1"/>
  <c r="R47" i="111" s="1"/>
  <c r="R48" i="111" s="1"/>
  <c r="R49" i="111" s="1"/>
  <c r="R50" i="111" s="1"/>
  <c r="R51" i="111" s="1"/>
  <c r="R52" i="111" s="1"/>
  <c r="R53" i="111" s="1"/>
  <c r="R54" i="111" s="1"/>
  <c r="R55" i="111" s="1"/>
  <c r="R56" i="111" s="1"/>
  <c r="R57" i="111" s="1"/>
  <c r="R58" i="111" s="1"/>
  <c r="R59" i="111" s="1"/>
  <c r="R60" i="111" s="1"/>
  <c r="R61" i="111" s="1"/>
  <c r="R62" i="111" s="1"/>
  <c r="R63" i="111" s="1"/>
  <c r="R64" i="111" s="1"/>
  <c r="R65" i="111" s="1"/>
  <c r="R66" i="111" s="1"/>
  <c r="R67" i="111" s="1"/>
  <c r="R68" i="111" s="1"/>
  <c r="R69" i="111" s="1"/>
  <c r="R70" i="111" s="1"/>
  <c r="R71" i="111" s="1"/>
  <c r="R72" i="111" s="1"/>
  <c r="R73" i="111" s="1"/>
  <c r="R74" i="111" s="1"/>
  <c r="R75" i="111" s="1"/>
  <c r="R76" i="111" s="1"/>
  <c r="R77" i="111" s="1"/>
  <c r="R78" i="111" s="1"/>
  <c r="R79" i="111" s="1"/>
  <c r="R80" i="111" s="1"/>
  <c r="R81" i="111" s="1"/>
  <c r="R82" i="111" s="1"/>
  <c r="R83" i="111" s="1"/>
  <c r="R84" i="111" s="1"/>
  <c r="R85" i="111" s="1"/>
  <c r="R86" i="111" s="1"/>
  <c r="R87" i="111" s="1"/>
  <c r="R88" i="111" s="1"/>
  <c r="R89" i="111" s="1"/>
  <c r="R90" i="111" s="1"/>
  <c r="R91" i="111" s="1"/>
  <c r="R92" i="111" s="1"/>
  <c r="R93" i="111" s="1"/>
  <c r="R94" i="111" s="1"/>
  <c r="R95" i="111" s="1"/>
  <c r="R96" i="111" s="1"/>
  <c r="R97" i="111" s="1"/>
  <c r="R98" i="111" s="1"/>
  <c r="R99" i="111" s="1"/>
  <c r="R100" i="111" s="1"/>
  <c r="R101" i="111" s="1"/>
  <c r="R102" i="111" s="1"/>
  <c r="R103" i="111" s="1"/>
  <c r="R104" i="111" s="1"/>
  <c r="R105" i="111" s="1"/>
  <c r="R106" i="111" s="1"/>
  <c r="R107" i="111" s="1"/>
  <c r="R108" i="111" s="1"/>
  <c r="R109" i="111" s="1"/>
  <c r="R110" i="111" s="1"/>
  <c r="R111" i="111" s="1"/>
  <c r="R112" i="111" s="1"/>
  <c r="R113" i="111" s="1"/>
  <c r="R114" i="111" s="1"/>
  <c r="R115" i="111" s="1"/>
  <c r="R116" i="111" s="1"/>
  <c r="R117" i="111" s="1"/>
  <c r="R118" i="111" s="1"/>
  <c r="R119" i="111" s="1"/>
  <c r="R120" i="111" s="1"/>
  <c r="R121" i="111" s="1"/>
  <c r="R122" i="111" s="1"/>
  <c r="R123" i="111" s="1"/>
  <c r="R124" i="111" s="1"/>
  <c r="R125" i="111" s="1"/>
  <c r="R126" i="111" s="1"/>
  <c r="R127" i="111" s="1"/>
  <c r="R128" i="111" s="1"/>
  <c r="R129" i="111" s="1"/>
  <c r="R130" i="111" s="1"/>
  <c r="R131" i="111" s="1"/>
  <c r="R132" i="111" s="1"/>
  <c r="R133" i="111" s="1"/>
  <c r="R134" i="111" s="1"/>
  <c r="R135" i="111" s="1"/>
  <c r="R136" i="111" s="1"/>
  <c r="R137" i="111" s="1"/>
  <c r="R138" i="111" s="1"/>
  <c r="R139" i="111" s="1"/>
  <c r="R140" i="111" s="1"/>
  <c r="R141" i="111" s="1"/>
  <c r="R142" i="111" s="1"/>
  <c r="R143" i="111" s="1"/>
  <c r="R144" i="111" s="1"/>
  <c r="R145" i="111" s="1"/>
  <c r="R146" i="111" s="1"/>
  <c r="R147" i="111" s="1"/>
  <c r="R148" i="111" s="1"/>
  <c r="R149" i="111" s="1"/>
  <c r="R150" i="111" s="1"/>
  <c r="R151" i="111" s="1"/>
  <c r="R152" i="111" s="1"/>
  <c r="R153" i="111" s="1"/>
  <c r="R154" i="111" s="1"/>
  <c r="R155" i="111" s="1"/>
  <c r="R156" i="111" s="1"/>
  <c r="R157" i="111" s="1"/>
  <c r="R158" i="111" s="1"/>
  <c r="R159" i="111" s="1"/>
  <c r="J10" i="111"/>
  <c r="J12" i="111"/>
  <c r="E13" i="111"/>
  <c r="H2" i="111"/>
  <c r="AZ8" i="111"/>
  <c r="AZ7" i="111" s="1"/>
  <c r="J11" i="111"/>
  <c r="AE89" i="111"/>
  <c r="AX9" i="111"/>
  <c r="AX10" i="111" s="1"/>
  <c r="AB51" i="111"/>
  <c r="AN8" i="111"/>
  <c r="AK48" i="111" s="1"/>
  <c r="AF81" i="111"/>
  <c r="AC81" i="111"/>
  <c r="Z52" i="111"/>
  <c r="Y52" i="111" s="1"/>
  <c r="AG81" i="111"/>
  <c r="Z41" i="111"/>
  <c r="AG66" i="111"/>
  <c r="V41" i="111"/>
  <c r="AC66" i="111"/>
  <c r="C23" i="112"/>
  <c r="C19" i="109" s="1"/>
  <c r="C20" i="111"/>
  <c r="A13" i="111"/>
  <c r="AA5" i="111"/>
  <c r="AA11" i="111"/>
  <c r="D10" i="111"/>
  <c r="AE87" i="111"/>
  <c r="T36" i="111"/>
  <c r="AE88" i="111"/>
  <c r="AA5" i="112"/>
  <c r="AA6" i="112"/>
  <c r="A13" i="112"/>
  <c r="AA15" i="112"/>
  <c r="C21" i="112" s="1"/>
  <c r="AA8" i="112"/>
  <c r="AA9" i="112"/>
  <c r="AB11" i="112"/>
  <c r="AB4" i="112"/>
  <c r="AB6" i="112"/>
  <c r="AB5" i="112"/>
  <c r="AB7" i="112"/>
  <c r="D7" i="112"/>
  <c r="W68" i="112"/>
  <c r="W69" i="112" s="1"/>
  <c r="W70" i="112" s="1"/>
  <c r="W71" i="112" s="1"/>
  <c r="W72" i="112" s="1"/>
  <c r="W73" i="112" s="1"/>
  <c r="W74" i="112" s="1"/>
  <c r="W75" i="112" s="1"/>
  <c r="W76" i="112" s="1"/>
  <c r="W77" i="112" s="1"/>
  <c r="W78" i="112" s="1"/>
  <c r="W79" i="112" s="1"/>
  <c r="W80" i="112" s="1"/>
  <c r="W81" i="112" s="1"/>
  <c r="W82" i="112" s="1"/>
  <c r="W83" i="112" s="1"/>
  <c r="W84" i="112" s="1"/>
  <c r="W85" i="112" s="1"/>
  <c r="W86" i="112" s="1"/>
  <c r="W87" i="112" s="1"/>
  <c r="W88" i="112" s="1"/>
  <c r="W89" i="112" s="1"/>
  <c r="W90" i="112" s="1"/>
  <c r="W91" i="112" s="1"/>
  <c r="W92" i="112" s="1"/>
  <c r="W93" i="112" s="1"/>
  <c r="W94" i="112" s="1"/>
  <c r="W95" i="112" s="1"/>
  <c r="W96" i="112" s="1"/>
  <c r="W97" i="112" s="1"/>
  <c r="W98" i="112" s="1"/>
  <c r="W99" i="112" s="1"/>
  <c r="W100" i="112" s="1"/>
  <c r="W101" i="112" s="1"/>
  <c r="W102" i="112" s="1"/>
  <c r="W103" i="112" s="1"/>
  <c r="W104" i="112" s="1"/>
  <c r="W105" i="112" s="1"/>
  <c r="W106" i="112" s="1"/>
  <c r="W107" i="112" s="1"/>
  <c r="W108" i="112" s="1"/>
  <c r="W109" i="112" s="1"/>
  <c r="W110" i="112" s="1"/>
  <c r="W111" i="112" s="1"/>
  <c r="W112" i="112" s="1"/>
  <c r="W113" i="112" s="1"/>
  <c r="W114" i="112" s="1"/>
  <c r="W115" i="112" s="1"/>
  <c r="W116" i="112" s="1"/>
  <c r="W117" i="112" s="1"/>
  <c r="W118" i="112" s="1"/>
  <c r="W119" i="112" s="1"/>
  <c r="W120" i="112" s="1"/>
  <c r="W121" i="112" s="1"/>
  <c r="W122" i="112" s="1"/>
  <c r="W123" i="112" s="1"/>
  <c r="W124" i="112" s="1"/>
  <c r="W125" i="112" s="1"/>
  <c r="W126" i="112" s="1"/>
  <c r="W127" i="112" s="1"/>
  <c r="W128" i="112" s="1"/>
  <c r="W129" i="112" s="1"/>
  <c r="W130" i="112" s="1"/>
  <c r="W131" i="112" s="1"/>
  <c r="W132" i="112" s="1"/>
  <c r="W133" i="112" s="1"/>
  <c r="W134" i="112" s="1"/>
  <c r="W135" i="112" s="1"/>
  <c r="W136" i="112" s="1"/>
  <c r="W137" i="112" s="1"/>
  <c r="W138" i="112" s="1"/>
  <c r="W139" i="112" s="1"/>
  <c r="W140" i="112" s="1"/>
  <c r="W141" i="112" s="1"/>
  <c r="W142" i="112" s="1"/>
  <c r="W143" i="112" s="1"/>
  <c r="W144" i="112" s="1"/>
  <c r="W145" i="112" s="1"/>
  <c r="W146" i="112" s="1"/>
  <c r="W147" i="112" s="1"/>
  <c r="W148" i="112" s="1"/>
  <c r="W149" i="112" s="1"/>
  <c r="W150" i="112" s="1"/>
  <c r="W151" i="112" s="1"/>
  <c r="W152" i="112" s="1"/>
  <c r="W153" i="112" s="1"/>
  <c r="W154" i="112" s="1"/>
  <c r="W155" i="112" s="1"/>
  <c r="W156" i="112" s="1"/>
  <c r="W157" i="112" s="1"/>
  <c r="W158" i="112" s="1"/>
  <c r="W159" i="112" s="1"/>
  <c r="W160" i="112" s="1"/>
  <c r="W161" i="112" s="1"/>
  <c r="W162" i="112" s="1"/>
  <c r="W163" i="112" s="1"/>
  <c r="W164" i="112" s="1"/>
  <c r="W165" i="112" s="1"/>
  <c r="W166" i="112" s="1"/>
  <c r="W167" i="112" s="1"/>
  <c r="W168" i="112" s="1"/>
  <c r="W169" i="112" s="1"/>
  <c r="W170" i="112" s="1"/>
  <c r="W171" i="112" s="1"/>
  <c r="W172" i="112" s="1"/>
  <c r="W173" i="112" s="1"/>
  <c r="W174" i="112" s="1"/>
  <c r="W175" i="112" s="1"/>
  <c r="W176" i="112" s="1"/>
  <c r="W177" i="112" s="1"/>
  <c r="W178" i="112" s="1"/>
  <c r="W179" i="112" s="1"/>
  <c r="W180" i="112" s="1"/>
  <c r="AA68" i="112"/>
  <c r="E11" i="112"/>
  <c r="J10" i="112"/>
  <c r="T36" i="112"/>
  <c r="T35" i="112"/>
  <c r="D11" i="112"/>
  <c r="U22" i="112"/>
  <c r="AA58" i="112"/>
  <c r="AB51" i="112"/>
  <c r="Z58" i="112"/>
  <c r="D9" i="112"/>
  <c r="V48" i="112"/>
  <c r="AA55" i="112"/>
  <c r="V49" i="112"/>
  <c r="AZ8" i="112"/>
  <c r="AZ7" i="112" s="1"/>
  <c r="T46" i="112"/>
  <c r="AK49" i="112"/>
  <c r="AK48" i="112"/>
  <c r="AM12" i="112"/>
  <c r="AF81" i="112"/>
  <c r="AF67" i="112" s="1"/>
  <c r="AB81" i="112"/>
  <c r="F2" i="112" s="1"/>
  <c r="AE81" i="112"/>
  <c r="AA81" i="112"/>
  <c r="AD81" i="112"/>
  <c r="G2" i="112" s="1"/>
  <c r="Z81" i="112"/>
  <c r="T17" i="112" s="1"/>
  <c r="AC81" i="112"/>
  <c r="AE66" i="112"/>
  <c r="AA66" i="112"/>
  <c r="Z52" i="112"/>
  <c r="Y52" i="112" s="1"/>
  <c r="Z41" i="112"/>
  <c r="V41" i="112"/>
  <c r="AD66" i="112"/>
  <c r="AD67" i="112" s="1"/>
  <c r="Z66" i="112"/>
  <c r="Z67" i="112" s="1"/>
  <c r="AD68" i="112" s="1"/>
  <c r="Z50" i="112"/>
  <c r="AG66" i="112"/>
  <c r="AC66" i="112"/>
  <c r="Z49" i="112"/>
  <c r="X41" i="112"/>
  <c r="AG81" i="112"/>
  <c r="AB66" i="112"/>
  <c r="W41" i="112"/>
  <c r="AB15" i="112"/>
  <c r="D21" i="112" s="1"/>
  <c r="AB8" i="112"/>
  <c r="AB10" i="112"/>
  <c r="D30" i="112"/>
  <c r="AB9" i="112"/>
  <c r="AE90" i="112"/>
  <c r="AE89" i="112"/>
  <c r="AE88" i="112"/>
  <c r="AE87" i="112"/>
  <c r="AE86" i="112"/>
  <c r="AE85" i="112"/>
  <c r="D10" i="112"/>
  <c r="AX9" i="112"/>
  <c r="AX10" i="112" s="1"/>
  <c r="D20" i="112"/>
  <c r="Y41" i="112"/>
  <c r="AA10" i="112"/>
  <c r="T14" i="112"/>
  <c r="C19" i="112"/>
  <c r="W22" i="112"/>
  <c r="A28" i="112"/>
  <c r="D19" i="112"/>
  <c r="X22" i="112"/>
  <c r="Y53" i="112"/>
  <c r="AA11" i="112"/>
  <c r="AA12" i="112"/>
  <c r="AA13" i="112" s="1"/>
  <c r="C20" i="112"/>
  <c r="A29" i="112"/>
  <c r="D7" i="111"/>
  <c r="Z49" i="111"/>
  <c r="W41" i="111"/>
  <c r="Z66" i="111"/>
  <c r="AD66" i="111"/>
  <c r="Z81" i="111"/>
  <c r="T17" i="111" s="1"/>
  <c r="AD81" i="111"/>
  <c r="G2" i="111" s="1"/>
  <c r="X41" i="111"/>
  <c r="Z50" i="111"/>
  <c r="AA66" i="111"/>
  <c r="AE66" i="111"/>
  <c r="AA81" i="111"/>
  <c r="AE81" i="111"/>
  <c r="Y41" i="111"/>
  <c r="AB66" i="111"/>
  <c r="Y53" i="111" s="1"/>
  <c r="AF66" i="111"/>
  <c r="AB81" i="111"/>
  <c r="F2" i="111" s="1"/>
  <c r="D8" i="111"/>
  <c r="D20" i="111" s="1"/>
  <c r="AA58" i="111"/>
  <c r="D9" i="111"/>
  <c r="AA9" i="111"/>
  <c r="D11" i="111"/>
  <c r="T35" i="111"/>
  <c r="AE85" i="111"/>
  <c r="AA7" i="111"/>
  <c r="AA4" i="111"/>
  <c r="AA6" i="111"/>
  <c r="AA8" i="111"/>
  <c r="AA12" i="111"/>
  <c r="AA15" i="111"/>
  <c r="AE86" i="111"/>
  <c r="AA10" i="111"/>
  <c r="T14" i="111"/>
  <c r="AA55" i="111"/>
  <c r="W68" i="111"/>
  <c r="W69" i="111" s="1"/>
  <c r="W70" i="111" s="1"/>
  <c r="W71" i="111" s="1"/>
  <c r="W72" i="111" s="1"/>
  <c r="W73" i="111" s="1"/>
  <c r="W74" i="111" s="1"/>
  <c r="W75" i="111" s="1"/>
  <c r="W76" i="111" s="1"/>
  <c r="W77" i="111" s="1"/>
  <c r="W78" i="111" s="1"/>
  <c r="W79" i="111" s="1"/>
  <c r="W80" i="111" s="1"/>
  <c r="W81" i="111" s="1"/>
  <c r="W82" i="111" s="1"/>
  <c r="W83" i="111" s="1"/>
  <c r="W84" i="111" s="1"/>
  <c r="W85" i="111" s="1"/>
  <c r="W86" i="111" s="1"/>
  <c r="W87" i="111" s="1"/>
  <c r="W88" i="111" s="1"/>
  <c r="W89" i="111" s="1"/>
  <c r="W90" i="111" s="1"/>
  <c r="W91" i="111" s="1"/>
  <c r="W92" i="111" s="1"/>
  <c r="W93" i="111" s="1"/>
  <c r="W94" i="111" s="1"/>
  <c r="W95" i="111" s="1"/>
  <c r="W96" i="111" s="1"/>
  <c r="W97" i="111" s="1"/>
  <c r="W98" i="111" s="1"/>
  <c r="W99" i="111" s="1"/>
  <c r="W100" i="111" s="1"/>
  <c r="W101" i="111" s="1"/>
  <c r="W102" i="111" s="1"/>
  <c r="W103" i="111" s="1"/>
  <c r="W104" i="111" s="1"/>
  <c r="W105" i="111" s="1"/>
  <c r="W106" i="111" s="1"/>
  <c r="W107" i="111" s="1"/>
  <c r="W108" i="111" s="1"/>
  <c r="W109" i="111" s="1"/>
  <c r="W110" i="111" s="1"/>
  <c r="W111" i="111" s="1"/>
  <c r="W112" i="111" s="1"/>
  <c r="W113" i="111" s="1"/>
  <c r="W114" i="111" s="1"/>
  <c r="W115" i="111" s="1"/>
  <c r="W116" i="111" s="1"/>
  <c r="W117" i="111" s="1"/>
  <c r="W118" i="111" s="1"/>
  <c r="W119" i="111" s="1"/>
  <c r="W120" i="111" s="1"/>
  <c r="W121" i="111" s="1"/>
  <c r="W122" i="111" s="1"/>
  <c r="W123" i="111" s="1"/>
  <c r="W124" i="111" s="1"/>
  <c r="W125" i="111" s="1"/>
  <c r="W126" i="111" s="1"/>
  <c r="W127" i="111" s="1"/>
  <c r="W128" i="111" s="1"/>
  <c r="W129" i="111" s="1"/>
  <c r="W130" i="111" s="1"/>
  <c r="W131" i="111" s="1"/>
  <c r="W132" i="111" s="1"/>
  <c r="W133" i="111" s="1"/>
  <c r="W134" i="111" s="1"/>
  <c r="W135" i="111" s="1"/>
  <c r="W136" i="111" s="1"/>
  <c r="W137" i="111" s="1"/>
  <c r="W138" i="111" s="1"/>
  <c r="W139" i="111" s="1"/>
  <c r="W140" i="111" s="1"/>
  <c r="W141" i="111" s="1"/>
  <c r="W142" i="111" s="1"/>
  <c r="W143" i="111" s="1"/>
  <c r="W144" i="111" s="1"/>
  <c r="W145" i="111" s="1"/>
  <c r="W146" i="111" s="1"/>
  <c r="W147" i="111" s="1"/>
  <c r="W148" i="111" s="1"/>
  <c r="W149" i="111" s="1"/>
  <c r="W150" i="111" s="1"/>
  <c r="W151" i="111" s="1"/>
  <c r="W152" i="111" s="1"/>
  <c r="W153" i="111" s="1"/>
  <c r="W154" i="111" s="1"/>
  <c r="W155" i="111" s="1"/>
  <c r="W156" i="111" s="1"/>
  <c r="W157" i="111" s="1"/>
  <c r="W158" i="111" s="1"/>
  <c r="W159" i="111" s="1"/>
  <c r="W160" i="111" s="1"/>
  <c r="W161" i="111" s="1"/>
  <c r="W162" i="111" s="1"/>
  <c r="W163" i="111" s="1"/>
  <c r="W164" i="111" s="1"/>
  <c r="W165" i="111" s="1"/>
  <c r="W166" i="111" s="1"/>
  <c r="W167" i="111" s="1"/>
  <c r="W168" i="111" s="1"/>
  <c r="W169" i="111" s="1"/>
  <c r="W170" i="111" s="1"/>
  <c r="W171" i="111" s="1"/>
  <c r="W172" i="111" s="1"/>
  <c r="W173" i="111" s="1"/>
  <c r="W174" i="111" s="1"/>
  <c r="W175" i="111" s="1"/>
  <c r="W176" i="111" s="1"/>
  <c r="W177" i="111" s="1"/>
  <c r="W178" i="111" s="1"/>
  <c r="W179" i="111" s="1"/>
  <c r="W180" i="111" s="1"/>
  <c r="AA68" i="111"/>
  <c r="AF80" i="103"/>
  <c r="AF67" i="111" l="1"/>
  <c r="AB13" i="112"/>
  <c r="T41" i="112"/>
  <c r="AH66" i="112"/>
  <c r="C31" i="112" s="1"/>
  <c r="C26" i="109" s="1"/>
  <c r="C25" i="112"/>
  <c r="C18" i="109" s="1"/>
  <c r="F9" i="111"/>
  <c r="AZ9" i="111" s="1"/>
  <c r="F12" i="111"/>
  <c r="AZ12" i="111" s="1"/>
  <c r="F11" i="111"/>
  <c r="AZ11" i="111" s="1"/>
  <c r="F13" i="111"/>
  <c r="AZ13" i="111" s="1"/>
  <c r="F10" i="111"/>
  <c r="AZ10" i="111" s="1"/>
  <c r="E14" i="111"/>
  <c r="J13" i="111"/>
  <c r="AN9" i="111"/>
  <c r="AN10" i="111"/>
  <c r="AN14" i="111"/>
  <c r="AN18" i="111"/>
  <c r="AN11" i="111"/>
  <c r="AN15" i="111"/>
  <c r="AN19" i="111"/>
  <c r="AN23" i="111"/>
  <c r="AN25" i="111"/>
  <c r="AN26" i="111"/>
  <c r="AN27" i="111"/>
  <c r="AN28" i="111"/>
  <c r="AN29" i="111"/>
  <c r="AN12" i="111"/>
  <c r="AN16" i="111"/>
  <c r="AN20" i="111"/>
  <c r="AN34" i="111"/>
  <c r="AN35" i="111"/>
  <c r="AN36" i="111"/>
  <c r="AN37" i="111"/>
  <c r="AN38" i="111"/>
  <c r="AN39" i="111"/>
  <c r="AN40" i="111"/>
  <c r="AN41" i="111"/>
  <c r="AN42" i="111"/>
  <c r="AN43" i="111"/>
  <c r="AN44" i="111"/>
  <c r="AN45" i="111"/>
  <c r="AN46" i="111"/>
  <c r="AN47" i="111"/>
  <c r="AN21" i="111"/>
  <c r="AN31" i="111"/>
  <c r="AN17" i="111"/>
  <c r="AN22" i="111"/>
  <c r="AN24" i="111"/>
  <c r="AN48" i="111"/>
  <c r="AN49" i="111"/>
  <c r="AN50" i="111"/>
  <c r="AN51" i="111"/>
  <c r="AN52" i="111"/>
  <c r="AN53" i="111"/>
  <c r="AN54" i="111"/>
  <c r="AN55" i="111"/>
  <c r="AN59" i="111"/>
  <c r="AN63" i="111"/>
  <c r="AN13" i="111"/>
  <c r="AN30" i="111"/>
  <c r="AN56" i="111"/>
  <c r="AN60" i="111"/>
  <c r="AN64" i="111"/>
  <c r="AN32" i="111"/>
  <c r="AN57" i="111"/>
  <c r="AN61" i="111"/>
  <c r="AN65" i="111"/>
  <c r="AN58" i="111"/>
  <c r="AN70" i="111"/>
  <c r="AN74" i="111"/>
  <c r="AN78" i="111"/>
  <c r="AN82" i="111"/>
  <c r="AN86" i="111"/>
  <c r="AN90" i="111"/>
  <c r="AN94" i="111"/>
  <c r="AN98" i="111"/>
  <c r="AN102" i="111"/>
  <c r="AN33" i="111"/>
  <c r="AN67" i="111"/>
  <c r="AN71" i="111"/>
  <c r="AN75" i="111"/>
  <c r="AN79" i="111"/>
  <c r="AN83" i="111"/>
  <c r="AN87" i="111"/>
  <c r="AN91" i="111"/>
  <c r="AN95" i="111"/>
  <c r="AN99" i="111"/>
  <c r="AN103" i="111"/>
  <c r="AN66" i="111"/>
  <c r="AN68" i="111"/>
  <c r="AN72" i="111"/>
  <c r="AN76" i="111"/>
  <c r="AN80" i="111"/>
  <c r="AN84" i="111"/>
  <c r="AN88" i="111"/>
  <c r="AN92" i="111"/>
  <c r="AN96" i="111"/>
  <c r="AN100" i="111"/>
  <c r="AN104" i="111"/>
  <c r="AN69" i="111"/>
  <c r="AN85" i="111"/>
  <c r="AN101" i="111"/>
  <c r="AN107" i="111"/>
  <c r="AN113" i="111"/>
  <c r="AN117" i="111"/>
  <c r="AN119" i="111"/>
  <c r="AN121" i="111"/>
  <c r="AN123" i="111"/>
  <c r="AN125" i="111"/>
  <c r="AN127" i="111"/>
  <c r="AN129" i="111"/>
  <c r="AN81" i="111"/>
  <c r="AN97" i="111"/>
  <c r="AN108" i="111"/>
  <c r="AN112" i="111"/>
  <c r="AN116" i="111"/>
  <c r="AN89" i="111"/>
  <c r="AN77" i="111"/>
  <c r="AN93" i="111"/>
  <c r="AN109" i="111"/>
  <c r="AN110" i="111"/>
  <c r="AN111" i="111"/>
  <c r="AN115" i="111"/>
  <c r="AN118" i="111"/>
  <c r="AN120" i="111"/>
  <c r="AN122" i="111"/>
  <c r="AN124" i="111"/>
  <c r="AN126" i="111"/>
  <c r="AN128" i="111"/>
  <c r="AN62" i="111"/>
  <c r="AN73" i="111"/>
  <c r="AN105" i="111"/>
  <c r="AN106" i="111"/>
  <c r="AN114" i="111"/>
  <c r="AC67" i="111"/>
  <c r="AG67" i="111"/>
  <c r="AX11" i="111"/>
  <c r="T41" i="111"/>
  <c r="AA14" i="112"/>
  <c r="C13" i="109"/>
  <c r="AK49" i="111"/>
  <c r="V49" i="111"/>
  <c r="V48" i="111"/>
  <c r="A28" i="111"/>
  <c r="Z67" i="111"/>
  <c r="AD68" i="111" s="1"/>
  <c r="A29" i="111"/>
  <c r="AB67" i="111"/>
  <c r="AG68" i="111" s="1"/>
  <c r="AE67" i="111"/>
  <c r="Y54" i="112"/>
  <c r="V50" i="112"/>
  <c r="V47" i="112" s="1"/>
  <c r="V46" i="112"/>
  <c r="U36" i="112"/>
  <c r="U35" i="112"/>
  <c r="AX11" i="112"/>
  <c r="AB67" i="112"/>
  <c r="AG68" i="112" s="1"/>
  <c r="AC67" i="112"/>
  <c r="AA67" i="112"/>
  <c r="AN12" i="112"/>
  <c r="AN11" i="112"/>
  <c r="F11" i="112"/>
  <c r="AZ11" i="112" s="1"/>
  <c r="AN10" i="112"/>
  <c r="F10" i="112"/>
  <c r="AZ10" i="112" s="1"/>
  <c r="F9" i="112"/>
  <c r="AZ9" i="112" s="1"/>
  <c r="AN9" i="112"/>
  <c r="AB14" i="112"/>
  <c r="AI46" i="112" s="1"/>
  <c r="AG67" i="112"/>
  <c r="AE67" i="112"/>
  <c r="AM13" i="112"/>
  <c r="AK50" i="112"/>
  <c r="AK47" i="112" s="1"/>
  <c r="AK46" i="112"/>
  <c r="J11" i="112"/>
  <c r="E12" i="112"/>
  <c r="AH66" i="111"/>
  <c r="C31" i="111" s="1"/>
  <c r="C26" i="94" s="1"/>
  <c r="D30" i="111"/>
  <c r="AB12" i="111"/>
  <c r="AB5" i="111"/>
  <c r="AB11" i="111"/>
  <c r="AB10" i="111"/>
  <c r="AB7" i="111"/>
  <c r="AB9" i="111"/>
  <c r="AB8" i="111"/>
  <c r="AB4" i="111"/>
  <c r="AB15" i="111"/>
  <c r="AB6" i="111"/>
  <c r="AA67" i="111"/>
  <c r="Y54" i="111"/>
  <c r="AD67" i="111"/>
  <c r="U36" i="111"/>
  <c r="U35" i="111"/>
  <c r="V50" i="111"/>
  <c r="V47" i="111" s="1"/>
  <c r="V46" i="111"/>
  <c r="AK46" i="111"/>
  <c r="AK50" i="111"/>
  <c r="AK47" i="111" s="1"/>
  <c r="AJ109" i="109"/>
  <c r="AI109" i="109"/>
  <c r="AH109" i="109"/>
  <c r="AK109" i="109" s="1"/>
  <c r="C15" i="109" s="1"/>
  <c r="AG109" i="109"/>
  <c r="AF109" i="109"/>
  <c r="AI109" i="94"/>
  <c r="AJ109" i="94"/>
  <c r="AH109" i="94"/>
  <c r="AG109" i="94"/>
  <c r="AF109" i="94"/>
  <c r="AF93" i="109"/>
  <c r="C17" i="103"/>
  <c r="C11" i="110"/>
  <c r="D11" i="110" s="1"/>
  <c r="C10" i="110"/>
  <c r="AB78" i="110" s="1"/>
  <c r="C9" i="110"/>
  <c r="F8" i="110" s="1"/>
  <c r="H2" i="110" s="1"/>
  <c r="Y53" i="110"/>
  <c r="C7" i="110"/>
  <c r="Z52" i="110" s="1"/>
  <c r="Y52" i="110" s="1"/>
  <c r="BA115" i="110"/>
  <c r="BA114" i="110"/>
  <c r="BA113" i="110"/>
  <c r="BA112" i="110"/>
  <c r="BA111" i="110"/>
  <c r="AH80" i="110"/>
  <c r="AF80" i="110"/>
  <c r="AH69" i="110"/>
  <c r="W51" i="110"/>
  <c r="W52" i="110"/>
  <c r="W53" i="110" s="1"/>
  <c r="W54" i="110" s="1"/>
  <c r="W55" i="110" s="1"/>
  <c r="W56" i="110" s="1"/>
  <c r="W57" i="110" s="1"/>
  <c r="W58" i="110" s="1"/>
  <c r="W59" i="110" s="1"/>
  <c r="W60" i="110" s="1"/>
  <c r="W61" i="110" s="1"/>
  <c r="W62" i="110" s="1"/>
  <c r="W63" i="110" s="1"/>
  <c r="W64" i="110" s="1"/>
  <c r="W65" i="110" s="1"/>
  <c r="W66" i="110" s="1"/>
  <c r="W67" i="110" s="1"/>
  <c r="W68" i="110" s="1"/>
  <c r="W69" i="110" s="1"/>
  <c r="W70" i="110" s="1"/>
  <c r="W71" i="110" s="1"/>
  <c r="W72" i="110" s="1"/>
  <c r="W73" i="110" s="1"/>
  <c r="W74" i="110" s="1"/>
  <c r="W75" i="110" s="1"/>
  <c r="W76" i="110" s="1"/>
  <c r="W77" i="110" s="1"/>
  <c r="W78" i="110" s="1"/>
  <c r="W79" i="110" s="1"/>
  <c r="W80" i="110" s="1"/>
  <c r="W81" i="110" s="1"/>
  <c r="W82" i="110" s="1"/>
  <c r="W83" i="110" s="1"/>
  <c r="W84" i="110" s="1"/>
  <c r="W85" i="110" s="1"/>
  <c r="W86" i="110" s="1"/>
  <c r="W87" i="110" s="1"/>
  <c r="W88" i="110" s="1"/>
  <c r="W89" i="110" s="1"/>
  <c r="W90" i="110" s="1"/>
  <c r="W91" i="110" s="1"/>
  <c r="W92" i="110" s="1"/>
  <c r="W93" i="110" s="1"/>
  <c r="W94" i="110" s="1"/>
  <c r="W95" i="110" s="1"/>
  <c r="W96" i="110" s="1"/>
  <c r="W97" i="110" s="1"/>
  <c r="W98" i="110" s="1"/>
  <c r="W99" i="110" s="1"/>
  <c r="W100" i="110" s="1"/>
  <c r="W101" i="110" s="1"/>
  <c r="W102" i="110" s="1"/>
  <c r="W103" i="110" s="1"/>
  <c r="W104" i="110" s="1"/>
  <c r="W105" i="110" s="1"/>
  <c r="W106" i="110" s="1"/>
  <c r="W107" i="110" s="1"/>
  <c r="W108" i="110" s="1"/>
  <c r="W109" i="110" s="1"/>
  <c r="W110" i="110" s="1"/>
  <c r="W111" i="110" s="1"/>
  <c r="W112" i="110" s="1"/>
  <c r="W113" i="110" s="1"/>
  <c r="W114" i="110" s="1"/>
  <c r="W115" i="110" s="1"/>
  <c r="W116" i="110" s="1"/>
  <c r="W117" i="110" s="1"/>
  <c r="W118" i="110" s="1"/>
  <c r="W119" i="110" s="1"/>
  <c r="W120" i="110" s="1"/>
  <c r="W121" i="110" s="1"/>
  <c r="W122" i="110" s="1"/>
  <c r="W123" i="110" s="1"/>
  <c r="W124" i="110" s="1"/>
  <c r="W125" i="110" s="1"/>
  <c r="W126" i="110" s="1"/>
  <c r="W127" i="110" s="1"/>
  <c r="W128" i="110" s="1"/>
  <c r="W129" i="110" s="1"/>
  <c r="W130" i="110" s="1"/>
  <c r="W131" i="110" s="1"/>
  <c r="W132" i="110" s="1"/>
  <c r="W133" i="110" s="1"/>
  <c r="W134" i="110" s="1"/>
  <c r="W135" i="110" s="1"/>
  <c r="W136" i="110" s="1"/>
  <c r="W137" i="110" s="1"/>
  <c r="W138" i="110" s="1"/>
  <c r="W139" i="110" s="1"/>
  <c r="W140" i="110" s="1"/>
  <c r="W141" i="110" s="1"/>
  <c r="W142" i="110" s="1"/>
  <c r="W143" i="110" s="1"/>
  <c r="W144" i="110" s="1"/>
  <c r="W145" i="110" s="1"/>
  <c r="W146" i="110" s="1"/>
  <c r="W147" i="110" s="1"/>
  <c r="W148" i="110" s="1"/>
  <c r="W149" i="110" s="1"/>
  <c r="W150" i="110" s="1"/>
  <c r="W151" i="110" s="1"/>
  <c r="W152" i="110" s="1"/>
  <c r="W153" i="110" s="1"/>
  <c r="W154" i="110" s="1"/>
  <c r="W155" i="110" s="1"/>
  <c r="W156" i="110" s="1"/>
  <c r="W157" i="110" s="1"/>
  <c r="W158" i="110" s="1"/>
  <c r="W159" i="110" s="1"/>
  <c r="W160" i="110" s="1"/>
  <c r="W161" i="110" s="1"/>
  <c r="W162" i="110" s="1"/>
  <c r="W163" i="110" s="1"/>
  <c r="W164" i="110" s="1"/>
  <c r="W165" i="110" s="1"/>
  <c r="W166" i="110" s="1"/>
  <c r="W167" i="110" s="1"/>
  <c r="W168" i="110" s="1"/>
  <c r="W169" i="110" s="1"/>
  <c r="W170" i="110" s="1"/>
  <c r="W171" i="110" s="1"/>
  <c r="W172" i="110" s="1"/>
  <c r="W173" i="110" s="1"/>
  <c r="W174" i="110" s="1"/>
  <c r="W175" i="110" s="1"/>
  <c r="W176" i="110" s="1"/>
  <c r="W177" i="110" s="1"/>
  <c r="W178" i="110" s="1"/>
  <c r="W179" i="110" s="1"/>
  <c r="W180" i="110" s="1"/>
  <c r="AJ47" i="110"/>
  <c r="AI47" i="110"/>
  <c r="T47" i="110"/>
  <c r="AJ46" i="110"/>
  <c r="D23" i="110"/>
  <c r="D18" i="110"/>
  <c r="X11" i="110"/>
  <c r="W11" i="110"/>
  <c r="AM9" i="110"/>
  <c r="AM10" i="110"/>
  <c r="AM11" i="110"/>
  <c r="X10" i="110"/>
  <c r="W10" i="110"/>
  <c r="X9" i="110"/>
  <c r="W9" i="110"/>
  <c r="M9" i="110"/>
  <c r="E9" i="110"/>
  <c r="BC8" i="110"/>
  <c r="X8" i="110"/>
  <c r="W8" i="110"/>
  <c r="X7" i="110"/>
  <c r="W7" i="110"/>
  <c r="V7" i="110"/>
  <c r="U7" i="110"/>
  <c r="X6" i="110"/>
  <c r="W6" i="110"/>
  <c r="V6" i="110"/>
  <c r="U6" i="110"/>
  <c r="X5" i="110"/>
  <c r="W5" i="110"/>
  <c r="V5" i="110"/>
  <c r="U5" i="110"/>
  <c r="AM3" i="110"/>
  <c r="E3" i="110"/>
  <c r="AI1" i="110"/>
  <c r="AA16" i="109"/>
  <c r="BL114" i="109"/>
  <c r="BK114" i="109"/>
  <c r="BL113" i="109"/>
  <c r="BK113" i="109"/>
  <c r="BL112" i="109"/>
  <c r="BK112" i="109"/>
  <c r="BL111" i="109"/>
  <c r="BK111" i="109"/>
  <c r="BL110" i="109"/>
  <c r="BK110" i="109"/>
  <c r="BK109" i="109"/>
  <c r="O109" i="109"/>
  <c r="AF82" i="109"/>
  <c r="AJ79" i="109"/>
  <c r="AJ65" i="109" s="1"/>
  <c r="AJ66" i="109" s="1"/>
  <c r="AI79" i="109"/>
  <c r="AI65" i="109" s="1"/>
  <c r="AI66" i="109" s="1"/>
  <c r="AH79" i="109"/>
  <c r="AH65" i="109" s="1"/>
  <c r="AC48" i="109"/>
  <c r="AG79" i="109"/>
  <c r="AG65" i="109" s="1"/>
  <c r="AG66" i="109" s="1"/>
  <c r="AF79" i="109"/>
  <c r="AF65" i="109"/>
  <c r="AF66" i="109" s="1"/>
  <c r="AE79" i="109"/>
  <c r="AE65" i="109" s="1"/>
  <c r="AE66" i="109" s="1"/>
  <c r="AD79" i="109"/>
  <c r="AD65" i="109" s="1"/>
  <c r="AD66" i="109" s="1"/>
  <c r="AJ77" i="109"/>
  <c r="AI77" i="109"/>
  <c r="AH77" i="109"/>
  <c r="AG77" i="109"/>
  <c r="AF77" i="109"/>
  <c r="AD77" i="109"/>
  <c r="AE57" i="109"/>
  <c r="H8" i="109"/>
  <c r="AF50" i="109"/>
  <c r="AD49" i="109"/>
  <c r="AD48" i="109"/>
  <c r="AN47" i="109"/>
  <c r="Y43" i="109"/>
  <c r="AF41" i="109"/>
  <c r="AD41" i="109"/>
  <c r="AC41" i="109"/>
  <c r="AB41" i="109"/>
  <c r="AA41" i="109"/>
  <c r="Z41" i="109"/>
  <c r="Y41" i="109"/>
  <c r="X41" i="109"/>
  <c r="AF40" i="109"/>
  <c r="AE40" i="109"/>
  <c r="AD40" i="109"/>
  <c r="AC40" i="109"/>
  <c r="AB40" i="109"/>
  <c r="AA40" i="109"/>
  <c r="Z40" i="109"/>
  <c r="Y40" i="109"/>
  <c r="X40" i="109"/>
  <c r="AF38" i="109"/>
  <c r="AE38" i="109"/>
  <c r="AD38" i="109"/>
  <c r="AC38" i="109"/>
  <c r="AB38" i="109"/>
  <c r="AA38" i="109"/>
  <c r="Z38" i="109"/>
  <c r="Y38" i="109"/>
  <c r="X38" i="109"/>
  <c r="AF37" i="109"/>
  <c r="AE37" i="109"/>
  <c r="AD37" i="109"/>
  <c r="AC37" i="109"/>
  <c r="AB37" i="109"/>
  <c r="AA37" i="109"/>
  <c r="Z37" i="109"/>
  <c r="Y37" i="109"/>
  <c r="X37" i="109"/>
  <c r="AC34" i="109"/>
  <c r="A24" i="109"/>
  <c r="D14" i="109"/>
  <c r="A23" i="109"/>
  <c r="BA20" i="109"/>
  <c r="BA19" i="109"/>
  <c r="BA18" i="109"/>
  <c r="BA17" i="109"/>
  <c r="D17" i="109"/>
  <c r="D18" i="109" s="1"/>
  <c r="D29" i="109" s="1"/>
  <c r="D30" i="109" s="1"/>
  <c r="AD51" i="109" s="1"/>
  <c r="AC47" i="109" s="1"/>
  <c r="BA16" i="109"/>
  <c r="BA15" i="109"/>
  <c r="AF15" i="109"/>
  <c r="AE15" i="109"/>
  <c r="BA14" i="109"/>
  <c r="BA13" i="109"/>
  <c r="BA12" i="109"/>
  <c r="AQ9" i="109"/>
  <c r="AQ10" i="109"/>
  <c r="AQ11" i="109" s="1"/>
  <c r="AQ12" i="109" s="1"/>
  <c r="AQ13" i="109" s="1"/>
  <c r="AQ14" i="109" s="1"/>
  <c r="AQ15" i="109" s="1"/>
  <c r="AQ16" i="109" s="1"/>
  <c r="AQ17" i="109" s="1"/>
  <c r="AQ18" i="109" s="1"/>
  <c r="AQ19" i="109" s="1"/>
  <c r="AQ20" i="109" s="1"/>
  <c r="AQ21" i="109" s="1"/>
  <c r="AQ22" i="109" s="1"/>
  <c r="AQ23" i="109" s="1"/>
  <c r="AQ24" i="109" s="1"/>
  <c r="AQ25" i="109" s="1"/>
  <c r="AQ26" i="109" s="1"/>
  <c r="AQ27" i="109" s="1"/>
  <c r="AQ28" i="109" s="1"/>
  <c r="AQ29" i="109" s="1"/>
  <c r="AQ30" i="109" s="1"/>
  <c r="AQ31" i="109" s="1"/>
  <c r="AQ32" i="109" s="1"/>
  <c r="AQ33" i="109" s="1"/>
  <c r="AQ34" i="109" s="1"/>
  <c r="AQ35" i="109" s="1"/>
  <c r="AQ36" i="109" s="1"/>
  <c r="AQ37" i="109" s="1"/>
  <c r="AQ38" i="109" s="1"/>
  <c r="AQ39" i="109" s="1"/>
  <c r="AQ40" i="109" s="1"/>
  <c r="AQ41" i="109" s="1"/>
  <c r="AQ42" i="109" s="1"/>
  <c r="AQ43" i="109" s="1"/>
  <c r="AQ44" i="109" s="1"/>
  <c r="AQ45" i="109" s="1"/>
  <c r="AQ46" i="109" s="1"/>
  <c r="AQ47" i="109" s="1"/>
  <c r="AQ48" i="109" s="1"/>
  <c r="AQ49" i="109" s="1"/>
  <c r="AQ50" i="109" s="1"/>
  <c r="AQ51" i="109" s="1"/>
  <c r="AQ52" i="109" s="1"/>
  <c r="AQ53" i="109" s="1"/>
  <c r="AQ54" i="109" s="1"/>
  <c r="AQ55" i="109" s="1"/>
  <c r="AQ56" i="109" s="1"/>
  <c r="AQ57" i="109" s="1"/>
  <c r="AQ58" i="109" s="1"/>
  <c r="AQ59" i="109" s="1"/>
  <c r="AQ60" i="109" s="1"/>
  <c r="AQ61" i="109" s="1"/>
  <c r="AQ62" i="109" s="1"/>
  <c r="AQ63" i="109" s="1"/>
  <c r="AQ64" i="109" s="1"/>
  <c r="AQ65" i="109" s="1"/>
  <c r="AQ66" i="109" s="1"/>
  <c r="AQ67" i="109" s="1"/>
  <c r="AQ68" i="109" s="1"/>
  <c r="AQ69" i="109" s="1"/>
  <c r="AQ70" i="109" s="1"/>
  <c r="AQ71" i="109" s="1"/>
  <c r="AQ72" i="109" s="1"/>
  <c r="AQ73" i="109" s="1"/>
  <c r="AQ74" i="109" s="1"/>
  <c r="AQ75" i="109" s="1"/>
  <c r="AQ76" i="109" s="1"/>
  <c r="AQ77" i="109" s="1"/>
  <c r="AF12" i="109"/>
  <c r="AE12" i="109"/>
  <c r="D12" i="109"/>
  <c r="BA11" i="109"/>
  <c r="X11" i="109"/>
  <c r="BA10" i="109"/>
  <c r="AF10" i="109"/>
  <c r="AE10" i="109"/>
  <c r="BI9" i="109"/>
  <c r="BJ9" i="109" s="1"/>
  <c r="BB9" i="109" s="1"/>
  <c r="BA9" i="109"/>
  <c r="AF9" i="109"/>
  <c r="AE9" i="109"/>
  <c r="U9" i="109"/>
  <c r="U10" i="109" s="1"/>
  <c r="G9" i="109"/>
  <c r="AR8" i="109"/>
  <c r="AO47" i="109" s="1"/>
  <c r="AO48" i="109" s="1"/>
  <c r="AO49" i="109" s="1"/>
  <c r="AO50" i="109" s="1"/>
  <c r="AO51" i="109" s="1"/>
  <c r="AO52" i="109" s="1"/>
  <c r="AO53" i="109" s="1"/>
  <c r="AO54" i="109" s="1"/>
  <c r="AO55" i="109" s="1"/>
  <c r="AO56" i="109" s="1"/>
  <c r="AO57" i="109" s="1"/>
  <c r="AO58" i="109" s="1"/>
  <c r="AO59" i="109" s="1"/>
  <c r="AO60" i="109" s="1"/>
  <c r="AO61" i="109" s="1"/>
  <c r="AO62" i="109" s="1"/>
  <c r="AO63" i="109" s="1"/>
  <c r="AO64" i="109" s="1"/>
  <c r="AO65" i="109" s="1"/>
  <c r="AO66" i="109" s="1"/>
  <c r="AO67" i="109" s="1"/>
  <c r="AO68" i="109" s="1"/>
  <c r="AO69" i="109" s="1"/>
  <c r="AO70" i="109" s="1"/>
  <c r="AO71" i="109" s="1"/>
  <c r="AO72" i="109" s="1"/>
  <c r="AO73" i="109" s="1"/>
  <c r="AO74" i="109" s="1"/>
  <c r="AO75" i="109" s="1"/>
  <c r="AO76" i="109" s="1"/>
  <c r="AO77" i="109" s="1"/>
  <c r="AO78" i="109" s="1"/>
  <c r="AO79" i="109" s="1"/>
  <c r="AO80" i="109" s="1"/>
  <c r="AO81" i="109" s="1"/>
  <c r="AO82" i="109" s="1"/>
  <c r="AO83" i="109" s="1"/>
  <c r="AO84" i="109" s="1"/>
  <c r="AO85" i="109" s="1"/>
  <c r="AO86" i="109" s="1"/>
  <c r="AO87" i="109" s="1"/>
  <c r="AF8" i="109"/>
  <c r="AE8" i="109"/>
  <c r="AM1" i="109"/>
  <c r="C17" i="110"/>
  <c r="V13" i="110" s="1"/>
  <c r="AM12" i="110"/>
  <c r="E10" i="110"/>
  <c r="Z50" i="110"/>
  <c r="AC81" i="110"/>
  <c r="AC66" i="110" s="1"/>
  <c r="AA81" i="110"/>
  <c r="W41" i="110"/>
  <c r="AB51" i="110"/>
  <c r="AB16" i="109"/>
  <c r="X17" i="109"/>
  <c r="AD32" i="109" s="1"/>
  <c r="Y17" i="109"/>
  <c r="AH36" i="109"/>
  <c r="AH39" i="109" s="1"/>
  <c r="AE13" i="109"/>
  <c r="X16" i="109"/>
  <c r="AB17" i="109"/>
  <c r="G10" i="109"/>
  <c r="W10" i="109" s="1"/>
  <c r="W9" i="109"/>
  <c r="BK8" i="109"/>
  <c r="BK7" i="109" s="1"/>
  <c r="Y16" i="109"/>
  <c r="Z17" i="109"/>
  <c r="AI36" i="109"/>
  <c r="AD57" i="109"/>
  <c r="D11" i="109"/>
  <c r="D13" i="109" s="1"/>
  <c r="AS105" i="109" s="1"/>
  <c r="Z16" i="109"/>
  <c r="AA17" i="109"/>
  <c r="AI35" i="109"/>
  <c r="AG35" i="109" s="1"/>
  <c r="AO46" i="109"/>
  <c r="E11" i="110"/>
  <c r="E12" i="110" s="1"/>
  <c r="E13" i="110" s="1"/>
  <c r="E14" i="110" s="1"/>
  <c r="E15" i="110" s="1"/>
  <c r="E16" i="110" s="1"/>
  <c r="E17" i="110" s="1"/>
  <c r="E18" i="110" s="1"/>
  <c r="E19" i="110" s="1"/>
  <c r="E20" i="110" s="1"/>
  <c r="E21" i="110" s="1"/>
  <c r="E22" i="110" s="1"/>
  <c r="E23" i="110" s="1"/>
  <c r="E24" i="110" s="1"/>
  <c r="AM13" i="110"/>
  <c r="AM14" i="110" s="1"/>
  <c r="AM15" i="110"/>
  <c r="AM16" i="110" s="1"/>
  <c r="AM17" i="110" s="1"/>
  <c r="AM18" i="110" s="1"/>
  <c r="AM19" i="110" s="1"/>
  <c r="AM20" i="110" s="1"/>
  <c r="AM21" i="110" s="1"/>
  <c r="AM22" i="110" s="1"/>
  <c r="AM23" i="110" s="1"/>
  <c r="AM24" i="110" s="1"/>
  <c r="AM25" i="110" s="1"/>
  <c r="AM26" i="110" s="1"/>
  <c r="AM27" i="110" s="1"/>
  <c r="AM28" i="110" s="1"/>
  <c r="AM29" i="110" s="1"/>
  <c r="AM30" i="110" s="1"/>
  <c r="AM31" i="110" s="1"/>
  <c r="AM32" i="110" s="1"/>
  <c r="AM33" i="110" s="1"/>
  <c r="AM34" i="110" s="1"/>
  <c r="AM35" i="110" s="1"/>
  <c r="AM36" i="110" s="1"/>
  <c r="AM37" i="110" s="1"/>
  <c r="AM38" i="110" s="1"/>
  <c r="AM39" i="110" s="1"/>
  <c r="AM40" i="110" s="1"/>
  <c r="AM41" i="110" s="1"/>
  <c r="AM42" i="110" s="1"/>
  <c r="AM43" i="110" s="1"/>
  <c r="AM44" i="110" s="1"/>
  <c r="AM45" i="110" s="1"/>
  <c r="AM46" i="110" s="1"/>
  <c r="AM47" i="110" s="1"/>
  <c r="AM48" i="110" s="1"/>
  <c r="AM49" i="110" s="1"/>
  <c r="AM50" i="110" s="1"/>
  <c r="AM51" i="110" s="1"/>
  <c r="AM52" i="110" s="1"/>
  <c r="AM53" i="110" s="1"/>
  <c r="AM54" i="110" s="1"/>
  <c r="AM55" i="110" s="1"/>
  <c r="AM56" i="110" s="1"/>
  <c r="AM57" i="110" s="1"/>
  <c r="AM58" i="110" s="1"/>
  <c r="AM59" i="110" s="1"/>
  <c r="AM60" i="110" s="1"/>
  <c r="AM61" i="110" s="1"/>
  <c r="AM62" i="110" s="1"/>
  <c r="AM63" i="110" s="1"/>
  <c r="AM64" i="110" s="1"/>
  <c r="AM65" i="110" s="1"/>
  <c r="AM66" i="110" s="1"/>
  <c r="AM67" i="110" s="1"/>
  <c r="AM68" i="110" s="1"/>
  <c r="AM69" i="110" s="1"/>
  <c r="AM70" i="110" s="1"/>
  <c r="E25" i="110"/>
  <c r="E26" i="110" s="1"/>
  <c r="E27" i="110" s="1"/>
  <c r="E28" i="110" s="1"/>
  <c r="E29" i="110" s="1"/>
  <c r="E30" i="110" s="1"/>
  <c r="E31" i="110" s="1"/>
  <c r="E32" i="110" s="1"/>
  <c r="E33" i="110" s="1"/>
  <c r="E34" i="110" s="1"/>
  <c r="E35" i="110" s="1"/>
  <c r="E36" i="110" s="1"/>
  <c r="E37" i="110" s="1"/>
  <c r="E38" i="110" s="1"/>
  <c r="E39" i="110" s="1"/>
  <c r="AM71" i="110"/>
  <c r="AM72" i="110" s="1"/>
  <c r="AM73" i="110" s="1"/>
  <c r="AM74" i="110" s="1"/>
  <c r="AM75" i="110" s="1"/>
  <c r="AM76" i="110" s="1"/>
  <c r="AM77" i="110" s="1"/>
  <c r="AM78" i="110" s="1"/>
  <c r="AM79" i="110" s="1"/>
  <c r="AM80" i="110" s="1"/>
  <c r="AM81" i="110" s="1"/>
  <c r="AM82" i="110" s="1"/>
  <c r="AM83" i="110" s="1"/>
  <c r="AM84" i="110" s="1"/>
  <c r="AM85" i="110" s="1"/>
  <c r="AM86" i="110" s="1"/>
  <c r="AM87" i="110" s="1"/>
  <c r="AM88" i="110" s="1"/>
  <c r="AM89" i="110" s="1"/>
  <c r="AM90" i="110" s="1"/>
  <c r="AM91" i="110" s="1"/>
  <c r="AM92" i="110" s="1"/>
  <c r="AM93" i="110" s="1"/>
  <c r="AM94" i="110" s="1"/>
  <c r="AM95" i="110" s="1"/>
  <c r="AM96" i="110" s="1"/>
  <c r="AM97" i="110" s="1"/>
  <c r="AM98" i="110" s="1"/>
  <c r="AM99" i="110" s="1"/>
  <c r="AM100" i="110" s="1"/>
  <c r="AM101" i="110" s="1"/>
  <c r="AM102" i="110" s="1"/>
  <c r="AM103" i="110" s="1"/>
  <c r="AM104" i="110" s="1"/>
  <c r="AM105" i="110" s="1"/>
  <c r="AM106" i="110" s="1"/>
  <c r="AM107" i="110" s="1"/>
  <c r="AM108" i="110" s="1"/>
  <c r="AM109" i="110" s="1"/>
  <c r="AM110" i="110" s="1"/>
  <c r="AQ78" i="109"/>
  <c r="AQ79" i="109"/>
  <c r="AQ80" i="109" s="1"/>
  <c r="AQ81" i="109" s="1"/>
  <c r="AQ82" i="109" s="1"/>
  <c r="AQ83" i="109" s="1"/>
  <c r="AQ84" i="109" s="1"/>
  <c r="AQ85" i="109" s="1"/>
  <c r="AQ86" i="109" s="1"/>
  <c r="AQ87" i="109" s="1"/>
  <c r="AQ88" i="109" s="1"/>
  <c r="AQ89" i="109" s="1"/>
  <c r="AQ90" i="109" s="1"/>
  <c r="AQ91" i="109" s="1"/>
  <c r="AQ92" i="109" s="1"/>
  <c r="AQ93" i="109" s="1"/>
  <c r="AM111" i="110"/>
  <c r="AM112" i="110" s="1"/>
  <c r="AM113" i="110" s="1"/>
  <c r="AM114" i="110" s="1"/>
  <c r="AM115" i="110" s="1"/>
  <c r="AM116" i="110" s="1"/>
  <c r="AM117" i="110" s="1"/>
  <c r="AM118" i="110" s="1"/>
  <c r="AM119" i="110" s="1"/>
  <c r="AM120" i="110" s="1"/>
  <c r="AM121" i="110" s="1"/>
  <c r="AM122" i="110" s="1"/>
  <c r="AM123" i="110" s="1"/>
  <c r="AM124" i="110" s="1"/>
  <c r="AM125" i="110" s="1"/>
  <c r="AM126" i="110" s="1"/>
  <c r="AM127" i="110" s="1"/>
  <c r="AM128" i="110" s="1"/>
  <c r="AM129" i="110" s="1"/>
  <c r="C27" i="105"/>
  <c r="C25" i="105" s="1"/>
  <c r="C26" i="105"/>
  <c r="A24" i="108"/>
  <c r="B24" i="108" s="1"/>
  <c r="A25" i="108"/>
  <c r="C23" i="108"/>
  <c r="B23" i="108"/>
  <c r="D10" i="108"/>
  <c r="D15" i="108" s="1"/>
  <c r="D8" i="108"/>
  <c r="A25" i="107"/>
  <c r="A26" i="107" s="1"/>
  <c r="B26" i="107" s="1"/>
  <c r="B25" i="107"/>
  <c r="C24" i="107"/>
  <c r="B24" i="107"/>
  <c r="E24" i="107" s="1"/>
  <c r="G24" i="107" s="1"/>
  <c r="D24" i="107" s="1"/>
  <c r="C25" i="107" s="1"/>
  <c r="D14" i="107"/>
  <c r="D10" i="107"/>
  <c r="D8" i="107"/>
  <c r="F24" i="107"/>
  <c r="A27" i="107"/>
  <c r="B27" i="107" s="1"/>
  <c r="A28" i="107"/>
  <c r="D26" i="105"/>
  <c r="G9" i="94"/>
  <c r="W9" i="94" s="1"/>
  <c r="BK114" i="106"/>
  <c r="BJ114" i="106"/>
  <c r="BK113" i="106"/>
  <c r="BJ113" i="106"/>
  <c r="BK112" i="106"/>
  <c r="BJ112" i="106"/>
  <c r="BK111" i="106"/>
  <c r="BJ111" i="106"/>
  <c r="BK110" i="106"/>
  <c r="BJ110" i="106"/>
  <c r="BJ109" i="106"/>
  <c r="AI109" i="106"/>
  <c r="AH109" i="106"/>
  <c r="AG109" i="106"/>
  <c r="AJ109" i="106"/>
  <c r="AF109" i="106"/>
  <c r="AE109" i="106"/>
  <c r="O109" i="106"/>
  <c r="AE82" i="106"/>
  <c r="AI79" i="106"/>
  <c r="AI65" i="106" s="1"/>
  <c r="AI66" i="106" s="1"/>
  <c r="AH79" i="106"/>
  <c r="AG79" i="106"/>
  <c r="AG65" i="106" s="1"/>
  <c r="AG66" i="106" s="1"/>
  <c r="AF79" i="106"/>
  <c r="AE79" i="106"/>
  <c r="AE65" i="106" s="1"/>
  <c r="AE66" i="106" s="1"/>
  <c r="AD79" i="106"/>
  <c r="AD65" i="106" s="1"/>
  <c r="AD66" i="106" s="1"/>
  <c r="AC79" i="106"/>
  <c r="AC65" i="106" s="1"/>
  <c r="AC66" i="106" s="1"/>
  <c r="AI77" i="106"/>
  <c r="AH77" i="106"/>
  <c r="AG77" i="106"/>
  <c r="AF77" i="106"/>
  <c r="AE77" i="106"/>
  <c r="AC77" i="106"/>
  <c r="AH65" i="106"/>
  <c r="AH66" i="106"/>
  <c r="AF65" i="106"/>
  <c r="AF66" i="106" s="1"/>
  <c r="AD57" i="106"/>
  <c r="AC57" i="106"/>
  <c r="AE50" i="106"/>
  <c r="AC49" i="106"/>
  <c r="AC48" i="106"/>
  <c r="AB48" i="106"/>
  <c r="AM47" i="106"/>
  <c r="X43" i="106"/>
  <c r="AE41" i="106"/>
  <c r="AD41" i="106"/>
  <c r="AC41" i="106"/>
  <c r="AB41" i="106"/>
  <c r="AA41" i="106"/>
  <c r="Z41" i="106"/>
  <c r="Y41" i="106"/>
  <c r="X41" i="106"/>
  <c r="W41" i="106"/>
  <c r="AE40" i="106"/>
  <c r="AD40" i="106"/>
  <c r="AC40" i="106"/>
  <c r="AB40" i="106"/>
  <c r="AA40" i="106"/>
  <c r="Z40" i="106"/>
  <c r="Y40" i="106"/>
  <c r="X40" i="106"/>
  <c r="W40" i="106"/>
  <c r="AE38" i="106"/>
  <c r="AD38" i="106"/>
  <c r="AC38" i="106"/>
  <c r="AB38" i="106"/>
  <c r="AA38" i="106"/>
  <c r="Z38" i="106"/>
  <c r="Y38" i="106"/>
  <c r="AH36" i="106" s="1"/>
  <c r="X38" i="106"/>
  <c r="W38" i="106"/>
  <c r="AE37" i="106"/>
  <c r="AD37" i="106"/>
  <c r="AC37" i="106"/>
  <c r="AB37" i="106"/>
  <c r="AA37" i="106"/>
  <c r="Z37" i="106"/>
  <c r="Y37" i="106"/>
  <c r="AH35" i="106" s="1"/>
  <c r="X37" i="106"/>
  <c r="W37" i="106"/>
  <c r="AG36" i="106"/>
  <c r="AG38" i="106" s="1"/>
  <c r="AB34" i="106"/>
  <c r="AC32" i="106"/>
  <c r="AC31" i="106"/>
  <c r="CF21" i="106"/>
  <c r="CF18" i="106" s="1"/>
  <c r="BY21" i="106"/>
  <c r="AZ20" i="106"/>
  <c r="D20" i="106"/>
  <c r="AZ19" i="106"/>
  <c r="A19" i="106"/>
  <c r="AZ18" i="106"/>
  <c r="AZ17" i="106"/>
  <c r="AZ16" i="106"/>
  <c r="AZ15" i="106"/>
  <c r="AE15" i="106"/>
  <c r="AD15" i="106"/>
  <c r="D14" i="106"/>
  <c r="D15" i="106" s="1"/>
  <c r="C15" i="106"/>
  <c r="BY22" i="106" s="1"/>
  <c r="CC22" i="106" s="1"/>
  <c r="AZ14" i="106"/>
  <c r="Q14" i="106"/>
  <c r="E14" i="106"/>
  <c r="C13" i="106"/>
  <c r="D18" i="106"/>
  <c r="AT8" i="106" s="1"/>
  <c r="AM46" i="106" s="1"/>
  <c r="AZ13" i="106"/>
  <c r="AD13" i="106"/>
  <c r="Q13" i="106"/>
  <c r="AZ12" i="106"/>
  <c r="AE12" i="106"/>
  <c r="AD12" i="106"/>
  <c r="Q12" i="106"/>
  <c r="D12" i="106"/>
  <c r="BH9" i="106"/>
  <c r="BI9" i="106" s="1"/>
  <c r="BA9" i="106" s="1"/>
  <c r="AZ11" i="106"/>
  <c r="Q11" i="106"/>
  <c r="D11" i="106"/>
  <c r="AM36" i="106"/>
  <c r="AM40" i="106" s="1"/>
  <c r="AZ10" i="106"/>
  <c r="AE10" i="106"/>
  <c r="AD10" i="106"/>
  <c r="Q10" i="106"/>
  <c r="AZ9" i="106"/>
  <c r="AZ109" i="106" s="1"/>
  <c r="AP9" i="106"/>
  <c r="AE9" i="106"/>
  <c r="AD9" i="106"/>
  <c r="W9" i="106"/>
  <c r="AL79" i="106" s="1"/>
  <c r="U9" i="106"/>
  <c r="U10" i="106"/>
  <c r="Q9" i="106"/>
  <c r="Q109" i="106" s="1"/>
  <c r="G9" i="106"/>
  <c r="G10" i="106" s="1"/>
  <c r="G11" i="106" s="1"/>
  <c r="AQ8" i="106"/>
  <c r="AN46" i="106" s="1"/>
  <c r="AE8" i="106"/>
  <c r="AD8" i="106"/>
  <c r="H8" i="106"/>
  <c r="BJ8" i="106"/>
  <c r="BJ7" i="106" s="1"/>
  <c r="AA7" i="106"/>
  <c r="Z7" i="106"/>
  <c r="Y7" i="106"/>
  <c r="AL51" i="106" s="1"/>
  <c r="X7" i="106"/>
  <c r="AA6" i="106"/>
  <c r="Z6" i="106"/>
  <c r="Y6" i="106"/>
  <c r="AL49" i="106" s="1"/>
  <c r="X6" i="106"/>
  <c r="AA5" i="106"/>
  <c r="Z5" i="106"/>
  <c r="Y5" i="106"/>
  <c r="AL48" i="106" s="1"/>
  <c r="X5" i="106"/>
  <c r="AA4" i="106"/>
  <c r="Z4" i="106"/>
  <c r="Y4" i="106"/>
  <c r="X4" i="106"/>
  <c r="G3" i="106"/>
  <c r="AL1" i="106"/>
  <c r="AB49" i="106"/>
  <c r="AG39" i="106"/>
  <c r="U11" i="106"/>
  <c r="V10" i="106"/>
  <c r="R10" i="106"/>
  <c r="BG8" i="106"/>
  <c r="I108" i="106"/>
  <c r="I106" i="106"/>
  <c r="I104" i="106"/>
  <c r="I107" i="106"/>
  <c r="I103" i="106"/>
  <c r="I102" i="106"/>
  <c r="I101" i="106"/>
  <c r="I100" i="106"/>
  <c r="I99" i="106"/>
  <c r="I95" i="106"/>
  <c r="I93" i="106"/>
  <c r="I89" i="106"/>
  <c r="I105" i="106"/>
  <c r="I97" i="106"/>
  <c r="I96" i="106"/>
  <c r="I86" i="106"/>
  <c r="I92" i="106"/>
  <c r="I91" i="106"/>
  <c r="I90" i="106"/>
  <c r="I94" i="106"/>
  <c r="I88" i="106"/>
  <c r="I85" i="106"/>
  <c r="I82" i="106"/>
  <c r="I75" i="106"/>
  <c r="I79" i="106"/>
  <c r="I78" i="106"/>
  <c r="I87" i="106"/>
  <c r="I98" i="106"/>
  <c r="I84" i="106"/>
  <c r="I72" i="106"/>
  <c r="I68" i="106"/>
  <c r="I63" i="106"/>
  <c r="I59" i="106"/>
  <c r="I80" i="106"/>
  <c r="I73" i="106"/>
  <c r="I67" i="106"/>
  <c r="I65" i="106"/>
  <c r="I64" i="106"/>
  <c r="I81" i="106"/>
  <c r="I66" i="106"/>
  <c r="I58" i="106"/>
  <c r="I56" i="106"/>
  <c r="I76" i="106"/>
  <c r="I62" i="106"/>
  <c r="I61" i="106"/>
  <c r="I60" i="106"/>
  <c r="I57" i="106"/>
  <c r="I54" i="106"/>
  <c r="I49" i="106"/>
  <c r="I44" i="106"/>
  <c r="I43" i="106"/>
  <c r="I42" i="106"/>
  <c r="I39" i="106"/>
  <c r="I31" i="106"/>
  <c r="I29" i="106"/>
  <c r="I28" i="106"/>
  <c r="I83" i="106"/>
  <c r="I71" i="106"/>
  <c r="I50" i="106"/>
  <c r="I46" i="106"/>
  <c r="I74" i="106"/>
  <c r="I69" i="106"/>
  <c r="I53" i="106"/>
  <c r="I52" i="106"/>
  <c r="I45" i="106"/>
  <c r="I36" i="106"/>
  <c r="I34" i="106"/>
  <c r="I33" i="106"/>
  <c r="I26" i="106"/>
  <c r="I77" i="106"/>
  <c r="I70" i="106"/>
  <c r="I55" i="106"/>
  <c r="I51" i="106"/>
  <c r="I48" i="106"/>
  <c r="I47" i="106"/>
  <c r="I41" i="106"/>
  <c r="I40" i="106"/>
  <c r="I38" i="106"/>
  <c r="I19" i="106"/>
  <c r="I17" i="106"/>
  <c r="I35" i="106"/>
  <c r="I30" i="106"/>
  <c r="I13" i="106"/>
  <c r="I16" i="106"/>
  <c r="I9" i="106"/>
  <c r="I37" i="106"/>
  <c r="I32" i="106"/>
  <c r="I21" i="106"/>
  <c r="I15" i="106"/>
  <c r="I27" i="106"/>
  <c r="I23" i="106"/>
  <c r="I20" i="106"/>
  <c r="I18" i="106"/>
  <c r="I14" i="106"/>
  <c r="I12" i="106"/>
  <c r="I25" i="106"/>
  <c r="I24" i="106"/>
  <c r="I22" i="106"/>
  <c r="I10" i="106"/>
  <c r="I11" i="106"/>
  <c r="AM37" i="106"/>
  <c r="AP10" i="106"/>
  <c r="D13" i="106"/>
  <c r="V9" i="106"/>
  <c r="R9" i="106" s="1"/>
  <c r="AI36" i="106"/>
  <c r="AL76" i="106"/>
  <c r="CF22" i="106"/>
  <c r="CF23" i="106" s="1"/>
  <c r="AN47" i="106"/>
  <c r="AN48" i="106" s="1"/>
  <c r="AN49" i="106" s="1"/>
  <c r="AN50" i="106" s="1"/>
  <c r="AN51" i="106" s="1"/>
  <c r="AN52" i="106" s="1"/>
  <c r="AN53" i="106" s="1"/>
  <c r="AN54" i="106" s="1"/>
  <c r="AN55" i="106" s="1"/>
  <c r="AN56" i="106" s="1"/>
  <c r="AN57" i="106" s="1"/>
  <c r="AN58" i="106" s="1"/>
  <c r="AN59" i="106" s="1"/>
  <c r="AN60" i="106" s="1"/>
  <c r="AN61" i="106" s="1"/>
  <c r="AN62" i="106" s="1"/>
  <c r="AN63" i="106" s="1"/>
  <c r="AN64" i="106" s="1"/>
  <c r="AN65" i="106" s="1"/>
  <c r="AN66" i="106" s="1"/>
  <c r="AN67" i="106" s="1"/>
  <c r="AN68" i="106" s="1"/>
  <c r="AN69" i="106" s="1"/>
  <c r="AN70" i="106" s="1"/>
  <c r="AN71" i="106"/>
  <c r="AN72" i="106" s="1"/>
  <c r="AN73" i="106" s="1"/>
  <c r="AN74" i="106" s="1"/>
  <c r="AN75" i="106" s="1"/>
  <c r="AN76" i="106" s="1"/>
  <c r="AN77" i="106" s="1"/>
  <c r="AN78" i="106" s="1"/>
  <c r="AN79" i="106" s="1"/>
  <c r="AN80" i="106" s="1"/>
  <c r="AN81" i="106" s="1"/>
  <c r="AN82" i="106" s="1"/>
  <c r="AN83" i="106" s="1"/>
  <c r="AN84" i="106" s="1"/>
  <c r="AN85" i="106" s="1"/>
  <c r="AN86" i="106" s="1"/>
  <c r="AN87" i="106" s="1"/>
  <c r="AD54" i="106"/>
  <c r="Y43" i="106"/>
  <c r="Y42" i="106"/>
  <c r="AL85" i="106" s="1"/>
  <c r="AL82" i="106"/>
  <c r="AL78" i="106"/>
  <c r="AL84" i="106"/>
  <c r="AL81" i="106"/>
  <c r="AL80" i="106"/>
  <c r="AL73" i="106"/>
  <c r="AL65" i="106"/>
  <c r="AL64" i="106"/>
  <c r="AL50" i="106"/>
  <c r="AL63" i="106"/>
  <c r="AL62" i="106"/>
  <c r="AL74" i="106"/>
  <c r="AL72" i="106"/>
  <c r="AL71" i="106"/>
  <c r="AL70" i="106"/>
  <c r="AL75" i="106"/>
  <c r="AL59" i="106"/>
  <c r="AL58" i="106"/>
  <c r="AL57" i="106"/>
  <c r="AL56" i="106"/>
  <c r="AL55" i="106"/>
  <c r="AL53" i="106"/>
  <c r="AL66" i="106"/>
  <c r="AL67" i="106"/>
  <c r="AL68" i="106"/>
  <c r="AL52" i="106"/>
  <c r="AL148" i="106"/>
  <c r="BL54" i="106"/>
  <c r="W44" i="106"/>
  <c r="AG40" i="106"/>
  <c r="AG37" i="106"/>
  <c r="AJ66" i="106"/>
  <c r="AR107" i="106"/>
  <c r="AR101" i="106"/>
  <c r="AR99" i="106"/>
  <c r="AR97" i="106"/>
  <c r="AR102" i="106"/>
  <c r="AR100" i="106"/>
  <c r="AR104" i="106"/>
  <c r="AR89" i="106"/>
  <c r="AR95" i="106"/>
  <c r="AR93" i="106"/>
  <c r="AR85" i="106"/>
  <c r="AR74" i="106"/>
  <c r="AR98" i="106"/>
  <c r="AR96" i="106"/>
  <c r="AR77" i="106"/>
  <c r="AR108" i="106"/>
  <c r="AR87" i="106"/>
  <c r="AR86" i="106"/>
  <c r="AR83" i="106"/>
  <c r="AR67" i="106"/>
  <c r="AR62" i="106"/>
  <c r="AR80" i="106"/>
  <c r="AR66" i="106"/>
  <c r="AR64" i="106"/>
  <c r="AF57" i="106"/>
  <c r="AF56" i="106" s="1"/>
  <c r="AR65" i="106"/>
  <c r="AR57" i="106"/>
  <c r="AR82" i="106"/>
  <c r="AR61" i="106"/>
  <c r="AR60" i="106"/>
  <c r="AR31" i="106"/>
  <c r="AR75" i="106"/>
  <c r="AR73" i="106"/>
  <c r="AR45" i="106"/>
  <c r="AR39" i="106"/>
  <c r="AR55" i="106"/>
  <c r="AR44" i="106"/>
  <c r="AR69" i="106"/>
  <c r="AR52" i="106"/>
  <c r="AR51" i="106"/>
  <c r="AR46" i="106"/>
  <c r="AR43" i="106"/>
  <c r="AR40" i="106"/>
  <c r="AR36" i="106"/>
  <c r="AR34" i="106"/>
  <c r="AR50" i="106"/>
  <c r="AR42" i="106"/>
  <c r="AR41" i="106"/>
  <c r="AR20" i="106"/>
  <c r="AE13" i="106"/>
  <c r="AR30" i="106"/>
  <c r="AR29" i="106"/>
  <c r="AR25" i="106"/>
  <c r="AR22" i="106"/>
  <c r="AR19" i="106"/>
  <c r="AR17" i="106"/>
  <c r="AR10" i="106"/>
  <c r="AR35" i="106"/>
  <c r="AR12" i="106"/>
  <c r="AR28" i="106"/>
  <c r="AR21" i="106"/>
  <c r="AR16" i="106"/>
  <c r="AE14" i="106"/>
  <c r="AR11" i="106"/>
  <c r="AR26" i="106"/>
  <c r="AR13" i="106"/>
  <c r="AL86" i="106"/>
  <c r="Y44" i="106"/>
  <c r="AL87" i="106" s="1"/>
  <c r="AP11" i="106"/>
  <c r="AQ10" i="106"/>
  <c r="H9" i="106"/>
  <c r="BJ9" i="106"/>
  <c r="AQ9" i="106"/>
  <c r="H10" i="106"/>
  <c r="BJ10" i="106" s="1"/>
  <c r="BL56" i="106"/>
  <c r="G12" i="106"/>
  <c r="V11" i="106"/>
  <c r="R11" i="106" s="1"/>
  <c r="U12" i="106"/>
  <c r="U13" i="106" s="1"/>
  <c r="U14" i="106" s="1"/>
  <c r="AG57" i="106"/>
  <c r="AG56" i="106"/>
  <c r="AG55" i="106"/>
  <c r="AF55" i="106"/>
  <c r="AG54" i="106"/>
  <c r="V12" i="106"/>
  <c r="R12" i="106" s="1"/>
  <c r="Y45" i="106"/>
  <c r="AL88" i="106" s="1"/>
  <c r="BK114" i="105"/>
  <c r="BJ114" i="105"/>
  <c r="BK113" i="105"/>
  <c r="BJ113" i="105"/>
  <c r="BK112" i="105"/>
  <c r="BJ112" i="105"/>
  <c r="BK111" i="105"/>
  <c r="BJ111" i="105"/>
  <c r="BK110" i="105"/>
  <c r="BJ110" i="105"/>
  <c r="BJ109" i="105"/>
  <c r="AI109" i="105"/>
  <c r="AJ109" i="105" s="1"/>
  <c r="AH109" i="105"/>
  <c r="AG109" i="105"/>
  <c r="AF109" i="105"/>
  <c r="AE109" i="105"/>
  <c r="O109" i="105"/>
  <c r="AE82" i="105"/>
  <c r="AI79" i="105"/>
  <c r="AI65" i="105" s="1"/>
  <c r="AI66" i="105" s="1"/>
  <c r="AJ66" i="105" s="1"/>
  <c r="AH79" i="105"/>
  <c r="AH65" i="105" s="1"/>
  <c r="AH66" i="105" s="1"/>
  <c r="AG79" i="105"/>
  <c r="AF79" i="105"/>
  <c r="AF65" i="105"/>
  <c r="AF66" i="105" s="1"/>
  <c r="AE79" i="105"/>
  <c r="AD79" i="105"/>
  <c r="AD65" i="105" s="1"/>
  <c r="AD66" i="105" s="1"/>
  <c r="AC79" i="105"/>
  <c r="AC65" i="105" s="1"/>
  <c r="AC66" i="105" s="1"/>
  <c r="AI77" i="105"/>
  <c r="AH77" i="105"/>
  <c r="AG77" i="105"/>
  <c r="AF77" i="105"/>
  <c r="AE77" i="105"/>
  <c r="AC77" i="105"/>
  <c r="AE65" i="105"/>
  <c r="AE66" i="105" s="1"/>
  <c r="AD57" i="105"/>
  <c r="AC57" i="105"/>
  <c r="H8" i="105"/>
  <c r="AD54" i="105"/>
  <c r="AE50" i="105"/>
  <c r="AC49" i="105"/>
  <c r="AC48" i="105"/>
  <c r="Y43" i="105"/>
  <c r="Y44" i="105"/>
  <c r="X43" i="105"/>
  <c r="Y42" i="105"/>
  <c r="AE41" i="105"/>
  <c r="AD41" i="105"/>
  <c r="AC41" i="105"/>
  <c r="AB41" i="105"/>
  <c r="AA41" i="105"/>
  <c r="Z41" i="105"/>
  <c r="Y41" i="105"/>
  <c r="X41" i="105"/>
  <c r="W41" i="105"/>
  <c r="AE40" i="105"/>
  <c r="AD40" i="105"/>
  <c r="AC40" i="105"/>
  <c r="AB40" i="105"/>
  <c r="AA40" i="105"/>
  <c r="Z40" i="105"/>
  <c r="Y40" i="105"/>
  <c r="X40" i="105"/>
  <c r="W40" i="105"/>
  <c r="AE38" i="105"/>
  <c r="AD38" i="105"/>
  <c r="AC38" i="105"/>
  <c r="AH36" i="105" s="1"/>
  <c r="AB38" i="105"/>
  <c r="AA38" i="105"/>
  <c r="Z38" i="105"/>
  <c r="Y38" i="105"/>
  <c r="X38" i="105"/>
  <c r="W38" i="105"/>
  <c r="AE37" i="105"/>
  <c r="AD37" i="105"/>
  <c r="AC37" i="105"/>
  <c r="AH35" i="105" s="1"/>
  <c r="AL35" i="105" s="1"/>
  <c r="AB37" i="105"/>
  <c r="AA37" i="105"/>
  <c r="Z37" i="105"/>
  <c r="Y37" i="105"/>
  <c r="X37" i="105"/>
  <c r="W37" i="105"/>
  <c r="AG36" i="105"/>
  <c r="AG40" i="105" s="1"/>
  <c r="AB34" i="105"/>
  <c r="W17" i="105"/>
  <c r="AC31" i="105"/>
  <c r="AZ20" i="105"/>
  <c r="AZ19" i="105"/>
  <c r="C19" i="105"/>
  <c r="AZ18" i="105"/>
  <c r="AZ17" i="105"/>
  <c r="AA17" i="105"/>
  <c r="Z17" i="105"/>
  <c r="Y17" i="105"/>
  <c r="AL61" i="105" s="1"/>
  <c r="X17" i="105"/>
  <c r="AC32" i="105"/>
  <c r="D17" i="105"/>
  <c r="D18" i="105" s="1"/>
  <c r="D29" i="105" s="1"/>
  <c r="C17" i="105"/>
  <c r="C18" i="105" s="1"/>
  <c r="AZ16" i="105"/>
  <c r="AA16" i="105"/>
  <c r="Z16" i="105"/>
  <c r="Y16" i="105"/>
  <c r="X16" i="105"/>
  <c r="W16" i="105"/>
  <c r="AZ15" i="105"/>
  <c r="AD15" i="105"/>
  <c r="AZ14" i="105"/>
  <c r="D14" i="105"/>
  <c r="AZ13" i="105"/>
  <c r="AD13" i="105"/>
  <c r="C13" i="105"/>
  <c r="AZ12" i="105"/>
  <c r="AD12" i="105"/>
  <c r="D12" i="105"/>
  <c r="AZ11" i="105"/>
  <c r="W11" i="105"/>
  <c r="G9" i="105"/>
  <c r="G10" i="105"/>
  <c r="G11" i="105" s="1"/>
  <c r="D11" i="105"/>
  <c r="D13" i="105" s="1"/>
  <c r="BH9" i="105"/>
  <c r="BH10" i="105" s="1"/>
  <c r="AZ10" i="105"/>
  <c r="AD10" i="105"/>
  <c r="AZ9" i="105"/>
  <c r="AP9" i="105"/>
  <c r="AP10" i="105" s="1"/>
  <c r="AD9" i="105"/>
  <c r="U9" i="105"/>
  <c r="V9" i="105" s="1"/>
  <c r="AQ8" i="105"/>
  <c r="AD8" i="105"/>
  <c r="D8" i="105"/>
  <c r="D27" i="105" s="1"/>
  <c r="E27" i="105" s="1"/>
  <c r="G3" i="105"/>
  <c r="AL1" i="105"/>
  <c r="AG37" i="105"/>
  <c r="AG38" i="105"/>
  <c r="BK8" i="105"/>
  <c r="AG39" i="105"/>
  <c r="AG65" i="105"/>
  <c r="AB48" i="105"/>
  <c r="AN46" i="105"/>
  <c r="AN47" i="105"/>
  <c r="AN48" i="105" s="1"/>
  <c r="AN49" i="105" s="1"/>
  <c r="AN50" i="105" s="1"/>
  <c r="AN51" i="105" s="1"/>
  <c r="AN52" i="105" s="1"/>
  <c r="AN53" i="105" s="1"/>
  <c r="AN54" i="105" s="1"/>
  <c r="AN55" i="105" s="1"/>
  <c r="AN56" i="105" s="1"/>
  <c r="AN57" i="105" s="1"/>
  <c r="AN58" i="105" s="1"/>
  <c r="AN59" i="105" s="1"/>
  <c r="AN60" i="105" s="1"/>
  <c r="AN61" i="105" s="1"/>
  <c r="AN62" i="105" s="1"/>
  <c r="AN63" i="105" s="1"/>
  <c r="AN64" i="105" s="1"/>
  <c r="AN65" i="105" s="1"/>
  <c r="AN66" i="105" s="1"/>
  <c r="AN67" i="105" s="1"/>
  <c r="AN68" i="105" s="1"/>
  <c r="AN69" i="105" s="1"/>
  <c r="AN70" i="105" s="1"/>
  <c r="AN71" i="105" s="1"/>
  <c r="AN72" i="105" s="1"/>
  <c r="AN73" i="105" s="1"/>
  <c r="AN74" i="105" s="1"/>
  <c r="AN75" i="105" s="1"/>
  <c r="AN76" i="105" s="1"/>
  <c r="AN77" i="105" s="1"/>
  <c r="AN78" i="105" s="1"/>
  <c r="AN79" i="105" s="1"/>
  <c r="AN80" i="105" s="1"/>
  <c r="AN81" i="105" s="1"/>
  <c r="AN82" i="105" s="1"/>
  <c r="AN83" i="105" s="1"/>
  <c r="AN84" i="105" s="1"/>
  <c r="AN85" i="105" s="1"/>
  <c r="AN86" i="105" s="1"/>
  <c r="AN87" i="105" s="1"/>
  <c r="W44" i="105"/>
  <c r="BL54" i="105"/>
  <c r="AM47" i="105"/>
  <c r="AM36" i="105"/>
  <c r="AM37" i="105" s="1"/>
  <c r="AE9" i="105"/>
  <c r="AL75" i="105"/>
  <c r="AL82" i="105"/>
  <c r="AL84" i="105"/>
  <c r="AL81" i="105"/>
  <c r="AL77" i="105"/>
  <c r="AL74" i="105"/>
  <c r="AL72" i="105"/>
  <c r="AL80" i="105"/>
  <c r="AL73" i="105"/>
  <c r="AL70" i="105"/>
  <c r="AL69" i="105"/>
  <c r="AL68" i="105"/>
  <c r="AL78" i="105"/>
  <c r="AL71" i="105"/>
  <c r="AL64" i="105"/>
  <c r="AL62" i="105"/>
  <c r="AL58" i="105"/>
  <c r="AL55" i="105"/>
  <c r="AL51" i="105"/>
  <c r="AL83" i="105"/>
  <c r="AL79" i="105"/>
  <c r="AL67" i="105"/>
  <c r="AL66" i="105"/>
  <c r="AL53" i="105"/>
  <c r="AL52" i="105"/>
  <c r="AL50" i="105"/>
  <c r="AL48" i="105"/>
  <c r="AL59" i="105"/>
  <c r="AL57" i="105"/>
  <c r="AL56" i="105"/>
  <c r="AL54" i="105"/>
  <c r="AL49" i="105"/>
  <c r="I9" i="105"/>
  <c r="AL65" i="105"/>
  <c r="AL63" i="105"/>
  <c r="H9" i="105"/>
  <c r="BJ9" i="105" s="1"/>
  <c r="AE15" i="105"/>
  <c r="A24" i="105"/>
  <c r="AL87" i="105"/>
  <c r="Y45" i="105"/>
  <c r="AL85" i="105"/>
  <c r="AL86" i="105"/>
  <c r="BJ8" i="105"/>
  <c r="BJ7" i="105" s="1"/>
  <c r="AQ9" i="105"/>
  <c r="H10" i="105"/>
  <c r="BJ10" i="105"/>
  <c r="H11" i="105"/>
  <c r="BJ11" i="105" s="1"/>
  <c r="AL60" i="105"/>
  <c r="AG66" i="105"/>
  <c r="AB49" i="105"/>
  <c r="D25" i="105"/>
  <c r="AM38" i="105"/>
  <c r="AM39" i="105"/>
  <c r="AL88" i="105"/>
  <c r="Y46" i="105"/>
  <c r="AL148" i="105"/>
  <c r="AL89" i="105"/>
  <c r="Y47" i="105"/>
  <c r="AL90" i="105"/>
  <c r="Y48" i="105"/>
  <c r="AL91" i="105" s="1"/>
  <c r="Y49" i="105"/>
  <c r="G3" i="94"/>
  <c r="C7" i="103"/>
  <c r="Y41" i="103" s="1"/>
  <c r="C11" i="103"/>
  <c r="C10" i="103"/>
  <c r="AB77" i="103" s="1"/>
  <c r="C9" i="103"/>
  <c r="AA58" i="103" s="1"/>
  <c r="BA115" i="103"/>
  <c r="BA114" i="103"/>
  <c r="BA113" i="103"/>
  <c r="BA112" i="103"/>
  <c r="BA111" i="103"/>
  <c r="AH80" i="103"/>
  <c r="AH69" i="103"/>
  <c r="W51" i="103"/>
  <c r="W52" i="103" s="1"/>
  <c r="W53" i="103" s="1"/>
  <c r="W54" i="103"/>
  <c r="W55" i="103" s="1"/>
  <c r="W56" i="103" s="1"/>
  <c r="W57" i="103" s="1"/>
  <c r="W58" i="103" s="1"/>
  <c r="W59" i="103" s="1"/>
  <c r="W60" i="103" s="1"/>
  <c r="W61" i="103" s="1"/>
  <c r="W62" i="103" s="1"/>
  <c r="W63" i="103" s="1"/>
  <c r="W64" i="103"/>
  <c r="W65" i="103" s="1"/>
  <c r="W66" i="103" s="1"/>
  <c r="W67" i="103" s="1"/>
  <c r="W68" i="103" s="1"/>
  <c r="W69" i="103" s="1"/>
  <c r="W70" i="103" s="1"/>
  <c r="W71" i="103" s="1"/>
  <c r="W72" i="103" s="1"/>
  <c r="W73" i="103" s="1"/>
  <c r="W74" i="103" s="1"/>
  <c r="W75" i="103" s="1"/>
  <c r="W76" i="103" s="1"/>
  <c r="W77" i="103" s="1"/>
  <c r="W78" i="103" s="1"/>
  <c r="W79" i="103" s="1"/>
  <c r="W80" i="103" s="1"/>
  <c r="W81" i="103" s="1"/>
  <c r="W82" i="103" s="1"/>
  <c r="W83" i="103" s="1"/>
  <c r="W84" i="103" s="1"/>
  <c r="W85" i="103" s="1"/>
  <c r="W86" i="103" s="1"/>
  <c r="W87" i="103" s="1"/>
  <c r="W88" i="103" s="1"/>
  <c r="W89" i="103" s="1"/>
  <c r="W90" i="103" s="1"/>
  <c r="W91" i="103" s="1"/>
  <c r="W92" i="103" s="1"/>
  <c r="W93" i="103" s="1"/>
  <c r="W94" i="103" s="1"/>
  <c r="W95" i="103" s="1"/>
  <c r="W96" i="103" s="1"/>
  <c r="W97" i="103" s="1"/>
  <c r="W98" i="103" s="1"/>
  <c r="W99" i="103" s="1"/>
  <c r="W100" i="103" s="1"/>
  <c r="W101" i="103" s="1"/>
  <c r="W102" i="103" s="1"/>
  <c r="W103" i="103" s="1"/>
  <c r="W104" i="103" s="1"/>
  <c r="W105" i="103" s="1"/>
  <c r="W106" i="103" s="1"/>
  <c r="W107" i="103" s="1"/>
  <c r="W108" i="103" s="1"/>
  <c r="W109" i="103" s="1"/>
  <c r="W110" i="103" s="1"/>
  <c r="W111" i="103" s="1"/>
  <c r="W112" i="103" s="1"/>
  <c r="W113" i="103" s="1"/>
  <c r="W114" i="103" s="1"/>
  <c r="W115" i="103" s="1"/>
  <c r="W116" i="103" s="1"/>
  <c r="W117" i="103" s="1"/>
  <c r="W118" i="103" s="1"/>
  <c r="W119" i="103" s="1"/>
  <c r="W120" i="103" s="1"/>
  <c r="W121" i="103" s="1"/>
  <c r="W122" i="103" s="1"/>
  <c r="W123" i="103" s="1"/>
  <c r="W124" i="103" s="1"/>
  <c r="W125" i="103" s="1"/>
  <c r="W126" i="103" s="1"/>
  <c r="W127" i="103" s="1"/>
  <c r="W128" i="103" s="1"/>
  <c r="W129" i="103" s="1"/>
  <c r="W130" i="103" s="1"/>
  <c r="W131" i="103" s="1"/>
  <c r="W132" i="103" s="1"/>
  <c r="W133" i="103" s="1"/>
  <c r="W134" i="103" s="1"/>
  <c r="W135" i="103" s="1"/>
  <c r="W136" i="103" s="1"/>
  <c r="W137" i="103" s="1"/>
  <c r="W138" i="103" s="1"/>
  <c r="W139" i="103" s="1"/>
  <c r="W140" i="103" s="1"/>
  <c r="W141" i="103" s="1"/>
  <c r="W142" i="103" s="1"/>
  <c r="W143" i="103" s="1"/>
  <c r="W144" i="103" s="1"/>
  <c r="W145" i="103" s="1"/>
  <c r="W146" i="103" s="1"/>
  <c r="W147" i="103" s="1"/>
  <c r="W148" i="103" s="1"/>
  <c r="W149" i="103" s="1"/>
  <c r="W150" i="103" s="1"/>
  <c r="W151" i="103" s="1"/>
  <c r="W152" i="103" s="1"/>
  <c r="W153" i="103" s="1"/>
  <c r="W154" i="103" s="1"/>
  <c r="W155" i="103" s="1"/>
  <c r="W156" i="103" s="1"/>
  <c r="W157" i="103" s="1"/>
  <c r="W158" i="103" s="1"/>
  <c r="W159" i="103" s="1"/>
  <c r="W160" i="103" s="1"/>
  <c r="W161" i="103" s="1"/>
  <c r="W162" i="103" s="1"/>
  <c r="W163" i="103" s="1"/>
  <c r="W164" i="103" s="1"/>
  <c r="W165" i="103" s="1"/>
  <c r="W166" i="103" s="1"/>
  <c r="W167" i="103" s="1"/>
  <c r="W168" i="103" s="1"/>
  <c r="W169" i="103" s="1"/>
  <c r="W170" i="103" s="1"/>
  <c r="W171" i="103" s="1"/>
  <c r="W172" i="103" s="1"/>
  <c r="W173" i="103" s="1"/>
  <c r="W174" i="103" s="1"/>
  <c r="W175" i="103" s="1"/>
  <c r="W176" i="103" s="1"/>
  <c r="W177" i="103" s="1"/>
  <c r="W178" i="103" s="1"/>
  <c r="W179" i="103" s="1"/>
  <c r="W180" i="103" s="1"/>
  <c r="AJ47" i="103"/>
  <c r="AI47" i="103"/>
  <c r="T47" i="103"/>
  <c r="AJ46" i="103"/>
  <c r="D23" i="103"/>
  <c r="D18" i="103"/>
  <c r="X11" i="103"/>
  <c r="W11" i="103"/>
  <c r="X10" i="103"/>
  <c r="W10" i="103"/>
  <c r="AM9" i="103"/>
  <c r="AM10" i="103" s="1"/>
  <c r="AM11" i="103" s="1"/>
  <c r="AM12" i="103" s="1"/>
  <c r="X9" i="103"/>
  <c r="W9" i="103"/>
  <c r="M9" i="103"/>
  <c r="E9" i="103"/>
  <c r="E10" i="103" s="1"/>
  <c r="E11" i="103" s="1"/>
  <c r="E12" i="103" s="1"/>
  <c r="J12" i="103" s="1"/>
  <c r="BC8" i="103"/>
  <c r="AN8" i="103"/>
  <c r="X8" i="103"/>
  <c r="W8" i="103"/>
  <c r="F8" i="103"/>
  <c r="H2" i="103" s="1"/>
  <c r="X7" i="103"/>
  <c r="W7" i="103"/>
  <c r="V7" i="103"/>
  <c r="U7" i="103"/>
  <c r="X6" i="103"/>
  <c r="W6" i="103"/>
  <c r="V6" i="103"/>
  <c r="U6" i="103"/>
  <c r="X5" i="103"/>
  <c r="W5" i="103"/>
  <c r="V5" i="103"/>
  <c r="U5" i="103"/>
  <c r="AM3" i="103"/>
  <c r="E3" i="103"/>
  <c r="AI1" i="103"/>
  <c r="AB73" i="103"/>
  <c r="D10" i="103"/>
  <c r="AB75" i="103"/>
  <c r="AB51" i="103"/>
  <c r="D9" i="103"/>
  <c r="E13" i="103"/>
  <c r="E14" i="103" s="1"/>
  <c r="J14" i="103" s="1"/>
  <c r="AM13" i="103"/>
  <c r="AM14" i="103"/>
  <c r="AM15" i="103" s="1"/>
  <c r="AM16" i="103" s="1"/>
  <c r="AM17" i="103" s="1"/>
  <c r="AM18" i="103" s="1"/>
  <c r="AM19" i="103" s="1"/>
  <c r="AM20" i="103" s="1"/>
  <c r="AM21" i="103" s="1"/>
  <c r="AM22" i="103" s="1"/>
  <c r="AM23" i="103" s="1"/>
  <c r="AI109" i="100"/>
  <c r="AH109" i="100"/>
  <c r="AG109" i="100"/>
  <c r="AJ109" i="100"/>
  <c r="AF109" i="100"/>
  <c r="AE109" i="100"/>
  <c r="C15" i="100"/>
  <c r="AM24" i="103"/>
  <c r="AM25" i="103" s="1"/>
  <c r="AM26" i="103" s="1"/>
  <c r="AM27" i="103" s="1"/>
  <c r="AM28" i="103" s="1"/>
  <c r="AM29" i="103" s="1"/>
  <c r="AM30" i="103" s="1"/>
  <c r="AM31" i="103" s="1"/>
  <c r="AM32" i="103" s="1"/>
  <c r="AM33" i="103" s="1"/>
  <c r="AM34" i="103" s="1"/>
  <c r="AM35" i="103" s="1"/>
  <c r="AM36" i="103" s="1"/>
  <c r="AM37" i="103" s="1"/>
  <c r="AM38" i="103" s="1"/>
  <c r="AM39" i="103" s="1"/>
  <c r="AM40" i="103" s="1"/>
  <c r="AM41" i="103" s="1"/>
  <c r="AM42" i="103" s="1"/>
  <c r="AM43" i="103" s="1"/>
  <c r="AM44" i="103" s="1"/>
  <c r="AM45" i="103" s="1"/>
  <c r="AM46" i="103" s="1"/>
  <c r="AM47" i="103" s="1"/>
  <c r="AM48" i="103" s="1"/>
  <c r="AM49" i="103" s="1"/>
  <c r="AM50" i="103" s="1"/>
  <c r="AM51" i="103" s="1"/>
  <c r="AM52" i="103" s="1"/>
  <c r="AM53" i="103" s="1"/>
  <c r="AM54" i="103" s="1"/>
  <c r="AM55" i="103" s="1"/>
  <c r="AM56" i="103" s="1"/>
  <c r="AM57" i="103" s="1"/>
  <c r="AM58" i="103" s="1"/>
  <c r="AM59" i="103" s="1"/>
  <c r="AM60" i="103" s="1"/>
  <c r="AM61" i="103" s="1"/>
  <c r="AM62" i="103" s="1"/>
  <c r="AM63" i="103" s="1"/>
  <c r="AM64" i="103" s="1"/>
  <c r="AM65" i="103" s="1"/>
  <c r="AM66" i="103" s="1"/>
  <c r="AM67" i="103" s="1"/>
  <c r="AM68" i="103" s="1"/>
  <c r="AM69" i="103" s="1"/>
  <c r="AM70" i="103" s="1"/>
  <c r="AM71" i="103" s="1"/>
  <c r="AM72" i="103" s="1"/>
  <c r="AM73" i="103" s="1"/>
  <c r="AM74" i="103" s="1"/>
  <c r="AM75" i="103" s="1"/>
  <c r="AM76" i="103" s="1"/>
  <c r="AM77" i="103" s="1"/>
  <c r="AM78" i="103" s="1"/>
  <c r="AM79" i="103" s="1"/>
  <c r="AM80" i="103" s="1"/>
  <c r="AM81" i="103" s="1"/>
  <c r="AM82" i="103" s="1"/>
  <c r="AM83" i="103" s="1"/>
  <c r="AM84" i="103" s="1"/>
  <c r="AM85" i="103" s="1"/>
  <c r="AM86" i="103" s="1"/>
  <c r="AM87" i="103" s="1"/>
  <c r="AM88" i="103" s="1"/>
  <c r="AM89" i="103" s="1"/>
  <c r="AM90" i="103" s="1"/>
  <c r="AM91" i="103" s="1"/>
  <c r="AM92" i="103" s="1"/>
  <c r="AM93" i="103" s="1"/>
  <c r="AM94" i="103" s="1"/>
  <c r="AM95" i="103" s="1"/>
  <c r="AM96" i="103" s="1"/>
  <c r="AM97" i="103" s="1"/>
  <c r="AM98" i="103" s="1"/>
  <c r="AM99" i="103" s="1"/>
  <c r="AM100" i="103" s="1"/>
  <c r="AM101" i="103" s="1"/>
  <c r="AM102" i="103" s="1"/>
  <c r="AM103" i="103" s="1"/>
  <c r="AM104" i="103" s="1"/>
  <c r="AM105" i="103" s="1"/>
  <c r="AM106" i="103" s="1"/>
  <c r="AM107" i="103" s="1"/>
  <c r="AM108" i="103" s="1"/>
  <c r="AM109" i="103" s="1"/>
  <c r="AM110" i="103" s="1"/>
  <c r="AM111" i="103" s="1"/>
  <c r="AM112" i="103" s="1"/>
  <c r="AM113" i="103" s="1"/>
  <c r="AM114" i="103" s="1"/>
  <c r="AM115" i="103" s="1"/>
  <c r="AM116" i="103" s="1"/>
  <c r="AM117" i="103" s="1"/>
  <c r="AM118" i="103" s="1"/>
  <c r="AM119" i="103" s="1"/>
  <c r="AM120" i="103" s="1"/>
  <c r="AM121" i="103" s="1"/>
  <c r="AM122" i="103" s="1"/>
  <c r="AM123" i="103" s="1"/>
  <c r="AM124" i="103" s="1"/>
  <c r="AM125" i="103" s="1"/>
  <c r="AM126" i="103" s="1"/>
  <c r="AM127" i="103" s="1"/>
  <c r="AM128" i="103" s="1"/>
  <c r="AM129" i="103" s="1"/>
  <c r="BK114" i="100"/>
  <c r="BJ114" i="100"/>
  <c r="BK113" i="100"/>
  <c r="BJ113" i="100"/>
  <c r="BK112" i="100"/>
  <c r="BJ112" i="100"/>
  <c r="BK111" i="100"/>
  <c r="BJ111" i="100"/>
  <c r="BK110" i="100"/>
  <c r="BJ110" i="100"/>
  <c r="BJ109" i="100"/>
  <c r="O109" i="100"/>
  <c r="AE82" i="100"/>
  <c r="AI79" i="100"/>
  <c r="AI65" i="100"/>
  <c r="AI66" i="100" s="1"/>
  <c r="AJ66" i="100" s="1"/>
  <c r="AH79" i="100"/>
  <c r="AH65" i="100" s="1"/>
  <c r="AH66" i="100" s="1"/>
  <c r="AG79" i="100"/>
  <c r="D27" i="100" s="1"/>
  <c r="E27" i="100" s="1"/>
  <c r="AF79" i="100"/>
  <c r="AF65" i="100" s="1"/>
  <c r="AF66" i="100" s="1"/>
  <c r="AE79" i="100"/>
  <c r="AE65" i="100" s="1"/>
  <c r="AE66" i="100" s="1"/>
  <c r="AD79" i="100"/>
  <c r="AD65" i="100"/>
  <c r="AD66" i="100" s="1"/>
  <c r="AC79" i="100"/>
  <c r="AI77" i="100"/>
  <c r="AH77" i="100"/>
  <c r="AG77" i="100"/>
  <c r="AF77" i="100"/>
  <c r="AE77" i="100"/>
  <c r="AC77" i="100"/>
  <c r="AC65" i="100"/>
  <c r="AC66" i="100" s="1"/>
  <c r="AD57" i="100"/>
  <c r="AC57" i="100"/>
  <c r="AE50" i="100"/>
  <c r="AC49" i="100"/>
  <c r="AC48" i="100"/>
  <c r="X43" i="100"/>
  <c r="AE41" i="100"/>
  <c r="D19" i="87"/>
  <c r="AD41" i="100"/>
  <c r="AC41" i="100"/>
  <c r="AB41" i="100"/>
  <c r="AA41" i="100"/>
  <c r="Z41" i="100"/>
  <c r="Y41" i="100"/>
  <c r="X41" i="100"/>
  <c r="W41" i="100"/>
  <c r="AE40" i="100"/>
  <c r="AD40" i="100"/>
  <c r="AC40" i="100"/>
  <c r="AB40" i="100"/>
  <c r="AA40" i="100"/>
  <c r="Z40" i="100"/>
  <c r="Y40" i="100"/>
  <c r="X40" i="100"/>
  <c r="W40" i="100"/>
  <c r="AE38" i="100"/>
  <c r="AD38" i="100"/>
  <c r="AC38" i="100"/>
  <c r="AB38" i="100"/>
  <c r="AA38" i="100"/>
  <c r="Z38" i="100"/>
  <c r="Y38" i="100"/>
  <c r="X38" i="100"/>
  <c r="W38" i="100"/>
  <c r="AE37" i="100"/>
  <c r="AD37" i="100"/>
  <c r="AC37" i="100"/>
  <c r="AB37" i="100"/>
  <c r="AA37" i="100"/>
  <c r="Z37" i="100"/>
  <c r="Y37" i="100"/>
  <c r="X37" i="100"/>
  <c r="W37" i="100"/>
  <c r="AH36" i="100"/>
  <c r="AG36" i="100"/>
  <c r="AG38" i="100" s="1"/>
  <c r="AH35" i="100"/>
  <c r="AB34" i="100"/>
  <c r="AC32" i="100"/>
  <c r="C27" i="100"/>
  <c r="C26" i="100"/>
  <c r="AZ20" i="100"/>
  <c r="AZ19" i="100"/>
  <c r="C19" i="100"/>
  <c r="AZ18" i="100"/>
  <c r="AZ17" i="100"/>
  <c r="AA17" i="100"/>
  <c r="Z17" i="100"/>
  <c r="Y17" i="100"/>
  <c r="X17" i="100"/>
  <c r="W17" i="100"/>
  <c r="AC31" i="100" s="1"/>
  <c r="D17" i="100"/>
  <c r="D18" i="100" s="1"/>
  <c r="D29" i="100" s="1"/>
  <c r="C17" i="100"/>
  <c r="C18" i="100"/>
  <c r="AZ16" i="100"/>
  <c r="AA16" i="100"/>
  <c r="Z16" i="100"/>
  <c r="Y16" i="100"/>
  <c r="AL60" i="100" s="1"/>
  <c r="X16" i="100"/>
  <c r="W16" i="100"/>
  <c r="AZ15" i="100"/>
  <c r="AD15" i="100"/>
  <c r="AZ14" i="100"/>
  <c r="D14" i="100"/>
  <c r="D15" i="100"/>
  <c r="AZ13" i="100"/>
  <c r="AD13" i="100"/>
  <c r="C13" i="100"/>
  <c r="AZ12" i="100"/>
  <c r="AD12" i="100"/>
  <c r="D12" i="100"/>
  <c r="AZ11" i="100"/>
  <c r="W11" i="100"/>
  <c r="AL53" i="100" s="1"/>
  <c r="D11" i="100"/>
  <c r="D13" i="100" s="1"/>
  <c r="AR89" i="100" s="1"/>
  <c r="AZ10" i="100"/>
  <c r="AD10" i="100"/>
  <c r="BH9" i="100"/>
  <c r="AZ9" i="100"/>
  <c r="AP9" i="100"/>
  <c r="AP10" i="100"/>
  <c r="AP11" i="100" s="1"/>
  <c r="AD9" i="100"/>
  <c r="U9" i="100"/>
  <c r="V9" i="100" s="1"/>
  <c r="Q9" i="100" s="1"/>
  <c r="R9" i="100"/>
  <c r="G9" i="100"/>
  <c r="I9" i="100"/>
  <c r="AQ8" i="100"/>
  <c r="AN47" i="100" s="1"/>
  <c r="AN48" i="100" s="1"/>
  <c r="AN49" i="100"/>
  <c r="AN50" i="100" s="1"/>
  <c r="AN51" i="100" s="1"/>
  <c r="AN52" i="100" s="1"/>
  <c r="AN53" i="100" s="1"/>
  <c r="AN54" i="100" s="1"/>
  <c r="AN55" i="100" s="1"/>
  <c r="AN56" i="100" s="1"/>
  <c r="AN57" i="100" s="1"/>
  <c r="AN58" i="100" s="1"/>
  <c r="AN59" i="100" s="1"/>
  <c r="AN60" i="100" s="1"/>
  <c r="AN61" i="100" s="1"/>
  <c r="AN62" i="100" s="1"/>
  <c r="AN63" i="100" s="1"/>
  <c r="AN64" i="100" s="1"/>
  <c r="AN65" i="100" s="1"/>
  <c r="AN66" i="100" s="1"/>
  <c r="AN67" i="100" s="1"/>
  <c r="AN68" i="100" s="1"/>
  <c r="AN69" i="100" s="1"/>
  <c r="AN70" i="100" s="1"/>
  <c r="AN71" i="100" s="1"/>
  <c r="AN72" i="100" s="1"/>
  <c r="AN73" i="100" s="1"/>
  <c r="AN74" i="100" s="1"/>
  <c r="AN75" i="100" s="1"/>
  <c r="AN76" i="100" s="1"/>
  <c r="AN77" i="100" s="1"/>
  <c r="AN78" i="100" s="1"/>
  <c r="AN79" i="100" s="1"/>
  <c r="AN80" i="100" s="1"/>
  <c r="AN81" i="100" s="1"/>
  <c r="AN82" i="100" s="1"/>
  <c r="AN83" i="100" s="1"/>
  <c r="AN84" i="100" s="1"/>
  <c r="AN85" i="100" s="1"/>
  <c r="AN86" i="100" s="1"/>
  <c r="AN87" i="100" s="1"/>
  <c r="AD8" i="100"/>
  <c r="H8" i="100"/>
  <c r="D8" i="100"/>
  <c r="G3" i="100"/>
  <c r="AL1" i="100"/>
  <c r="G10" i="100"/>
  <c r="BL55" i="100" s="1"/>
  <c r="AG40" i="100"/>
  <c r="AG37" i="100"/>
  <c r="AG39" i="100"/>
  <c r="W45" i="100"/>
  <c r="AE8" i="100"/>
  <c r="AE10" i="100"/>
  <c r="AE9" i="100"/>
  <c r="I10" i="100"/>
  <c r="AL82" i="100"/>
  <c r="AL76" i="100"/>
  <c r="AL68" i="100"/>
  <c r="AL56" i="100"/>
  <c r="AL75" i="100"/>
  <c r="AL83" i="100"/>
  <c r="AL79" i="100"/>
  <c r="AL73" i="100"/>
  <c r="AL62" i="100"/>
  <c r="AL55" i="100"/>
  <c r="AL49" i="100"/>
  <c r="AL50" i="100"/>
  <c r="AL51" i="100"/>
  <c r="C23" i="100"/>
  <c r="K8" i="100" s="1"/>
  <c r="A23" i="100"/>
  <c r="A24" i="100"/>
  <c r="AM47" i="100"/>
  <c r="AE12" i="100"/>
  <c r="AE15" i="100"/>
  <c r="D23" i="100"/>
  <c r="BG8" i="100" s="1"/>
  <c r="AR98" i="100"/>
  <c r="AR100" i="100"/>
  <c r="AF57" i="100"/>
  <c r="AR24" i="100"/>
  <c r="AR28" i="100"/>
  <c r="AR13" i="100"/>
  <c r="AR18" i="100"/>
  <c r="AE57" i="100"/>
  <c r="AD56" i="100"/>
  <c r="AC56" i="100" s="1"/>
  <c r="AE56" i="100"/>
  <c r="AD55" i="100" s="1"/>
  <c r="AE54" i="100"/>
  <c r="AE55" i="100"/>
  <c r="S8" i="100"/>
  <c r="X10" i="100"/>
  <c r="W10" i="100"/>
  <c r="AG47" i="100"/>
  <c r="K9" i="100"/>
  <c r="BK9" i="100" s="1"/>
  <c r="X16" i="94"/>
  <c r="AG79" i="94"/>
  <c r="AG65" i="94" s="1"/>
  <c r="AG66" i="94" s="1"/>
  <c r="C29" i="100"/>
  <c r="AG77" i="94"/>
  <c r="AE79" i="94"/>
  <c r="AE65" i="94" s="1"/>
  <c r="AE66" i="94" s="1"/>
  <c r="AF79" i="94"/>
  <c r="AF65" i="94" s="1"/>
  <c r="AF66" i="94" s="1"/>
  <c r="Y17" i="94"/>
  <c r="Z17" i="94"/>
  <c r="AA17" i="94"/>
  <c r="AB17" i="94"/>
  <c r="X17" i="94"/>
  <c r="AD32" i="94" s="1"/>
  <c r="Y16" i="94"/>
  <c r="Z16" i="94"/>
  <c r="AA16" i="94"/>
  <c r="AB16" i="94"/>
  <c r="A24" i="94"/>
  <c r="D14" i="94"/>
  <c r="X11" i="94"/>
  <c r="D17" i="94"/>
  <c r="D18" i="94" s="1"/>
  <c r="D29" i="94" s="1"/>
  <c r="D30" i="94" s="1"/>
  <c r="AD51" i="94" s="1"/>
  <c r="AC47" i="94" s="1"/>
  <c r="U9" i="94"/>
  <c r="V9" i="94" s="1"/>
  <c r="Q9" i="94" s="1"/>
  <c r="AC34" i="94"/>
  <c r="H8" i="94"/>
  <c r="AE54" i="94" s="1"/>
  <c r="AE9" i="94"/>
  <c r="BA9" i="94"/>
  <c r="AR8" i="94"/>
  <c r="AO47" i="94" s="1"/>
  <c r="AO48" i="94" s="1"/>
  <c r="AO49" i="94" s="1"/>
  <c r="AO50" i="94" s="1"/>
  <c r="AO51" i="94" s="1"/>
  <c r="AO52" i="94" s="1"/>
  <c r="AO53" i="94" s="1"/>
  <c r="AO54" i="94" s="1"/>
  <c r="AO55" i="94" s="1"/>
  <c r="AO56" i="94" s="1"/>
  <c r="AO57" i="94" s="1"/>
  <c r="AO58" i="94" s="1"/>
  <c r="AO59" i="94" s="1"/>
  <c r="AO60" i="94" s="1"/>
  <c r="AO61" i="94" s="1"/>
  <c r="AO62" i="94" s="1"/>
  <c r="AO63" i="94" s="1"/>
  <c r="AO64" i="94" s="1"/>
  <c r="AO65" i="94" s="1"/>
  <c r="AO66" i="94" s="1"/>
  <c r="AO67" i="94" s="1"/>
  <c r="AO68" i="94" s="1"/>
  <c r="AO69" i="94" s="1"/>
  <c r="AO70" i="94" s="1"/>
  <c r="AO71" i="94" s="1"/>
  <c r="AO72" i="94" s="1"/>
  <c r="AO73" i="94" s="1"/>
  <c r="AO74" i="94" s="1"/>
  <c r="AO75" i="94" s="1"/>
  <c r="AO76" i="94" s="1"/>
  <c r="AO77" i="94" s="1"/>
  <c r="AO78" i="94" s="1"/>
  <c r="AO79" i="94" s="1"/>
  <c r="AO80" i="94" s="1"/>
  <c r="AO81" i="94" s="1"/>
  <c r="AO82" i="94" s="1"/>
  <c r="AO83" i="94" s="1"/>
  <c r="AO84" i="94" s="1"/>
  <c r="AO85" i="94" s="1"/>
  <c r="AO86" i="94" s="1"/>
  <c r="AO87" i="94" s="1"/>
  <c r="BI9" i="94"/>
  <c r="BJ9" i="94" s="1"/>
  <c r="BB9" i="94" s="1"/>
  <c r="AH36" i="94"/>
  <c r="AH38" i="94" s="1"/>
  <c r="D11" i="94"/>
  <c r="AJ36" i="94" s="1"/>
  <c r="C14" i="59"/>
  <c r="B19" i="87"/>
  <c r="AE41" i="109" s="1"/>
  <c r="X41" i="94"/>
  <c r="X40" i="94"/>
  <c r="X38" i="94"/>
  <c r="X37" i="94"/>
  <c r="BL114" i="94"/>
  <c r="BK114" i="94"/>
  <c r="BL113" i="94"/>
  <c r="BK113" i="94"/>
  <c r="BL112" i="94"/>
  <c r="BK112" i="94"/>
  <c r="BL111" i="94"/>
  <c r="BK111" i="94"/>
  <c r="BL110" i="94"/>
  <c r="BK110" i="94"/>
  <c r="BK109" i="94"/>
  <c r="O109" i="94"/>
  <c r="AF82" i="94"/>
  <c r="AJ79" i="94"/>
  <c r="AJ65" i="94" s="1"/>
  <c r="AJ66" i="94" s="1"/>
  <c r="AI79" i="94"/>
  <c r="AI65" i="94" s="1"/>
  <c r="AI66" i="94" s="1"/>
  <c r="AH79" i="94"/>
  <c r="AH65" i="94" s="1"/>
  <c r="AH66" i="94" s="1"/>
  <c r="AD79" i="94"/>
  <c r="AD65" i="94" s="1"/>
  <c r="AD66" i="94" s="1"/>
  <c r="AJ77" i="94"/>
  <c r="AI77" i="94"/>
  <c r="AH77" i="94"/>
  <c r="AF77" i="94"/>
  <c r="AD77" i="94"/>
  <c r="AE57" i="94"/>
  <c r="AD57" i="94"/>
  <c r="AF50" i="94"/>
  <c r="AD49" i="94"/>
  <c r="AD48" i="94"/>
  <c r="Y43" i="94"/>
  <c r="AF41" i="94"/>
  <c r="AD41" i="94"/>
  <c r="AC41" i="94"/>
  <c r="AB41" i="94"/>
  <c r="AA41" i="94"/>
  <c r="Z41" i="94"/>
  <c r="Y41" i="94"/>
  <c r="AF40" i="94"/>
  <c r="AE40" i="94"/>
  <c r="AD40" i="94"/>
  <c r="AC40" i="94"/>
  <c r="AB40" i="94"/>
  <c r="AA40" i="94"/>
  <c r="Z40" i="94"/>
  <c r="Y40" i="94"/>
  <c r="AF38" i="94"/>
  <c r="AE38" i="94"/>
  <c r="AD38" i="94"/>
  <c r="AC38" i="94"/>
  <c r="AB38" i="94"/>
  <c r="AA38" i="94"/>
  <c r="Z38" i="94"/>
  <c r="Y38" i="94"/>
  <c r="AF37" i="94"/>
  <c r="AE37" i="94"/>
  <c r="AD37" i="94"/>
  <c r="AC37" i="94"/>
  <c r="AB37" i="94"/>
  <c r="AA37" i="94"/>
  <c r="Z37" i="94"/>
  <c r="Y37" i="94"/>
  <c r="BA20" i="94"/>
  <c r="BA19" i="94"/>
  <c r="BA18" i="94"/>
  <c r="BA17" i="94"/>
  <c r="BA16" i="94"/>
  <c r="BA15" i="94"/>
  <c r="AE15" i="94"/>
  <c r="BA14" i="94"/>
  <c r="BA13" i="94"/>
  <c r="AE13" i="94"/>
  <c r="BA12" i="94"/>
  <c r="AE12" i="94"/>
  <c r="BA11" i="94"/>
  <c r="BA10" i="94"/>
  <c r="AE10" i="94"/>
  <c r="AQ9" i="94"/>
  <c r="AQ10" i="94" s="1"/>
  <c r="AE8" i="94"/>
  <c r="AM1" i="94"/>
  <c r="AI36" i="94"/>
  <c r="AI35" i="94"/>
  <c r="AG35" i="94" s="1"/>
  <c r="AN47" i="94"/>
  <c r="AF15" i="94"/>
  <c r="Z43" i="94"/>
  <c r="Z44" i="94" s="1"/>
  <c r="D17" i="86"/>
  <c r="AB41" i="91"/>
  <c r="AB40" i="91"/>
  <c r="AA41" i="91"/>
  <c r="AA40" i="91"/>
  <c r="AA38" i="91"/>
  <c r="AA37" i="91"/>
  <c r="Z41" i="91"/>
  <c r="Z40" i="91"/>
  <c r="Z38" i="91"/>
  <c r="Z37" i="91"/>
  <c r="AH35" i="91"/>
  <c r="BK114" i="91"/>
  <c r="BJ114" i="91"/>
  <c r="BK113" i="91"/>
  <c r="BJ113" i="91"/>
  <c r="BK112" i="91"/>
  <c r="BJ112" i="91"/>
  <c r="BK111" i="91"/>
  <c r="BJ111" i="91"/>
  <c r="BK110" i="91"/>
  <c r="BJ110" i="91"/>
  <c r="BJ109" i="91"/>
  <c r="O109" i="91"/>
  <c r="AE82" i="91"/>
  <c r="AI79" i="91"/>
  <c r="AH79" i="91"/>
  <c r="AG79" i="91"/>
  <c r="AG65" i="91" s="1"/>
  <c r="AG66" i="91" s="1"/>
  <c r="AF79" i="91"/>
  <c r="AF65" i="91"/>
  <c r="AF66" i="91" s="1"/>
  <c r="AE79" i="91"/>
  <c r="AE65" i="91" s="1"/>
  <c r="AE66" i="91" s="1"/>
  <c r="AD79" i="91"/>
  <c r="AC79" i="91"/>
  <c r="AC65" i="91"/>
  <c r="AC66" i="91" s="1"/>
  <c r="AI77" i="91"/>
  <c r="AH77" i="91"/>
  <c r="AG77" i="91"/>
  <c r="AF77" i="91"/>
  <c r="AE77" i="91"/>
  <c r="AC77" i="91"/>
  <c r="AI65" i="91"/>
  <c r="AI66" i="91" s="1"/>
  <c r="AH65" i="91"/>
  <c r="AH66" i="91" s="1"/>
  <c r="AG36" i="91"/>
  <c r="AD57" i="91"/>
  <c r="AC57" i="91"/>
  <c r="AE50" i="91"/>
  <c r="AC49" i="91"/>
  <c r="AC48" i="91"/>
  <c r="D45" i="91"/>
  <c r="D44" i="91"/>
  <c r="X43" i="91"/>
  <c r="D43" i="91"/>
  <c r="D42" i="91"/>
  <c r="AE41" i="91"/>
  <c r="AC41" i="91"/>
  <c r="Y41" i="91"/>
  <c r="X41" i="91"/>
  <c r="W41" i="91"/>
  <c r="AE40" i="91"/>
  <c r="AD40" i="91"/>
  <c r="AC40" i="91"/>
  <c r="Y40" i="91"/>
  <c r="X40" i="91"/>
  <c r="W40" i="91"/>
  <c r="D40" i="91"/>
  <c r="D39" i="91"/>
  <c r="AE38" i="91"/>
  <c r="AD38" i="91"/>
  <c r="AC38" i="91"/>
  <c r="AB38" i="91"/>
  <c r="Y38" i="91"/>
  <c r="X38" i="91"/>
  <c r="W38" i="91"/>
  <c r="D38" i="91"/>
  <c r="AE37" i="91"/>
  <c r="AD37" i="91"/>
  <c r="AC37" i="91"/>
  <c r="AB37" i="91"/>
  <c r="Y37" i="91"/>
  <c r="X37" i="91"/>
  <c r="W37" i="91"/>
  <c r="D37" i="91"/>
  <c r="AH36" i="91"/>
  <c r="AB34" i="91"/>
  <c r="AC32" i="91"/>
  <c r="AC31" i="91"/>
  <c r="AZ20" i="91"/>
  <c r="AZ19" i="91"/>
  <c r="AZ18" i="91"/>
  <c r="AZ17" i="91"/>
  <c r="D17" i="91"/>
  <c r="D18" i="91"/>
  <c r="D30" i="91" s="1"/>
  <c r="AZ16" i="91"/>
  <c r="AZ15" i="91"/>
  <c r="AD15" i="91"/>
  <c r="C15" i="91"/>
  <c r="AZ14" i="91"/>
  <c r="D14" i="91"/>
  <c r="D15" i="91"/>
  <c r="AZ13" i="91"/>
  <c r="AD13" i="91"/>
  <c r="C13" i="91"/>
  <c r="AZ12" i="91"/>
  <c r="AD12" i="91"/>
  <c r="D12" i="91"/>
  <c r="AZ11" i="91"/>
  <c r="D11" i="91"/>
  <c r="AI36" i="91" s="1"/>
  <c r="AZ10" i="91"/>
  <c r="AP9" i="91"/>
  <c r="AP10" i="91" s="1"/>
  <c r="AP11" i="91"/>
  <c r="AP12" i="91" s="1"/>
  <c r="AD10" i="91"/>
  <c r="BH9" i="91"/>
  <c r="AZ9" i="91"/>
  <c r="AD9" i="91"/>
  <c r="W9" i="91"/>
  <c r="AL55" i="91" s="1"/>
  <c r="U9" i="91"/>
  <c r="U10" i="91"/>
  <c r="G9" i="91"/>
  <c r="AQ8" i="91"/>
  <c r="AN47" i="91" s="1"/>
  <c r="AN48" i="91" s="1"/>
  <c r="AN49" i="91" s="1"/>
  <c r="AN50" i="91" s="1"/>
  <c r="AN51" i="91"/>
  <c r="AN52" i="91" s="1"/>
  <c r="AN53" i="91" s="1"/>
  <c r="AN54" i="91" s="1"/>
  <c r="AN55" i="91" s="1"/>
  <c r="AN56" i="91" s="1"/>
  <c r="AN57" i="91" s="1"/>
  <c r="AN58" i="91" s="1"/>
  <c r="AN59" i="91" s="1"/>
  <c r="AN60" i="91" s="1"/>
  <c r="AN61" i="91" s="1"/>
  <c r="AN62" i="91" s="1"/>
  <c r="AN63" i="91" s="1"/>
  <c r="AN64" i="91" s="1"/>
  <c r="AN65" i="91" s="1"/>
  <c r="AN66" i="91" s="1"/>
  <c r="AN67" i="91"/>
  <c r="AN68" i="91" s="1"/>
  <c r="AN69" i="91" s="1"/>
  <c r="AN70" i="91" s="1"/>
  <c r="AN71" i="91" s="1"/>
  <c r="AN72" i="91" s="1"/>
  <c r="AN73" i="91" s="1"/>
  <c r="AN74" i="91" s="1"/>
  <c r="AN75" i="91" s="1"/>
  <c r="AN76" i="91" s="1"/>
  <c r="AN77" i="91" s="1"/>
  <c r="AN78" i="91" s="1"/>
  <c r="AN79" i="91" s="1"/>
  <c r="AN80" i="91" s="1"/>
  <c r="AN81" i="91" s="1"/>
  <c r="AN82" i="91" s="1"/>
  <c r="AN83" i="91" s="1"/>
  <c r="AN84" i="91" s="1"/>
  <c r="AN85" i="91" s="1"/>
  <c r="AN86" i="91" s="1"/>
  <c r="AN87" i="91" s="1"/>
  <c r="AD8" i="91"/>
  <c r="H8" i="91"/>
  <c r="D8" i="91"/>
  <c r="AE10" i="91"/>
  <c r="A22" i="91"/>
  <c r="AA7" i="91"/>
  <c r="Z7" i="91"/>
  <c r="AL51" i="91" s="1"/>
  <c r="Y7" i="91"/>
  <c r="X7" i="91"/>
  <c r="AA6" i="91"/>
  <c r="Z6" i="91"/>
  <c r="Y6" i="91"/>
  <c r="AL49" i="91" s="1"/>
  <c r="X6" i="91"/>
  <c r="AA5" i="91"/>
  <c r="Z5" i="91"/>
  <c r="AL48" i="91" s="1"/>
  <c r="AL148" i="91" s="1"/>
  <c r="Y5" i="91"/>
  <c r="Z4" i="91"/>
  <c r="X5" i="91"/>
  <c r="AA4" i="91"/>
  <c r="Y4" i="91"/>
  <c r="X4" i="91"/>
  <c r="AP3" i="91"/>
  <c r="G3" i="91"/>
  <c r="AL1" i="91"/>
  <c r="A23" i="91"/>
  <c r="V9" i="91"/>
  <c r="R9" i="91" s="1"/>
  <c r="BL54" i="91"/>
  <c r="W44" i="91"/>
  <c r="AE9" i="91"/>
  <c r="AM36" i="91"/>
  <c r="AD54" i="91"/>
  <c r="Y42" i="91"/>
  <c r="AL85" i="91" s="1"/>
  <c r="Y43" i="91"/>
  <c r="AE8" i="91"/>
  <c r="BJ8" i="91"/>
  <c r="BJ7" i="91" s="1"/>
  <c r="I9" i="91"/>
  <c r="AL81" i="91"/>
  <c r="AL84" i="91"/>
  <c r="AL80" i="91"/>
  <c r="AL79" i="91"/>
  <c r="AL78" i="91"/>
  <c r="AL75" i="91"/>
  <c r="AL73" i="91"/>
  <c r="AL71" i="91"/>
  <c r="AL83" i="91"/>
  <c r="AL82" i="91"/>
  <c r="AL74" i="91"/>
  <c r="AL64" i="91"/>
  <c r="AL62" i="91"/>
  <c r="AL60" i="91"/>
  <c r="AL58" i="91"/>
  <c r="AL77" i="91"/>
  <c r="AL70" i="91"/>
  <c r="AL68" i="91"/>
  <c r="AL66" i="91"/>
  <c r="AL56" i="91"/>
  <c r="AL63" i="91"/>
  <c r="AL61" i="91"/>
  <c r="AL59" i="91"/>
  <c r="AL57" i="91"/>
  <c r="AL72" i="91"/>
  <c r="AL67" i="91"/>
  <c r="AL54" i="91"/>
  <c r="AL53" i="91"/>
  <c r="AL52" i="91"/>
  <c r="AL50" i="91"/>
  <c r="AL69" i="91"/>
  <c r="AL65" i="91"/>
  <c r="G10" i="91"/>
  <c r="AN46" i="91"/>
  <c r="AG38" i="91"/>
  <c r="AG39" i="91"/>
  <c r="I48" i="91"/>
  <c r="A21" i="86"/>
  <c r="B15" i="63"/>
  <c r="B10" i="63" s="1"/>
  <c r="B16" i="63"/>
  <c r="B13" i="63"/>
  <c r="B12" i="63"/>
  <c r="B14" i="63"/>
  <c r="AE79" i="86"/>
  <c r="AE79" i="88"/>
  <c r="AE79" i="75"/>
  <c r="AH79" i="75"/>
  <c r="AH65" i="75" s="1"/>
  <c r="AH66" i="75" s="1"/>
  <c r="AF79" i="75"/>
  <c r="AF79" i="78"/>
  <c r="AC79" i="78"/>
  <c r="AE79" i="78"/>
  <c r="AC79" i="59"/>
  <c r="AB79" i="59"/>
  <c r="AA79" i="59"/>
  <c r="AD79" i="86"/>
  <c r="AC57" i="86"/>
  <c r="AD79" i="88"/>
  <c r="AD79" i="75"/>
  <c r="AD79" i="78"/>
  <c r="AM39" i="91"/>
  <c r="AM38" i="91"/>
  <c r="AM37" i="91"/>
  <c r="AM40" i="91"/>
  <c r="I38" i="91"/>
  <c r="I44" i="91"/>
  <c r="I42" i="91"/>
  <c r="I37" i="91"/>
  <c r="I35" i="91"/>
  <c r="I34" i="91"/>
  <c r="I41" i="91"/>
  <c r="I33" i="91"/>
  <c r="I43" i="91"/>
  <c r="I39" i="91"/>
  <c r="I40" i="91"/>
  <c r="I36" i="91"/>
  <c r="AL86" i="91"/>
  <c r="Y44" i="91"/>
  <c r="Y45" i="91" s="1"/>
  <c r="I50" i="91"/>
  <c r="I54" i="91"/>
  <c r="I10" i="91"/>
  <c r="AQ11" i="91"/>
  <c r="AQ10" i="91"/>
  <c r="H9" i="91"/>
  <c r="BJ9" i="91" s="1"/>
  <c r="AQ9" i="91"/>
  <c r="Y41" i="86"/>
  <c r="Y40" i="86"/>
  <c r="Z41" i="86"/>
  <c r="Z40" i="86"/>
  <c r="X41" i="88"/>
  <c r="X40" i="88"/>
  <c r="X38" i="88"/>
  <c r="X37" i="88"/>
  <c r="Y41" i="88"/>
  <c r="Y40" i="88"/>
  <c r="Y38" i="88"/>
  <c r="Y37" i="88"/>
  <c r="AA41" i="88"/>
  <c r="AA40" i="88"/>
  <c r="Z41" i="88"/>
  <c r="Z40" i="88"/>
  <c r="AA41" i="86"/>
  <c r="AA40" i="86"/>
  <c r="AA37" i="86"/>
  <c r="AC40" i="86"/>
  <c r="AB41" i="86"/>
  <c r="AB40" i="86"/>
  <c r="Z38" i="88"/>
  <c r="AA38" i="88"/>
  <c r="AA37" i="88"/>
  <c r="Z37" i="88"/>
  <c r="BK114" i="88"/>
  <c r="BJ114" i="88"/>
  <c r="BK113" i="88"/>
  <c r="BJ113" i="88"/>
  <c r="BK112" i="88"/>
  <c r="BJ112" i="88"/>
  <c r="BK111" i="88"/>
  <c r="BJ111" i="88"/>
  <c r="BK110" i="88"/>
  <c r="BJ110" i="88"/>
  <c r="BJ109" i="88"/>
  <c r="O109" i="88"/>
  <c r="AE82" i="88"/>
  <c r="AI79" i="88"/>
  <c r="AI65" i="88" s="1"/>
  <c r="AI66" i="88" s="1"/>
  <c r="AJ66" i="88" s="1"/>
  <c r="AH79" i="88"/>
  <c r="AH65" i="88"/>
  <c r="AH66" i="88"/>
  <c r="AG79" i="88"/>
  <c r="AG65" i="88"/>
  <c r="AG66" i="88" s="1"/>
  <c r="AF79" i="88"/>
  <c r="AF65" i="88" s="1"/>
  <c r="AF66" i="88" s="1"/>
  <c r="AE65" i="88"/>
  <c r="AE66" i="88"/>
  <c r="C26" i="88"/>
  <c r="AC79" i="88"/>
  <c r="AC65" i="88" s="1"/>
  <c r="AC66" i="88" s="1"/>
  <c r="AI77" i="88"/>
  <c r="AH77" i="88"/>
  <c r="AG77" i="88"/>
  <c r="AF77" i="88"/>
  <c r="AE77" i="88"/>
  <c r="AC77" i="88"/>
  <c r="AD57" i="88"/>
  <c r="AC57" i="88"/>
  <c r="AE50" i="88"/>
  <c r="AC49" i="88"/>
  <c r="AC48" i="88"/>
  <c r="D45" i="88"/>
  <c r="D44" i="88"/>
  <c r="D43" i="88"/>
  <c r="X43" i="88"/>
  <c r="D42" i="88"/>
  <c r="AC41" i="88"/>
  <c r="AB41" i="88"/>
  <c r="W41" i="88"/>
  <c r="D40" i="88"/>
  <c r="AE40" i="88"/>
  <c r="AD40" i="88"/>
  <c r="AC40" i="88"/>
  <c r="AB40" i="88"/>
  <c r="W40" i="88"/>
  <c r="D39" i="88"/>
  <c r="D38" i="88"/>
  <c r="AE38" i="88"/>
  <c r="AB38" i="88"/>
  <c r="W38" i="88"/>
  <c r="D37" i="88"/>
  <c r="AE37" i="88"/>
  <c r="AD37" i="88"/>
  <c r="AC37" i="88"/>
  <c r="AB37" i="88"/>
  <c r="W37" i="88"/>
  <c r="AG36" i="88"/>
  <c r="AG40" i="88"/>
  <c r="I57" i="88" s="1"/>
  <c r="AB34" i="88"/>
  <c r="AC32" i="88"/>
  <c r="AC31" i="88"/>
  <c r="AZ20" i="88"/>
  <c r="AZ19" i="88"/>
  <c r="AZ18" i="88"/>
  <c r="AZ17" i="88"/>
  <c r="D17" i="88"/>
  <c r="D18" i="88" s="1"/>
  <c r="D30" i="88" s="1"/>
  <c r="AZ16" i="88"/>
  <c r="AZ15" i="88"/>
  <c r="AD15" i="88"/>
  <c r="C15" i="88"/>
  <c r="AZ14" i="88"/>
  <c r="D14" i="88"/>
  <c r="D15" i="88" s="1"/>
  <c r="AZ13" i="88"/>
  <c r="AD13" i="88"/>
  <c r="C13" i="88"/>
  <c r="AZ12" i="88"/>
  <c r="AD12" i="88"/>
  <c r="D12" i="88"/>
  <c r="AZ11" i="88"/>
  <c r="D11" i="88"/>
  <c r="AZ10" i="88"/>
  <c r="AD10" i="88"/>
  <c r="BH9" i="88"/>
  <c r="AZ9" i="88"/>
  <c r="AP9" i="88"/>
  <c r="AP10" i="88" s="1"/>
  <c r="AP11" i="88" s="1"/>
  <c r="AD9" i="88"/>
  <c r="W9" i="88"/>
  <c r="U9" i="88"/>
  <c r="V9" i="88"/>
  <c r="R9" i="88"/>
  <c r="G9" i="88"/>
  <c r="G10" i="88"/>
  <c r="AQ8" i="88"/>
  <c r="AD8" i="88"/>
  <c r="H8" i="88"/>
  <c r="Y43" i="88" s="1"/>
  <c r="AL86" i="88" s="1"/>
  <c r="BJ8" i="88"/>
  <c r="D8" i="88"/>
  <c r="AA7" i="88"/>
  <c r="Z7" i="88"/>
  <c r="Y7" i="88"/>
  <c r="AL51" i="88"/>
  <c r="X7" i="88"/>
  <c r="AA6" i="88"/>
  <c r="Z6" i="88"/>
  <c r="Y6" i="88"/>
  <c r="AL49" i="88" s="1"/>
  <c r="X6" i="88"/>
  <c r="AA5" i="88"/>
  <c r="Z5" i="88"/>
  <c r="Y5" i="88"/>
  <c r="X5" i="88"/>
  <c r="AA4" i="88"/>
  <c r="Z4" i="88"/>
  <c r="Y4" i="88"/>
  <c r="X4" i="88"/>
  <c r="AP3" i="88"/>
  <c r="G3" i="88"/>
  <c r="AL1" i="88"/>
  <c r="AB38" i="86"/>
  <c r="AA38" i="86"/>
  <c r="Z38" i="86"/>
  <c r="X38" i="86"/>
  <c r="Y38" i="86"/>
  <c r="AC38" i="86"/>
  <c r="AD38" i="86"/>
  <c r="W38" i="86"/>
  <c r="AB37" i="86"/>
  <c r="Z37" i="86"/>
  <c r="Y37" i="86"/>
  <c r="W37" i="86"/>
  <c r="X37" i="86"/>
  <c r="AC37" i="86"/>
  <c r="AD37" i="86"/>
  <c r="AE37" i="86"/>
  <c r="AC41" i="86"/>
  <c r="W41" i="86"/>
  <c r="AE40" i="86"/>
  <c r="AD40" i="86"/>
  <c r="W40" i="86"/>
  <c r="AE38" i="86"/>
  <c r="AE41" i="86"/>
  <c r="AE41" i="88"/>
  <c r="C19" i="87"/>
  <c r="AE41" i="94" s="1"/>
  <c r="AD41" i="88"/>
  <c r="AD41" i="91"/>
  <c r="C5" i="87"/>
  <c r="X41" i="86" s="1"/>
  <c r="B5" i="87"/>
  <c r="D5" i="87"/>
  <c r="D4" i="87"/>
  <c r="C4" i="87"/>
  <c r="X40" i="86"/>
  <c r="B4" i="87"/>
  <c r="AD41" i="86"/>
  <c r="AC38" i="88"/>
  <c r="AD38" i="88"/>
  <c r="I85" i="88"/>
  <c r="I9" i="88"/>
  <c r="AD65" i="88"/>
  <c r="AH35" i="88"/>
  <c r="AH36" i="88"/>
  <c r="AG37" i="88"/>
  <c r="AG39" i="88"/>
  <c r="I45" i="88"/>
  <c r="AG38" i="88"/>
  <c r="I44" i="88" s="1"/>
  <c r="U10" i="88"/>
  <c r="AL83" i="88"/>
  <c r="AL82" i="88"/>
  <c r="AL81" i="88"/>
  <c r="AL79" i="88"/>
  <c r="AL74" i="88"/>
  <c r="AL84" i="88"/>
  <c r="AL80" i="88"/>
  <c r="AL77" i="88"/>
  <c r="AL75" i="88"/>
  <c r="AL72" i="88"/>
  <c r="AL70" i="88"/>
  <c r="AL68" i="88"/>
  <c r="AL66" i="88"/>
  <c r="AL73" i="88"/>
  <c r="AL71" i="88"/>
  <c r="AL69" i="88"/>
  <c r="AL67" i="88"/>
  <c r="AL65" i="88"/>
  <c r="AL62" i="88"/>
  <c r="AL60" i="88"/>
  <c r="AL58" i="88"/>
  <c r="AL55" i="88"/>
  <c r="AL78" i="88"/>
  <c r="AL56" i="88"/>
  <c r="AL53" i="88"/>
  <c r="AL52" i="88"/>
  <c r="AL50" i="88"/>
  <c r="AL64" i="88"/>
  <c r="AL63" i="88"/>
  <c r="AL61" i="88"/>
  <c r="AL59" i="88"/>
  <c r="AL57" i="88"/>
  <c r="AL54" i="88"/>
  <c r="BH10" i="88"/>
  <c r="BH11" i="88" s="1"/>
  <c r="BI9" i="88"/>
  <c r="Y42" i="88"/>
  <c r="AL85" i="88"/>
  <c r="BJ7" i="88"/>
  <c r="AL48" i="88"/>
  <c r="AL148" i="88"/>
  <c r="BL54" i="88"/>
  <c r="W44" i="88"/>
  <c r="BK114" i="86"/>
  <c r="BJ114" i="86"/>
  <c r="BK113" i="86"/>
  <c r="BJ113" i="86"/>
  <c r="BK112" i="86"/>
  <c r="BJ112" i="86"/>
  <c r="BK111" i="86"/>
  <c r="BJ111" i="86"/>
  <c r="BK110" i="86"/>
  <c r="BJ110" i="86"/>
  <c r="BJ109" i="86"/>
  <c r="O109" i="86"/>
  <c r="AE82" i="86"/>
  <c r="AI79" i="86"/>
  <c r="AI65" i="86" s="1"/>
  <c r="AI66" i="86"/>
  <c r="AJ66" i="86" s="1"/>
  <c r="AH79" i="86"/>
  <c r="AH65" i="86" s="1"/>
  <c r="AH66" i="86" s="1"/>
  <c r="AG79" i="86"/>
  <c r="AG65" i="86"/>
  <c r="AG66" i="86" s="1"/>
  <c r="AF79" i="86"/>
  <c r="AF65" i="86"/>
  <c r="AF66" i="86" s="1"/>
  <c r="AE65" i="86"/>
  <c r="AE66" i="86" s="1"/>
  <c r="AC79" i="86"/>
  <c r="AC65" i="86" s="1"/>
  <c r="AC66" i="86"/>
  <c r="AI77" i="86"/>
  <c r="AH77" i="86"/>
  <c r="AG77" i="86"/>
  <c r="AF77" i="86"/>
  <c r="AE77" i="86"/>
  <c r="AC77" i="86"/>
  <c r="AD57" i="86"/>
  <c r="AE50" i="86"/>
  <c r="AC49" i="86"/>
  <c r="AC48" i="86"/>
  <c r="D46" i="86"/>
  <c r="D45" i="86"/>
  <c r="D44" i="86"/>
  <c r="X43" i="86"/>
  <c r="D43" i="86"/>
  <c r="D41" i="86"/>
  <c r="D40" i="86"/>
  <c r="D39" i="86"/>
  <c r="D38" i="86"/>
  <c r="AG36" i="86"/>
  <c r="AH35" i="86"/>
  <c r="AL35" i="86" s="1"/>
  <c r="AB34" i="86"/>
  <c r="AC32" i="86"/>
  <c r="AC31" i="86"/>
  <c r="AZ20" i="86"/>
  <c r="AZ19" i="86"/>
  <c r="AZ18" i="86"/>
  <c r="AZ17" i="86"/>
  <c r="D18" i="86"/>
  <c r="D31" i="86" s="1"/>
  <c r="AZ16" i="86"/>
  <c r="AZ15" i="86"/>
  <c r="AD15" i="86"/>
  <c r="C15" i="86"/>
  <c r="AZ14" i="86"/>
  <c r="D14" i="86"/>
  <c r="AZ13" i="86"/>
  <c r="AD13" i="86"/>
  <c r="C13" i="86"/>
  <c r="AZ12" i="86"/>
  <c r="AD12" i="86"/>
  <c r="D12" i="86"/>
  <c r="AZ11" i="86"/>
  <c r="D11" i="86"/>
  <c r="AZ10" i="86"/>
  <c r="AD10" i="86"/>
  <c r="BH9" i="86"/>
  <c r="AZ9" i="86"/>
  <c r="AP9" i="86"/>
  <c r="AP10" i="86"/>
  <c r="AP11" i="86"/>
  <c r="AP12" i="86" s="1"/>
  <c r="AP13" i="86" s="1"/>
  <c r="AP14" i="86" s="1"/>
  <c r="AD9" i="86"/>
  <c r="W9" i="86"/>
  <c r="AL67" i="86" s="1"/>
  <c r="U9" i="86"/>
  <c r="U10" i="86" s="1"/>
  <c r="G9" i="86"/>
  <c r="AQ8" i="86"/>
  <c r="AN46" i="86" s="1"/>
  <c r="AD8" i="86"/>
  <c r="H8" i="86"/>
  <c r="D8" i="86"/>
  <c r="AA7" i="86"/>
  <c r="Z7" i="86"/>
  <c r="Y7" i="86"/>
  <c r="X7" i="86"/>
  <c r="AA6" i="86"/>
  <c r="Z6" i="86"/>
  <c r="Y6" i="86"/>
  <c r="Z5" i="86"/>
  <c r="X6" i="86"/>
  <c r="AA5" i="86"/>
  <c r="Y5" i="86"/>
  <c r="X5" i="86"/>
  <c r="AA4" i="86"/>
  <c r="Z4" i="86"/>
  <c r="Y4" i="86"/>
  <c r="X4" i="86"/>
  <c r="AP3" i="86"/>
  <c r="G3" i="86"/>
  <c r="AL1" i="86"/>
  <c r="C27" i="86"/>
  <c r="C25" i="88"/>
  <c r="C24" i="88" s="1"/>
  <c r="AG40" i="86"/>
  <c r="I48" i="88"/>
  <c r="I52" i="88"/>
  <c r="I38" i="88"/>
  <c r="I35" i="88"/>
  <c r="I37" i="88"/>
  <c r="I42" i="88"/>
  <c r="I43" i="88"/>
  <c r="I41" i="88"/>
  <c r="I40" i="88"/>
  <c r="I36" i="88"/>
  <c r="I34" i="88"/>
  <c r="I33" i="88"/>
  <c r="I39" i="88"/>
  <c r="I54" i="88"/>
  <c r="I28" i="88"/>
  <c r="I25" i="88"/>
  <c r="I21" i="88"/>
  <c r="I16" i="88"/>
  <c r="I31" i="88"/>
  <c r="I27" i="88"/>
  <c r="I24" i="88"/>
  <c r="I19" i="88"/>
  <c r="I17" i="88"/>
  <c r="I30" i="88"/>
  <c r="I23" i="88"/>
  <c r="I32" i="88"/>
  <c r="I29" i="88"/>
  <c r="I26" i="88"/>
  <c r="I22" i="88"/>
  <c r="I20" i="88"/>
  <c r="I18" i="88"/>
  <c r="I15" i="88"/>
  <c r="BA9" i="88"/>
  <c r="I66" i="86"/>
  <c r="AG37" i="86"/>
  <c r="AG38" i="86"/>
  <c r="I42" i="86" s="1"/>
  <c r="AG39" i="86"/>
  <c r="V9" i="86"/>
  <c r="R9" i="86" s="1"/>
  <c r="AE12" i="86"/>
  <c r="AE8" i="86"/>
  <c r="AL80" i="86"/>
  <c r="G10" i="86"/>
  <c r="AM36" i="86"/>
  <c r="AN47" i="86"/>
  <c r="AN48" i="86" s="1"/>
  <c r="AN49" i="86" s="1"/>
  <c r="AN50" i="86" s="1"/>
  <c r="AN51" i="86" s="1"/>
  <c r="AN52" i="86" s="1"/>
  <c r="AN53" i="86" s="1"/>
  <c r="AN54" i="86" s="1"/>
  <c r="AN55" i="86" s="1"/>
  <c r="AN56" i="86" s="1"/>
  <c r="AN57" i="86" s="1"/>
  <c r="AN58" i="86" s="1"/>
  <c r="AN59" i="86" s="1"/>
  <c r="AN60" i="86" s="1"/>
  <c r="AN61" i="86" s="1"/>
  <c r="AN62" i="86" s="1"/>
  <c r="AN63" i="86" s="1"/>
  <c r="AN64" i="86" s="1"/>
  <c r="AN65" i="86" s="1"/>
  <c r="AN66" i="86" s="1"/>
  <c r="AN67" i="86" s="1"/>
  <c r="AN68" i="86" s="1"/>
  <c r="AN69" i="86" s="1"/>
  <c r="AN70" i="86" s="1"/>
  <c r="AN71" i="86" s="1"/>
  <c r="AN72" i="86" s="1"/>
  <c r="AN73" i="86" s="1"/>
  <c r="AN74" i="86" s="1"/>
  <c r="AN75" i="86" s="1"/>
  <c r="AN76" i="86" s="1"/>
  <c r="AN77" i="86" s="1"/>
  <c r="AN78" i="86" s="1"/>
  <c r="AN79" i="86" s="1"/>
  <c r="AN80" i="86" s="1"/>
  <c r="AN81" i="86" s="1"/>
  <c r="AN82" i="86" s="1"/>
  <c r="AN83" i="86" s="1"/>
  <c r="AN84" i="86" s="1"/>
  <c r="AN85" i="86" s="1"/>
  <c r="AN86" i="86" s="1"/>
  <c r="AN87" i="86" s="1"/>
  <c r="AE10" i="86"/>
  <c r="A24" i="86"/>
  <c r="AF35" i="86"/>
  <c r="AM47" i="86"/>
  <c r="AE9" i="86"/>
  <c r="AE15" i="86"/>
  <c r="A23" i="86"/>
  <c r="AH36" i="86"/>
  <c r="I59" i="86"/>
  <c r="I86" i="86"/>
  <c r="I80" i="86"/>
  <c r="I75" i="86"/>
  <c r="I97" i="86"/>
  <c r="I70" i="86"/>
  <c r="I103" i="86"/>
  <c r="I100" i="86"/>
  <c r="I62" i="86"/>
  <c r="I63" i="86"/>
  <c r="I92" i="86"/>
  <c r="I73" i="86"/>
  <c r="AM40" i="86"/>
  <c r="I38" i="86"/>
  <c r="I44" i="86"/>
  <c r="I43" i="86"/>
  <c r="I53" i="86"/>
  <c r="I26" i="86"/>
  <c r="I33" i="86"/>
  <c r="I37" i="86"/>
  <c r="I41" i="86"/>
  <c r="I19" i="86"/>
  <c r="I35" i="86"/>
  <c r="I36" i="86"/>
  <c r="I29" i="86"/>
  <c r="I25" i="86"/>
  <c r="I34" i="86"/>
  <c r="I39" i="86"/>
  <c r="I40" i="86"/>
  <c r="L9" i="88"/>
  <c r="AC79" i="75"/>
  <c r="AC77" i="75"/>
  <c r="AC77" i="78"/>
  <c r="Z79" i="59"/>
  <c r="Z65" i="59" s="1"/>
  <c r="AA65" i="59"/>
  <c r="A17" i="78"/>
  <c r="M9" i="59"/>
  <c r="BX12" i="78"/>
  <c r="C19" i="78"/>
  <c r="W14" i="78" s="1"/>
  <c r="BY13" i="78"/>
  <c r="BY14" i="78" s="1"/>
  <c r="BY15" i="78" s="1"/>
  <c r="BY16" i="78" s="1"/>
  <c r="BY17" i="78" s="1"/>
  <c r="BY18" i="78" s="1"/>
  <c r="BY19" i="78"/>
  <c r="BY20" i="78" s="1"/>
  <c r="BY21" i="78" s="1"/>
  <c r="BY22" i="78" s="1"/>
  <c r="BY23" i="78" s="1"/>
  <c r="BY24" i="78" s="1"/>
  <c r="BW13" i="78"/>
  <c r="BX13" i="78"/>
  <c r="E19" i="78"/>
  <c r="A22" i="78"/>
  <c r="BW14" i="78"/>
  <c r="BW15" i="78" s="1"/>
  <c r="G18" i="76"/>
  <c r="BX14" i="78"/>
  <c r="C13" i="75"/>
  <c r="U47" i="59"/>
  <c r="T47" i="59"/>
  <c r="U46" i="59"/>
  <c r="T46" i="59"/>
  <c r="C16" i="78"/>
  <c r="D38" i="78" s="1"/>
  <c r="AF41" i="78"/>
  <c r="AB41" i="78"/>
  <c r="Z41" i="78"/>
  <c r="V41" i="78"/>
  <c r="AF40" i="78"/>
  <c r="AB40" i="78"/>
  <c r="Z40" i="78"/>
  <c r="W40" i="78"/>
  <c r="V40" i="78"/>
  <c r="AF44" i="78"/>
  <c r="AB44" i="78"/>
  <c r="Z44" i="78"/>
  <c r="X44" i="78"/>
  <c r="AF43" i="78"/>
  <c r="AB43" i="78"/>
  <c r="Z43" i="78"/>
  <c r="X43" i="78"/>
  <c r="V44" i="78"/>
  <c r="V43" i="78"/>
  <c r="C27" i="75"/>
  <c r="D27" i="59"/>
  <c r="E27" i="59" s="1"/>
  <c r="C27" i="59"/>
  <c r="AE79" i="59"/>
  <c r="AE65" i="59" s="1"/>
  <c r="AD79" i="59"/>
  <c r="AD77" i="75"/>
  <c r="AI79" i="75"/>
  <c r="AI65" i="75"/>
  <c r="AI66" i="75"/>
  <c r="AJ66" i="75"/>
  <c r="AC65" i="75"/>
  <c r="AC66" i="75" s="1"/>
  <c r="AI79" i="78"/>
  <c r="AC65" i="78"/>
  <c r="AC66" i="78"/>
  <c r="C29" i="78"/>
  <c r="AG94" i="78"/>
  <c r="AG93" i="78"/>
  <c r="C21" i="78"/>
  <c r="AF93" i="78"/>
  <c r="D41" i="75"/>
  <c r="D40" i="75"/>
  <c r="D39" i="75"/>
  <c r="D38" i="75"/>
  <c r="C2" i="76"/>
  <c r="D2" i="76"/>
  <c r="W40" i="75" s="1"/>
  <c r="B2" i="76"/>
  <c r="C6" i="76"/>
  <c r="D6" i="76"/>
  <c r="B6" i="76"/>
  <c r="C10" i="76"/>
  <c r="D10" i="76"/>
  <c r="B10" i="76"/>
  <c r="C12" i="76"/>
  <c r="D12" i="76"/>
  <c r="B12" i="76"/>
  <c r="C14" i="76"/>
  <c r="D14" i="76"/>
  <c r="B14" i="76"/>
  <c r="C16" i="76"/>
  <c r="D16" i="76"/>
  <c r="B16" i="76"/>
  <c r="C18" i="76"/>
  <c r="D18" i="76"/>
  <c r="B18" i="76"/>
  <c r="D21" i="79"/>
  <c r="C21" i="79"/>
  <c r="B21" i="79"/>
  <c r="C20" i="79"/>
  <c r="B20" i="79"/>
  <c r="D19" i="79"/>
  <c r="C19" i="79"/>
  <c r="B19" i="79"/>
  <c r="C18" i="79"/>
  <c r="B18" i="79"/>
  <c r="D17" i="79"/>
  <c r="C17" i="79"/>
  <c r="B17" i="79"/>
  <c r="AC41" i="78" s="1"/>
  <c r="C16" i="79"/>
  <c r="B16" i="79"/>
  <c r="D13" i="79"/>
  <c r="C13" i="79"/>
  <c r="B13" i="79"/>
  <c r="C12" i="79"/>
  <c r="B12" i="79"/>
  <c r="C9" i="79"/>
  <c r="B9" i="79"/>
  <c r="B8" i="79"/>
  <c r="D5" i="79"/>
  <c r="C5" i="79"/>
  <c r="B5" i="79"/>
  <c r="W41" i="78"/>
  <c r="AE82" i="78"/>
  <c r="AI65" i="78"/>
  <c r="AI66" i="78" s="1"/>
  <c r="AJ66" i="78" s="1"/>
  <c r="AH79" i="78"/>
  <c r="AH65" i="78"/>
  <c r="AH66" i="78" s="1"/>
  <c r="AF65" i="78"/>
  <c r="AF66" i="78" s="1"/>
  <c r="AI77" i="78"/>
  <c r="AH77" i="78"/>
  <c r="AD57" i="78"/>
  <c r="D48" i="78"/>
  <c r="AC57" i="78"/>
  <c r="AB53" i="78"/>
  <c r="AE50" i="78"/>
  <c r="AC49" i="78"/>
  <c r="AC48" i="78"/>
  <c r="X48" i="78"/>
  <c r="AM47" i="78"/>
  <c r="D40" i="78"/>
  <c r="C43" i="78"/>
  <c r="C46" i="78"/>
  <c r="D33" i="78"/>
  <c r="C47" i="78"/>
  <c r="D30" i="78"/>
  <c r="D27" i="78"/>
  <c r="D26" i="78"/>
  <c r="E24" i="78"/>
  <c r="W22" i="78"/>
  <c r="AC32" i="78" s="1"/>
  <c r="A24" i="78"/>
  <c r="AE15" i="78"/>
  <c r="D31" i="78" s="1"/>
  <c r="AD15" i="78"/>
  <c r="AE14" i="78"/>
  <c r="C13" i="78"/>
  <c r="AF94" i="78"/>
  <c r="AE12" i="78"/>
  <c r="AD12" i="78"/>
  <c r="AA12" i="78"/>
  <c r="Z12" i="78"/>
  <c r="Y12" i="78"/>
  <c r="X12" i="78"/>
  <c r="D12" i="78"/>
  <c r="AE11" i="78"/>
  <c r="AD11" i="78"/>
  <c r="X11" i="78"/>
  <c r="Y11" i="78"/>
  <c r="AE10" i="78"/>
  <c r="AD10" i="78"/>
  <c r="X10" i="78"/>
  <c r="Y10" i="78" s="1"/>
  <c r="BF9" i="78"/>
  <c r="BF10" i="78" s="1"/>
  <c r="BF11" i="78" s="1"/>
  <c r="BF12" i="78" s="1"/>
  <c r="BF13" i="78" s="1"/>
  <c r="BF14" i="78" s="1"/>
  <c r="BF15" i="78"/>
  <c r="BF16" i="78" s="1"/>
  <c r="BF17" i="78" s="1"/>
  <c r="BF18" i="78" s="1"/>
  <c r="BF25" i="78" s="1"/>
  <c r="BF26" i="78" s="1"/>
  <c r="BF27" i="78" s="1"/>
  <c r="BF28" i="78" s="1"/>
  <c r="BF29" i="78"/>
  <c r="BF30" i="78" s="1"/>
  <c r="BF31" i="78" s="1"/>
  <c r="BF32" i="78" s="1"/>
  <c r="BF33" i="78" s="1"/>
  <c r="BF34" i="78" s="1"/>
  <c r="BF35" i="78" s="1"/>
  <c r="BF36" i="78" s="1"/>
  <c r="BF37" i="78" s="1"/>
  <c r="BF38" i="78" s="1"/>
  <c r="BG39" i="78" s="1"/>
  <c r="BG40" i="78" s="1"/>
  <c r="BG41" i="78" s="1"/>
  <c r="BF42" i="78" s="1"/>
  <c r="BF43" i="78" s="1"/>
  <c r="BF44" i="78" s="1"/>
  <c r="BF45" i="78" s="1"/>
  <c r="BF46" i="78" s="1"/>
  <c r="BF47" i="78" s="1"/>
  <c r="BF48" i="78" s="1"/>
  <c r="BF49" i="78" s="1"/>
  <c r="BF50" i="78" s="1"/>
  <c r="BF51" i="78" s="1"/>
  <c r="BF52" i="78" s="1"/>
  <c r="BF53" i="78" s="1"/>
  <c r="BF54" i="78" s="1"/>
  <c r="BF55" i="78" s="1"/>
  <c r="BF56" i="78" s="1"/>
  <c r="BF57" i="78" s="1"/>
  <c r="BF58" i="78" s="1"/>
  <c r="BG59" i="78" s="1"/>
  <c r="BG60" i="78" s="1"/>
  <c r="BG61" i="78" s="1"/>
  <c r="BG62" i="78" s="1"/>
  <c r="BG63" i="78" s="1"/>
  <c r="BG64" i="78" s="1"/>
  <c r="BG65" i="78" s="1"/>
  <c r="BG66" i="78" s="1"/>
  <c r="BF67" i="78" s="1"/>
  <c r="BF68" i="78" s="1"/>
  <c r="BF69" i="78" s="1"/>
  <c r="BF70" i="78" s="1"/>
  <c r="BF71" i="78" s="1"/>
  <c r="BF72" i="78" s="1"/>
  <c r="BF73" i="78" s="1"/>
  <c r="BF74" i="78" s="1"/>
  <c r="BF75" i="78" s="1"/>
  <c r="BF76" i="78" s="1"/>
  <c r="BF77" i="78" s="1"/>
  <c r="BF78" i="78" s="1"/>
  <c r="BF79" i="78" s="1"/>
  <c r="BF80" i="78" s="1"/>
  <c r="BF81" i="78" s="1"/>
  <c r="AP9" i="78"/>
  <c r="AP10" i="78" s="1"/>
  <c r="AP11" i="78" s="1"/>
  <c r="AP12" i="78"/>
  <c r="AP13" i="78" s="1"/>
  <c r="AP14" i="78" s="1"/>
  <c r="AP15" i="78" s="1"/>
  <c r="AP16" i="78" s="1"/>
  <c r="AP17" i="78" s="1"/>
  <c r="AP18" i="78" s="1"/>
  <c r="AP19" i="78" s="1"/>
  <c r="AP20" i="78" s="1"/>
  <c r="AP21" i="78" s="1"/>
  <c r="AP22" i="78" s="1"/>
  <c r="AP23" i="78" s="1"/>
  <c r="AP24" i="78" s="1"/>
  <c r="AP25" i="78" s="1"/>
  <c r="AP26" i="78" s="1"/>
  <c r="AP27" i="78" s="1"/>
  <c r="AP28" i="78" s="1"/>
  <c r="AE9" i="78"/>
  <c r="AD9" i="78"/>
  <c r="X9" i="78"/>
  <c r="Y9" i="78"/>
  <c r="Z9" i="78" s="1"/>
  <c r="AA9" i="78" s="1"/>
  <c r="AB9" i="78" s="1"/>
  <c r="T9" i="78"/>
  <c r="T10" i="78" s="1"/>
  <c r="U10" i="78" s="1"/>
  <c r="N9" i="78"/>
  <c r="G9" i="78"/>
  <c r="AQ8" i="78"/>
  <c r="AN46" i="78" s="1"/>
  <c r="AE8" i="78"/>
  <c r="AD8" i="78"/>
  <c r="X8" i="78"/>
  <c r="Y8" i="78" s="1"/>
  <c r="Z8" i="78" s="1"/>
  <c r="AA8" i="78" s="1"/>
  <c r="AB8" i="78" s="1"/>
  <c r="H8" i="78"/>
  <c r="AD54" i="78" s="1"/>
  <c r="AE7" i="78"/>
  <c r="AD7" i="78"/>
  <c r="X7" i="78"/>
  <c r="Y7" i="78" s="1"/>
  <c r="Z7" i="78" s="1"/>
  <c r="AA7" i="78" s="1"/>
  <c r="AB7" i="78" s="1"/>
  <c r="E7" i="78"/>
  <c r="AE6" i="78"/>
  <c r="AD6" i="78"/>
  <c r="AD13" i="78"/>
  <c r="X6" i="78"/>
  <c r="Y6" i="78"/>
  <c r="Z6" i="78"/>
  <c r="AE5" i="78"/>
  <c r="AD5" i="78"/>
  <c r="AA5" i="78"/>
  <c r="Z5" i="78"/>
  <c r="Y5" i="78"/>
  <c r="X5" i="78"/>
  <c r="AE4" i="78"/>
  <c r="AD4" i="78"/>
  <c r="AP3" i="78"/>
  <c r="AL1" i="78"/>
  <c r="Y40" i="78"/>
  <c r="Y43" i="78"/>
  <c r="AC40" i="78"/>
  <c r="AC43" i="78"/>
  <c r="Y41" i="78"/>
  <c r="Y44" i="78"/>
  <c r="AC44" i="78"/>
  <c r="AA40" i="78"/>
  <c r="AA43" i="78"/>
  <c r="AE44" i="78"/>
  <c r="AE41" i="78"/>
  <c r="AA41" i="78"/>
  <c r="AA44" i="78"/>
  <c r="AD43" i="78"/>
  <c r="AD40" i="78"/>
  <c r="AD44" i="78"/>
  <c r="AD41" i="78"/>
  <c r="I12" i="78"/>
  <c r="I16" i="78"/>
  <c r="I20" i="78"/>
  <c r="I13" i="78"/>
  <c r="I17" i="78"/>
  <c r="I9" i="78"/>
  <c r="I11" i="78"/>
  <c r="I19" i="78"/>
  <c r="I10" i="78"/>
  <c r="I14" i="78"/>
  <c r="I18" i="78"/>
  <c r="I15" i="78"/>
  <c r="D41" i="78"/>
  <c r="D42" i="78" s="1"/>
  <c r="D43" i="78"/>
  <c r="AD65" i="78"/>
  <c r="AD66" i="78" s="1"/>
  <c r="AE65" i="78"/>
  <c r="AE66" i="78" s="1"/>
  <c r="U9" i="78"/>
  <c r="Q9" i="78"/>
  <c r="AF95" i="78"/>
  <c r="I24" i="78" s="1"/>
  <c r="X21" i="78"/>
  <c r="AA6" i="78"/>
  <c r="AB6" i="78" s="1"/>
  <c r="T11" i="78"/>
  <c r="Y48" i="78"/>
  <c r="AL77" i="78"/>
  <c r="BH8" i="78"/>
  <c r="BH7" i="78" s="1"/>
  <c r="AC31" i="78"/>
  <c r="AN47" i="78"/>
  <c r="AN48" i="78" s="1"/>
  <c r="AN49" i="78" s="1"/>
  <c r="AN50" i="78" s="1"/>
  <c r="AN51" i="78" s="1"/>
  <c r="AN52" i="78" s="1"/>
  <c r="AN53" i="78" s="1"/>
  <c r="AN54" i="78" s="1"/>
  <c r="AN55" i="78" s="1"/>
  <c r="AN56" i="78" s="1"/>
  <c r="AN57" i="78" s="1"/>
  <c r="AN58" i="78" s="1"/>
  <c r="AO59" i="78" s="1"/>
  <c r="AO60" i="78" s="1"/>
  <c r="AO61" i="78" s="1"/>
  <c r="AO62" i="78" s="1"/>
  <c r="AO63" i="78" s="1"/>
  <c r="AO64" i="78" s="1"/>
  <c r="AO65" i="78" s="1"/>
  <c r="AO66" i="78" s="1"/>
  <c r="AN67" i="78" s="1"/>
  <c r="AN68" i="78" s="1"/>
  <c r="AN69" i="78" s="1"/>
  <c r="AN70" i="78" s="1"/>
  <c r="AN71" i="78" s="1"/>
  <c r="AN72" i="78" s="1"/>
  <c r="AN73" i="78" s="1"/>
  <c r="AN74" i="78" s="1"/>
  <c r="AN75" i="78" s="1"/>
  <c r="AN76" i="78" s="1"/>
  <c r="AN77" i="78" s="1"/>
  <c r="AN78" i="78" s="1"/>
  <c r="AN79" i="78" s="1"/>
  <c r="AN80" i="78" s="1"/>
  <c r="AN81" i="78" s="1"/>
  <c r="AN82" i="78" s="1"/>
  <c r="AN83" i="78" s="1"/>
  <c r="AN84" i="78" s="1"/>
  <c r="AN85" i="78" s="1"/>
  <c r="AN86" i="78" s="1"/>
  <c r="AN87" i="78" s="1"/>
  <c r="G10" i="78"/>
  <c r="C44" i="78"/>
  <c r="C45" i="78"/>
  <c r="AF96" i="78"/>
  <c r="I36" i="78" s="1"/>
  <c r="I32" i="78"/>
  <c r="I25" i="78"/>
  <c r="I29" i="78"/>
  <c r="I23" i="78"/>
  <c r="I22" i="78"/>
  <c r="I26" i="78"/>
  <c r="I27" i="78"/>
  <c r="I31" i="78"/>
  <c r="AG55" i="78"/>
  <c r="AF55" i="78" s="1"/>
  <c r="D39" i="78" s="1"/>
  <c r="AU109" i="78" s="1"/>
  <c r="AG56" i="78"/>
  <c r="P9" i="78"/>
  <c r="AB52" i="78"/>
  <c r="C28" i="78"/>
  <c r="C27" i="78" s="1"/>
  <c r="G11" i="78"/>
  <c r="Y49" i="78"/>
  <c r="AL87" i="78" s="1"/>
  <c r="I38" i="78"/>
  <c r="Y50" i="78"/>
  <c r="Y51" i="78"/>
  <c r="Y52" i="78"/>
  <c r="H2" i="76"/>
  <c r="I2" i="76"/>
  <c r="G2" i="76"/>
  <c r="I6" i="76"/>
  <c r="H6" i="76"/>
  <c r="G6" i="76"/>
  <c r="H10" i="76"/>
  <c r="I10" i="76"/>
  <c r="G10" i="76"/>
  <c r="H14" i="76"/>
  <c r="I14" i="76"/>
  <c r="AB37" i="75"/>
  <c r="G14" i="76"/>
  <c r="I18" i="76"/>
  <c r="H18" i="76"/>
  <c r="D46" i="75"/>
  <c r="D45" i="75"/>
  <c r="D44" i="75"/>
  <c r="D43" i="75"/>
  <c r="AE37" i="75"/>
  <c r="W37" i="75"/>
  <c r="I19" i="76"/>
  <c r="AD38" i="75" s="1"/>
  <c r="H19" i="76"/>
  <c r="G19" i="76"/>
  <c r="AD37" i="75"/>
  <c r="AC37" i="75"/>
  <c r="I15" i="76"/>
  <c r="H15" i="76"/>
  <c r="G15" i="76"/>
  <c r="AA38" i="75"/>
  <c r="AA37" i="75"/>
  <c r="I11" i="76"/>
  <c r="H11" i="76"/>
  <c r="G11" i="76"/>
  <c r="Z38" i="75"/>
  <c r="I7" i="76"/>
  <c r="H7" i="76"/>
  <c r="G7" i="76"/>
  <c r="Y37" i="75"/>
  <c r="I3" i="76"/>
  <c r="H3" i="76"/>
  <c r="G3" i="76"/>
  <c r="B3" i="76"/>
  <c r="C3" i="76"/>
  <c r="D3" i="76"/>
  <c r="B5" i="76"/>
  <c r="C5" i="76"/>
  <c r="D5" i="76"/>
  <c r="B7" i="76"/>
  <c r="C7" i="76"/>
  <c r="D7" i="76"/>
  <c r="Y41" i="75"/>
  <c r="B9" i="76"/>
  <c r="C9" i="76"/>
  <c r="D9" i="76"/>
  <c r="Z41" i="75" s="1"/>
  <c r="B11" i="76"/>
  <c r="C11" i="76"/>
  <c r="D11" i="76"/>
  <c r="B13" i="76"/>
  <c r="C13" i="76"/>
  <c r="D13" i="76"/>
  <c r="AA41" i="75" s="1"/>
  <c r="B15" i="76"/>
  <c r="C15" i="76"/>
  <c r="D15" i="76"/>
  <c r="AB41" i="75" s="1"/>
  <c r="AI36" i="75" s="1"/>
  <c r="B17" i="76"/>
  <c r="C17" i="76"/>
  <c r="D17" i="76"/>
  <c r="B19" i="76"/>
  <c r="C19" i="76"/>
  <c r="D19" i="76"/>
  <c r="B21" i="76"/>
  <c r="C21" i="76"/>
  <c r="D21" i="76"/>
  <c r="W41" i="75"/>
  <c r="X38" i="75"/>
  <c r="Y38" i="75"/>
  <c r="AE38" i="75"/>
  <c r="W38" i="75"/>
  <c r="AB38" i="75"/>
  <c r="AC38" i="75"/>
  <c r="Z37" i="75"/>
  <c r="X37" i="75"/>
  <c r="AG35" i="75"/>
  <c r="W9" i="75"/>
  <c r="AC41" i="75"/>
  <c r="BK114" i="75"/>
  <c r="BJ114" i="75"/>
  <c r="BK113" i="75"/>
  <c r="BJ113" i="75"/>
  <c r="BK112" i="75"/>
  <c r="BJ112" i="75"/>
  <c r="BK111" i="75"/>
  <c r="BJ111" i="75"/>
  <c r="BK110" i="75"/>
  <c r="BJ110" i="75"/>
  <c r="BJ109" i="75"/>
  <c r="O109" i="75"/>
  <c r="AE82" i="75"/>
  <c r="AG79" i="75"/>
  <c r="AG65" i="75" s="1"/>
  <c r="AG66" i="75" s="1"/>
  <c r="AF65" i="75"/>
  <c r="AF66" i="75" s="1"/>
  <c r="AE65" i="75"/>
  <c r="AE66" i="75"/>
  <c r="AD65" i="75"/>
  <c r="AD66" i="75"/>
  <c r="AI77" i="75"/>
  <c r="AH77" i="75"/>
  <c r="AG77" i="75"/>
  <c r="AF77" i="75"/>
  <c r="AE77" i="75"/>
  <c r="AD57" i="75"/>
  <c r="AC57" i="75"/>
  <c r="AE50" i="75"/>
  <c r="AC49" i="75"/>
  <c r="AC48" i="75"/>
  <c r="X43" i="75"/>
  <c r="AE41" i="75"/>
  <c r="AD41" i="75"/>
  <c r="X41" i="75"/>
  <c r="AE40" i="75"/>
  <c r="AD40" i="75"/>
  <c r="AG36" i="75"/>
  <c r="AB34" i="75"/>
  <c r="C15" i="75"/>
  <c r="AC32" i="75"/>
  <c r="AC31" i="75"/>
  <c r="AZ20" i="75"/>
  <c r="AZ19" i="75"/>
  <c r="AZ18" i="75"/>
  <c r="AZ17" i="75"/>
  <c r="D17" i="75"/>
  <c r="D18" i="75" s="1"/>
  <c r="D31" i="75" s="1"/>
  <c r="AZ16" i="75"/>
  <c r="AZ15" i="75"/>
  <c r="AD15" i="75"/>
  <c r="AZ14" i="75"/>
  <c r="D14" i="75"/>
  <c r="D8" i="75"/>
  <c r="AE15" i="75" s="1"/>
  <c r="AZ13" i="75"/>
  <c r="AD13" i="75"/>
  <c r="I15" i="75"/>
  <c r="AZ12" i="75"/>
  <c r="AD12" i="75"/>
  <c r="D12" i="75"/>
  <c r="AZ11" i="75"/>
  <c r="D11" i="75"/>
  <c r="AZ10" i="75"/>
  <c r="AD10" i="75"/>
  <c r="BH9" i="75"/>
  <c r="AZ9" i="75"/>
  <c r="AP9" i="75"/>
  <c r="AP10" i="75" s="1"/>
  <c r="AP11" i="75" s="1"/>
  <c r="AP12" i="75" s="1"/>
  <c r="AP13" i="75" s="1"/>
  <c r="AP14" i="75" s="1"/>
  <c r="AD9" i="75"/>
  <c r="U9" i="75"/>
  <c r="U10" i="75"/>
  <c r="V10" i="75"/>
  <c r="R10" i="75" s="1"/>
  <c r="G9" i="75"/>
  <c r="AQ8" i="75"/>
  <c r="AN46" i="75" s="1"/>
  <c r="AD8" i="75"/>
  <c r="H8" i="75"/>
  <c r="AA7" i="75"/>
  <c r="Z7" i="75"/>
  <c r="AL52" i="75" s="1"/>
  <c r="Y7" i="75"/>
  <c r="X7" i="75"/>
  <c r="AA6" i="75"/>
  <c r="Z6" i="75"/>
  <c r="Y6" i="75"/>
  <c r="X6" i="75"/>
  <c r="AA5" i="75"/>
  <c r="Z5" i="75"/>
  <c r="Y5" i="75"/>
  <c r="X5" i="75"/>
  <c r="AA4" i="75"/>
  <c r="Z4" i="75"/>
  <c r="Y4" i="75"/>
  <c r="X4" i="75"/>
  <c r="AP3" i="75"/>
  <c r="G3" i="75"/>
  <c r="AL1" i="75"/>
  <c r="I19" i="75"/>
  <c r="AN47" i="75"/>
  <c r="AN48" i="75" s="1"/>
  <c r="AN49" i="75" s="1"/>
  <c r="AN50" i="75"/>
  <c r="AN51" i="75" s="1"/>
  <c r="AN52" i="75" s="1"/>
  <c r="AN53" i="75" s="1"/>
  <c r="AN54" i="75" s="1"/>
  <c r="AN55" i="75" s="1"/>
  <c r="AN56" i="75" s="1"/>
  <c r="AN57" i="75" s="1"/>
  <c r="AN58" i="75"/>
  <c r="AN59" i="75" s="1"/>
  <c r="AN60" i="75" s="1"/>
  <c r="AN61" i="75" s="1"/>
  <c r="AN62" i="75" s="1"/>
  <c r="AN63" i="75" s="1"/>
  <c r="AN64" i="75" s="1"/>
  <c r="AN65" i="75" s="1"/>
  <c r="AN66" i="75" s="1"/>
  <c r="AN67" i="75" s="1"/>
  <c r="AN68" i="75" s="1"/>
  <c r="AN69" i="75" s="1"/>
  <c r="AN70" i="75" s="1"/>
  <c r="AN71" i="75" s="1"/>
  <c r="AN72" i="75" s="1"/>
  <c r="AN73" i="75" s="1"/>
  <c r="AN74" i="75" s="1"/>
  <c r="AN75" i="75" s="1"/>
  <c r="AN76" i="75" s="1"/>
  <c r="AN77" i="75" s="1"/>
  <c r="AN78" i="75" s="1"/>
  <c r="AN79" i="75" s="1"/>
  <c r="AN80" i="75" s="1"/>
  <c r="AN81" i="75" s="1"/>
  <c r="AN82" i="75" s="1"/>
  <c r="AN83" i="75" s="1"/>
  <c r="AN84" i="75" s="1"/>
  <c r="AN85" i="75" s="1"/>
  <c r="AN86" i="75" s="1"/>
  <c r="AN87" i="75" s="1"/>
  <c r="V9" i="75"/>
  <c r="R9" i="75" s="1"/>
  <c r="U11" i="75"/>
  <c r="I18" i="75"/>
  <c r="AB48" i="75"/>
  <c r="C26" i="75"/>
  <c r="AL80" i="75"/>
  <c r="AL77" i="75"/>
  <c r="AL59" i="75"/>
  <c r="AL60" i="75"/>
  <c r="AL70" i="75"/>
  <c r="AD54" i="75"/>
  <c r="Y43" i="75"/>
  <c r="Y42" i="75"/>
  <c r="BJ8" i="75"/>
  <c r="BJ7" i="75" s="1"/>
  <c r="BH10" i="75"/>
  <c r="BH11" i="75" s="1"/>
  <c r="BI9" i="75"/>
  <c r="I16" i="75"/>
  <c r="I20" i="75"/>
  <c r="I17" i="75"/>
  <c r="C25" i="75"/>
  <c r="C28" i="75" s="1"/>
  <c r="AL63" i="75"/>
  <c r="AL53" i="75"/>
  <c r="AL74" i="75"/>
  <c r="AL55" i="75"/>
  <c r="BA9" i="75"/>
  <c r="Y44" i="75"/>
  <c r="BK8" i="75"/>
  <c r="Y45" i="75"/>
  <c r="A24" i="59"/>
  <c r="A23" i="59"/>
  <c r="A21" i="59"/>
  <c r="BS7" i="59"/>
  <c r="BS8" i="59"/>
  <c r="BS9" i="59" s="1"/>
  <c r="BS10" i="59" s="1"/>
  <c r="BS11" i="59"/>
  <c r="BS12" i="59" s="1"/>
  <c r="BS13" i="59" s="1"/>
  <c r="BS14" i="59" s="1"/>
  <c r="BS15" i="59" s="1"/>
  <c r="BS16" i="59" s="1"/>
  <c r="BS17" i="59" s="1"/>
  <c r="BS18" i="59" s="1"/>
  <c r="BR6" i="59"/>
  <c r="BQ7" i="59"/>
  <c r="BQ8" i="59"/>
  <c r="BR7" i="59"/>
  <c r="AD65" i="59"/>
  <c r="D14" i="59"/>
  <c r="T29" i="59"/>
  <c r="T38" i="59"/>
  <c r="U21" i="59"/>
  <c r="V21" i="59" s="1"/>
  <c r="U18" i="59"/>
  <c r="V18" i="59" s="1"/>
  <c r="U19" i="59"/>
  <c r="V19" i="59" s="1"/>
  <c r="U20" i="59"/>
  <c r="V20" i="59" s="1"/>
  <c r="E12" i="59"/>
  <c r="AA14" i="59"/>
  <c r="U7" i="59"/>
  <c r="V7" i="59" s="1"/>
  <c r="W7" i="59" s="1"/>
  <c r="X7" i="59" s="1"/>
  <c r="U8" i="59"/>
  <c r="V8" i="59"/>
  <c r="W8" i="59" s="1"/>
  <c r="X8" i="59" s="1"/>
  <c r="U9" i="59"/>
  <c r="V9" i="59" s="1"/>
  <c r="W9" i="59" s="1"/>
  <c r="X9" i="59" s="1"/>
  <c r="U10" i="59"/>
  <c r="V10" i="59"/>
  <c r="W10" i="59" s="1"/>
  <c r="X10" i="59" s="1"/>
  <c r="U11" i="59"/>
  <c r="U12" i="59"/>
  <c r="V12" i="59"/>
  <c r="W12" i="59" s="1"/>
  <c r="X12" i="59" s="1"/>
  <c r="U13" i="59"/>
  <c r="U14" i="59"/>
  <c r="V14" i="59"/>
  <c r="W14" i="59" s="1"/>
  <c r="X14" i="59" s="1"/>
  <c r="U15" i="59"/>
  <c r="V15" i="59" s="1"/>
  <c r="W15" i="59" s="1"/>
  <c r="X15" i="59" s="1"/>
  <c r="U16" i="59"/>
  <c r="V16" i="59"/>
  <c r="W16" i="59" s="1"/>
  <c r="U17" i="59"/>
  <c r="V17" i="59" s="1"/>
  <c r="W17" i="59" s="1"/>
  <c r="X17" i="59" s="1"/>
  <c r="AB14" i="59"/>
  <c r="AB15" i="59"/>
  <c r="AA15" i="59"/>
  <c r="Q2" i="59"/>
  <c r="K2" i="59"/>
  <c r="U6" i="59"/>
  <c r="V6" i="59" s="1"/>
  <c r="W6" i="59" s="1"/>
  <c r="X6" i="59" s="1"/>
  <c r="U5" i="59"/>
  <c r="V5" i="59" s="1"/>
  <c r="W5" i="59" s="1"/>
  <c r="X5" i="59"/>
  <c r="D15" i="59"/>
  <c r="C20" i="59"/>
  <c r="D20" i="59"/>
  <c r="AB65" i="59"/>
  <c r="E7" i="59"/>
  <c r="AM3" i="59"/>
  <c r="G3" i="59"/>
  <c r="AC65" i="59"/>
  <c r="C26" i="59"/>
  <c r="C25" i="59" s="1"/>
  <c r="D26" i="59"/>
  <c r="D25" i="59" s="1"/>
  <c r="Y52" i="59"/>
  <c r="Y53" i="59"/>
  <c r="U55" i="59"/>
  <c r="AJ47" i="59"/>
  <c r="F6" i="66"/>
  <c r="C18" i="66" s="1"/>
  <c r="H11" i="66" s="1"/>
  <c r="Z11" i="66" s="1"/>
  <c r="I7" i="66"/>
  <c r="C20" i="66"/>
  <c r="W12" i="66" s="1"/>
  <c r="W13" i="66" s="1"/>
  <c r="W14" i="66" s="1"/>
  <c r="J7" i="66"/>
  <c r="N6" i="66"/>
  <c r="D22" i="59"/>
  <c r="AI1" i="59"/>
  <c r="R9" i="59"/>
  <c r="BC9" i="59"/>
  <c r="AM9" i="59"/>
  <c r="AM10" i="59" s="1"/>
  <c r="AM11" i="59" s="1"/>
  <c r="AM12" i="59" s="1"/>
  <c r="AM13" i="59" s="1"/>
  <c r="AM14" i="59" s="1"/>
  <c r="AM15" i="59" s="1"/>
  <c r="AM16" i="59" s="1"/>
  <c r="AM17" i="59" s="1"/>
  <c r="AM18" i="59" s="1"/>
  <c r="AM19" i="59" s="1"/>
  <c r="AM20" i="59" s="1"/>
  <c r="AM21" i="59" s="1"/>
  <c r="AM22" i="59" s="1"/>
  <c r="AM23" i="59" s="1"/>
  <c r="AM24" i="59" s="1"/>
  <c r="AM25" i="59" s="1"/>
  <c r="AM26" i="59" s="1"/>
  <c r="AM27" i="59" s="1"/>
  <c r="AM28" i="59" s="1"/>
  <c r="AM29" i="59" s="1"/>
  <c r="AM30" i="59" s="1"/>
  <c r="AM31" i="59" s="1"/>
  <c r="AM32" i="59" s="1"/>
  <c r="AM33" i="59" s="1"/>
  <c r="AM34" i="59" s="1"/>
  <c r="AM35" i="59" s="1"/>
  <c r="AM36" i="59" s="1"/>
  <c r="AM37" i="59" s="1"/>
  <c r="AM38" i="59" s="1"/>
  <c r="AM39" i="59" s="1"/>
  <c r="AM40" i="59" s="1"/>
  <c r="AM41" i="59" s="1"/>
  <c r="AM42" i="59" s="1"/>
  <c r="AM43" i="59" s="1"/>
  <c r="AM44" i="59" s="1"/>
  <c r="AM45" i="59" s="1"/>
  <c r="AM46" i="59" s="1"/>
  <c r="AM47" i="59" s="1"/>
  <c r="AM48" i="59" s="1"/>
  <c r="AM49" i="59" s="1"/>
  <c r="AM50" i="59" s="1"/>
  <c r="AM51" i="59" s="1"/>
  <c r="AM52" i="59" s="1"/>
  <c r="AM53" i="59" s="1"/>
  <c r="AM54" i="59" s="1"/>
  <c r="AM55" i="59" s="1"/>
  <c r="AM56" i="59" s="1"/>
  <c r="AM57" i="59" s="1"/>
  <c r="AM58" i="59" s="1"/>
  <c r="AM59" i="59" s="1"/>
  <c r="AM60" i="59" s="1"/>
  <c r="AM61" i="59" s="1"/>
  <c r="AM62" i="59" s="1"/>
  <c r="AM63" i="59" s="1"/>
  <c r="AM64" i="59" s="1"/>
  <c r="AM65" i="59" s="1"/>
  <c r="AM66" i="59" s="1"/>
  <c r="AM67" i="59" s="1"/>
  <c r="AM68" i="59" s="1"/>
  <c r="AM69" i="59" s="1"/>
  <c r="AM70" i="59" s="1"/>
  <c r="AM71" i="59" s="1"/>
  <c r="AM72" i="59" s="1"/>
  <c r="AM73" i="59" s="1"/>
  <c r="AM74" i="59" s="1"/>
  <c r="AM75" i="59" s="1"/>
  <c r="AM76" i="59" s="1"/>
  <c r="AM77" i="59" s="1"/>
  <c r="AM78" i="59" s="1"/>
  <c r="AM79" i="59" s="1"/>
  <c r="AM80" i="59" s="1"/>
  <c r="AM81" i="59" s="1"/>
  <c r="AM82" i="59" s="1"/>
  <c r="AM83" i="59" s="1"/>
  <c r="AM84" i="59" s="1"/>
  <c r="AM85" i="59" s="1"/>
  <c r="AM86" i="59" s="1"/>
  <c r="AM87" i="59" s="1"/>
  <c r="AM88" i="59" s="1"/>
  <c r="AM89" i="59" s="1"/>
  <c r="AM90" i="59" s="1"/>
  <c r="AM91" i="59" s="1"/>
  <c r="AM92" i="59" s="1"/>
  <c r="AM93" i="59" s="1"/>
  <c r="AM94" i="59" s="1"/>
  <c r="AM95" i="59" s="1"/>
  <c r="AM96" i="59" s="1"/>
  <c r="AM97" i="59" s="1"/>
  <c r="AM98" i="59" s="1"/>
  <c r="AM99" i="59" s="1"/>
  <c r="AM100" i="59" s="1"/>
  <c r="AM101" i="59" s="1"/>
  <c r="AM102" i="59" s="1"/>
  <c r="AM103" i="59" s="1"/>
  <c r="AM104" i="59" s="1"/>
  <c r="AM105" i="59" s="1"/>
  <c r="AM106" i="59" s="1"/>
  <c r="AM107" i="59" s="1"/>
  <c r="AM108" i="59" s="1"/>
  <c r="Y54" i="61"/>
  <c r="Z54" i="61"/>
  <c r="AA54" i="61"/>
  <c r="X54" i="61"/>
  <c r="C23" i="66"/>
  <c r="F12" i="66"/>
  <c r="U12" i="66" s="1"/>
  <c r="G11" i="66"/>
  <c r="N3" i="66" s="1"/>
  <c r="G12" i="66" s="1"/>
  <c r="M6" i="66"/>
  <c r="T5" i="66"/>
  <c r="S5" i="66"/>
  <c r="R5" i="66"/>
  <c r="Q5" i="66"/>
  <c r="S4" i="66"/>
  <c r="R4" i="66"/>
  <c r="Q4" i="66"/>
  <c r="M11" i="66"/>
  <c r="B6" i="65"/>
  <c r="B5" i="65"/>
  <c r="C37" i="65" s="1"/>
  <c r="B3" i="65"/>
  <c r="B21" i="65" s="1"/>
  <c r="AD47" i="59"/>
  <c r="Z48" i="59"/>
  <c r="Z49" i="59"/>
  <c r="AQ1" i="61"/>
  <c r="AA57" i="59"/>
  <c r="AN8" i="59"/>
  <c r="AB50" i="59"/>
  <c r="K4" i="63"/>
  <c r="B8" i="63" s="1"/>
  <c r="K3" i="63"/>
  <c r="K2" i="63"/>
  <c r="D35" i="59"/>
  <c r="C35" i="59"/>
  <c r="AK47" i="59"/>
  <c r="AK48" i="59"/>
  <c r="AK49" i="59" s="1"/>
  <c r="AK50" i="59" s="1"/>
  <c r="AK51" i="59" s="1"/>
  <c r="AK52" i="59" s="1"/>
  <c r="AK53" i="59" s="1"/>
  <c r="AK54" i="59" s="1"/>
  <c r="AK55" i="59" s="1"/>
  <c r="AK56" i="59"/>
  <c r="AK57" i="59" s="1"/>
  <c r="AK58" i="59" s="1"/>
  <c r="AK59" i="59" s="1"/>
  <c r="AK60" i="59" s="1"/>
  <c r="AK61" i="59" s="1"/>
  <c r="AK62" i="59" s="1"/>
  <c r="AK63" i="59" s="1"/>
  <c r="AK64" i="59"/>
  <c r="AK65" i="59" s="1"/>
  <c r="AK66" i="59" s="1"/>
  <c r="AK67" i="59" s="1"/>
  <c r="AK68" i="59" s="1"/>
  <c r="AK69" i="59" s="1"/>
  <c r="AK70" i="59" s="1"/>
  <c r="AK71" i="59" s="1"/>
  <c r="AK72" i="59" s="1"/>
  <c r="AK73" i="59" s="1"/>
  <c r="AK74" i="59" s="1"/>
  <c r="AK75" i="59" s="1"/>
  <c r="AK76" i="59" s="1"/>
  <c r="AK77" i="59" s="1"/>
  <c r="AK78" i="59" s="1"/>
  <c r="AK79" i="59" s="1"/>
  <c r="AK80" i="59" s="1"/>
  <c r="AK81" i="59" s="1"/>
  <c r="AK82" i="59" s="1"/>
  <c r="AK83" i="59" s="1"/>
  <c r="AK84" i="59" s="1"/>
  <c r="AK85" i="59" s="1"/>
  <c r="AK86" i="59" s="1"/>
  <c r="AK87" i="59" s="1"/>
  <c r="AK118" i="59" s="1"/>
  <c r="AK119" i="59" s="1"/>
  <c r="AK120" i="59" s="1"/>
  <c r="AK121" i="59" s="1"/>
  <c r="AK122" i="59" s="1"/>
  <c r="AK123" i="59" s="1"/>
  <c r="AK124" i="59" s="1"/>
  <c r="AK125" i="59" s="1"/>
  <c r="AK126" i="59" s="1"/>
  <c r="AK127" i="59" s="1"/>
  <c r="AK128" i="59" s="1"/>
  <c r="AK129" i="59" s="1"/>
  <c r="AK130" i="59" s="1"/>
  <c r="AK131" i="59" s="1"/>
  <c r="AK132" i="59" s="1"/>
  <c r="AK133" i="59" s="1"/>
  <c r="AK134" i="59" s="1"/>
  <c r="AK135" i="59" s="1"/>
  <c r="AK136" i="59" s="1"/>
  <c r="AK137" i="59" s="1"/>
  <c r="AK138" i="59" s="1"/>
  <c r="AK139" i="59" s="1"/>
  <c r="AK140" i="59" s="1"/>
  <c r="AK141" i="59" s="1"/>
  <c r="AK142" i="59" s="1"/>
  <c r="AK143" i="59" s="1"/>
  <c r="AK144" i="59" s="1"/>
  <c r="AK145" i="59" s="1"/>
  <c r="AK146" i="59" s="1"/>
  <c r="AK147" i="59" s="1"/>
  <c r="AK46" i="59"/>
  <c r="AO1" i="61"/>
  <c r="V54" i="61"/>
  <c r="W54" i="61"/>
  <c r="C17" i="61" s="1"/>
  <c r="Y38" i="61"/>
  <c r="Y37" i="61"/>
  <c r="AC36" i="61"/>
  <c r="C24" i="61"/>
  <c r="D24" i="61" s="1"/>
  <c r="C13" i="61" s="1"/>
  <c r="D14" i="61"/>
  <c r="Q7" i="61"/>
  <c r="Q8" i="61" s="1"/>
  <c r="Q9" i="61" s="1"/>
  <c r="Q10" i="61" s="1"/>
  <c r="Q11" i="61" s="1"/>
  <c r="Q12" i="61" s="1"/>
  <c r="Q13" i="61" s="1"/>
  <c r="Q14" i="61" s="1"/>
  <c r="Q15" i="61" s="1"/>
  <c r="Q16" i="61" s="1"/>
  <c r="Q17" i="61" s="1"/>
  <c r="Q18" i="61" s="1"/>
  <c r="Q19" i="61" s="1"/>
  <c r="Q20" i="61" s="1"/>
  <c r="Q21" i="61" s="1"/>
  <c r="Q22" i="61" s="1"/>
  <c r="Q23" i="61" s="1"/>
  <c r="Q24" i="61" s="1"/>
  <c r="Q25" i="61" s="1"/>
  <c r="Q26" i="61" s="1"/>
  <c r="Q27" i="61" s="1"/>
  <c r="Q28" i="61" s="1"/>
  <c r="Q29" i="61" s="1"/>
  <c r="Q30" i="61" s="1"/>
  <c r="Q31" i="61" s="1"/>
  <c r="Q32" i="61" s="1"/>
  <c r="Q33" i="61" s="1"/>
  <c r="Q34" i="61" s="1"/>
  <c r="Q35" i="61" s="1"/>
  <c r="Q36" i="61" s="1"/>
  <c r="Q37" i="61" s="1"/>
  <c r="Q38" i="61" s="1"/>
  <c r="Q39" i="61" s="1"/>
  <c r="Q40" i="61" s="1"/>
  <c r="Q41" i="61" s="1"/>
  <c r="Q42" i="61" s="1"/>
  <c r="Q43" i="61" s="1"/>
  <c r="Q44" i="61" s="1"/>
  <c r="Q45" i="61" s="1"/>
  <c r="Q46" i="61" s="1"/>
  <c r="Q47" i="61" s="1"/>
  <c r="Q48" i="61" s="1"/>
  <c r="Q49" i="61" s="1"/>
  <c r="Q50" i="61" s="1"/>
  <c r="Q51" i="61" s="1"/>
  <c r="Q52" i="61" s="1"/>
  <c r="Q53" i="61" s="1"/>
  <c r="Q54" i="61" s="1"/>
  <c r="Q55" i="61" s="1"/>
  <c r="Q56" i="61" s="1"/>
  <c r="Q57" i="61" s="1"/>
  <c r="Q58" i="61" s="1"/>
  <c r="Q59" i="61" s="1"/>
  <c r="Q60" i="61" s="1"/>
  <c r="Q61" i="61" s="1"/>
  <c r="Q62" i="61" s="1"/>
  <c r="Q63" i="61" s="1"/>
  <c r="Q64" i="61" s="1"/>
  <c r="Q65" i="61" s="1"/>
  <c r="Q66" i="61" s="1"/>
  <c r="Q67" i="61" s="1"/>
  <c r="F7" i="61"/>
  <c r="F8" i="61" s="1"/>
  <c r="F9" i="61" s="1"/>
  <c r="F10" i="61" s="1"/>
  <c r="F11" i="61" s="1"/>
  <c r="F12" i="61" s="1"/>
  <c r="F13" i="61" s="1"/>
  <c r="F14" i="61" s="1"/>
  <c r="F15" i="61" s="1"/>
  <c r="F16" i="61" s="1"/>
  <c r="F17" i="61" s="1"/>
  <c r="F18" i="61" s="1"/>
  <c r="F19" i="61" s="1"/>
  <c r="F20" i="61" s="1"/>
  <c r="F21" i="61" s="1"/>
  <c r="F22" i="61" s="1"/>
  <c r="F23" i="61" s="1"/>
  <c r="F24" i="61" s="1"/>
  <c r="F25" i="61" s="1"/>
  <c r="F26" i="61" s="1"/>
  <c r="F27" i="61" s="1"/>
  <c r="F28" i="61" s="1"/>
  <c r="F29" i="61" s="1"/>
  <c r="F30" i="61" s="1"/>
  <c r="F31" i="61" s="1"/>
  <c r="F32" i="61" s="1"/>
  <c r="F33" i="61" s="1"/>
  <c r="F34" i="61" s="1"/>
  <c r="F35" i="61" s="1"/>
  <c r="F36" i="61" s="1"/>
  <c r="F37" i="61" s="1"/>
  <c r="F38" i="61" s="1"/>
  <c r="F39" i="61" s="1"/>
  <c r="F40" i="61" s="1"/>
  <c r="F41" i="61" s="1"/>
  <c r="F42" i="61" s="1"/>
  <c r="F43" i="61" s="1"/>
  <c r="F44" i="61" s="1"/>
  <c r="F45" i="61" s="1"/>
  <c r="F46" i="61" s="1"/>
  <c r="F47" i="61" s="1"/>
  <c r="F48" i="61" s="1"/>
  <c r="F49" i="61" s="1"/>
  <c r="F50" i="61" s="1"/>
  <c r="F51" i="61" s="1"/>
  <c r="F52" i="61" s="1"/>
  <c r="F53" i="61" s="1"/>
  <c r="F54" i="61" s="1"/>
  <c r="F55" i="61" s="1"/>
  <c r="F56" i="61" s="1"/>
  <c r="F57" i="61" s="1"/>
  <c r="F58" i="61" s="1"/>
  <c r="F59" i="61" s="1"/>
  <c r="F60" i="61" s="1"/>
  <c r="F61" i="61" s="1"/>
  <c r="F62" i="61" s="1"/>
  <c r="F63" i="61"/>
  <c r="F64" i="61" s="1"/>
  <c r="F65" i="61" s="1"/>
  <c r="F66" i="61" s="1"/>
  <c r="F67" i="61" s="1"/>
  <c r="F68" i="61" s="1"/>
  <c r="F69" i="61" s="1"/>
  <c r="F70" i="61" s="1"/>
  <c r="F71" i="61" s="1"/>
  <c r="F72" i="61" s="1"/>
  <c r="F73" i="61" s="1"/>
  <c r="F74" i="61" s="1"/>
  <c r="F75" i="61" s="1"/>
  <c r="F76" i="61" s="1"/>
  <c r="F77" i="61" s="1"/>
  <c r="F78" i="61" s="1"/>
  <c r="F79" i="61" s="1"/>
  <c r="F80" i="61" s="1"/>
  <c r="F81" i="61" s="1"/>
  <c r="F82" i="61" s="1"/>
  <c r="F83" i="61" s="1"/>
  <c r="F84" i="61" s="1"/>
  <c r="F85" i="61" s="1"/>
  <c r="C7" i="61"/>
  <c r="Y46" i="61" s="1"/>
  <c r="G9" i="59"/>
  <c r="G10" i="59" s="1"/>
  <c r="G11" i="59" s="1"/>
  <c r="G12" i="59" s="1"/>
  <c r="G13" i="59" s="1"/>
  <c r="G14" i="59" s="1"/>
  <c r="G15" i="59" s="1"/>
  <c r="G16" i="59" s="1"/>
  <c r="G17" i="59" s="1"/>
  <c r="G18" i="59" s="1"/>
  <c r="G19" i="59" s="1"/>
  <c r="D23" i="61"/>
  <c r="B25" i="61" s="1"/>
  <c r="BC10" i="59"/>
  <c r="BC11" i="59" s="1"/>
  <c r="BC12" i="59" s="1"/>
  <c r="BC13" i="59"/>
  <c r="BC14" i="59" s="1"/>
  <c r="BC15" i="59" s="1"/>
  <c r="BC16" i="59" s="1"/>
  <c r="BC17" i="59" s="1"/>
  <c r="BC18" i="59" s="1"/>
  <c r="BC25" i="59" s="1"/>
  <c r="BC26" i="59" s="1"/>
  <c r="BC27" i="59"/>
  <c r="BC28" i="59" s="1"/>
  <c r="BC29" i="59" s="1"/>
  <c r="BC30" i="59" s="1"/>
  <c r="BC31" i="59" s="1"/>
  <c r="BC32" i="59" s="1"/>
  <c r="BC33" i="59" s="1"/>
  <c r="BC34" i="59" s="1"/>
  <c r="BC35" i="59" s="1"/>
  <c r="BC36" i="59" s="1"/>
  <c r="BC37" i="59" s="1"/>
  <c r="BC38" i="59" s="1"/>
  <c r="BC39" i="59" s="1"/>
  <c r="BC40" i="59" s="1"/>
  <c r="BC41" i="59" s="1"/>
  <c r="BC42" i="59" s="1"/>
  <c r="BC43" i="59" s="1"/>
  <c r="BC44" i="59" s="1"/>
  <c r="BC45" i="59" s="1"/>
  <c r="BC46" i="59" s="1"/>
  <c r="BC47" i="59" s="1"/>
  <c r="BC48" i="59" s="1"/>
  <c r="BC49" i="59" s="1"/>
  <c r="BC50" i="59" s="1"/>
  <c r="BC51" i="59" s="1"/>
  <c r="BC52" i="59" s="1"/>
  <c r="BC53" i="59" s="1"/>
  <c r="BC54" i="59" s="1"/>
  <c r="BC55" i="59" s="1"/>
  <c r="BC56" i="59" s="1"/>
  <c r="BC57" i="59" s="1"/>
  <c r="BC58" i="59" s="1"/>
  <c r="BC59" i="59" s="1"/>
  <c r="BC60" i="59" s="1"/>
  <c r="BC61" i="59" s="1"/>
  <c r="BC62" i="59" s="1"/>
  <c r="BC63" i="59" s="1"/>
  <c r="BC64" i="59" s="1"/>
  <c r="BC65" i="59" s="1"/>
  <c r="BC66" i="59" s="1"/>
  <c r="BC67" i="59" s="1"/>
  <c r="BC68" i="59" s="1"/>
  <c r="BC69" i="59" s="1"/>
  <c r="BC70" i="59" s="1"/>
  <c r="BC71" i="59" s="1"/>
  <c r="BC72" i="59" s="1"/>
  <c r="BC73" i="59" s="1"/>
  <c r="BC74" i="59" s="1"/>
  <c r="BC75" i="59" s="1"/>
  <c r="BC76" i="59" s="1"/>
  <c r="BC77" i="59" s="1"/>
  <c r="BC78" i="59" s="1"/>
  <c r="BC79" i="59" s="1"/>
  <c r="BC80" i="59" s="1"/>
  <c r="BC81" i="59" s="1"/>
  <c r="R10" i="59"/>
  <c r="R11" i="59" s="1"/>
  <c r="R12" i="59" s="1"/>
  <c r="R13" i="59" s="1"/>
  <c r="R14" i="59" s="1"/>
  <c r="R15" i="59" s="1"/>
  <c r="R16" i="59" s="1"/>
  <c r="R17" i="59" s="1"/>
  <c r="R18" i="59"/>
  <c r="R19" i="59" s="1"/>
  <c r="R20" i="59" s="1"/>
  <c r="R21" i="59" s="1"/>
  <c r="R22" i="59" s="1"/>
  <c r="R23" i="59" s="1"/>
  <c r="R24" i="59" s="1"/>
  <c r="R25" i="59" s="1"/>
  <c r="R26" i="59" s="1"/>
  <c r="R27" i="59" s="1"/>
  <c r="R28" i="59" s="1"/>
  <c r="R29" i="59" s="1"/>
  <c r="R30" i="59" s="1"/>
  <c r="R31" i="59" s="1"/>
  <c r="R32" i="59" s="1"/>
  <c r="R33" i="59" s="1"/>
  <c r="R34" i="59" s="1"/>
  <c r="R35" i="59" s="1"/>
  <c r="R36" i="59" s="1"/>
  <c r="R37" i="59" s="1"/>
  <c r="R38" i="59" s="1"/>
  <c r="R39" i="59" s="1"/>
  <c r="R40" i="59" s="1"/>
  <c r="R41" i="59" s="1"/>
  <c r="R42" i="59" s="1"/>
  <c r="R43" i="59" s="1"/>
  <c r="R44" i="59" s="1"/>
  <c r="R45" i="59" s="1"/>
  <c r="R46" i="59" s="1"/>
  <c r="R47" i="59" s="1"/>
  <c r="R48" i="59" s="1"/>
  <c r="R49" i="59" s="1"/>
  <c r="R50" i="59" s="1"/>
  <c r="R51" i="59" s="1"/>
  <c r="R52" i="59" s="1"/>
  <c r="R53" i="59" s="1"/>
  <c r="R54" i="59" s="1"/>
  <c r="R55" i="59" s="1"/>
  <c r="R56" i="59" s="1"/>
  <c r="R57" i="59" s="1"/>
  <c r="R58" i="59" s="1"/>
  <c r="R59" i="59" s="1"/>
  <c r="R60" i="59" s="1"/>
  <c r="R61" i="59" s="1"/>
  <c r="R62" i="59" s="1"/>
  <c r="R63" i="59" s="1"/>
  <c r="R64" i="59" s="1"/>
  <c r="R65" i="59" s="1"/>
  <c r="R66" i="59" s="1"/>
  <c r="R67" i="59" s="1"/>
  <c r="R68" i="59" s="1"/>
  <c r="R69" i="59" s="1"/>
  <c r="R70" i="59" s="1"/>
  <c r="R71" i="59" s="1"/>
  <c r="R72" i="59" s="1"/>
  <c r="R73" i="59" s="1"/>
  <c r="R74" i="59" s="1"/>
  <c r="R75" i="59" s="1"/>
  <c r="R76" i="59" s="1"/>
  <c r="R77" i="59" s="1"/>
  <c r="R78" i="59" s="1"/>
  <c r="R79" i="59" s="1"/>
  <c r="R80" i="59" s="1"/>
  <c r="R81" i="59" s="1"/>
  <c r="R82" i="59" s="1"/>
  <c r="R83" i="59" s="1"/>
  <c r="R84" i="59" s="1"/>
  <c r="R85" i="59" s="1"/>
  <c r="R86" i="59" s="1"/>
  <c r="R87" i="59" s="1"/>
  <c r="R88" i="59" s="1"/>
  <c r="R89" i="59" s="1"/>
  <c r="R90" i="59" s="1"/>
  <c r="R91" i="59" s="1"/>
  <c r="R92" i="59" s="1"/>
  <c r="R93" i="59" s="1"/>
  <c r="R94" i="59" s="1"/>
  <c r="R95" i="59" s="1"/>
  <c r="R96" i="59" s="1"/>
  <c r="R97" i="59" s="1"/>
  <c r="R98" i="59" s="1"/>
  <c r="R99" i="59" s="1"/>
  <c r="R100" i="59" s="1"/>
  <c r="R101" i="59" s="1"/>
  <c r="R102" i="59" s="1"/>
  <c r="R103" i="59" s="1"/>
  <c r="R104" i="59" s="1"/>
  <c r="R105" i="59" s="1"/>
  <c r="R106" i="59" s="1"/>
  <c r="R107" i="59" s="1"/>
  <c r="R108" i="59" s="1"/>
  <c r="X41" i="61"/>
  <c r="D18" i="61" s="1"/>
  <c r="H8" i="59"/>
  <c r="BE8" i="59" s="1"/>
  <c r="BE7" i="59" s="1"/>
  <c r="V54" i="59"/>
  <c r="AI85" i="59" s="1"/>
  <c r="Z57" i="59"/>
  <c r="C36" i="59"/>
  <c r="E36" i="59" s="1"/>
  <c r="AC57" i="59"/>
  <c r="D36" i="59" s="1"/>
  <c r="D16" i="59"/>
  <c r="E14" i="59"/>
  <c r="AI75" i="59"/>
  <c r="AI78" i="59"/>
  <c r="AI80" i="59"/>
  <c r="AI57" i="59"/>
  <c r="AI56" i="59"/>
  <c r="AI79" i="59"/>
  <c r="AI74" i="59"/>
  <c r="AI68" i="59"/>
  <c r="AI76" i="59"/>
  <c r="AI69" i="59"/>
  <c r="AI73" i="59"/>
  <c r="AI59" i="59"/>
  <c r="AI82" i="59"/>
  <c r="AI58" i="59"/>
  <c r="AI83" i="59"/>
  <c r="AI66" i="59"/>
  <c r="AI63" i="59"/>
  <c r="AI81" i="59"/>
  <c r="AI55" i="59"/>
  <c r="AI67" i="59"/>
  <c r="AI84" i="59"/>
  <c r="AI65" i="59"/>
  <c r="AI77" i="59"/>
  <c r="AI64" i="59"/>
  <c r="AI72" i="59"/>
  <c r="AI49" i="59"/>
  <c r="AI60" i="59"/>
  <c r="D17" i="59"/>
  <c r="D18" i="59"/>
  <c r="Y40" i="75"/>
  <c r="Z40" i="75"/>
  <c r="AC40" i="75"/>
  <c r="AB40" i="75"/>
  <c r="AA40" i="75"/>
  <c r="X40" i="75"/>
  <c r="AH35" i="75"/>
  <c r="AF35" i="75" s="1"/>
  <c r="AL35" i="75"/>
  <c r="AF10" i="94"/>
  <c r="AF12" i="94"/>
  <c r="AF8" i="94"/>
  <c r="C31" i="65"/>
  <c r="C17" i="65"/>
  <c r="C34" i="65"/>
  <c r="C28" i="65"/>
  <c r="C27" i="65"/>
  <c r="C26" i="65"/>
  <c r="C20" i="65"/>
  <c r="C35" i="65"/>
  <c r="C23" i="65"/>
  <c r="B22" i="65"/>
  <c r="C13" i="65"/>
  <c r="C14" i="65"/>
  <c r="C32" i="65"/>
  <c r="C33" i="65"/>
  <c r="C21" i="65"/>
  <c r="C38" i="65"/>
  <c r="C10" i="65"/>
  <c r="C24" i="65"/>
  <c r="B26" i="65"/>
  <c r="B25" i="65"/>
  <c r="C9" i="65"/>
  <c r="C22" i="65"/>
  <c r="C36" i="65"/>
  <c r="C8" i="65"/>
  <c r="BI10" i="94"/>
  <c r="BJ10" i="94" s="1"/>
  <c r="BB10" i="94" s="1"/>
  <c r="AK88" i="59"/>
  <c r="AK89" i="59" s="1"/>
  <c r="AK90" i="59" s="1"/>
  <c r="AK91" i="59" s="1"/>
  <c r="AK92" i="59" s="1"/>
  <c r="AK93" i="59" s="1"/>
  <c r="AK94" i="59" s="1"/>
  <c r="AK95" i="59" s="1"/>
  <c r="AK96" i="59" s="1"/>
  <c r="AK97" i="59" s="1"/>
  <c r="AK98" i="59" s="1"/>
  <c r="AK99" i="59" s="1"/>
  <c r="AK100" i="59" s="1"/>
  <c r="AK101" i="59" s="1"/>
  <c r="AK102" i="59" s="1"/>
  <c r="AK103" i="59" s="1"/>
  <c r="AK104" i="59" s="1"/>
  <c r="AK105" i="59" s="1"/>
  <c r="AK106" i="59" s="1"/>
  <c r="AK107" i="59" s="1"/>
  <c r="AK108" i="59" s="1"/>
  <c r="AK109" i="59" s="1"/>
  <c r="AK110" i="59" s="1"/>
  <c r="AK111" i="59" s="1"/>
  <c r="AK112" i="59" s="1"/>
  <c r="AK113" i="59" s="1"/>
  <c r="AK114" i="59" s="1"/>
  <c r="AK115" i="59" s="1"/>
  <c r="AK116" i="59" s="1"/>
  <c r="AK117" i="59" s="1"/>
  <c r="V11" i="59"/>
  <c r="C15" i="59"/>
  <c r="Z31" i="59"/>
  <c r="Z32" i="59"/>
  <c r="L12" i="66"/>
  <c r="D15" i="75"/>
  <c r="Z10" i="78"/>
  <c r="AA10" i="78" s="1"/>
  <c r="AB10" i="78" s="1"/>
  <c r="AE13" i="78"/>
  <c r="E27" i="78"/>
  <c r="AA21" i="78"/>
  <c r="AA22" i="78"/>
  <c r="Z21" i="78"/>
  <c r="X22" i="78"/>
  <c r="Z22" i="78"/>
  <c r="AF57" i="78"/>
  <c r="G10" i="75"/>
  <c r="W44" i="75"/>
  <c r="BL54" i="75"/>
  <c r="BR8" i="59"/>
  <c r="BQ9" i="59"/>
  <c r="F13" i="66"/>
  <c r="I41" i="78"/>
  <c r="AM66" i="78"/>
  <c r="AL83" i="78"/>
  <c r="AL86" i="78"/>
  <c r="AM63" i="78"/>
  <c r="C29" i="65"/>
  <c r="C25" i="65"/>
  <c r="B24" i="65" s="1"/>
  <c r="C19" i="65"/>
  <c r="C11" i="65"/>
  <c r="C30" i="65"/>
  <c r="C18" i="65"/>
  <c r="C12" i="65"/>
  <c r="C16" i="65"/>
  <c r="N11" i="66"/>
  <c r="AL73" i="75"/>
  <c r="AL68" i="75"/>
  <c r="AL57" i="75"/>
  <c r="AL72" i="75"/>
  <c r="AL84" i="75"/>
  <c r="AL67" i="75"/>
  <c r="AL66" i="75"/>
  <c r="AL71" i="75"/>
  <c r="AL82" i="75"/>
  <c r="I10" i="75"/>
  <c r="AL75" i="75"/>
  <c r="AL79" i="75"/>
  <c r="AL56" i="75"/>
  <c r="AL54" i="75"/>
  <c r="AL65" i="75"/>
  <c r="AL61" i="75"/>
  <c r="AL51" i="75"/>
  <c r="AL69" i="75"/>
  <c r="I9" i="75"/>
  <c r="AL83" i="75"/>
  <c r="AL78" i="75"/>
  <c r="AL81" i="75"/>
  <c r="AL64" i="75"/>
  <c r="AL50" i="75"/>
  <c r="AL62" i="75"/>
  <c r="AL58" i="75"/>
  <c r="AL85" i="75"/>
  <c r="AL86" i="75"/>
  <c r="AL87" i="75"/>
  <c r="L9" i="75"/>
  <c r="A21" i="75"/>
  <c r="AH36" i="75"/>
  <c r="AG37" i="75"/>
  <c r="Y53" i="78"/>
  <c r="I40" i="78"/>
  <c r="I33" i="78"/>
  <c r="I42" i="78"/>
  <c r="I44" i="78"/>
  <c r="I39" i="78"/>
  <c r="I35" i="78"/>
  <c r="AF97" i="78"/>
  <c r="I37" i="78"/>
  <c r="I34" i="78"/>
  <c r="I43" i="78"/>
  <c r="AQ11" i="78"/>
  <c r="AQ9" i="78"/>
  <c r="Z11" i="78"/>
  <c r="AA11" i="78" s="1"/>
  <c r="AB11" i="78"/>
  <c r="AE43" i="78"/>
  <c r="AE40" i="78"/>
  <c r="I30" i="78"/>
  <c r="I21" i="78"/>
  <c r="I28" i="78"/>
  <c r="AD54" i="86"/>
  <c r="Y42" i="86"/>
  <c r="W45" i="86"/>
  <c r="G11" i="86"/>
  <c r="U11" i="88"/>
  <c r="U12" i="88" s="1"/>
  <c r="V10" i="88"/>
  <c r="R10" i="88" s="1"/>
  <c r="AD66" i="88"/>
  <c r="AB48" i="88"/>
  <c r="AM38" i="86"/>
  <c r="AM37" i="86"/>
  <c r="AM39" i="86"/>
  <c r="I20" i="86"/>
  <c r="I28" i="86"/>
  <c r="I15" i="86"/>
  <c r="I32" i="86"/>
  <c r="I17" i="86"/>
  <c r="I18" i="86"/>
  <c r="I27" i="86"/>
  <c r="I31" i="86"/>
  <c r="I30" i="86"/>
  <c r="I21" i="86"/>
  <c r="I24" i="86"/>
  <c r="I22" i="86"/>
  <c r="I16" i="86"/>
  <c r="I23" i="86"/>
  <c r="I78" i="86"/>
  <c r="I83" i="86"/>
  <c r="I72" i="86"/>
  <c r="I67" i="86"/>
  <c r="I89" i="86"/>
  <c r="I107" i="86"/>
  <c r="I106" i="86"/>
  <c r="I68" i="86"/>
  <c r="I101" i="86"/>
  <c r="I82" i="86"/>
  <c r="I95" i="86"/>
  <c r="I108" i="86"/>
  <c r="I61" i="86"/>
  <c r="I85" i="86"/>
  <c r="I102" i="86"/>
  <c r="I74" i="86"/>
  <c r="I104" i="86"/>
  <c r="I99" i="86"/>
  <c r="I58" i="86"/>
  <c r="I88" i="86"/>
  <c r="I71" i="86"/>
  <c r="I84" i="86"/>
  <c r="I105" i="86"/>
  <c r="I98" i="86"/>
  <c r="I60" i="86"/>
  <c r="I69" i="86"/>
  <c r="I96" i="86"/>
  <c r="I91" i="86"/>
  <c r="I65" i="86"/>
  <c r="I90" i="86"/>
  <c r="I81" i="86"/>
  <c r="I79" i="86"/>
  <c r="I93" i="86"/>
  <c r="I64" i="86"/>
  <c r="I57" i="86"/>
  <c r="I94" i="86"/>
  <c r="I87" i="86"/>
  <c r="I77" i="86"/>
  <c r="I76" i="86"/>
  <c r="D15" i="86"/>
  <c r="I51" i="88"/>
  <c r="I49" i="88"/>
  <c r="I47" i="88"/>
  <c r="I53" i="88"/>
  <c r="I55" i="88"/>
  <c r="I46" i="88"/>
  <c r="I56" i="88"/>
  <c r="I50" i="88"/>
  <c r="AN47" i="88"/>
  <c r="AN48" i="88"/>
  <c r="AN49" i="88" s="1"/>
  <c r="AN50" i="88" s="1"/>
  <c r="AN51" i="88" s="1"/>
  <c r="AN52" i="88" s="1"/>
  <c r="AN53" i="88" s="1"/>
  <c r="AN54" i="88" s="1"/>
  <c r="AN55" i="88" s="1"/>
  <c r="AN56" i="88" s="1"/>
  <c r="AN57" i="88" s="1"/>
  <c r="AN58" i="88" s="1"/>
  <c r="AN59" i="88" s="1"/>
  <c r="AN60" i="88" s="1"/>
  <c r="AN61" i="88" s="1"/>
  <c r="AN62" i="88" s="1"/>
  <c r="AN63" i="88" s="1"/>
  <c r="AN64" i="88" s="1"/>
  <c r="AN65" i="88" s="1"/>
  <c r="AN66" i="88" s="1"/>
  <c r="AN67" i="88" s="1"/>
  <c r="AN68" i="88" s="1"/>
  <c r="AN69" i="88" s="1"/>
  <c r="AN70" i="88" s="1"/>
  <c r="AN71" i="88" s="1"/>
  <c r="AN72" i="88" s="1"/>
  <c r="AN73" i="88" s="1"/>
  <c r="AN74" i="88" s="1"/>
  <c r="AN75" i="88" s="1"/>
  <c r="AN76" i="88" s="1"/>
  <c r="AN77" i="88" s="1"/>
  <c r="AN78" i="88" s="1"/>
  <c r="AN79" i="88" s="1"/>
  <c r="AN80" i="88" s="1"/>
  <c r="AN81" i="88" s="1"/>
  <c r="AN82" i="88" s="1"/>
  <c r="AN83" i="88" s="1"/>
  <c r="AN84" i="88" s="1"/>
  <c r="AN85" i="88" s="1"/>
  <c r="AN86" i="88" s="1"/>
  <c r="AN87" i="88" s="1"/>
  <c r="AN46" i="88"/>
  <c r="I49" i="86"/>
  <c r="I55" i="86"/>
  <c r="I54" i="86"/>
  <c r="I45" i="86"/>
  <c r="I48" i="86"/>
  <c r="I51" i="86"/>
  <c r="I50" i="86"/>
  <c r="I47" i="86"/>
  <c r="I56" i="86"/>
  <c r="I46" i="86"/>
  <c r="I52" i="86"/>
  <c r="AI36" i="88"/>
  <c r="U11" i="91"/>
  <c r="V10" i="91"/>
  <c r="R10" i="91" s="1"/>
  <c r="AL76" i="91"/>
  <c r="AI36" i="86"/>
  <c r="D13" i="86"/>
  <c r="AD54" i="88"/>
  <c r="I93" i="88"/>
  <c r="I82" i="88"/>
  <c r="I68" i="88"/>
  <c r="I58" i="88"/>
  <c r="I108" i="88"/>
  <c r="I95" i="88"/>
  <c r="I74" i="88"/>
  <c r="W45" i="91"/>
  <c r="L10" i="91"/>
  <c r="G11" i="91"/>
  <c r="BL55" i="91"/>
  <c r="H10" i="91"/>
  <c r="BJ10" i="91" s="1"/>
  <c r="BH10" i="91"/>
  <c r="BI9" i="91"/>
  <c r="AF35" i="91"/>
  <c r="AL35" i="91"/>
  <c r="AD65" i="91"/>
  <c r="AB49" i="91" s="1"/>
  <c r="C26" i="91"/>
  <c r="D26" i="91"/>
  <c r="I56" i="91"/>
  <c r="I51" i="91"/>
  <c r="I45" i="91"/>
  <c r="I53" i="91"/>
  <c r="I49" i="91"/>
  <c r="I46" i="91"/>
  <c r="I52" i="91"/>
  <c r="I55" i="91"/>
  <c r="I47" i="91"/>
  <c r="D13" i="91"/>
  <c r="AE14" i="91"/>
  <c r="AM47" i="91"/>
  <c r="AE15" i="91"/>
  <c r="L9" i="91"/>
  <c r="AE12" i="91"/>
  <c r="R9" i="94"/>
  <c r="AM64" i="94"/>
  <c r="AM48" i="94"/>
  <c r="AF9" i="94"/>
  <c r="AM59" i="94"/>
  <c r="A23" i="94"/>
  <c r="U12" i="91"/>
  <c r="V11" i="91"/>
  <c r="R11" i="91" s="1"/>
  <c r="AF98" i="78"/>
  <c r="I49" i="78"/>
  <c r="I46" i="78"/>
  <c r="I51" i="78"/>
  <c r="I48" i="78"/>
  <c r="I53" i="78"/>
  <c r="I50" i="78"/>
  <c r="I52" i="78"/>
  <c r="I45" i="78"/>
  <c r="I54" i="78"/>
  <c r="I55" i="78"/>
  <c r="I47" i="78"/>
  <c r="I56" i="78"/>
  <c r="H6" i="61"/>
  <c r="T36" i="61" s="1"/>
  <c r="AA46" i="61"/>
  <c r="AR108" i="91"/>
  <c r="AR103" i="91"/>
  <c r="AR96" i="91"/>
  <c r="AR99" i="91"/>
  <c r="AR86" i="91"/>
  <c r="AR80" i="91"/>
  <c r="AR83" i="91"/>
  <c r="AR72" i="91"/>
  <c r="AR82" i="91"/>
  <c r="AR61" i="91"/>
  <c r="AR67" i="91"/>
  <c r="AR64" i="91"/>
  <c r="AR56" i="91"/>
  <c r="AR38" i="91"/>
  <c r="AR49" i="91"/>
  <c r="AR34" i="91"/>
  <c r="AR57" i="91"/>
  <c r="AR36" i="91"/>
  <c r="AR50" i="91"/>
  <c r="AR46" i="91"/>
  <c r="AR10" i="91"/>
  <c r="AR27" i="91"/>
  <c r="AR12" i="91"/>
  <c r="AR26" i="91"/>
  <c r="AR15" i="91"/>
  <c r="AR25" i="91"/>
  <c r="AR107" i="91"/>
  <c r="AR102" i="91"/>
  <c r="AR94" i="91"/>
  <c r="AR93" i="91"/>
  <c r="AR84" i="91"/>
  <c r="AR91" i="91"/>
  <c r="AR77" i="91"/>
  <c r="AR70" i="91"/>
  <c r="AR79" i="91"/>
  <c r="AR59" i="91"/>
  <c r="AR65" i="91"/>
  <c r="AR62" i="91"/>
  <c r="AR45" i="91"/>
  <c r="AR24" i="91"/>
  <c r="AR48" i="91"/>
  <c r="AR33" i="91"/>
  <c r="AF57" i="91"/>
  <c r="AR31" i="91"/>
  <c r="AR40" i="91"/>
  <c r="AR29" i="91"/>
  <c r="AR81" i="91"/>
  <c r="AR22" i="91"/>
  <c r="AR53" i="91"/>
  <c r="AR23" i="91"/>
  <c r="AR13" i="91"/>
  <c r="AR11" i="91"/>
  <c r="AR105" i="91"/>
  <c r="AR100" i="91"/>
  <c r="AR106" i="91"/>
  <c r="AR90" i="91"/>
  <c r="AR97" i="91"/>
  <c r="AR87" i="91"/>
  <c r="AR76" i="91"/>
  <c r="AR89" i="91"/>
  <c r="AR73" i="91"/>
  <c r="AR75" i="91"/>
  <c r="AR78" i="91"/>
  <c r="AR60" i="91"/>
  <c r="AR42" i="91"/>
  <c r="AR66" i="91"/>
  <c r="AR47" i="91"/>
  <c r="AR30" i="91"/>
  <c r="AR43" i="91"/>
  <c r="AR54" i="91"/>
  <c r="AR28" i="91"/>
  <c r="AR20" i="91"/>
  <c r="AR35" i="91"/>
  <c r="AR18" i="91"/>
  <c r="AR51" i="91"/>
  <c r="AR19" i="91"/>
  <c r="AE13" i="91"/>
  <c r="AR104" i="91"/>
  <c r="AR92" i="91"/>
  <c r="AR63" i="91"/>
  <c r="AR39" i="91"/>
  <c r="AR41" i="91"/>
  <c r="AR32" i="91"/>
  <c r="AR9" i="91"/>
  <c r="AR98" i="91"/>
  <c r="AR95" i="91"/>
  <c r="AR69" i="91"/>
  <c r="AR55" i="91"/>
  <c r="AR52" i="91"/>
  <c r="AR14" i="91"/>
  <c r="AR101" i="91"/>
  <c r="AR74" i="91"/>
  <c r="AR71" i="91"/>
  <c r="AR37" i="91"/>
  <c r="AR21" i="91"/>
  <c r="AR44" i="91"/>
  <c r="AR58" i="91"/>
  <c r="AR68" i="91"/>
  <c r="AR88" i="91"/>
  <c r="AR16" i="91"/>
  <c r="AR85" i="91"/>
  <c r="AR17" i="91"/>
  <c r="V11" i="88"/>
  <c r="R11" i="88" s="1"/>
  <c r="H9" i="86"/>
  <c r="BJ9" i="86"/>
  <c r="AQ12" i="86"/>
  <c r="H10" i="86"/>
  <c r="BJ10" i="86" s="1"/>
  <c r="AQ11" i="86"/>
  <c r="AQ9" i="86"/>
  <c r="AQ13" i="86"/>
  <c r="H11" i="86"/>
  <c r="BJ11" i="86"/>
  <c r="AL50" i="78"/>
  <c r="I29" i="75"/>
  <c r="I21" i="75"/>
  <c r="I32" i="75"/>
  <c r="AG38" i="75"/>
  <c r="I22" i="75"/>
  <c r="I23" i="75"/>
  <c r="I25" i="75"/>
  <c r="I26" i="75"/>
  <c r="I27" i="75"/>
  <c r="I24" i="75"/>
  <c r="I28" i="75"/>
  <c r="I30" i="75"/>
  <c r="I31" i="75"/>
  <c r="U13" i="66"/>
  <c r="F14" i="66"/>
  <c r="BR9" i="59"/>
  <c r="BQ10" i="59"/>
  <c r="H10" i="75"/>
  <c r="BJ10" i="75"/>
  <c r="BL55" i="75"/>
  <c r="G11" i="75"/>
  <c r="W45" i="75"/>
  <c r="L10" i="75"/>
  <c r="AL51" i="78"/>
  <c r="E26" i="91"/>
  <c r="BA9" i="91"/>
  <c r="H10" i="88"/>
  <c r="BJ10" i="88" s="1"/>
  <c r="AQ9" i="88"/>
  <c r="AQ10" i="88"/>
  <c r="H9" i="88"/>
  <c r="BJ9" i="88" s="1"/>
  <c r="AL76" i="88"/>
  <c r="G12" i="86"/>
  <c r="I11" i="86"/>
  <c r="W46" i="86"/>
  <c r="G13" i="66"/>
  <c r="AP15" i="75"/>
  <c r="AP16" i="75" s="1"/>
  <c r="AQ14" i="75"/>
  <c r="E15" i="59"/>
  <c r="C16" i="59"/>
  <c r="C23" i="59" s="1"/>
  <c r="W15" i="66"/>
  <c r="AB48" i="91"/>
  <c r="D25" i="91"/>
  <c r="D24" i="91"/>
  <c r="AD66" i="91"/>
  <c r="C25" i="91"/>
  <c r="C24" i="91"/>
  <c r="BI10" i="91"/>
  <c r="BH11" i="91"/>
  <c r="G12" i="91"/>
  <c r="H11" i="91"/>
  <c r="BJ11" i="91"/>
  <c r="L11" i="91"/>
  <c r="W46" i="91"/>
  <c r="BL56" i="91"/>
  <c r="I11" i="91"/>
  <c r="AR16" i="86"/>
  <c r="AE14" i="86"/>
  <c r="AR20" i="86"/>
  <c r="AR17" i="86"/>
  <c r="AR108" i="86"/>
  <c r="AR98" i="86"/>
  <c r="AR104" i="86"/>
  <c r="AR85" i="86"/>
  <c r="AR89" i="86"/>
  <c r="AR106" i="86"/>
  <c r="AR88" i="86"/>
  <c r="AR78" i="86"/>
  <c r="AR72" i="86"/>
  <c r="AR80" i="86"/>
  <c r="AR56" i="86"/>
  <c r="AR48" i="86"/>
  <c r="AR33" i="86"/>
  <c r="AR65" i="86"/>
  <c r="AF57" i="86"/>
  <c r="AR40" i="86"/>
  <c r="AR42" i="86"/>
  <c r="AR49" i="86"/>
  <c r="AR13" i="86"/>
  <c r="AR14" i="86"/>
  <c r="AR28" i="86"/>
  <c r="AR10" i="86"/>
  <c r="AR25" i="86"/>
  <c r="AR51" i="86"/>
  <c r="AR18" i="86"/>
  <c r="AR107" i="86"/>
  <c r="AR97" i="86"/>
  <c r="AR102" i="86"/>
  <c r="AR83" i="86"/>
  <c r="AR81" i="86"/>
  <c r="AR103" i="86"/>
  <c r="AR86" i="86"/>
  <c r="AR101" i="86"/>
  <c r="AR70" i="86"/>
  <c r="AR63" i="86"/>
  <c r="AR53" i="86"/>
  <c r="AR43" i="86"/>
  <c r="AR32" i="86"/>
  <c r="AR61" i="86"/>
  <c r="AR54" i="86"/>
  <c r="AR73" i="86"/>
  <c r="AR39" i="86"/>
  <c r="AR37" i="86"/>
  <c r="AE13" i="86"/>
  <c r="AR47" i="86"/>
  <c r="AR26" i="86"/>
  <c r="AR12" i="86"/>
  <c r="AR22" i="86"/>
  <c r="AR29" i="86"/>
  <c r="AR90" i="86"/>
  <c r="AR91" i="86"/>
  <c r="AR95" i="86"/>
  <c r="AR74" i="86"/>
  <c r="AR69" i="86"/>
  <c r="AR35" i="86"/>
  <c r="AR57" i="86"/>
  <c r="AR45" i="86"/>
  <c r="AR24" i="86"/>
  <c r="AR30" i="86"/>
  <c r="AR55" i="86"/>
  <c r="AR23" i="86"/>
  <c r="AR15" i="86"/>
  <c r="AR105" i="86"/>
  <c r="AR94" i="86"/>
  <c r="AR79" i="86"/>
  <c r="AR84" i="86"/>
  <c r="AR68" i="86"/>
  <c r="AR52" i="86"/>
  <c r="AR77" i="86"/>
  <c r="AR46" i="86"/>
  <c r="AR38" i="86"/>
  <c r="AR9" i="86"/>
  <c r="AR21" i="86"/>
  <c r="AR67" i="86"/>
  <c r="AR19" i="86"/>
  <c r="AR99" i="86"/>
  <c r="AR87" i="86"/>
  <c r="AR76" i="86"/>
  <c r="AR82" i="86"/>
  <c r="AR66" i="86"/>
  <c r="AR50" i="86"/>
  <c r="AR71" i="86"/>
  <c r="AR44" i="86"/>
  <c r="AR75" i="86"/>
  <c r="AR31" i="86"/>
  <c r="AR11" i="86"/>
  <c r="AR60" i="86"/>
  <c r="AR64" i="86"/>
  <c r="AR62" i="86"/>
  <c r="AR27" i="86"/>
  <c r="AR96" i="86"/>
  <c r="AR93" i="86"/>
  <c r="AR34" i="86"/>
  <c r="AR92" i="86"/>
  <c r="AR41" i="86"/>
  <c r="AR36" i="86"/>
  <c r="AR100" i="86"/>
  <c r="AR59" i="86"/>
  <c r="AR58" i="86"/>
  <c r="AL85" i="86"/>
  <c r="AL91" i="78"/>
  <c r="Y54" i="78"/>
  <c r="AA13" i="66"/>
  <c r="AL48" i="78"/>
  <c r="AL148" i="78"/>
  <c r="D49" i="78"/>
  <c r="E49" i="78" s="1"/>
  <c r="AF56" i="78"/>
  <c r="AL49" i="78"/>
  <c r="G20" i="59"/>
  <c r="W11" i="59"/>
  <c r="G21" i="59"/>
  <c r="L12" i="91"/>
  <c r="BL57" i="91"/>
  <c r="W47" i="91"/>
  <c r="I12" i="91"/>
  <c r="G13" i="91"/>
  <c r="H12" i="91"/>
  <c r="BJ12" i="91" s="1"/>
  <c r="U14" i="66"/>
  <c r="G14" i="66"/>
  <c r="F15" i="66"/>
  <c r="AA14" i="66"/>
  <c r="V12" i="88"/>
  <c r="R12" i="88"/>
  <c r="U13" i="88"/>
  <c r="AL92" i="78"/>
  <c r="Y55" i="78"/>
  <c r="BH12" i="91"/>
  <c r="BI11" i="91"/>
  <c r="L13" i="66"/>
  <c r="N13" i="66"/>
  <c r="M13" i="66"/>
  <c r="W47" i="86"/>
  <c r="L12" i="86"/>
  <c r="I38" i="75"/>
  <c r="I43" i="75"/>
  <c r="I37" i="75"/>
  <c r="I41" i="75"/>
  <c r="I42" i="75"/>
  <c r="I36" i="75"/>
  <c r="AG39" i="75"/>
  <c r="AG40" i="75" s="1"/>
  <c r="I33" i="75"/>
  <c r="I35" i="75"/>
  <c r="I40" i="75"/>
  <c r="I34" i="75"/>
  <c r="I39" i="75"/>
  <c r="I44" i="75"/>
  <c r="I92" i="78"/>
  <c r="I108" i="78"/>
  <c r="I89" i="78"/>
  <c r="I90" i="78"/>
  <c r="I106" i="78"/>
  <c r="I64" i="78"/>
  <c r="I93" i="78"/>
  <c r="I57" i="78"/>
  <c r="I62" i="78"/>
  <c r="I68" i="78"/>
  <c r="I84" i="78"/>
  <c r="I65" i="78"/>
  <c r="I66" i="78"/>
  <c r="I82" i="78"/>
  <c r="I67" i="78"/>
  <c r="I103" i="78"/>
  <c r="I88" i="78"/>
  <c r="I86" i="78"/>
  <c r="I107" i="78"/>
  <c r="I75" i="78"/>
  <c r="BA10" i="91"/>
  <c r="W16" i="66"/>
  <c r="W17" i="66" s="1"/>
  <c r="W18" i="66" s="1"/>
  <c r="W19" i="66" s="1"/>
  <c r="W20" i="66" s="1"/>
  <c r="W21" i="66" s="1"/>
  <c r="W22" i="66" s="1"/>
  <c r="W23" i="66" s="1"/>
  <c r="W24" i="66" s="1"/>
  <c r="W25" i="66" s="1"/>
  <c r="W26" i="66" s="1"/>
  <c r="W27" i="66" s="1"/>
  <c r="W28" i="66" s="1"/>
  <c r="W29" i="66" s="1"/>
  <c r="W30" i="66" s="1"/>
  <c r="W31" i="66" s="1"/>
  <c r="W32" i="66" s="1"/>
  <c r="W33" i="66" s="1"/>
  <c r="W34" i="66" s="1"/>
  <c r="W35" i="66" s="1"/>
  <c r="W36" i="66" s="1"/>
  <c r="W37" i="66" s="1"/>
  <c r="W38" i="66" s="1"/>
  <c r="W39" i="66" s="1"/>
  <c r="W40" i="66" s="1"/>
  <c r="W41" i="66" s="1"/>
  <c r="AQ15" i="75"/>
  <c r="BQ11" i="59"/>
  <c r="BR10" i="59"/>
  <c r="H12" i="86"/>
  <c r="BJ12" i="86" s="1"/>
  <c r="U13" i="91"/>
  <c r="V12" i="91"/>
  <c r="R12" i="91" s="1"/>
  <c r="E16" i="59"/>
  <c r="H11" i="75"/>
  <c r="BJ11" i="75"/>
  <c r="BL56" i="75"/>
  <c r="G12" i="75"/>
  <c r="BL57" i="75" s="1"/>
  <c r="L11" i="75"/>
  <c r="W46" i="75"/>
  <c r="I11" i="75"/>
  <c r="AA56" i="59"/>
  <c r="Z56" i="59" s="1"/>
  <c r="C34" i="59"/>
  <c r="AB56" i="59"/>
  <c r="Q8" i="59"/>
  <c r="AB55" i="59"/>
  <c r="AA55" i="59" s="1"/>
  <c r="L14" i="66"/>
  <c r="M14" i="66"/>
  <c r="N14" i="66"/>
  <c r="V13" i="91"/>
  <c r="R13" i="91"/>
  <c r="U14" i="91"/>
  <c r="V14" i="91" s="1"/>
  <c r="R14" i="91" s="1"/>
  <c r="BQ12" i="59"/>
  <c r="BR11" i="59"/>
  <c r="BA11" i="91"/>
  <c r="AL93" i="78"/>
  <c r="Y56" i="78"/>
  <c r="I13" i="91"/>
  <c r="BL58" i="91"/>
  <c r="G14" i="91"/>
  <c r="H13" i="91"/>
  <c r="BJ13" i="91" s="1"/>
  <c r="W48" i="91"/>
  <c r="L13" i="91"/>
  <c r="G22" i="59"/>
  <c r="I12" i="75"/>
  <c r="L12" i="75"/>
  <c r="I54" i="75"/>
  <c r="I48" i="75"/>
  <c r="I47" i="75"/>
  <c r="I50" i="75"/>
  <c r="I45" i="75"/>
  <c r="F16" i="66"/>
  <c r="G16" i="66"/>
  <c r="C24" i="59"/>
  <c r="AE49" i="59"/>
  <c r="G23" i="59"/>
  <c r="G24" i="59" s="1"/>
  <c r="G25" i="59" s="1"/>
  <c r="G26" i="59" s="1"/>
  <c r="G27" i="59" s="1"/>
  <c r="G28" i="59" s="1"/>
  <c r="G29" i="59" s="1"/>
  <c r="G30" i="59" s="1"/>
  <c r="G31" i="59" s="1"/>
  <c r="G32" i="59" s="1"/>
  <c r="G33" i="59" s="1"/>
  <c r="G34" i="59" s="1"/>
  <c r="G35" i="59" s="1"/>
  <c r="G36" i="59" s="1"/>
  <c r="BR12" i="59"/>
  <c r="BQ13" i="59"/>
  <c r="BR13" i="59" s="1"/>
  <c r="W49" i="91"/>
  <c r="I14" i="91"/>
  <c r="BL59" i="91"/>
  <c r="U23" i="59"/>
  <c r="G37" i="59"/>
  <c r="G38" i="59" s="1"/>
  <c r="G39" i="59" s="1"/>
  <c r="G40" i="59" s="1"/>
  <c r="G41" i="59" s="1"/>
  <c r="G42" i="59" s="1"/>
  <c r="G43" i="59"/>
  <c r="G44" i="59" s="1"/>
  <c r="G45" i="59" s="1"/>
  <c r="G46" i="59"/>
  <c r="G47" i="59" s="1"/>
  <c r="G48" i="59" s="1"/>
  <c r="G49" i="59" s="1"/>
  <c r="G50" i="59" s="1"/>
  <c r="G51" i="59" s="1"/>
  <c r="G52" i="59" s="1"/>
  <c r="G53" i="59" s="1"/>
  <c r="G54" i="59" s="1"/>
  <c r="G55" i="59" s="1"/>
  <c r="G56" i="59" s="1"/>
  <c r="G57" i="59" s="1"/>
  <c r="G58" i="59" s="1"/>
  <c r="W42" i="66"/>
  <c r="W43" i="66" s="1"/>
  <c r="W44" i="66" s="1"/>
  <c r="W45" i="66" s="1"/>
  <c r="W46" i="66" s="1"/>
  <c r="W47" i="66" s="1"/>
  <c r="W48" i="66"/>
  <c r="W49" i="66"/>
  <c r="W50" i="66" s="1"/>
  <c r="W51" i="66" s="1"/>
  <c r="W52" i="66" s="1"/>
  <c r="W53" i="66" s="1"/>
  <c r="G59" i="59"/>
  <c r="G60" i="59" s="1"/>
  <c r="G61" i="59" s="1"/>
  <c r="G62" i="59" s="1"/>
  <c r="G63" i="59" s="1"/>
  <c r="G64" i="59" s="1"/>
  <c r="G65" i="59" s="1"/>
  <c r="G66" i="59" s="1"/>
  <c r="W54" i="66"/>
  <c r="W55" i="66" s="1"/>
  <c r="W56" i="66"/>
  <c r="W57" i="66" s="1"/>
  <c r="W58" i="66" s="1"/>
  <c r="W59" i="66" s="1"/>
  <c r="W60" i="66" s="1"/>
  <c r="W61" i="66" s="1"/>
  <c r="W62" i="66" s="1"/>
  <c r="W63" i="66" s="1"/>
  <c r="W64" i="66" s="1"/>
  <c r="W65" i="66" s="1"/>
  <c r="W66" i="66" s="1"/>
  <c r="W67" i="66" s="1"/>
  <c r="W68" i="66" s="1"/>
  <c r="G67" i="59"/>
  <c r="G68" i="59" s="1"/>
  <c r="G69" i="59" s="1"/>
  <c r="G70" i="59" s="1"/>
  <c r="G71" i="59" s="1"/>
  <c r="G72" i="59" s="1"/>
  <c r="G73" i="59" s="1"/>
  <c r="G74" i="59" s="1"/>
  <c r="G75" i="59" s="1"/>
  <c r="G76" i="59" s="1"/>
  <c r="G77" i="59" s="1"/>
  <c r="G78" i="59" s="1"/>
  <c r="G79" i="59" s="1"/>
  <c r="W69" i="66"/>
  <c r="W70" i="66" s="1"/>
  <c r="W71" i="66" s="1"/>
  <c r="W72" i="66"/>
  <c r="W73" i="66"/>
  <c r="W74" i="66" s="1"/>
  <c r="W75" i="66" s="1"/>
  <c r="G80" i="59"/>
  <c r="G81" i="59" s="1"/>
  <c r="G82" i="59" s="1"/>
  <c r="G83" i="59" s="1"/>
  <c r="G84" i="59" s="1"/>
  <c r="G85" i="59" s="1"/>
  <c r="G86" i="59" s="1"/>
  <c r="G87" i="59" s="1"/>
  <c r="G88" i="59" s="1"/>
  <c r="G89" i="59" s="1"/>
  <c r="G90" i="59" s="1"/>
  <c r="G91" i="59" s="1"/>
  <c r="G92" i="59"/>
  <c r="G93" i="59"/>
  <c r="G94" i="59" s="1"/>
  <c r="G95" i="59" s="1"/>
  <c r="G96" i="59" s="1"/>
  <c r="G97" i="59" s="1"/>
  <c r="G98" i="59" s="1"/>
  <c r="G99" i="59" s="1"/>
  <c r="G100" i="59" s="1"/>
  <c r="G101" i="59" s="1"/>
  <c r="G102" i="59" s="1"/>
  <c r="G103" i="59" s="1"/>
  <c r="G104" i="59" s="1"/>
  <c r="G105" i="59" s="1"/>
  <c r="G106" i="59" s="1"/>
  <c r="G107" i="59" s="1"/>
  <c r="G108" i="59" s="1"/>
  <c r="AC49" i="94"/>
  <c r="AC48" i="94"/>
  <c r="BK7" i="100" l="1"/>
  <c r="X42" i="100"/>
  <c r="X44" i="100"/>
  <c r="E29" i="100"/>
  <c r="AT8" i="100"/>
  <c r="AM46" i="100" s="1"/>
  <c r="E23" i="100"/>
  <c r="AF56" i="100"/>
  <c r="AH49" i="100"/>
  <c r="C24" i="100"/>
  <c r="AF36" i="100" s="1"/>
  <c r="AR58" i="100"/>
  <c r="AR57" i="100"/>
  <c r="AR14" i="100"/>
  <c r="AR65" i="100"/>
  <c r="AR50" i="100"/>
  <c r="J9" i="100"/>
  <c r="AN88" i="75"/>
  <c r="AN89" i="75" s="1"/>
  <c r="AN90" i="75" s="1"/>
  <c r="AN91" i="75" s="1"/>
  <c r="AN92" i="75" s="1"/>
  <c r="AN93" i="75" s="1"/>
  <c r="AN94" i="75" s="1"/>
  <c r="AN95" i="75" s="1"/>
  <c r="AN96" i="75" s="1"/>
  <c r="AN97" i="75" s="1"/>
  <c r="AN98" i="75" s="1"/>
  <c r="AN99" i="75" s="1"/>
  <c r="AN100" i="75" s="1"/>
  <c r="AN101" i="75" s="1"/>
  <c r="AN102" i="75" s="1"/>
  <c r="AN103" i="75" s="1"/>
  <c r="AN104" i="75" s="1"/>
  <c r="AN105" i="75" s="1"/>
  <c r="AN106" i="75" s="1"/>
  <c r="AN107" i="75" s="1"/>
  <c r="AN108" i="75" s="1"/>
  <c r="AN109" i="75" s="1"/>
  <c r="AN110" i="75" s="1"/>
  <c r="AN111" i="75" s="1"/>
  <c r="AN112" i="75" s="1"/>
  <c r="AN113" i="75" s="1"/>
  <c r="AN114" i="75" s="1"/>
  <c r="AN115" i="75" s="1"/>
  <c r="AN116" i="75" s="1"/>
  <c r="AN117" i="75" s="1"/>
  <c r="AN118" i="75"/>
  <c r="AN119" i="75" s="1"/>
  <c r="AN120" i="75" s="1"/>
  <c r="AN121" i="75" s="1"/>
  <c r="AN122" i="75" s="1"/>
  <c r="AN123" i="75" s="1"/>
  <c r="AN124" i="75" s="1"/>
  <c r="AN125" i="75" s="1"/>
  <c r="AN126" i="75" s="1"/>
  <c r="AN127" i="75" s="1"/>
  <c r="AN128" i="75" s="1"/>
  <c r="AN129" i="75" s="1"/>
  <c r="AN130" i="75" s="1"/>
  <c r="AN131" i="75" s="1"/>
  <c r="AN132" i="75" s="1"/>
  <c r="AN133" i="75" s="1"/>
  <c r="AN134" i="75" s="1"/>
  <c r="AN135" i="75" s="1"/>
  <c r="AN136" i="75" s="1"/>
  <c r="AN137" i="75" s="1"/>
  <c r="AN138" i="75" s="1"/>
  <c r="AN139" i="75" s="1"/>
  <c r="AN140" i="75" s="1"/>
  <c r="AN141" i="75" s="1"/>
  <c r="AN142" i="75" s="1"/>
  <c r="AN143" i="75" s="1"/>
  <c r="AN144" i="75" s="1"/>
  <c r="AN145" i="75" s="1"/>
  <c r="AN146" i="75" s="1"/>
  <c r="AN147" i="75" s="1"/>
  <c r="W76" i="66"/>
  <c r="O75" i="66"/>
  <c r="BI12" i="91"/>
  <c r="BH13" i="91"/>
  <c r="BK8" i="91"/>
  <c r="C27" i="91"/>
  <c r="C22" i="91"/>
  <c r="E24" i="91"/>
  <c r="I65" i="75"/>
  <c r="I79" i="75"/>
  <c r="I99" i="75"/>
  <c r="I67" i="75"/>
  <c r="I92" i="75"/>
  <c r="I74" i="75"/>
  <c r="I81" i="75"/>
  <c r="I57" i="75"/>
  <c r="I77" i="75"/>
  <c r="I87" i="75"/>
  <c r="I73" i="75"/>
  <c r="I90" i="75"/>
  <c r="I108" i="75"/>
  <c r="I101" i="75"/>
  <c r="I59" i="75"/>
  <c r="I96" i="75"/>
  <c r="I70" i="75"/>
  <c r="I102" i="75"/>
  <c r="I86" i="75"/>
  <c r="I93" i="75"/>
  <c r="I68" i="75"/>
  <c r="I88" i="75"/>
  <c r="I105" i="75"/>
  <c r="I78" i="75"/>
  <c r="I60" i="75"/>
  <c r="I89" i="75"/>
  <c r="I69" i="75"/>
  <c r="I98" i="75"/>
  <c r="I97" i="75"/>
  <c r="I58" i="75"/>
  <c r="I83" i="75"/>
  <c r="I71" i="75"/>
  <c r="I91" i="75"/>
  <c r="I82" i="75"/>
  <c r="I64" i="75"/>
  <c r="I75" i="75"/>
  <c r="I63" i="75"/>
  <c r="I62" i="75"/>
  <c r="I76" i="75"/>
  <c r="I80" i="75"/>
  <c r="I100" i="75"/>
  <c r="I72" i="75"/>
  <c r="I61" i="75"/>
  <c r="I104" i="75"/>
  <c r="I106" i="75"/>
  <c r="I103" i="75"/>
  <c r="I94" i="75"/>
  <c r="I85" i="75"/>
  <c r="I107" i="75"/>
  <c r="I95" i="75"/>
  <c r="I84" i="75"/>
  <c r="I66" i="75"/>
  <c r="U14" i="88"/>
  <c r="V13" i="88"/>
  <c r="R13" i="88" s="1"/>
  <c r="AN88" i="88"/>
  <c r="AN89" i="88" s="1"/>
  <c r="AN90" i="88" s="1"/>
  <c r="AN91" i="88" s="1"/>
  <c r="AN92" i="88" s="1"/>
  <c r="AN93" i="88" s="1"/>
  <c r="AN94" i="88" s="1"/>
  <c r="AN95" i="88" s="1"/>
  <c r="AN96" i="88" s="1"/>
  <c r="AN97" i="88" s="1"/>
  <c r="AN98" i="88" s="1"/>
  <c r="AN99" i="88" s="1"/>
  <c r="AN100" i="88" s="1"/>
  <c r="AN101" i="88" s="1"/>
  <c r="AN102" i="88" s="1"/>
  <c r="AN103" i="88" s="1"/>
  <c r="AN104" i="88" s="1"/>
  <c r="AN105" i="88" s="1"/>
  <c r="AN106" i="88" s="1"/>
  <c r="AN107" i="88" s="1"/>
  <c r="AN108" i="88" s="1"/>
  <c r="AN109" i="88" s="1"/>
  <c r="AN110" i="88" s="1"/>
  <c r="AN111" i="88" s="1"/>
  <c r="AN112" i="88" s="1"/>
  <c r="AN113" i="88" s="1"/>
  <c r="AN114" i="88" s="1"/>
  <c r="AN115" i="88" s="1"/>
  <c r="AN116" i="88" s="1"/>
  <c r="AN117" i="88" s="1"/>
  <c r="AN118" i="88"/>
  <c r="AN119" i="88" s="1"/>
  <c r="AN120" i="88" s="1"/>
  <c r="AN121" i="88" s="1"/>
  <c r="AN122" i="88" s="1"/>
  <c r="AN123" i="88" s="1"/>
  <c r="AN124" i="88" s="1"/>
  <c r="AN125" i="88" s="1"/>
  <c r="AN126" i="88" s="1"/>
  <c r="AN127" i="88" s="1"/>
  <c r="AN128" i="88" s="1"/>
  <c r="AN129" i="88" s="1"/>
  <c r="AN130" i="88" s="1"/>
  <c r="AN131" i="88" s="1"/>
  <c r="AN132" i="88" s="1"/>
  <c r="AN133" i="88" s="1"/>
  <c r="AN134" i="88" s="1"/>
  <c r="AN135" i="88" s="1"/>
  <c r="AN136" i="88" s="1"/>
  <c r="AN137" i="88" s="1"/>
  <c r="AN138" i="88" s="1"/>
  <c r="AN139" i="88" s="1"/>
  <c r="AN140" i="88" s="1"/>
  <c r="AN141" i="88" s="1"/>
  <c r="AN142" i="88" s="1"/>
  <c r="AN143" i="88" s="1"/>
  <c r="AN144" i="88" s="1"/>
  <c r="AN145" i="88" s="1"/>
  <c r="AN146" i="88" s="1"/>
  <c r="AN147" i="88" s="1"/>
  <c r="J67" i="61"/>
  <c r="Q68" i="61"/>
  <c r="U15" i="91"/>
  <c r="L14" i="91"/>
  <c r="G15" i="91"/>
  <c r="H14" i="91"/>
  <c r="BJ14" i="91" s="1"/>
  <c r="BL57" i="86"/>
  <c r="G13" i="86"/>
  <c r="AP29" i="78"/>
  <c r="AP30" i="78" s="1"/>
  <c r="AP31" i="78" s="1"/>
  <c r="AP32" i="78" s="1"/>
  <c r="AP33" i="78" s="1"/>
  <c r="AQ28" i="78"/>
  <c r="S9" i="59"/>
  <c r="G13" i="75"/>
  <c r="H12" i="75"/>
  <c r="BJ12" i="75" s="1"/>
  <c r="W47" i="75"/>
  <c r="I53" i="75"/>
  <c r="I55" i="75"/>
  <c r="I52" i="75"/>
  <c r="I46" i="75"/>
  <c r="I51" i="75"/>
  <c r="I49" i="75"/>
  <c r="I56" i="75"/>
  <c r="AB54" i="59"/>
  <c r="AB57" i="59"/>
  <c r="I8" i="59"/>
  <c r="I73" i="78"/>
  <c r="I83" i="78"/>
  <c r="I87" i="78"/>
  <c r="I100" i="78"/>
  <c r="I98" i="78"/>
  <c r="I101" i="78"/>
  <c r="I105" i="78"/>
  <c r="I80" i="78"/>
  <c r="I78" i="78"/>
  <c r="I81" i="78"/>
  <c r="I95" i="78"/>
  <c r="I104" i="78"/>
  <c r="I79" i="78"/>
  <c r="I96" i="78"/>
  <c r="I94" i="78"/>
  <c r="I97" i="78"/>
  <c r="I72" i="78"/>
  <c r="I71" i="78"/>
  <c r="I60" i="78"/>
  <c r="I58" i="78"/>
  <c r="I61" i="78"/>
  <c r="I59" i="78"/>
  <c r="I63" i="78"/>
  <c r="I85" i="78"/>
  <c r="I102" i="78"/>
  <c r="I76" i="78"/>
  <c r="I74" i="78"/>
  <c r="I77" i="78"/>
  <c r="I91" i="78"/>
  <c r="I99" i="78"/>
  <c r="I70" i="78"/>
  <c r="I69" i="78"/>
  <c r="BF82" i="78"/>
  <c r="AT75" i="78"/>
  <c r="AN88" i="91"/>
  <c r="AN89" i="91" s="1"/>
  <c r="AN90" i="91" s="1"/>
  <c r="AN91" i="91" s="1"/>
  <c r="AN92" i="91" s="1"/>
  <c r="AN93" i="91" s="1"/>
  <c r="AN94" i="91" s="1"/>
  <c r="AN95" i="91" s="1"/>
  <c r="AN96" i="91" s="1"/>
  <c r="AN97" i="91" s="1"/>
  <c r="AN98" i="91" s="1"/>
  <c r="AN99" i="91" s="1"/>
  <c r="AN100" i="91" s="1"/>
  <c r="AN101" i="91" s="1"/>
  <c r="AN102" i="91" s="1"/>
  <c r="AN103" i="91" s="1"/>
  <c r="AN104" i="91" s="1"/>
  <c r="AN105" i="91" s="1"/>
  <c r="AN106" i="91" s="1"/>
  <c r="AN107" i="91" s="1"/>
  <c r="AN108" i="91" s="1"/>
  <c r="AN109" i="91" s="1"/>
  <c r="AN110" i="91" s="1"/>
  <c r="AN111" i="91" s="1"/>
  <c r="AN112" i="91" s="1"/>
  <c r="AN113" i="91" s="1"/>
  <c r="AN114" i="91" s="1"/>
  <c r="AN115" i="91" s="1"/>
  <c r="AN116" i="91" s="1"/>
  <c r="AN117" i="91" s="1"/>
  <c r="AN118" i="91"/>
  <c r="AN119" i="91" s="1"/>
  <c r="AN120" i="91" s="1"/>
  <c r="AN121" i="91" s="1"/>
  <c r="AN122" i="91" s="1"/>
  <c r="AN123" i="91" s="1"/>
  <c r="AN124" i="91" s="1"/>
  <c r="AN125" i="91" s="1"/>
  <c r="AN126" i="91" s="1"/>
  <c r="AN127" i="91" s="1"/>
  <c r="AN128" i="91" s="1"/>
  <c r="AN129" i="91" s="1"/>
  <c r="AN130" i="91" s="1"/>
  <c r="AN131" i="91" s="1"/>
  <c r="AN132" i="91" s="1"/>
  <c r="AN133" i="91" s="1"/>
  <c r="AN134" i="91" s="1"/>
  <c r="AN135" i="91" s="1"/>
  <c r="AN136" i="91" s="1"/>
  <c r="AN137" i="91" s="1"/>
  <c r="AN138" i="91" s="1"/>
  <c r="AN139" i="91" s="1"/>
  <c r="AN140" i="91" s="1"/>
  <c r="AN141" i="91" s="1"/>
  <c r="AN142" i="91" s="1"/>
  <c r="AN143" i="91" s="1"/>
  <c r="AN144" i="91" s="1"/>
  <c r="AN145" i="91" s="1"/>
  <c r="AN146" i="91" s="1"/>
  <c r="AN147" i="91" s="1"/>
  <c r="T23" i="59"/>
  <c r="X11" i="59"/>
  <c r="AQ75" i="59"/>
  <c r="BC82" i="59"/>
  <c r="AN88" i="86"/>
  <c r="AN89" i="86" s="1"/>
  <c r="AN90" i="86" s="1"/>
  <c r="AN91" i="86" s="1"/>
  <c r="AN92" i="86" s="1"/>
  <c r="AN93" i="86" s="1"/>
  <c r="AN94" i="86" s="1"/>
  <c r="AN95" i="86" s="1"/>
  <c r="AN96" i="86" s="1"/>
  <c r="AN97" i="86" s="1"/>
  <c r="AN98" i="86" s="1"/>
  <c r="AN99" i="86" s="1"/>
  <c r="AN100" i="86" s="1"/>
  <c r="AN101" i="86" s="1"/>
  <c r="AN102" i="86" s="1"/>
  <c r="AN103" i="86" s="1"/>
  <c r="AN104" i="86" s="1"/>
  <c r="AN105" i="86" s="1"/>
  <c r="AN106" i="86" s="1"/>
  <c r="AN107" i="86" s="1"/>
  <c r="AN108" i="86" s="1"/>
  <c r="AN109" i="86" s="1"/>
  <c r="AN110" i="86" s="1"/>
  <c r="AN111" i="86" s="1"/>
  <c r="AN112" i="86" s="1"/>
  <c r="AN113" i="86" s="1"/>
  <c r="AN114" i="86" s="1"/>
  <c r="AN115" i="86" s="1"/>
  <c r="AN116" i="86" s="1"/>
  <c r="AN117" i="86" s="1"/>
  <c r="AN118" i="86"/>
  <c r="AN119" i="86" s="1"/>
  <c r="AN120" i="86" s="1"/>
  <c r="AN121" i="86" s="1"/>
  <c r="AN122" i="86" s="1"/>
  <c r="AN123" i="86" s="1"/>
  <c r="AN124" i="86" s="1"/>
  <c r="AN125" i="86" s="1"/>
  <c r="AN126" i="86" s="1"/>
  <c r="AN127" i="86" s="1"/>
  <c r="AN128" i="86" s="1"/>
  <c r="AN129" i="86" s="1"/>
  <c r="AN130" i="86" s="1"/>
  <c r="AN131" i="86" s="1"/>
  <c r="AN132" i="86" s="1"/>
  <c r="AN133" i="86" s="1"/>
  <c r="AN134" i="86" s="1"/>
  <c r="AN135" i="86" s="1"/>
  <c r="AN136" i="86" s="1"/>
  <c r="AN137" i="86" s="1"/>
  <c r="AN138" i="86" s="1"/>
  <c r="AN139" i="86" s="1"/>
  <c r="AN140" i="86" s="1"/>
  <c r="AN141" i="86" s="1"/>
  <c r="AN142" i="86" s="1"/>
  <c r="AN143" i="86" s="1"/>
  <c r="AN144" i="86" s="1"/>
  <c r="AN145" i="86" s="1"/>
  <c r="AN146" i="86" s="1"/>
  <c r="AN147" i="86" s="1"/>
  <c r="F17" i="66"/>
  <c r="U16" i="66"/>
  <c r="AA16" i="66"/>
  <c r="AL94" i="78"/>
  <c r="Y57" i="78"/>
  <c r="D27" i="91"/>
  <c r="D28" i="91" s="1"/>
  <c r="D22" i="91"/>
  <c r="AN118" i="78"/>
  <c r="AN119" i="78" s="1"/>
  <c r="AN120" i="78" s="1"/>
  <c r="AN121" i="78" s="1"/>
  <c r="AN122" i="78" s="1"/>
  <c r="AN123" i="78" s="1"/>
  <c r="AN124" i="78" s="1"/>
  <c r="AN125" i="78" s="1"/>
  <c r="AN126" i="78" s="1"/>
  <c r="AN127" i="78" s="1"/>
  <c r="AN128" i="78" s="1"/>
  <c r="AN129" i="78" s="1"/>
  <c r="AN130" i="78" s="1"/>
  <c r="AN131" i="78" s="1"/>
  <c r="AN132" i="78" s="1"/>
  <c r="AN133" i="78" s="1"/>
  <c r="AN134" i="78" s="1"/>
  <c r="AN135" i="78" s="1"/>
  <c r="AN136" i="78" s="1"/>
  <c r="AN137" i="78" s="1"/>
  <c r="AN138" i="78" s="1"/>
  <c r="AN139" i="78" s="1"/>
  <c r="AN140" i="78" s="1"/>
  <c r="AN141" i="78" s="1"/>
  <c r="AN142" i="78" s="1"/>
  <c r="AN143" i="78" s="1"/>
  <c r="AN144" i="78" s="1"/>
  <c r="AN145" i="78" s="1"/>
  <c r="AN146" i="78" s="1"/>
  <c r="AN147" i="78" s="1"/>
  <c r="AN88" i="78"/>
  <c r="AN89" i="78" s="1"/>
  <c r="AN90" i="78" s="1"/>
  <c r="AN91" i="78" s="1"/>
  <c r="AN92" i="78" s="1"/>
  <c r="AN93" i="78" s="1"/>
  <c r="AN94" i="78" s="1"/>
  <c r="AN95" i="78" s="1"/>
  <c r="AN96" i="78" s="1"/>
  <c r="AN97" i="78" s="1"/>
  <c r="AN98" i="78" s="1"/>
  <c r="AN99" i="78" s="1"/>
  <c r="AN100" i="78" s="1"/>
  <c r="AN101" i="78" s="1"/>
  <c r="AN102" i="78" s="1"/>
  <c r="AN103" i="78" s="1"/>
  <c r="AN104" i="78" s="1"/>
  <c r="AN105" i="78" s="1"/>
  <c r="AN106" i="78" s="1"/>
  <c r="AN107" i="78" s="1"/>
  <c r="AN108" i="78" s="1"/>
  <c r="AN109" i="78" s="1"/>
  <c r="AN110" i="78" s="1"/>
  <c r="AN111" i="78" s="1"/>
  <c r="AN112" i="78" s="1"/>
  <c r="AN113" i="78" s="1"/>
  <c r="AN114" i="78" s="1"/>
  <c r="AN115" i="78" s="1"/>
  <c r="AN116" i="78" s="1"/>
  <c r="AN117" i="78" s="1"/>
  <c r="M16" i="66"/>
  <c r="L16" i="66"/>
  <c r="N16" i="66"/>
  <c r="G15" i="66"/>
  <c r="U15" i="66"/>
  <c r="AA15" i="66"/>
  <c r="AP17" i="75"/>
  <c r="AQ16" i="75"/>
  <c r="AP15" i="86"/>
  <c r="AQ14" i="86"/>
  <c r="AP12" i="88"/>
  <c r="AQ11" i="88"/>
  <c r="L11" i="86"/>
  <c r="AQ10" i="86"/>
  <c r="C29" i="75"/>
  <c r="AL51" i="86"/>
  <c r="U11" i="86"/>
  <c r="V10" i="86"/>
  <c r="R10" i="86" s="1"/>
  <c r="W20" i="59"/>
  <c r="X20" i="59" s="1"/>
  <c r="AL77" i="86"/>
  <c r="AL81" i="86"/>
  <c r="AL55" i="86"/>
  <c r="L10" i="86"/>
  <c r="AL79" i="86"/>
  <c r="AL64" i="86"/>
  <c r="AL74" i="86"/>
  <c r="AL57" i="86"/>
  <c r="I9" i="86"/>
  <c r="AL76" i="86"/>
  <c r="BL54" i="86"/>
  <c r="AL52" i="86"/>
  <c r="AL49" i="86"/>
  <c r="AL48" i="86"/>
  <c r="AL148" i="86" s="1"/>
  <c r="AL75" i="86"/>
  <c r="AL62" i="86"/>
  <c r="AL66" i="86"/>
  <c r="AL68" i="86"/>
  <c r="W44" i="86"/>
  <c r="AL73" i="86"/>
  <c r="AL70" i="86"/>
  <c r="AL63" i="86"/>
  <c r="AL84" i="86"/>
  <c r="AL71" i="86"/>
  <c r="AL78" i="86"/>
  <c r="AL56" i="86"/>
  <c r="AL54" i="86"/>
  <c r="AL82" i="86"/>
  <c r="AL69" i="86"/>
  <c r="AL72" i="86"/>
  <c r="AL53" i="86"/>
  <c r="AL59" i="86"/>
  <c r="I10" i="86"/>
  <c r="AL61" i="86"/>
  <c r="AL83" i="86"/>
  <c r="AL65" i="86"/>
  <c r="AL58" i="86"/>
  <c r="BL55" i="86"/>
  <c r="BI11" i="88"/>
  <c r="BH12" i="88"/>
  <c r="AF35" i="88"/>
  <c r="AL35" i="88"/>
  <c r="AN118" i="100"/>
  <c r="AN119" i="100" s="1"/>
  <c r="AN120" i="100" s="1"/>
  <c r="AN121" i="100" s="1"/>
  <c r="AN122" i="100" s="1"/>
  <c r="AN123" i="100" s="1"/>
  <c r="AN124" i="100" s="1"/>
  <c r="AN125" i="100" s="1"/>
  <c r="AN126" i="100" s="1"/>
  <c r="AN127" i="100" s="1"/>
  <c r="AN128" i="100" s="1"/>
  <c r="AN129" i="100" s="1"/>
  <c r="AN130" i="100" s="1"/>
  <c r="AN131" i="100" s="1"/>
  <c r="AN132" i="100" s="1"/>
  <c r="AN133" i="100" s="1"/>
  <c r="AN134" i="100" s="1"/>
  <c r="AN135" i="100" s="1"/>
  <c r="AN136" i="100" s="1"/>
  <c r="AN137" i="100" s="1"/>
  <c r="AN138" i="100" s="1"/>
  <c r="AN139" i="100" s="1"/>
  <c r="AN140" i="100" s="1"/>
  <c r="AN141" i="100" s="1"/>
  <c r="AN142" i="100" s="1"/>
  <c r="AN143" i="100" s="1"/>
  <c r="AN144" i="100" s="1"/>
  <c r="AN145" i="100" s="1"/>
  <c r="AN146" i="100" s="1"/>
  <c r="AN147" i="100" s="1"/>
  <c r="AN88" i="100"/>
  <c r="AN89" i="100" s="1"/>
  <c r="AN90" i="100" s="1"/>
  <c r="AN91" i="100" s="1"/>
  <c r="AN92" i="100" s="1"/>
  <c r="AN93" i="100" s="1"/>
  <c r="AN94" i="100" s="1"/>
  <c r="AN95" i="100" s="1"/>
  <c r="AN96" i="100" s="1"/>
  <c r="AN97" i="100" s="1"/>
  <c r="AN98" i="100" s="1"/>
  <c r="AN99" i="100" s="1"/>
  <c r="AN100" i="100" s="1"/>
  <c r="AN101" i="100" s="1"/>
  <c r="AN102" i="100" s="1"/>
  <c r="AN103" i="100" s="1"/>
  <c r="AN104" i="100" s="1"/>
  <c r="AN105" i="100" s="1"/>
  <c r="AN106" i="100" s="1"/>
  <c r="AN107" i="100" s="1"/>
  <c r="AN108" i="100" s="1"/>
  <c r="AN109" i="100" s="1"/>
  <c r="AN110" i="100" s="1"/>
  <c r="AN111" i="100" s="1"/>
  <c r="AN112" i="100" s="1"/>
  <c r="AN113" i="100" s="1"/>
  <c r="AN114" i="100" s="1"/>
  <c r="AN115" i="100" s="1"/>
  <c r="AN116" i="100" s="1"/>
  <c r="AN117" i="100" s="1"/>
  <c r="AR106" i="105"/>
  <c r="AR89" i="105"/>
  <c r="AR96" i="105"/>
  <c r="AR88" i="105"/>
  <c r="AR71" i="105"/>
  <c r="AR61" i="105"/>
  <c r="AR45" i="105"/>
  <c r="AR64" i="105"/>
  <c r="AR35" i="105"/>
  <c r="AR51" i="105"/>
  <c r="AR13" i="105"/>
  <c r="AR15" i="105"/>
  <c r="AR33" i="105"/>
  <c r="AR104" i="105"/>
  <c r="AR100" i="105"/>
  <c r="AR86" i="105"/>
  <c r="AR82" i="105"/>
  <c r="AR72" i="105"/>
  <c r="AR59" i="105"/>
  <c r="AR43" i="105"/>
  <c r="AR56" i="105"/>
  <c r="AR24" i="105"/>
  <c r="AR42" i="105"/>
  <c r="AR14" i="105"/>
  <c r="AR41" i="105"/>
  <c r="AR25" i="105"/>
  <c r="AR103" i="105"/>
  <c r="AR98" i="105"/>
  <c r="AR83" i="105"/>
  <c r="AR105" i="105"/>
  <c r="AR70" i="105"/>
  <c r="AR57" i="105"/>
  <c r="AR66" i="105"/>
  <c r="AR55" i="105"/>
  <c r="AR20" i="105"/>
  <c r="AR39" i="105"/>
  <c r="AR34" i="105"/>
  <c r="AR40" i="105"/>
  <c r="AR23" i="105"/>
  <c r="AR99" i="105"/>
  <c r="AR90" i="105"/>
  <c r="AR77" i="105"/>
  <c r="AR101" i="105"/>
  <c r="AR69" i="105"/>
  <c r="AF57" i="105"/>
  <c r="AR60" i="105"/>
  <c r="AR49" i="105"/>
  <c r="AR17" i="105"/>
  <c r="AR30" i="105"/>
  <c r="AR29" i="105"/>
  <c r="AR32" i="105"/>
  <c r="AR12" i="105"/>
  <c r="AR97" i="105"/>
  <c r="AR94" i="105"/>
  <c r="AR76" i="105"/>
  <c r="AR81" i="105"/>
  <c r="AR87" i="105"/>
  <c r="AR54" i="105"/>
  <c r="AR48" i="105"/>
  <c r="AR44" i="105"/>
  <c r="AR10" i="105"/>
  <c r="AR27" i="105"/>
  <c r="AR26" i="105"/>
  <c r="AR31" i="105"/>
  <c r="AR95" i="105"/>
  <c r="AR85" i="105"/>
  <c r="AR74" i="105"/>
  <c r="AR80" i="105"/>
  <c r="AR68" i="105"/>
  <c r="AR53" i="105"/>
  <c r="AR58" i="105"/>
  <c r="AR38" i="105"/>
  <c r="AR67" i="105"/>
  <c r="AR21" i="105"/>
  <c r="AR22" i="105"/>
  <c r="AR28" i="105"/>
  <c r="AR107" i="105"/>
  <c r="AR93" i="105"/>
  <c r="AR84" i="105"/>
  <c r="AR102" i="105"/>
  <c r="AR75" i="105"/>
  <c r="AR79" i="105"/>
  <c r="AR50" i="105"/>
  <c r="AR47" i="105"/>
  <c r="AR37" i="105"/>
  <c r="AR62" i="105"/>
  <c r="AR19" i="105"/>
  <c r="AR18" i="105"/>
  <c r="AR11" i="105"/>
  <c r="AR108" i="105"/>
  <c r="AR91" i="105"/>
  <c r="AR78" i="105"/>
  <c r="AR92" i="105"/>
  <c r="AR73" i="105"/>
  <c r="AR63" i="105"/>
  <c r="AR46" i="105"/>
  <c r="AR65" i="105"/>
  <c r="AR36" i="105"/>
  <c r="AR52" i="105"/>
  <c r="AE13" i="105"/>
  <c r="AR16" i="105"/>
  <c r="AR9" i="105"/>
  <c r="AQ22" i="78"/>
  <c r="W19" i="59"/>
  <c r="X19" i="59" s="1"/>
  <c r="AQ9" i="75"/>
  <c r="AQ13" i="75"/>
  <c r="AQ12" i="75"/>
  <c r="AQ11" i="75"/>
  <c r="AQ10" i="75"/>
  <c r="H9" i="75"/>
  <c r="BJ9" i="75" s="1"/>
  <c r="AE8" i="75"/>
  <c r="T12" i="78"/>
  <c r="U11" i="78"/>
  <c r="I12" i="86"/>
  <c r="BL56" i="86"/>
  <c r="Y44" i="88"/>
  <c r="AA12" i="66"/>
  <c r="AL56" i="78"/>
  <c r="AL58" i="78"/>
  <c r="AL73" i="78"/>
  <c r="AL53" i="78"/>
  <c r="AL89" i="78"/>
  <c r="K10" i="78"/>
  <c r="O10" i="78" s="1"/>
  <c r="AL55" i="78"/>
  <c r="AL69" i="78"/>
  <c r="AL81" i="78"/>
  <c r="AL88" i="78"/>
  <c r="AL80" i="78"/>
  <c r="AM62" i="78"/>
  <c r="AM65" i="78"/>
  <c r="AL76" i="78"/>
  <c r="K9" i="78"/>
  <c r="AL75" i="78"/>
  <c r="AL79" i="78"/>
  <c r="AS9" i="78"/>
  <c r="AM64" i="78"/>
  <c r="AL72" i="78"/>
  <c r="W50" i="78"/>
  <c r="AL71" i="78"/>
  <c r="AL74" i="78"/>
  <c r="W49" i="78"/>
  <c r="AL57" i="78"/>
  <c r="AL68" i="78"/>
  <c r="AL67" i="78"/>
  <c r="AL78" i="78"/>
  <c r="AS10" i="78"/>
  <c r="AL54" i="78"/>
  <c r="AL82" i="78"/>
  <c r="AM59" i="78"/>
  <c r="BJ54" i="78"/>
  <c r="AL70" i="78"/>
  <c r="AL84" i="78"/>
  <c r="BJ55" i="78"/>
  <c r="AL52" i="78"/>
  <c r="AL90" i="78"/>
  <c r="BI9" i="86"/>
  <c r="BH10" i="86"/>
  <c r="I104" i="88"/>
  <c r="I107" i="88"/>
  <c r="I65" i="88"/>
  <c r="I96" i="88"/>
  <c r="I71" i="88"/>
  <c r="I76" i="88"/>
  <c r="I72" i="88"/>
  <c r="I75" i="88"/>
  <c r="I100" i="88"/>
  <c r="I103" i="88"/>
  <c r="I73" i="88"/>
  <c r="I80" i="88"/>
  <c r="I70" i="88"/>
  <c r="I94" i="88"/>
  <c r="I59" i="88"/>
  <c r="I88" i="88"/>
  <c r="I91" i="88"/>
  <c r="I67" i="88"/>
  <c r="I98" i="88"/>
  <c r="I61" i="88"/>
  <c r="I78" i="88"/>
  <c r="I84" i="88"/>
  <c r="I87" i="88"/>
  <c r="I64" i="88"/>
  <c r="I101" i="88"/>
  <c r="I106" i="88"/>
  <c r="I66" i="88"/>
  <c r="I99" i="88"/>
  <c r="I105" i="88"/>
  <c r="I79" i="88"/>
  <c r="I97" i="88"/>
  <c r="I102" i="88"/>
  <c r="I63" i="88"/>
  <c r="I83" i="88"/>
  <c r="I89" i="88"/>
  <c r="I60" i="88"/>
  <c r="I81" i="88"/>
  <c r="I86" i="88"/>
  <c r="I77" i="88"/>
  <c r="I62" i="88"/>
  <c r="I92" i="88"/>
  <c r="I69" i="88"/>
  <c r="D27" i="86"/>
  <c r="AD65" i="86"/>
  <c r="BQ14" i="59"/>
  <c r="L9" i="86"/>
  <c r="AQ20" i="78"/>
  <c r="D28" i="59"/>
  <c r="D29" i="59" s="1"/>
  <c r="D23" i="59"/>
  <c r="U38" i="59"/>
  <c r="U29" i="59"/>
  <c r="V13" i="59"/>
  <c r="W18" i="59"/>
  <c r="X18" i="59" s="1"/>
  <c r="AI50" i="59"/>
  <c r="V11" i="75"/>
  <c r="R11" i="75" s="1"/>
  <c r="U12" i="75"/>
  <c r="P10" i="78"/>
  <c r="Q10" i="78"/>
  <c r="AR8" i="78"/>
  <c r="AM46" i="78" s="1"/>
  <c r="AG57" i="78"/>
  <c r="D47" i="78" s="1"/>
  <c r="E47" i="78" s="1"/>
  <c r="AG54" i="78"/>
  <c r="BE8" i="78"/>
  <c r="BW16" i="78"/>
  <c r="BX15" i="78"/>
  <c r="BI10" i="88"/>
  <c r="Y43" i="86"/>
  <c r="BJ8" i="86"/>
  <c r="BJ7" i="86" s="1"/>
  <c r="I90" i="88"/>
  <c r="G11" i="88"/>
  <c r="W45" i="88"/>
  <c r="L10" i="88"/>
  <c r="I10" i="88"/>
  <c r="BL55" i="88"/>
  <c r="Y46" i="91"/>
  <c r="AL88" i="91"/>
  <c r="AP13" i="91"/>
  <c r="AQ12" i="91"/>
  <c r="N12" i="66"/>
  <c r="M12" i="66"/>
  <c r="BF8" i="59"/>
  <c r="C28" i="59"/>
  <c r="E25" i="59"/>
  <c r="W21" i="59"/>
  <c r="AI53" i="59"/>
  <c r="D25" i="75"/>
  <c r="AM47" i="75"/>
  <c r="D23" i="75"/>
  <c r="D27" i="75"/>
  <c r="E27" i="75" s="1"/>
  <c r="AE12" i="75"/>
  <c r="A23" i="75"/>
  <c r="AE10" i="75"/>
  <c r="A24" i="75"/>
  <c r="D13" i="75"/>
  <c r="AB49" i="75"/>
  <c r="AE9" i="75"/>
  <c r="AM36" i="75"/>
  <c r="AM37" i="75" s="1"/>
  <c r="AM38" i="75" s="1"/>
  <c r="AM39" i="75" s="1"/>
  <c r="AM40" i="75" s="1"/>
  <c r="D26" i="75"/>
  <c r="AL76" i="75"/>
  <c r="AQ16" i="78"/>
  <c r="AQ27" i="78"/>
  <c r="AQ25" i="78"/>
  <c r="AQ23" i="78"/>
  <c r="H9" i="78"/>
  <c r="BH9" i="78" s="1"/>
  <c r="AQ21" i="78"/>
  <c r="AQ26" i="78"/>
  <c r="AQ13" i="78"/>
  <c r="AQ15" i="78"/>
  <c r="AQ14" i="78"/>
  <c r="H10" i="78"/>
  <c r="BH10" i="78" s="1"/>
  <c r="AQ17" i="78"/>
  <c r="AQ19" i="78"/>
  <c r="AQ24" i="78"/>
  <c r="AQ10" i="78"/>
  <c r="AQ12" i="78"/>
  <c r="AQ29" i="78"/>
  <c r="H11" i="78"/>
  <c r="BH11" i="78" s="1"/>
  <c r="AQ18" i="78"/>
  <c r="AQ32" i="78"/>
  <c r="AQ31" i="78"/>
  <c r="AQ30" i="78"/>
  <c r="Y46" i="75"/>
  <c r="AL88" i="75"/>
  <c r="BH12" i="75"/>
  <c r="BI11" i="75"/>
  <c r="AL48" i="75"/>
  <c r="AL148" i="75" s="1"/>
  <c r="AL49" i="75"/>
  <c r="BJ56" i="78"/>
  <c r="K11" i="78"/>
  <c r="G12" i="78"/>
  <c r="H12" i="78" s="1"/>
  <c r="BH12" i="78" s="1"/>
  <c r="AS11" i="78"/>
  <c r="W51" i="78"/>
  <c r="Y21" i="78"/>
  <c r="AM60" i="78" s="1"/>
  <c r="Y22" i="78"/>
  <c r="AM61" i="78" s="1"/>
  <c r="D35" i="78"/>
  <c r="E35" i="78" s="1"/>
  <c r="D37" i="78"/>
  <c r="E37" i="78" s="1"/>
  <c r="E33" i="78"/>
  <c r="D34" i="78"/>
  <c r="E34" i="78" s="1"/>
  <c r="D36" i="78"/>
  <c r="E36" i="78" s="1"/>
  <c r="AL50" i="86"/>
  <c r="C22" i="88"/>
  <c r="BK8" i="88"/>
  <c r="C27" i="88"/>
  <c r="AA44" i="61"/>
  <c r="P6" i="61"/>
  <c r="AA43" i="61"/>
  <c r="AA45" i="61"/>
  <c r="N4" i="66"/>
  <c r="P4" i="66"/>
  <c r="P5" i="66" s="1"/>
  <c r="C19" i="66"/>
  <c r="V4" i="66"/>
  <c r="N5" i="66"/>
  <c r="M5" i="66" s="1"/>
  <c r="V5" i="66"/>
  <c r="V11" i="66"/>
  <c r="D23" i="66"/>
  <c r="J5" i="66"/>
  <c r="V3" i="66"/>
  <c r="O4" i="66"/>
  <c r="O5" i="66" s="1"/>
  <c r="AI48" i="59"/>
  <c r="X16" i="59"/>
  <c r="C24" i="78"/>
  <c r="AE93" i="78" s="1"/>
  <c r="E41" i="78"/>
  <c r="BI8" i="78"/>
  <c r="C30" i="78"/>
  <c r="AL60" i="86"/>
  <c r="E27" i="86"/>
  <c r="A23" i="88"/>
  <c r="D25" i="88"/>
  <c r="AE14" i="88"/>
  <c r="AM36" i="88"/>
  <c r="AB49" i="88"/>
  <c r="D24" i="88"/>
  <c r="AE9" i="88"/>
  <c r="AE15" i="88"/>
  <c r="AE8" i="88"/>
  <c r="A22" i="88"/>
  <c r="AM47" i="88"/>
  <c r="D13" i="88"/>
  <c r="D26" i="88"/>
  <c r="E26" i="88" s="1"/>
  <c r="AE10" i="88"/>
  <c r="AE12" i="88"/>
  <c r="V55" i="59"/>
  <c r="C15" i="65"/>
  <c r="C23" i="75"/>
  <c r="Y47" i="78"/>
  <c r="AG40" i="91"/>
  <c r="AG37" i="91"/>
  <c r="AA54" i="59"/>
  <c r="L11" i="66"/>
  <c r="AJ66" i="91"/>
  <c r="AA11" i="66"/>
  <c r="AL87" i="91"/>
  <c r="BI10" i="75"/>
  <c r="AT9" i="100"/>
  <c r="AF35" i="100"/>
  <c r="AF37" i="100" s="1"/>
  <c r="AF38" i="100" s="1"/>
  <c r="AF39" i="100" s="1"/>
  <c r="AF40" i="100" s="1"/>
  <c r="AL35" i="100"/>
  <c r="AR104" i="100"/>
  <c r="AR85" i="100"/>
  <c r="AR78" i="100"/>
  <c r="AR84" i="100"/>
  <c r="AR88" i="100"/>
  <c r="AR76" i="100"/>
  <c r="AR53" i="100"/>
  <c r="AR47" i="100"/>
  <c r="AR21" i="100"/>
  <c r="AR33" i="100"/>
  <c r="AR23" i="100"/>
  <c r="AR46" i="100"/>
  <c r="AR97" i="100"/>
  <c r="AR83" i="100"/>
  <c r="AR75" i="100"/>
  <c r="AR81" i="100"/>
  <c r="AR79" i="100"/>
  <c r="AR68" i="100"/>
  <c r="AR42" i="100"/>
  <c r="AR44" i="100"/>
  <c r="AR55" i="100"/>
  <c r="AR29" i="100"/>
  <c r="AR19" i="100"/>
  <c r="AR32" i="100"/>
  <c r="AE14" i="100"/>
  <c r="AG55" i="100" s="1"/>
  <c r="AR107" i="100"/>
  <c r="AR96" i="100"/>
  <c r="AR103" i="100"/>
  <c r="AR73" i="100"/>
  <c r="AR80" i="100"/>
  <c r="AR77" i="100"/>
  <c r="AR63" i="100"/>
  <c r="AR38" i="100"/>
  <c r="AR41" i="100"/>
  <c r="AR54" i="100"/>
  <c r="AR25" i="100"/>
  <c r="AR11" i="100"/>
  <c r="AR31" i="100"/>
  <c r="AR108" i="100"/>
  <c r="AR101" i="100"/>
  <c r="AR93" i="100"/>
  <c r="AR71" i="100"/>
  <c r="AR74" i="100"/>
  <c r="AR72" i="100"/>
  <c r="AR60" i="100"/>
  <c r="AR37" i="100"/>
  <c r="AR40" i="100"/>
  <c r="AR52" i="100"/>
  <c r="AR22" i="100"/>
  <c r="AR9" i="100"/>
  <c r="AR27" i="100"/>
  <c r="AR106" i="100"/>
  <c r="AR102" i="100"/>
  <c r="AR90" i="100"/>
  <c r="AR69" i="100"/>
  <c r="AR66" i="100"/>
  <c r="AR92" i="100"/>
  <c r="AR70" i="100"/>
  <c r="AR36" i="100"/>
  <c r="AR39" i="100"/>
  <c r="AR49" i="100"/>
  <c r="AR16" i="100"/>
  <c r="AR10" i="100"/>
  <c r="AR17" i="100"/>
  <c r="AR99" i="100"/>
  <c r="AR91" i="100"/>
  <c r="AR86" i="100"/>
  <c r="AR67" i="100"/>
  <c r="AR64" i="100"/>
  <c r="AR61" i="100"/>
  <c r="AR62" i="100"/>
  <c r="AR35" i="100"/>
  <c r="AR34" i="100"/>
  <c r="AR48" i="100"/>
  <c r="AR15" i="100"/>
  <c r="AR45" i="100"/>
  <c r="AR30" i="100"/>
  <c r="AR105" i="100"/>
  <c r="AR87" i="100"/>
  <c r="AR94" i="100"/>
  <c r="AR95" i="100"/>
  <c r="AR56" i="100"/>
  <c r="AR82" i="100"/>
  <c r="AR51" i="100"/>
  <c r="AR20" i="100"/>
  <c r="AR26" i="100"/>
  <c r="AR43" i="100"/>
  <c r="AE13" i="100"/>
  <c r="AR59" i="100"/>
  <c r="AR12" i="100"/>
  <c r="AP12" i="100"/>
  <c r="AT11" i="100"/>
  <c r="BJ8" i="100"/>
  <c r="BJ7" i="100" s="1"/>
  <c r="Y43" i="100"/>
  <c r="AD54" i="100"/>
  <c r="Y42" i="100"/>
  <c r="BI9" i="100"/>
  <c r="BH10" i="100"/>
  <c r="AT10" i="100"/>
  <c r="AL52" i="100"/>
  <c r="AL59" i="100"/>
  <c r="AL80" i="100"/>
  <c r="AL66" i="100"/>
  <c r="AL84" i="100"/>
  <c r="U10" i="100"/>
  <c r="J10" i="103"/>
  <c r="AD78" i="103"/>
  <c r="AG57" i="100"/>
  <c r="AL54" i="100"/>
  <c r="AL71" i="100"/>
  <c r="AL57" i="100"/>
  <c r="AL70" i="100"/>
  <c r="AN46" i="100"/>
  <c r="J13" i="103"/>
  <c r="R9" i="103"/>
  <c r="R10" i="103" s="1"/>
  <c r="R11" i="103" s="1"/>
  <c r="R12" i="103" s="1"/>
  <c r="R13" i="103" s="1"/>
  <c r="R14" i="103" s="1"/>
  <c r="R15" i="103" s="1"/>
  <c r="R16" i="103" s="1"/>
  <c r="R17" i="103" s="1"/>
  <c r="R18" i="103" s="1"/>
  <c r="R19" i="103" s="1"/>
  <c r="R20" i="103" s="1"/>
  <c r="R21" i="103" s="1"/>
  <c r="R22" i="103" s="1"/>
  <c r="R23" i="103" s="1"/>
  <c r="R24" i="103" s="1"/>
  <c r="R25" i="103" s="1"/>
  <c r="R26" i="103" s="1"/>
  <c r="R27" i="103" s="1"/>
  <c r="R28" i="103" s="1"/>
  <c r="R29" i="103" s="1"/>
  <c r="R30" i="103" s="1"/>
  <c r="R31" i="103" s="1"/>
  <c r="R32" i="103" s="1"/>
  <c r="R33" i="103" s="1"/>
  <c r="R34" i="103" s="1"/>
  <c r="R35" i="103" s="1"/>
  <c r="R36" i="103" s="1"/>
  <c r="R37" i="103" s="1"/>
  <c r="R38" i="103" s="1"/>
  <c r="R39" i="103" s="1"/>
  <c r="R40" i="103" s="1"/>
  <c r="R41" i="103" s="1"/>
  <c r="R42" i="103" s="1"/>
  <c r="R43" i="103" s="1"/>
  <c r="R44" i="103" s="1"/>
  <c r="R45" i="103" s="1"/>
  <c r="R46" i="103" s="1"/>
  <c r="R47" i="103" s="1"/>
  <c r="R48" i="103" s="1"/>
  <c r="R49" i="103" s="1"/>
  <c r="R50" i="103" s="1"/>
  <c r="R51" i="103" s="1"/>
  <c r="R52" i="103" s="1"/>
  <c r="R53" i="103" s="1"/>
  <c r="R54" i="103" s="1"/>
  <c r="R55" i="103" s="1"/>
  <c r="R56" i="103" s="1"/>
  <c r="R57" i="103" s="1"/>
  <c r="R58" i="103" s="1"/>
  <c r="R59" i="103" s="1"/>
  <c r="R60" i="103" s="1"/>
  <c r="R61" i="103" s="1"/>
  <c r="R62" i="103" s="1"/>
  <c r="R63" i="103" s="1"/>
  <c r="R64" i="103" s="1"/>
  <c r="R65" i="103" s="1"/>
  <c r="R66" i="103" s="1"/>
  <c r="R67" i="103" s="1"/>
  <c r="R68" i="103" s="1"/>
  <c r="R69" i="103" s="1"/>
  <c r="R70" i="103" s="1"/>
  <c r="R71" i="103" s="1"/>
  <c r="R72" i="103" s="1"/>
  <c r="R73" i="103" s="1"/>
  <c r="R74" i="103" s="1"/>
  <c r="R75" i="103" s="1"/>
  <c r="R76" i="103" s="1"/>
  <c r="R77" i="103" s="1"/>
  <c r="R78" i="103" s="1"/>
  <c r="R79" i="103" s="1"/>
  <c r="R80" i="103" s="1"/>
  <c r="R81" i="103" s="1"/>
  <c r="R82" i="103" s="1"/>
  <c r="R83" i="103" s="1"/>
  <c r="R84" i="103" s="1"/>
  <c r="R85" i="103" s="1"/>
  <c r="R86" i="103" s="1"/>
  <c r="R87" i="103" s="1"/>
  <c r="R88" i="103" s="1"/>
  <c r="R89" i="103" s="1"/>
  <c r="R90" i="103" s="1"/>
  <c r="R91" i="103" s="1"/>
  <c r="R92" i="103" s="1"/>
  <c r="R93" i="103" s="1"/>
  <c r="R94" i="103" s="1"/>
  <c r="R95" i="103" s="1"/>
  <c r="R96" i="103" s="1"/>
  <c r="R97" i="103" s="1"/>
  <c r="R98" i="103" s="1"/>
  <c r="R99" i="103" s="1"/>
  <c r="R100" i="103" s="1"/>
  <c r="R101" i="103" s="1"/>
  <c r="R102" i="103" s="1"/>
  <c r="R103" i="103" s="1"/>
  <c r="R104" i="103" s="1"/>
  <c r="R105" i="103" s="1"/>
  <c r="R106" i="103" s="1"/>
  <c r="R107" i="103" s="1"/>
  <c r="R108" i="103" s="1"/>
  <c r="R109" i="103" s="1"/>
  <c r="R110" i="103" s="1"/>
  <c r="R111" i="103" s="1"/>
  <c r="R112" i="103" s="1"/>
  <c r="R113" i="103" s="1"/>
  <c r="R114" i="103" s="1"/>
  <c r="R115" i="103" s="1"/>
  <c r="R116" i="103" s="1"/>
  <c r="R117" i="103" s="1"/>
  <c r="R118" i="103" s="1"/>
  <c r="R119" i="103" s="1"/>
  <c r="R120" i="103" s="1"/>
  <c r="R121" i="103" s="1"/>
  <c r="R122" i="103" s="1"/>
  <c r="R123" i="103" s="1"/>
  <c r="R124" i="103" s="1"/>
  <c r="R125" i="103" s="1"/>
  <c r="R126" i="103" s="1"/>
  <c r="R127" i="103" s="1"/>
  <c r="R128" i="103" s="1"/>
  <c r="R129" i="103" s="1"/>
  <c r="R130" i="103" s="1"/>
  <c r="R131" i="103" s="1"/>
  <c r="R132" i="103" s="1"/>
  <c r="R133" i="103" s="1"/>
  <c r="R134" i="103" s="1"/>
  <c r="R135" i="103" s="1"/>
  <c r="R136" i="103" s="1"/>
  <c r="R137" i="103" s="1"/>
  <c r="R138" i="103" s="1"/>
  <c r="R139" i="103" s="1"/>
  <c r="R140" i="103" s="1"/>
  <c r="R141" i="103" s="1"/>
  <c r="R142" i="103" s="1"/>
  <c r="R143" i="103" s="1"/>
  <c r="R144" i="103" s="1"/>
  <c r="R145" i="103" s="1"/>
  <c r="R146" i="103" s="1"/>
  <c r="R147" i="103" s="1"/>
  <c r="R148" i="103" s="1"/>
  <c r="R149" i="103" s="1"/>
  <c r="R150" i="103" s="1"/>
  <c r="R151" i="103" s="1"/>
  <c r="R152" i="103" s="1"/>
  <c r="R153" i="103" s="1"/>
  <c r="R154" i="103" s="1"/>
  <c r="R155" i="103" s="1"/>
  <c r="R156" i="103" s="1"/>
  <c r="R157" i="103" s="1"/>
  <c r="R158" i="103" s="1"/>
  <c r="R159" i="103" s="1"/>
  <c r="K10" i="100"/>
  <c r="AL61" i="100"/>
  <c r="AM36" i="100"/>
  <c r="AL64" i="100"/>
  <c r="AL65" i="100"/>
  <c r="AL58" i="100"/>
  <c r="AL72" i="100"/>
  <c r="C25" i="100"/>
  <c r="AG65" i="100"/>
  <c r="AD77" i="103"/>
  <c r="AG56" i="100"/>
  <c r="AF55" i="100" s="1"/>
  <c r="W44" i="100"/>
  <c r="AL48" i="100"/>
  <c r="AL148" i="100" s="1"/>
  <c r="AL63" i="100"/>
  <c r="AL67" i="100"/>
  <c r="AL74" i="100"/>
  <c r="G11" i="100"/>
  <c r="AI36" i="100"/>
  <c r="J11" i="103"/>
  <c r="AE85" i="103"/>
  <c r="AK49" i="103"/>
  <c r="AK46" i="103" s="1"/>
  <c r="AK48" i="103"/>
  <c r="AL69" i="100"/>
  <c r="AL78" i="100"/>
  <c r="AL81" i="100"/>
  <c r="AL77" i="100"/>
  <c r="BL54" i="100"/>
  <c r="E15" i="103"/>
  <c r="AD76" i="103"/>
  <c r="AB76" i="103"/>
  <c r="AE90" i="103"/>
  <c r="AE89" i="103"/>
  <c r="AD73" i="103"/>
  <c r="AX9" i="103"/>
  <c r="AX10" i="103" s="1"/>
  <c r="AX11" i="103" s="1"/>
  <c r="AX12" i="103" s="1"/>
  <c r="AX13" i="103" s="1"/>
  <c r="AX14" i="103" s="1"/>
  <c r="AX15" i="103" s="1"/>
  <c r="AX16" i="103" s="1"/>
  <c r="AX17" i="103" s="1"/>
  <c r="AX18" i="103" s="1"/>
  <c r="AX19" i="103" s="1"/>
  <c r="AX20" i="103" s="1"/>
  <c r="AX21" i="103" s="1"/>
  <c r="AX22" i="103" s="1"/>
  <c r="AX23" i="103" s="1"/>
  <c r="AX24" i="103" s="1"/>
  <c r="AX25" i="103" s="1"/>
  <c r="AX26" i="103" s="1"/>
  <c r="AX27" i="103" s="1"/>
  <c r="AX28" i="103" s="1"/>
  <c r="AX29" i="103" s="1"/>
  <c r="AX30" i="103" s="1"/>
  <c r="AX31" i="103" s="1"/>
  <c r="AX32" i="103" s="1"/>
  <c r="AX33" i="103" s="1"/>
  <c r="AX34" i="103" s="1"/>
  <c r="AX35" i="103" s="1"/>
  <c r="AX36" i="103" s="1"/>
  <c r="AX37" i="103" s="1"/>
  <c r="AX38" i="103" s="1"/>
  <c r="AX39" i="103" s="1"/>
  <c r="AX40" i="103" s="1"/>
  <c r="AX41" i="103" s="1"/>
  <c r="AX42" i="103" s="1"/>
  <c r="AX43" i="103" s="1"/>
  <c r="AX44" i="103" s="1"/>
  <c r="AX45" i="103" s="1"/>
  <c r="AX46" i="103" s="1"/>
  <c r="AX47" i="103" s="1"/>
  <c r="AX48" i="103" s="1"/>
  <c r="AX49" i="103" s="1"/>
  <c r="AX50" i="103" s="1"/>
  <c r="AX51" i="103" s="1"/>
  <c r="AX52" i="103" s="1"/>
  <c r="AX53" i="103" s="1"/>
  <c r="AX54" i="103" s="1"/>
  <c r="AX55" i="103" s="1"/>
  <c r="AX56" i="103" s="1"/>
  <c r="AX57" i="103" s="1"/>
  <c r="AX58" i="103" s="1"/>
  <c r="AX59" i="103" s="1"/>
  <c r="AX60" i="103" s="1"/>
  <c r="AX61" i="103" s="1"/>
  <c r="AX62" i="103" s="1"/>
  <c r="AX63" i="103" s="1"/>
  <c r="AX64" i="103" s="1"/>
  <c r="AX65" i="103" s="1"/>
  <c r="AX66" i="103" s="1"/>
  <c r="AX67" i="103" s="1"/>
  <c r="AX68" i="103" s="1"/>
  <c r="AX69" i="103" s="1"/>
  <c r="AX70" i="103" s="1"/>
  <c r="AX71" i="103" s="1"/>
  <c r="AX72" i="103" s="1"/>
  <c r="AX73" i="103" s="1"/>
  <c r="AX74" i="103" s="1"/>
  <c r="AX75" i="103" s="1"/>
  <c r="AX76" i="103" s="1"/>
  <c r="AX77" i="103" s="1"/>
  <c r="AX78" i="103" s="1"/>
  <c r="AX79" i="103" s="1"/>
  <c r="AX80" i="103" s="1"/>
  <c r="AX81" i="103" s="1"/>
  <c r="AX82" i="103" s="1"/>
  <c r="AX83" i="103" s="1"/>
  <c r="AX84" i="103" s="1"/>
  <c r="AX85" i="103" s="1"/>
  <c r="AX86" i="103" s="1"/>
  <c r="AX87" i="103" s="1"/>
  <c r="AX88" i="103" s="1"/>
  <c r="AX89" i="103" s="1"/>
  <c r="AX90" i="103" s="1"/>
  <c r="AX91" i="103" s="1"/>
  <c r="AX92" i="103" s="1"/>
  <c r="AX93" i="103" s="1"/>
  <c r="AX94" i="103" s="1"/>
  <c r="AX95" i="103" s="1"/>
  <c r="AX96" i="103" s="1"/>
  <c r="AX97" i="103" s="1"/>
  <c r="AX98" i="103" s="1"/>
  <c r="AX99" i="103" s="1"/>
  <c r="AX100" i="103" s="1"/>
  <c r="AX101" i="103" s="1"/>
  <c r="AX102" i="103" s="1"/>
  <c r="AX103" i="103" s="1"/>
  <c r="AX104" i="103" s="1"/>
  <c r="AX105" i="103" s="1"/>
  <c r="AX106" i="103" s="1"/>
  <c r="AX107" i="103" s="1"/>
  <c r="AX108" i="103" s="1"/>
  <c r="AX109" i="103" s="1"/>
  <c r="AX110" i="103" s="1"/>
  <c r="AX111" i="103" s="1"/>
  <c r="AX112" i="103" s="1"/>
  <c r="AX113" i="103" s="1"/>
  <c r="AX114" i="103" s="1"/>
  <c r="AX115" i="103" s="1"/>
  <c r="AX116" i="103" s="1"/>
  <c r="AX117" i="103" s="1"/>
  <c r="AX118" i="103" s="1"/>
  <c r="AX119" i="103" s="1"/>
  <c r="AX120" i="103" s="1"/>
  <c r="AX121" i="103" s="1"/>
  <c r="AX122" i="103" s="1"/>
  <c r="AX123" i="103" s="1"/>
  <c r="AX124" i="103" s="1"/>
  <c r="AX125" i="103" s="1"/>
  <c r="AX126" i="103" s="1"/>
  <c r="AX127" i="103" s="1"/>
  <c r="AX128" i="103" s="1"/>
  <c r="AX129" i="103" s="1"/>
  <c r="AB74" i="103"/>
  <c r="AD75" i="103"/>
  <c r="AE88" i="103"/>
  <c r="AE86" i="103"/>
  <c r="AE87" i="103"/>
  <c r="AD74" i="103"/>
  <c r="AB78" i="103"/>
  <c r="T36" i="103"/>
  <c r="Y50" i="105"/>
  <c r="AL92" i="105"/>
  <c r="BI10" i="105"/>
  <c r="BH11" i="105"/>
  <c r="Q9" i="105"/>
  <c r="R9" i="105"/>
  <c r="G12" i="105"/>
  <c r="BL56" i="105"/>
  <c r="I11" i="105"/>
  <c r="W46" i="105"/>
  <c r="C15" i="105"/>
  <c r="C23" i="105" s="1"/>
  <c r="D15" i="105"/>
  <c r="D23" i="105" s="1"/>
  <c r="E25" i="105"/>
  <c r="AP11" i="105"/>
  <c r="AQ10" i="105"/>
  <c r="AN88" i="105"/>
  <c r="AN89" i="105" s="1"/>
  <c r="AN90" i="105" s="1"/>
  <c r="AN91" i="105" s="1"/>
  <c r="AN92" i="105" s="1"/>
  <c r="AN93" i="105" s="1"/>
  <c r="AN94" i="105" s="1"/>
  <c r="AN95" i="105" s="1"/>
  <c r="AN96" i="105" s="1"/>
  <c r="AN97" i="105" s="1"/>
  <c r="AN98" i="105" s="1"/>
  <c r="AN99" i="105" s="1"/>
  <c r="AN100" i="105" s="1"/>
  <c r="AN101" i="105" s="1"/>
  <c r="AN102" i="105" s="1"/>
  <c r="AN103" i="105" s="1"/>
  <c r="AN104" i="105" s="1"/>
  <c r="AN105" i="105" s="1"/>
  <c r="AN106" i="105" s="1"/>
  <c r="AN107" i="105" s="1"/>
  <c r="AN108" i="105" s="1"/>
  <c r="AN109" i="105" s="1"/>
  <c r="AN110" i="105" s="1"/>
  <c r="AN111" i="105" s="1"/>
  <c r="AN112" i="105" s="1"/>
  <c r="AN113" i="105" s="1"/>
  <c r="AN114" i="105" s="1"/>
  <c r="AN115" i="105" s="1"/>
  <c r="AN116" i="105" s="1"/>
  <c r="AN117" i="105" s="1"/>
  <c r="AN118" i="105"/>
  <c r="AN119" i="105" s="1"/>
  <c r="AN120" i="105" s="1"/>
  <c r="AN121" i="105" s="1"/>
  <c r="AN122" i="105" s="1"/>
  <c r="AN123" i="105" s="1"/>
  <c r="AN124" i="105" s="1"/>
  <c r="AN125" i="105" s="1"/>
  <c r="AN126" i="105" s="1"/>
  <c r="AN127" i="105" s="1"/>
  <c r="AN128" i="105" s="1"/>
  <c r="AN129" i="105" s="1"/>
  <c r="AN130" i="105" s="1"/>
  <c r="AN131" i="105" s="1"/>
  <c r="AN132" i="105" s="1"/>
  <c r="AN133" i="105" s="1"/>
  <c r="AN134" i="105" s="1"/>
  <c r="AN135" i="105" s="1"/>
  <c r="AN136" i="105" s="1"/>
  <c r="AN137" i="105" s="1"/>
  <c r="AN138" i="105" s="1"/>
  <c r="AN139" i="105" s="1"/>
  <c r="AN140" i="105" s="1"/>
  <c r="AN141" i="105" s="1"/>
  <c r="AN142" i="105" s="1"/>
  <c r="AN143" i="105" s="1"/>
  <c r="AN144" i="105" s="1"/>
  <c r="AN145" i="105" s="1"/>
  <c r="AN146" i="105" s="1"/>
  <c r="AN147" i="105" s="1"/>
  <c r="AM40" i="105"/>
  <c r="AE12" i="105"/>
  <c r="AE14" i="105"/>
  <c r="AI36" i="105"/>
  <c r="AL76" i="105" s="1"/>
  <c r="AE8" i="105"/>
  <c r="I10" i="105"/>
  <c r="W45" i="105"/>
  <c r="AE10" i="105"/>
  <c r="BL55" i="105"/>
  <c r="BI9" i="105"/>
  <c r="A23" i="105"/>
  <c r="U10" i="105"/>
  <c r="AN88" i="106"/>
  <c r="AN89" i="106" s="1"/>
  <c r="AN90" i="106" s="1"/>
  <c r="AN91" i="106" s="1"/>
  <c r="AN92" i="106" s="1"/>
  <c r="AN93" i="106" s="1"/>
  <c r="AN94" i="106" s="1"/>
  <c r="AN95" i="106" s="1"/>
  <c r="AN96" i="106" s="1"/>
  <c r="AN97" i="106" s="1"/>
  <c r="AN98" i="106" s="1"/>
  <c r="AN99" i="106" s="1"/>
  <c r="AN100" i="106" s="1"/>
  <c r="AN101" i="106" s="1"/>
  <c r="AN102" i="106" s="1"/>
  <c r="AN103" i="106" s="1"/>
  <c r="AN104" i="106" s="1"/>
  <c r="AN105" i="106" s="1"/>
  <c r="AN106" i="106" s="1"/>
  <c r="AN107" i="106" s="1"/>
  <c r="AN108" i="106" s="1"/>
  <c r="AN109" i="106" s="1"/>
  <c r="AN110" i="106" s="1"/>
  <c r="AN111" i="106" s="1"/>
  <c r="AN112" i="106" s="1"/>
  <c r="AN113" i="106" s="1"/>
  <c r="AN114" i="106" s="1"/>
  <c r="AN115" i="106" s="1"/>
  <c r="AN116" i="106" s="1"/>
  <c r="AN117" i="106" s="1"/>
  <c r="AN118" i="106"/>
  <c r="AN119" i="106" s="1"/>
  <c r="AN120" i="106" s="1"/>
  <c r="AN121" i="106" s="1"/>
  <c r="AN122" i="106" s="1"/>
  <c r="AN123" i="106" s="1"/>
  <c r="AN124" i="106" s="1"/>
  <c r="AN125" i="106" s="1"/>
  <c r="AN126" i="106" s="1"/>
  <c r="AN127" i="106" s="1"/>
  <c r="AN128" i="106" s="1"/>
  <c r="AN129" i="106" s="1"/>
  <c r="AN130" i="106" s="1"/>
  <c r="AN131" i="106" s="1"/>
  <c r="AN132" i="106" s="1"/>
  <c r="AN133" i="106" s="1"/>
  <c r="AN134" i="106" s="1"/>
  <c r="AN135" i="106" s="1"/>
  <c r="AN136" i="106" s="1"/>
  <c r="AN137" i="106" s="1"/>
  <c r="AN138" i="106" s="1"/>
  <c r="AN139" i="106" s="1"/>
  <c r="AN140" i="106" s="1"/>
  <c r="AN141" i="106" s="1"/>
  <c r="AN142" i="106" s="1"/>
  <c r="AN143" i="106" s="1"/>
  <c r="AN144" i="106" s="1"/>
  <c r="AN145" i="106" s="1"/>
  <c r="AN146" i="106" s="1"/>
  <c r="AN147" i="106" s="1"/>
  <c r="Y46" i="106"/>
  <c r="H11" i="106"/>
  <c r="BJ11" i="106" s="1"/>
  <c r="W46" i="106"/>
  <c r="BL57" i="106"/>
  <c r="U15" i="106"/>
  <c r="V14" i="106"/>
  <c r="R14" i="106" s="1"/>
  <c r="H12" i="106"/>
  <c r="BJ12" i="106" s="1"/>
  <c r="W47" i="106"/>
  <c r="G13" i="106"/>
  <c r="V13" i="106"/>
  <c r="R13" i="106" s="1"/>
  <c r="AR106" i="106"/>
  <c r="AR94" i="106"/>
  <c r="AR78" i="106"/>
  <c r="AR71" i="106"/>
  <c r="AR63" i="106"/>
  <c r="AR76" i="106"/>
  <c r="AR54" i="106"/>
  <c r="AR53" i="106"/>
  <c r="AR38" i="106"/>
  <c r="AR23" i="106"/>
  <c r="AR24" i="106"/>
  <c r="AR33" i="106"/>
  <c r="AR18" i="106"/>
  <c r="AR105" i="106"/>
  <c r="AR92" i="106"/>
  <c r="AR84" i="106"/>
  <c r="AR91" i="106"/>
  <c r="AR58" i="106"/>
  <c r="AR79" i="106"/>
  <c r="AR59" i="106"/>
  <c r="AR37" i="106"/>
  <c r="AR48" i="106"/>
  <c r="AR27" i="106"/>
  <c r="AR9" i="106"/>
  <c r="AR103" i="106"/>
  <c r="AR88" i="106"/>
  <c r="AR81" i="106"/>
  <c r="AR90" i="106"/>
  <c r="AR49" i="106"/>
  <c r="AR72" i="106"/>
  <c r="AR56" i="106"/>
  <c r="AR68" i="106"/>
  <c r="AR47" i="106"/>
  <c r="AR70" i="106"/>
  <c r="AR32" i="106"/>
  <c r="AR15" i="106"/>
  <c r="AR14" i="106"/>
  <c r="BY23" i="106"/>
  <c r="CC23" i="106" s="1"/>
  <c r="AT10" i="106"/>
  <c r="AT9" i="106"/>
  <c r="CC21" i="106"/>
  <c r="BY27" i="106"/>
  <c r="AT11" i="106"/>
  <c r="AU9" i="106"/>
  <c r="AQ11" i="106"/>
  <c r="AP12" i="106"/>
  <c r="BL55" i="106"/>
  <c r="W45" i="106"/>
  <c r="AL54" i="106"/>
  <c r="AL83" i="106"/>
  <c r="AM38" i="106"/>
  <c r="AL60" i="106"/>
  <c r="AL77" i="106"/>
  <c r="AM39" i="106"/>
  <c r="BH10" i="106"/>
  <c r="AL61" i="106"/>
  <c r="AL69" i="106"/>
  <c r="F25" i="107"/>
  <c r="E25" i="107"/>
  <c r="G25" i="107"/>
  <c r="A29" i="107"/>
  <c r="B28" i="107"/>
  <c r="AU93" i="109"/>
  <c r="AN132" i="109" s="1"/>
  <c r="AQ94" i="109"/>
  <c r="A26" i="108"/>
  <c r="B25" i="108"/>
  <c r="F23" i="108"/>
  <c r="G23" i="108"/>
  <c r="E23" i="108"/>
  <c r="J35" i="110"/>
  <c r="AM53" i="109"/>
  <c r="AM79" i="109"/>
  <c r="AM72" i="109"/>
  <c r="AM68" i="109"/>
  <c r="AM63" i="109"/>
  <c r="AM84" i="109"/>
  <c r="AM49" i="109"/>
  <c r="AM51" i="109"/>
  <c r="J38" i="110"/>
  <c r="J39" i="110"/>
  <c r="E40" i="110"/>
  <c r="E41" i="110" s="1"/>
  <c r="AM77" i="109"/>
  <c r="BM55" i="109"/>
  <c r="G11" i="109"/>
  <c r="AK109" i="94"/>
  <c r="C15" i="94" s="1"/>
  <c r="C12" i="111" s="1"/>
  <c r="BI10" i="109"/>
  <c r="D15" i="109"/>
  <c r="J29" i="110"/>
  <c r="J26" i="110"/>
  <c r="V9" i="109"/>
  <c r="Z58" i="110"/>
  <c r="D9" i="110"/>
  <c r="AN8" i="110"/>
  <c r="AD74" i="110"/>
  <c r="AA58" i="110"/>
  <c r="J36" i="110"/>
  <c r="J34" i="110"/>
  <c r="J14" i="110"/>
  <c r="V10" i="109"/>
  <c r="U11" i="109"/>
  <c r="AK66" i="109"/>
  <c r="U13" i="110"/>
  <c r="E15" i="111"/>
  <c r="J14" i="111"/>
  <c r="F14" i="111"/>
  <c r="AZ14" i="111" s="1"/>
  <c r="AX12" i="111"/>
  <c r="AC49" i="109"/>
  <c r="AH66" i="109"/>
  <c r="X41" i="110"/>
  <c r="V41" i="110"/>
  <c r="Z49" i="110"/>
  <c r="D7" i="110"/>
  <c r="D30" i="110" s="1"/>
  <c r="Y41" i="110"/>
  <c r="C12" i="112"/>
  <c r="D12" i="112" s="1"/>
  <c r="Z41" i="110"/>
  <c r="Z81" i="110"/>
  <c r="AN36" i="109"/>
  <c r="AN37" i="109" s="1"/>
  <c r="AJ36" i="109"/>
  <c r="AM76" i="109" s="1"/>
  <c r="D17" i="110"/>
  <c r="U22" i="110" s="1"/>
  <c r="AM35" i="109"/>
  <c r="AD31" i="109"/>
  <c r="D12" i="103"/>
  <c r="U10" i="94"/>
  <c r="AS49" i="109"/>
  <c r="AS47" i="109"/>
  <c r="AS31" i="109"/>
  <c r="AS59" i="109"/>
  <c r="AS27" i="109"/>
  <c r="AS92" i="109"/>
  <c r="AS36" i="109"/>
  <c r="AS45" i="109"/>
  <c r="AS43" i="109"/>
  <c r="AS70" i="109"/>
  <c r="AS74" i="109"/>
  <c r="AS99" i="109"/>
  <c r="AH40" i="109"/>
  <c r="AS16" i="109"/>
  <c r="AS12" i="109"/>
  <c r="AS20" i="109"/>
  <c r="AS69" i="109"/>
  <c r="AS82" i="109"/>
  <c r="AS52" i="109"/>
  <c r="AS21" i="109"/>
  <c r="AS25" i="109"/>
  <c r="AS38" i="109"/>
  <c r="AS108" i="109"/>
  <c r="AS87" i="109"/>
  <c r="AS64" i="109"/>
  <c r="AS65" i="109"/>
  <c r="AS40" i="109"/>
  <c r="AS35" i="109"/>
  <c r="AS22" i="109"/>
  <c r="AS30" i="109"/>
  <c r="AS50" i="109"/>
  <c r="AF13" i="109"/>
  <c r="AS32" i="109"/>
  <c r="AS80" i="109"/>
  <c r="AS54" i="109"/>
  <c r="AS26" i="109"/>
  <c r="AS39" i="109"/>
  <c r="AS51" i="109"/>
  <c r="AS56" i="109"/>
  <c r="AS71" i="109"/>
  <c r="AS53" i="109"/>
  <c r="AS60" i="109"/>
  <c r="AS76" i="109"/>
  <c r="AS83" i="109"/>
  <c r="AS88" i="109"/>
  <c r="AS100" i="109"/>
  <c r="AS101" i="109"/>
  <c r="AH38" i="109"/>
  <c r="AS14" i="109"/>
  <c r="AS10" i="109"/>
  <c r="AS79" i="109"/>
  <c r="AS81" i="109"/>
  <c r="AF14" i="109"/>
  <c r="AS23" i="109"/>
  <c r="AS48" i="109"/>
  <c r="AS68" i="109"/>
  <c r="AS13" i="109"/>
  <c r="AS34" i="109"/>
  <c r="AS98" i="109"/>
  <c r="AS11" i="109"/>
  <c r="AS29" i="109"/>
  <c r="AS42" i="109"/>
  <c r="AS55" i="109"/>
  <c r="AS63" i="109"/>
  <c r="AS94" i="109"/>
  <c r="AG57" i="109"/>
  <c r="AS62" i="109"/>
  <c r="AS106" i="109"/>
  <c r="AS84" i="109"/>
  <c r="AS90" i="109"/>
  <c r="AS93" i="109"/>
  <c r="AS103" i="109"/>
  <c r="AS28" i="109"/>
  <c r="AS17" i="109"/>
  <c r="AS104" i="109"/>
  <c r="AS15" i="109"/>
  <c r="AS9" i="109"/>
  <c r="AS24" i="109"/>
  <c r="AS44" i="109"/>
  <c r="AS72" i="109"/>
  <c r="AS18" i="109"/>
  <c r="AS37" i="109"/>
  <c r="AS41" i="109"/>
  <c r="AS19" i="109"/>
  <c r="AS33" i="109"/>
  <c r="AS46" i="109"/>
  <c r="AS66" i="109"/>
  <c r="AS67" i="109"/>
  <c r="AS102" i="109"/>
  <c r="AS58" i="109"/>
  <c r="AS73" i="109"/>
  <c r="AS77" i="109"/>
  <c r="AS86" i="109"/>
  <c r="AS91" i="109"/>
  <c r="AS95" i="109"/>
  <c r="AS107" i="109"/>
  <c r="AH37" i="109"/>
  <c r="AO88" i="109"/>
  <c r="AO89" i="109" s="1"/>
  <c r="AO90" i="109" s="1"/>
  <c r="AO91" i="109" s="1"/>
  <c r="AO92" i="109" s="1"/>
  <c r="AO93" i="109" s="1"/>
  <c r="AO94" i="109" s="1"/>
  <c r="AO95" i="109" s="1"/>
  <c r="AO96" i="109" s="1"/>
  <c r="AO97" i="109" s="1"/>
  <c r="AO98" i="109" s="1"/>
  <c r="AO99" i="109" s="1"/>
  <c r="AO100" i="109" s="1"/>
  <c r="AO101" i="109" s="1"/>
  <c r="AO102" i="109" s="1"/>
  <c r="AO103" i="109" s="1"/>
  <c r="AO104" i="109" s="1"/>
  <c r="AO105" i="109" s="1"/>
  <c r="AO106" i="109" s="1"/>
  <c r="AO107" i="109" s="1"/>
  <c r="AO108" i="109" s="1"/>
  <c r="AO109" i="109" s="1"/>
  <c r="AO110" i="109" s="1"/>
  <c r="AO111" i="109" s="1"/>
  <c r="AO112" i="109" s="1"/>
  <c r="AO113" i="109" s="1"/>
  <c r="AO114" i="109" s="1"/>
  <c r="AO115" i="109" s="1"/>
  <c r="AO116" i="109" s="1"/>
  <c r="AO117" i="109" s="1"/>
  <c r="AO118" i="109"/>
  <c r="AO119" i="109" s="1"/>
  <c r="AO120" i="109" s="1"/>
  <c r="AO121" i="109" s="1"/>
  <c r="AO122" i="109" s="1"/>
  <c r="AO123" i="109" s="1"/>
  <c r="AO124" i="109" s="1"/>
  <c r="AO125" i="109" s="1"/>
  <c r="AO126" i="109" s="1"/>
  <c r="AO127" i="109" s="1"/>
  <c r="AO128" i="109" s="1"/>
  <c r="AO129" i="109" s="1"/>
  <c r="AO130" i="109" s="1"/>
  <c r="AO131" i="109" s="1"/>
  <c r="AO132" i="109" s="1"/>
  <c r="AO133" i="109" s="1"/>
  <c r="AO134" i="109" s="1"/>
  <c r="AO135" i="109" s="1"/>
  <c r="AO136" i="109" s="1"/>
  <c r="AO137" i="109" s="1"/>
  <c r="AO138" i="109" s="1"/>
  <c r="AO139" i="109" s="1"/>
  <c r="AO140" i="109" s="1"/>
  <c r="AO141" i="109" s="1"/>
  <c r="AO142" i="109" s="1"/>
  <c r="AO143" i="109" s="1"/>
  <c r="AO144" i="109" s="1"/>
  <c r="AO145" i="109" s="1"/>
  <c r="AO146" i="109" s="1"/>
  <c r="AO147" i="109" s="1"/>
  <c r="AE54" i="109"/>
  <c r="Z43" i="109"/>
  <c r="Z42" i="109"/>
  <c r="V48" i="110"/>
  <c r="AZ8" i="110"/>
  <c r="AZ7" i="110" s="1"/>
  <c r="AA55" i="110"/>
  <c r="AN23" i="110" s="1"/>
  <c r="V49" i="110"/>
  <c r="V50" i="110" s="1"/>
  <c r="AS57" i="109"/>
  <c r="AS61" i="109"/>
  <c r="AS75" i="109"/>
  <c r="AS78" i="109"/>
  <c r="AS85" i="109"/>
  <c r="AS89" i="109"/>
  <c r="AS96" i="109"/>
  <c r="AS97" i="109"/>
  <c r="X46" i="109"/>
  <c r="AM60" i="109"/>
  <c r="AM54" i="109"/>
  <c r="AM78" i="109"/>
  <c r="AM65" i="109"/>
  <c r="AM69" i="109"/>
  <c r="AM73" i="109"/>
  <c r="AM80" i="109"/>
  <c r="AM48" i="109"/>
  <c r="X44" i="109"/>
  <c r="AM59" i="109"/>
  <c r="AM85" i="109"/>
  <c r="BM56" i="109"/>
  <c r="AM55" i="109"/>
  <c r="AM82" i="109"/>
  <c r="AM66" i="109"/>
  <c r="AM70" i="109"/>
  <c r="AM74" i="109"/>
  <c r="AM81" i="109"/>
  <c r="BM54" i="109"/>
  <c r="AM58" i="109"/>
  <c r="X45" i="109"/>
  <c r="AM61" i="109"/>
  <c r="AM62" i="109"/>
  <c r="AM50" i="109"/>
  <c r="AM64" i="109"/>
  <c r="AM83" i="109"/>
  <c r="AM67" i="109"/>
  <c r="AM71" i="109"/>
  <c r="AM75" i="109"/>
  <c r="AM56" i="109"/>
  <c r="AM57" i="109"/>
  <c r="AM52" i="109"/>
  <c r="AX9" i="110"/>
  <c r="AX10" i="110" s="1"/>
  <c r="AX11" i="110" s="1"/>
  <c r="AX12" i="110" s="1"/>
  <c r="AX13" i="110" s="1"/>
  <c r="AX14" i="110" s="1"/>
  <c r="AX15" i="110" s="1"/>
  <c r="AX16" i="110" s="1"/>
  <c r="AX17" i="110" s="1"/>
  <c r="AX18" i="110" s="1"/>
  <c r="AX19" i="110" s="1"/>
  <c r="AX20" i="110" s="1"/>
  <c r="AX21" i="110" s="1"/>
  <c r="AX22" i="110" s="1"/>
  <c r="AX23" i="110" s="1"/>
  <c r="AX24" i="110" s="1"/>
  <c r="AX25" i="110" s="1"/>
  <c r="AX26" i="110" s="1"/>
  <c r="AX27" i="110" s="1"/>
  <c r="AX28" i="110" s="1"/>
  <c r="AX29" i="110" s="1"/>
  <c r="AX30" i="110" s="1"/>
  <c r="AX31" i="110" s="1"/>
  <c r="AX32" i="110" s="1"/>
  <c r="AX33" i="110" s="1"/>
  <c r="AX34" i="110" s="1"/>
  <c r="AX35" i="110" s="1"/>
  <c r="AX36" i="110" s="1"/>
  <c r="AX37" i="110" s="1"/>
  <c r="AX38" i="110" s="1"/>
  <c r="AX39" i="110" s="1"/>
  <c r="AX40" i="110" s="1"/>
  <c r="AX41" i="110" s="1"/>
  <c r="AX42" i="110" s="1"/>
  <c r="AX43" i="110" s="1"/>
  <c r="AX44" i="110" s="1"/>
  <c r="AX45" i="110" s="1"/>
  <c r="AX46" i="110" s="1"/>
  <c r="AX47" i="110" s="1"/>
  <c r="AX48" i="110" s="1"/>
  <c r="AX49" i="110" s="1"/>
  <c r="AX50" i="110" s="1"/>
  <c r="AX51" i="110" s="1"/>
  <c r="AX52" i="110" s="1"/>
  <c r="AX53" i="110" s="1"/>
  <c r="AX54" i="110" s="1"/>
  <c r="AX55" i="110" s="1"/>
  <c r="AX56" i="110" s="1"/>
  <c r="AX57" i="110" s="1"/>
  <c r="AX58" i="110" s="1"/>
  <c r="AX59" i="110" s="1"/>
  <c r="AX60" i="110" s="1"/>
  <c r="AX61" i="110" s="1"/>
  <c r="AX62" i="110" s="1"/>
  <c r="AX63" i="110" s="1"/>
  <c r="AX64" i="110" s="1"/>
  <c r="AX65" i="110" s="1"/>
  <c r="AX66" i="110" s="1"/>
  <c r="AX67" i="110" s="1"/>
  <c r="AX68" i="110" s="1"/>
  <c r="AX69" i="110" s="1"/>
  <c r="AX70" i="110" s="1"/>
  <c r="AX71" i="110" s="1"/>
  <c r="AX72" i="110" s="1"/>
  <c r="AX73" i="110" s="1"/>
  <c r="AX74" i="110" s="1"/>
  <c r="AX75" i="110" s="1"/>
  <c r="AX76" i="110" s="1"/>
  <c r="AX77" i="110" s="1"/>
  <c r="AX78" i="110" s="1"/>
  <c r="AX79" i="110" s="1"/>
  <c r="AX80" i="110" s="1"/>
  <c r="AX81" i="110" s="1"/>
  <c r="AX82" i="110" s="1"/>
  <c r="AX83" i="110" s="1"/>
  <c r="AX84" i="110" s="1"/>
  <c r="AX85" i="110" s="1"/>
  <c r="AX86" i="110" s="1"/>
  <c r="AX87" i="110" s="1"/>
  <c r="AX88" i="110" s="1"/>
  <c r="AX89" i="110" s="1"/>
  <c r="AX90" i="110" s="1"/>
  <c r="AX91" i="110" s="1"/>
  <c r="AX92" i="110" s="1"/>
  <c r="AX93" i="110" s="1"/>
  <c r="AX94" i="110" s="1"/>
  <c r="AX95" i="110" s="1"/>
  <c r="AX96" i="110" s="1"/>
  <c r="AX97" i="110" s="1"/>
  <c r="AX98" i="110" s="1"/>
  <c r="AX99" i="110" s="1"/>
  <c r="AX100" i="110" s="1"/>
  <c r="AX101" i="110" s="1"/>
  <c r="AX102" i="110" s="1"/>
  <c r="AX103" i="110" s="1"/>
  <c r="AX104" i="110" s="1"/>
  <c r="AX105" i="110" s="1"/>
  <c r="AX106" i="110" s="1"/>
  <c r="AX107" i="110" s="1"/>
  <c r="AX108" i="110" s="1"/>
  <c r="AX109" i="110" s="1"/>
  <c r="AX110" i="110" s="1"/>
  <c r="AX111" i="110" s="1"/>
  <c r="AX112" i="110" s="1"/>
  <c r="AX113" i="110" s="1"/>
  <c r="AX114" i="110" s="1"/>
  <c r="AX115" i="110" s="1"/>
  <c r="AX116" i="110" s="1"/>
  <c r="AX117" i="110" s="1"/>
  <c r="AX118" i="110" s="1"/>
  <c r="AX119" i="110" s="1"/>
  <c r="AX120" i="110" s="1"/>
  <c r="AX121" i="110" s="1"/>
  <c r="AX122" i="110" s="1"/>
  <c r="AX123" i="110" s="1"/>
  <c r="AX124" i="110" s="1"/>
  <c r="AX125" i="110" s="1"/>
  <c r="AX126" i="110" s="1"/>
  <c r="AX127" i="110" s="1"/>
  <c r="AX128" i="110" s="1"/>
  <c r="AX129" i="110" s="1"/>
  <c r="T36" i="110"/>
  <c r="AE89" i="110"/>
  <c r="AE88" i="110"/>
  <c r="AD75" i="110"/>
  <c r="AB75" i="110"/>
  <c r="AD77" i="110"/>
  <c r="BI22" i="110"/>
  <c r="C30" i="110" s="1"/>
  <c r="E27" i="109" s="1"/>
  <c r="V46" i="110"/>
  <c r="J12" i="110"/>
  <c r="J15" i="110"/>
  <c r="J19" i="110"/>
  <c r="R9" i="110"/>
  <c r="T41" i="110"/>
  <c r="AB77" i="110"/>
  <c r="AB76" i="110"/>
  <c r="AB74" i="110"/>
  <c r="AE90" i="110"/>
  <c r="BE22" i="110"/>
  <c r="U35" i="110"/>
  <c r="J13" i="110"/>
  <c r="J16" i="110"/>
  <c r="J17" i="110"/>
  <c r="J18" i="110"/>
  <c r="J20" i="110"/>
  <c r="J21" i="110"/>
  <c r="J22" i="110"/>
  <c r="J23" i="110"/>
  <c r="D10" i="110"/>
  <c r="AD76" i="110"/>
  <c r="AD73" i="110"/>
  <c r="AE85" i="110"/>
  <c r="AE86" i="110"/>
  <c r="T35" i="110"/>
  <c r="U36" i="110"/>
  <c r="J10" i="110"/>
  <c r="J31" i="110"/>
  <c r="J27" i="110"/>
  <c r="J25" i="110"/>
  <c r="AD78" i="110"/>
  <c r="AA6" i="110"/>
  <c r="AA4" i="110"/>
  <c r="AA15" i="110"/>
  <c r="C21" i="110" s="1"/>
  <c r="A15" i="110"/>
  <c r="C19" i="110"/>
  <c r="AA14" i="110" s="1"/>
  <c r="AA8" i="110"/>
  <c r="AA11" i="110"/>
  <c r="J11" i="110"/>
  <c r="V47" i="110"/>
  <c r="AE87" i="110"/>
  <c r="J40" i="110"/>
  <c r="J37" i="110"/>
  <c r="J33" i="110"/>
  <c r="J32" i="110"/>
  <c r="J30" i="110"/>
  <c r="J28" i="110"/>
  <c r="J24" i="110"/>
  <c r="AB73" i="110"/>
  <c r="AA67" i="110"/>
  <c r="AC67" i="110"/>
  <c r="AN19" i="110"/>
  <c r="F9" i="110"/>
  <c r="AZ9" i="110" s="1"/>
  <c r="F19" i="110"/>
  <c r="AZ19" i="110" s="1"/>
  <c r="AN24" i="110"/>
  <c r="AN20" i="110"/>
  <c r="F20" i="110"/>
  <c r="AZ20" i="110" s="1"/>
  <c r="AA12" i="110"/>
  <c r="AA13" i="110" s="1"/>
  <c r="A13" i="110"/>
  <c r="V22" i="110"/>
  <c r="E13" i="112"/>
  <c r="J12" i="112"/>
  <c r="AM14" i="112"/>
  <c r="F12" i="112"/>
  <c r="AZ12" i="112" s="1"/>
  <c r="AF68" i="112"/>
  <c r="AE68" i="112"/>
  <c r="AH67" i="112"/>
  <c r="AN13" i="112"/>
  <c r="AX12" i="112"/>
  <c r="AK50" i="103"/>
  <c r="AK47" i="103" s="1"/>
  <c r="BI11" i="94"/>
  <c r="AF68" i="111"/>
  <c r="AH67" i="111"/>
  <c r="C32" i="111" s="1"/>
  <c r="BA8" i="111" s="1"/>
  <c r="AE68" i="111"/>
  <c r="T35" i="103"/>
  <c r="V49" i="103"/>
  <c r="V50" i="103" s="1"/>
  <c r="V47" i="103" s="1"/>
  <c r="V48" i="103"/>
  <c r="D11" i="103"/>
  <c r="U35" i="103" s="1"/>
  <c r="AZ8" i="103"/>
  <c r="AZ7" i="103" s="1"/>
  <c r="BM54" i="94"/>
  <c r="G10" i="94"/>
  <c r="W10" i="94" s="1"/>
  <c r="H10" i="94"/>
  <c r="BK10" i="94" s="1"/>
  <c r="AR9" i="94"/>
  <c r="H9" i="94"/>
  <c r="BK9" i="94" s="1"/>
  <c r="AO118" i="94"/>
  <c r="AO119" i="94" s="1"/>
  <c r="AO120" i="94" s="1"/>
  <c r="AO121" i="94" s="1"/>
  <c r="AO122" i="94" s="1"/>
  <c r="AO123" i="94" s="1"/>
  <c r="AO124" i="94" s="1"/>
  <c r="AO125" i="94" s="1"/>
  <c r="AO126" i="94" s="1"/>
  <c r="AO127" i="94" s="1"/>
  <c r="AO128" i="94" s="1"/>
  <c r="AO129" i="94" s="1"/>
  <c r="AO130" i="94" s="1"/>
  <c r="AO131" i="94" s="1"/>
  <c r="AO132" i="94" s="1"/>
  <c r="AO133" i="94" s="1"/>
  <c r="AO134" i="94" s="1"/>
  <c r="AO135" i="94" s="1"/>
  <c r="AO136" i="94" s="1"/>
  <c r="AO137" i="94" s="1"/>
  <c r="AO138" i="94" s="1"/>
  <c r="AO139" i="94" s="1"/>
  <c r="AO140" i="94" s="1"/>
  <c r="AO141" i="94" s="1"/>
  <c r="AO142" i="94" s="1"/>
  <c r="AO143" i="94" s="1"/>
  <c r="AO144" i="94" s="1"/>
  <c r="AO145" i="94" s="1"/>
  <c r="AO146" i="94" s="1"/>
  <c r="AO147" i="94" s="1"/>
  <c r="AO88" i="94"/>
  <c r="AO89" i="94" s="1"/>
  <c r="AO90" i="94" s="1"/>
  <c r="AO91" i="94" s="1"/>
  <c r="AO92" i="94" s="1"/>
  <c r="AO93" i="94" s="1"/>
  <c r="AO94" i="94" s="1"/>
  <c r="AO95" i="94" s="1"/>
  <c r="AO96" i="94" s="1"/>
  <c r="AO97" i="94" s="1"/>
  <c r="AO98" i="94" s="1"/>
  <c r="AO99" i="94" s="1"/>
  <c r="AO100" i="94" s="1"/>
  <c r="AO101" i="94" s="1"/>
  <c r="AO102" i="94" s="1"/>
  <c r="AO103" i="94" s="1"/>
  <c r="AO104" i="94" s="1"/>
  <c r="AO105" i="94" s="1"/>
  <c r="AO106" i="94" s="1"/>
  <c r="AO107" i="94" s="1"/>
  <c r="AO108" i="94" s="1"/>
  <c r="AO109" i="94" s="1"/>
  <c r="AO110" i="94" s="1"/>
  <c r="AO111" i="94" s="1"/>
  <c r="AO112" i="94" s="1"/>
  <c r="AO113" i="94" s="1"/>
  <c r="AO114" i="94" s="1"/>
  <c r="AO115" i="94" s="1"/>
  <c r="AO116" i="94" s="1"/>
  <c r="AO117" i="94" s="1"/>
  <c r="AM83" i="94"/>
  <c r="AM72" i="94"/>
  <c r="AO46" i="94"/>
  <c r="AM78" i="94"/>
  <c r="AM62" i="94"/>
  <c r="Z42" i="94"/>
  <c r="AM85" i="94" s="1"/>
  <c r="AK66" i="94"/>
  <c r="AD31" i="94"/>
  <c r="AM73" i="94"/>
  <c r="BK8" i="94"/>
  <c r="BK7" i="94" s="1"/>
  <c r="AN36" i="94"/>
  <c r="C17" i="111"/>
  <c r="AM51" i="94"/>
  <c r="AM65" i="94"/>
  <c r="AM52" i="94"/>
  <c r="AM71" i="94"/>
  <c r="AM58" i="94"/>
  <c r="AM81" i="94"/>
  <c r="AM70" i="94"/>
  <c r="BM55" i="94"/>
  <c r="AM67" i="94"/>
  <c r="AM56" i="94"/>
  <c r="AM79" i="94"/>
  <c r="AM76" i="94"/>
  <c r="X44" i="94"/>
  <c r="AM57" i="94"/>
  <c r="AM55" i="94"/>
  <c r="AM84" i="94"/>
  <c r="AM50" i="94"/>
  <c r="AM148" i="94" s="1"/>
  <c r="AM82" i="94"/>
  <c r="AM74" i="94"/>
  <c r="AM75" i="94"/>
  <c r="AM53" i="94"/>
  <c r="AM63" i="94"/>
  <c r="AM80" i="94"/>
  <c r="AM68" i="94"/>
  <c r="AM86" i="94"/>
  <c r="AM77" i="94"/>
  <c r="AM69" i="94"/>
  <c r="AM54" i="94"/>
  <c r="AM66" i="94"/>
  <c r="AM49" i="94"/>
  <c r="AR10" i="94"/>
  <c r="AQ11" i="94"/>
  <c r="AM87" i="94"/>
  <c r="Z45" i="94"/>
  <c r="AA55" i="103"/>
  <c r="F14" i="103" s="1"/>
  <c r="AZ14" i="103" s="1"/>
  <c r="G11" i="94"/>
  <c r="X41" i="103"/>
  <c r="AF81" i="103"/>
  <c r="AF67" i="103" s="1"/>
  <c r="AE81" i="103"/>
  <c r="AE67" i="103" s="1"/>
  <c r="AA15" i="103"/>
  <c r="C21" i="103" s="1"/>
  <c r="V13" i="103"/>
  <c r="U13" i="103"/>
  <c r="AM35" i="94"/>
  <c r="AB81" i="103"/>
  <c r="V41" i="103"/>
  <c r="AA81" i="103"/>
  <c r="AA67" i="103" s="1"/>
  <c r="AC81" i="103"/>
  <c r="AC66" i="103" s="1"/>
  <c r="AC67" i="103" s="1"/>
  <c r="Z50" i="103"/>
  <c r="AD81" i="103"/>
  <c r="Z52" i="103"/>
  <c r="Y52" i="103" s="1"/>
  <c r="Z41" i="103"/>
  <c r="W41" i="103"/>
  <c r="Z49" i="103"/>
  <c r="D7" i="103"/>
  <c r="Z81" i="103"/>
  <c r="AA11" i="103"/>
  <c r="AA9" i="103"/>
  <c r="AA5" i="103"/>
  <c r="A13" i="103"/>
  <c r="AA8" i="103"/>
  <c r="C31" i="103"/>
  <c r="AA10" i="103"/>
  <c r="T14" i="103"/>
  <c r="C19" i="103"/>
  <c r="AA7" i="103"/>
  <c r="AA4" i="103"/>
  <c r="C20" i="103"/>
  <c r="AA6" i="103"/>
  <c r="AA12" i="103"/>
  <c r="Y53" i="103"/>
  <c r="A28" i="103"/>
  <c r="T14" i="110"/>
  <c r="AA10" i="110"/>
  <c r="C20" i="110"/>
  <c r="AA9" i="110"/>
  <c r="AA7" i="110"/>
  <c r="AA5" i="110"/>
  <c r="C31" i="110"/>
  <c r="U36" i="103"/>
  <c r="AF35" i="106"/>
  <c r="AL35" i="106"/>
  <c r="AF35" i="105"/>
  <c r="B8" i="65"/>
  <c r="B33" i="65"/>
  <c r="B23" i="65"/>
  <c r="B37" i="65"/>
  <c r="B18" i="65"/>
  <c r="B34" i="65"/>
  <c r="B12" i="65"/>
  <c r="B14" i="65"/>
  <c r="B10" i="65"/>
  <c r="AM61" i="94"/>
  <c r="B7" i="65"/>
  <c r="B16" i="65"/>
  <c r="B30" i="65"/>
  <c r="B31" i="65"/>
  <c r="B20" i="65"/>
  <c r="B36" i="65"/>
  <c r="B27" i="65"/>
  <c r="B28" i="65"/>
  <c r="B19" i="65"/>
  <c r="B15" i="65"/>
  <c r="B35" i="65"/>
  <c r="B9" i="65"/>
  <c r="B32" i="65"/>
  <c r="B13" i="65"/>
  <c r="B17" i="65"/>
  <c r="B11" i="65"/>
  <c r="B29" i="65"/>
  <c r="D13" i="94"/>
  <c r="AS9" i="94" s="1"/>
  <c r="AN38" i="94"/>
  <c r="AN40" i="94"/>
  <c r="AN39" i="94"/>
  <c r="AN37" i="94"/>
  <c r="Z46" i="61"/>
  <c r="D21" i="61" s="1"/>
  <c r="BI22" i="103"/>
  <c r="F1" i="103"/>
  <c r="Z44" i="61"/>
  <c r="D15" i="61" s="1"/>
  <c r="AM60" i="94"/>
  <c r="AA13" i="103"/>
  <c r="G6" i="61"/>
  <c r="Z43" i="61" s="1"/>
  <c r="G23" i="61" s="1"/>
  <c r="AA39" i="61"/>
  <c r="Z58" i="103"/>
  <c r="BE22" i="103"/>
  <c r="D17" i="103"/>
  <c r="AH37" i="94"/>
  <c r="D22" i="61"/>
  <c r="AH39" i="94"/>
  <c r="AH40" i="94"/>
  <c r="AG55" i="105" l="1"/>
  <c r="AF56" i="105"/>
  <c r="AG54" i="105"/>
  <c r="AG57" i="105"/>
  <c r="AG56" i="105"/>
  <c r="AF55" i="105" s="1"/>
  <c r="BG8" i="105"/>
  <c r="AT8" i="105"/>
  <c r="AM46" i="105" s="1"/>
  <c r="P9" i="59"/>
  <c r="O9" i="59"/>
  <c r="V14" i="88"/>
  <c r="R14" i="88" s="1"/>
  <c r="U15" i="88"/>
  <c r="BI23" i="103"/>
  <c r="BI24" i="103" s="1"/>
  <c r="X45" i="94"/>
  <c r="F15" i="110"/>
  <c r="AZ15" i="110" s="1"/>
  <c r="AN17" i="110"/>
  <c r="AN11" i="110"/>
  <c r="C12" i="103"/>
  <c r="G12" i="109"/>
  <c r="W11" i="109"/>
  <c r="D23" i="108"/>
  <c r="C24" i="108" s="1"/>
  <c r="B29" i="107"/>
  <c r="A30" i="107"/>
  <c r="AP13" i="106"/>
  <c r="AT12" i="106"/>
  <c r="AQ12" i="106"/>
  <c r="E16" i="103"/>
  <c r="J15" i="103"/>
  <c r="BH11" i="100"/>
  <c r="BI10" i="100"/>
  <c r="AS9" i="100"/>
  <c r="AO9" i="100"/>
  <c r="D24" i="100"/>
  <c r="AM48" i="100"/>
  <c r="E28" i="59"/>
  <c r="C29" i="59"/>
  <c r="E29" i="59" s="1"/>
  <c r="BA10" i="88"/>
  <c r="AO8" i="59"/>
  <c r="AJ46" i="59" s="1"/>
  <c r="AC56" i="59"/>
  <c r="AD54" i="59"/>
  <c r="AD57" i="59"/>
  <c r="D34" i="59" s="1"/>
  <c r="E34" i="59" s="1"/>
  <c r="AD55" i="59"/>
  <c r="AC55" i="59" s="1"/>
  <c r="D24" i="59" s="1"/>
  <c r="AD56" i="59"/>
  <c r="BB8" i="59"/>
  <c r="BR14" i="59"/>
  <c r="BQ15" i="59"/>
  <c r="BA9" i="86"/>
  <c r="O9" i="78"/>
  <c r="AL87" i="88"/>
  <c r="Y45" i="88"/>
  <c r="T13" i="78"/>
  <c r="U12" i="78"/>
  <c r="AI51" i="59"/>
  <c r="BI10" i="106"/>
  <c r="BH11" i="106"/>
  <c r="AM49" i="106"/>
  <c r="AS10" i="106"/>
  <c r="AO10" i="106"/>
  <c r="W48" i="106"/>
  <c r="H13" i="106"/>
  <c r="BJ13" i="106" s="1"/>
  <c r="BL58" i="106"/>
  <c r="G14" i="106"/>
  <c r="AL89" i="106"/>
  <c r="Y47" i="106"/>
  <c r="BI10" i="86"/>
  <c r="BH11" i="86"/>
  <c r="F160" i="110"/>
  <c r="AZ110" i="110" s="1"/>
  <c r="D25" i="107"/>
  <c r="C26" i="107" s="1"/>
  <c r="AL93" i="105"/>
  <c r="Y51" i="105"/>
  <c r="AM40" i="100"/>
  <c r="AM39" i="100"/>
  <c r="AM37" i="100"/>
  <c r="AM38" i="100"/>
  <c r="U11" i="100"/>
  <c r="V10" i="100"/>
  <c r="BA9" i="100"/>
  <c r="AN17" i="59"/>
  <c r="AN22" i="59"/>
  <c r="AN34" i="59"/>
  <c r="H17" i="59"/>
  <c r="BE17" i="59" s="1"/>
  <c r="AN11" i="59"/>
  <c r="AN18" i="59"/>
  <c r="AN40" i="59"/>
  <c r="AN9" i="59"/>
  <c r="AN38" i="59"/>
  <c r="AN33" i="59"/>
  <c r="H10" i="59"/>
  <c r="BE10" i="59" s="1"/>
  <c r="AN20" i="59"/>
  <c r="H14" i="59"/>
  <c r="BE14" i="59" s="1"/>
  <c r="H13" i="59"/>
  <c r="BE13" i="59" s="1"/>
  <c r="AN13" i="59"/>
  <c r="AN32" i="59"/>
  <c r="AN28" i="59"/>
  <c r="AN23" i="59"/>
  <c r="AN12" i="59"/>
  <c r="AN39" i="59"/>
  <c r="H11" i="59"/>
  <c r="BE11" i="59" s="1"/>
  <c r="AN35" i="59"/>
  <c r="H9" i="59"/>
  <c r="AN14" i="59"/>
  <c r="AN30" i="59"/>
  <c r="AN26" i="59"/>
  <c r="AN15" i="59"/>
  <c r="AN25" i="59"/>
  <c r="H15" i="59"/>
  <c r="BE15" i="59" s="1"/>
  <c r="AN21" i="59"/>
  <c r="AN31" i="59"/>
  <c r="AN27" i="59"/>
  <c r="AN10" i="59"/>
  <c r="H18" i="59"/>
  <c r="BE18" i="59" s="1"/>
  <c r="AN37" i="59"/>
  <c r="AN19" i="59"/>
  <c r="H24" i="59"/>
  <c r="BE30" i="59" s="1"/>
  <c r="AN47" i="59"/>
  <c r="AN48" i="59"/>
  <c r="H12" i="59"/>
  <c r="BE12" i="59" s="1"/>
  <c r="H25" i="59"/>
  <c r="BE31" i="59" s="1"/>
  <c r="H27" i="59"/>
  <c r="BE33" i="59" s="1"/>
  <c r="AN51" i="59"/>
  <c r="AN52" i="59"/>
  <c r="AN54" i="59"/>
  <c r="AN36" i="59"/>
  <c r="H19" i="59"/>
  <c r="BE25" i="59" s="1"/>
  <c r="H20" i="59"/>
  <c r="BE26" i="59" s="1"/>
  <c r="AN41" i="59"/>
  <c r="H26" i="59"/>
  <c r="BE32" i="59" s="1"/>
  <c r="AN50" i="59"/>
  <c r="AN53" i="59"/>
  <c r="H16" i="59"/>
  <c r="BE16" i="59" s="1"/>
  <c r="H23" i="59"/>
  <c r="BE29" i="59" s="1"/>
  <c r="AN24" i="59"/>
  <c r="AN42" i="59"/>
  <c r="AN43" i="59"/>
  <c r="AN44" i="59"/>
  <c r="AN16" i="59"/>
  <c r="AN29" i="59"/>
  <c r="AN45" i="59"/>
  <c r="AN62" i="59"/>
  <c r="H28" i="59"/>
  <c r="BE34" i="59" s="1"/>
  <c r="AN49" i="59"/>
  <c r="AN59" i="59"/>
  <c r="H40" i="59"/>
  <c r="BE46" i="59" s="1"/>
  <c r="H41" i="59"/>
  <c r="BE47" i="59" s="1"/>
  <c r="AN65" i="59"/>
  <c r="AN46" i="59"/>
  <c r="H33" i="59"/>
  <c r="BE39" i="59" s="1"/>
  <c r="H37" i="59"/>
  <c r="BE43" i="59" s="1"/>
  <c r="H30" i="59"/>
  <c r="BE36" i="59" s="1"/>
  <c r="H21" i="59"/>
  <c r="BE27" i="59" s="1"/>
  <c r="H22" i="59"/>
  <c r="BE28" i="59" s="1"/>
  <c r="H34" i="59"/>
  <c r="BE40" i="59" s="1"/>
  <c r="AN55" i="59"/>
  <c r="AN60" i="59"/>
  <c r="H31" i="59"/>
  <c r="BE37" i="59" s="1"/>
  <c r="H39" i="59"/>
  <c r="BE45" i="59" s="1"/>
  <c r="AN56" i="59"/>
  <c r="H36" i="59"/>
  <c r="BE42" i="59" s="1"/>
  <c r="AN57" i="59"/>
  <c r="H42" i="59"/>
  <c r="BE48" i="59" s="1"/>
  <c r="H43" i="59"/>
  <c r="BE49" i="59" s="1"/>
  <c r="AN67" i="59"/>
  <c r="H38" i="59"/>
  <c r="BE44" i="59" s="1"/>
  <c r="AN63" i="59"/>
  <c r="AN64" i="59"/>
  <c r="AN68" i="59"/>
  <c r="H55" i="59"/>
  <c r="BE61" i="59" s="1"/>
  <c r="AN77" i="59"/>
  <c r="H56" i="59"/>
  <c r="BE62" i="59" s="1"/>
  <c r="AN78" i="59"/>
  <c r="H57" i="59"/>
  <c r="BE63" i="59" s="1"/>
  <c r="AN61" i="59"/>
  <c r="H51" i="59"/>
  <c r="BE57" i="59" s="1"/>
  <c r="AN74" i="59"/>
  <c r="H35" i="59"/>
  <c r="BE41" i="59" s="1"/>
  <c r="H47" i="59"/>
  <c r="BE53" i="59" s="1"/>
  <c r="AN69" i="59"/>
  <c r="AN72" i="59"/>
  <c r="AN79" i="59"/>
  <c r="H44" i="59"/>
  <c r="BE50" i="59" s="1"/>
  <c r="H46" i="59"/>
  <c r="BE52" i="59" s="1"/>
  <c r="H50" i="59"/>
  <c r="BE56" i="59" s="1"/>
  <c r="H59" i="59"/>
  <c r="BE65" i="59" s="1"/>
  <c r="H29" i="59"/>
  <c r="BE35" i="59" s="1"/>
  <c r="H48" i="59"/>
  <c r="BE54" i="59" s="1"/>
  <c r="H49" i="59"/>
  <c r="BE55" i="59" s="1"/>
  <c r="AN73" i="59"/>
  <c r="H52" i="59"/>
  <c r="BE58" i="59" s="1"/>
  <c r="H53" i="59"/>
  <c r="BE59" i="59" s="1"/>
  <c r="AN58" i="59"/>
  <c r="AN66" i="59"/>
  <c r="H45" i="59"/>
  <c r="BE51" i="59" s="1"/>
  <c r="AN70" i="59"/>
  <c r="AN71" i="59"/>
  <c r="AN76" i="59"/>
  <c r="AN81" i="59"/>
  <c r="H62" i="59"/>
  <c r="BE68" i="59" s="1"/>
  <c r="H32" i="59"/>
  <c r="BE38" i="59" s="1"/>
  <c r="H58" i="59"/>
  <c r="BE64" i="59" s="1"/>
  <c r="H65" i="59"/>
  <c r="BE71" i="59" s="1"/>
  <c r="H69" i="59"/>
  <c r="BE75" i="59" s="1"/>
  <c r="AN75" i="59"/>
  <c r="H60" i="59"/>
  <c r="BE66" i="59" s="1"/>
  <c r="AN82" i="59"/>
  <c r="H63" i="59"/>
  <c r="BE69" i="59" s="1"/>
  <c r="AN87" i="59"/>
  <c r="AN88" i="59"/>
  <c r="AN91" i="59"/>
  <c r="H70" i="59"/>
  <c r="BE76" i="59" s="1"/>
  <c r="H54" i="59"/>
  <c r="BE60" i="59" s="1"/>
  <c r="H61" i="59"/>
  <c r="BE67" i="59" s="1"/>
  <c r="AN86" i="59"/>
  <c r="AN83" i="59"/>
  <c r="H68" i="59"/>
  <c r="BE74" i="59" s="1"/>
  <c r="H72" i="59"/>
  <c r="BE78" i="59" s="1"/>
  <c r="AN95" i="59"/>
  <c r="AN80" i="59"/>
  <c r="AN84" i="59"/>
  <c r="H66" i="59"/>
  <c r="BE72" i="59" s="1"/>
  <c r="AN89" i="59"/>
  <c r="AN90" i="59"/>
  <c r="AN93" i="59"/>
  <c r="H64" i="59"/>
  <c r="BE70" i="59" s="1"/>
  <c r="AN94" i="59"/>
  <c r="H78" i="59"/>
  <c r="BE84" i="59" s="1"/>
  <c r="AN102" i="59"/>
  <c r="AN106" i="59"/>
  <c r="AN92" i="59"/>
  <c r="H75" i="59"/>
  <c r="BE81" i="59" s="1"/>
  <c r="AN97" i="59"/>
  <c r="AN98" i="59"/>
  <c r="AN100" i="59"/>
  <c r="H81" i="59"/>
  <c r="BE87" i="59" s="1"/>
  <c r="AN108" i="59"/>
  <c r="H74" i="59"/>
  <c r="BE80" i="59" s="1"/>
  <c r="H85" i="59"/>
  <c r="BE91" i="59" s="1"/>
  <c r="AN107" i="59"/>
  <c r="H88" i="59"/>
  <c r="BE94" i="59" s="1"/>
  <c r="H89" i="59"/>
  <c r="BE95" i="59" s="1"/>
  <c r="AN96" i="59"/>
  <c r="H77" i="59"/>
  <c r="BE83" i="59" s="1"/>
  <c r="H80" i="59"/>
  <c r="BE86" i="59" s="1"/>
  <c r="AN103" i="59"/>
  <c r="H82" i="59"/>
  <c r="BE88" i="59" s="1"/>
  <c r="AN104" i="59"/>
  <c r="AN85" i="59"/>
  <c r="H71" i="59"/>
  <c r="BE77" i="59" s="1"/>
  <c r="H76" i="59"/>
  <c r="BE82" i="59" s="1"/>
  <c r="AN99" i="59"/>
  <c r="AN101" i="59"/>
  <c r="H83" i="59"/>
  <c r="BE89" i="59" s="1"/>
  <c r="H86" i="59"/>
  <c r="BE92" i="59" s="1"/>
  <c r="H87" i="59"/>
  <c r="BE93" i="59" s="1"/>
  <c r="H67" i="59"/>
  <c r="BE73" i="59" s="1"/>
  <c r="H79" i="59"/>
  <c r="BE85" i="59" s="1"/>
  <c r="H99" i="59"/>
  <c r="BE105" i="59" s="1"/>
  <c r="H94" i="59"/>
  <c r="BE100" i="59" s="1"/>
  <c r="H103" i="59"/>
  <c r="BE109" i="59" s="1"/>
  <c r="H106" i="59"/>
  <c r="BE112" i="59" s="1"/>
  <c r="H97" i="59"/>
  <c r="BE103" i="59" s="1"/>
  <c r="AN105" i="59"/>
  <c r="H90" i="59"/>
  <c r="BE96" i="59" s="1"/>
  <c r="H101" i="59"/>
  <c r="BE107" i="59" s="1"/>
  <c r="H73" i="59"/>
  <c r="BE79" i="59" s="1"/>
  <c r="H93" i="59"/>
  <c r="BE99" i="59" s="1"/>
  <c r="H98" i="59"/>
  <c r="BE104" i="59" s="1"/>
  <c r="H92" i="59"/>
  <c r="BE98" i="59" s="1"/>
  <c r="H91" i="59"/>
  <c r="BE97" i="59" s="1"/>
  <c r="H96" i="59"/>
  <c r="BE102" i="59" s="1"/>
  <c r="H100" i="59"/>
  <c r="BE106" i="59" s="1"/>
  <c r="H102" i="59"/>
  <c r="BE108" i="59" s="1"/>
  <c r="H104" i="59"/>
  <c r="BE110" i="59" s="1"/>
  <c r="H84" i="59"/>
  <c r="BE90" i="59" s="1"/>
  <c r="H95" i="59"/>
  <c r="BE101" i="59" s="1"/>
  <c r="H105" i="59"/>
  <c r="BE111" i="59" s="1"/>
  <c r="H108" i="59"/>
  <c r="BE114" i="59" s="1"/>
  <c r="H107" i="59"/>
  <c r="BE113" i="59" s="1"/>
  <c r="E24" i="88"/>
  <c r="D27" i="88"/>
  <c r="D28" i="88" s="1"/>
  <c r="K8" i="88"/>
  <c r="C17" i="88"/>
  <c r="AD56" i="88"/>
  <c r="AE56" i="88"/>
  <c r="AE54" i="88"/>
  <c r="AD55" i="88" s="1"/>
  <c r="AE57" i="88"/>
  <c r="S8" i="88"/>
  <c r="AE55" i="88"/>
  <c r="U13" i="75"/>
  <c r="V12" i="75"/>
  <c r="R12" i="75" s="1"/>
  <c r="U12" i="86"/>
  <c r="V11" i="86"/>
  <c r="R11" i="86" s="1"/>
  <c r="AP18" i="75"/>
  <c r="AQ17" i="75"/>
  <c r="AP34" i="78"/>
  <c r="AQ33" i="78"/>
  <c r="U16" i="91"/>
  <c r="V15" i="91"/>
  <c r="BI13" i="91"/>
  <c r="BH14" i="91"/>
  <c r="BA10" i="105"/>
  <c r="AO10" i="100"/>
  <c r="AM49" i="100"/>
  <c r="AS10" i="100"/>
  <c r="Y47" i="91"/>
  <c r="AL89" i="91"/>
  <c r="Y44" i="86"/>
  <c r="AL86" i="86"/>
  <c r="BC83" i="59"/>
  <c r="AQ76" i="59"/>
  <c r="F14" i="110"/>
  <c r="AZ14" i="110" s="1"/>
  <c r="T41" i="103"/>
  <c r="AN15" i="110"/>
  <c r="AN14" i="110"/>
  <c r="AY9" i="106"/>
  <c r="AV9" i="106"/>
  <c r="AQ11" i="105"/>
  <c r="AP12" i="105"/>
  <c r="AT11" i="105"/>
  <c r="AL85" i="100"/>
  <c r="BA10" i="75"/>
  <c r="I25" i="91"/>
  <c r="I19" i="91"/>
  <c r="I17" i="91"/>
  <c r="I30" i="91"/>
  <c r="I23" i="91"/>
  <c r="I28" i="91"/>
  <c r="I32" i="91"/>
  <c r="I20" i="91"/>
  <c r="I26" i="91"/>
  <c r="I24" i="91"/>
  <c r="I18" i="91"/>
  <c r="I31" i="91"/>
  <c r="I22" i="91"/>
  <c r="I15" i="91"/>
  <c r="I27" i="91"/>
  <c r="I21" i="91"/>
  <c r="I16" i="91"/>
  <c r="I29" i="91"/>
  <c r="C31" i="78"/>
  <c r="E43" i="78" s="1"/>
  <c r="E42" i="78"/>
  <c r="X12" i="66"/>
  <c r="C21" i="66"/>
  <c r="I5" i="66"/>
  <c r="BA11" i="75"/>
  <c r="BG8" i="75"/>
  <c r="AT8" i="75"/>
  <c r="AM46" i="75" s="1"/>
  <c r="AG54" i="75"/>
  <c r="BX16" i="78"/>
  <c r="BW17" i="78"/>
  <c r="W48" i="75"/>
  <c r="L13" i="75"/>
  <c r="G14" i="75"/>
  <c r="H13" i="75"/>
  <c r="BJ13" i="75" s="1"/>
  <c r="I13" i="75"/>
  <c r="BL58" i="75"/>
  <c r="J68" i="61"/>
  <c r="Q69" i="61"/>
  <c r="BA12" i="91"/>
  <c r="C28" i="88"/>
  <c r="E28" i="88" s="1"/>
  <c r="E27" i="88"/>
  <c r="Q11" i="78"/>
  <c r="P11" i="78"/>
  <c r="D15" i="94"/>
  <c r="D23" i="94" s="1"/>
  <c r="AU8" i="94" s="1"/>
  <c r="AN46" i="94" s="1"/>
  <c r="AN16" i="110"/>
  <c r="F23" i="110"/>
  <c r="AZ23" i="110" s="1"/>
  <c r="F12" i="110"/>
  <c r="AZ12" i="110" s="1"/>
  <c r="AN13" i="110"/>
  <c r="E42" i="110"/>
  <c r="J41" i="110"/>
  <c r="AO11" i="106"/>
  <c r="AM50" i="106"/>
  <c r="AS11" i="106"/>
  <c r="V15" i="106"/>
  <c r="U16" i="106"/>
  <c r="V10" i="105"/>
  <c r="U11" i="105"/>
  <c r="W47" i="105"/>
  <c r="G13" i="105"/>
  <c r="I12" i="105"/>
  <c r="H12" i="105"/>
  <c r="BJ12" i="105" s="1"/>
  <c r="BL57" i="105"/>
  <c r="BL56" i="100"/>
  <c r="W46" i="100"/>
  <c r="G12" i="100"/>
  <c r="K11" i="100"/>
  <c r="AG66" i="100"/>
  <c r="D26" i="100"/>
  <c r="D25" i="100" s="1"/>
  <c r="AB48" i="100"/>
  <c r="AB49" i="100"/>
  <c r="I11" i="100"/>
  <c r="AQ11" i="100"/>
  <c r="H11" i="100"/>
  <c r="BJ11" i="100" s="1"/>
  <c r="AQ12" i="100"/>
  <c r="AQ9" i="100"/>
  <c r="AU9" i="100" s="1"/>
  <c r="H9" i="100"/>
  <c r="H10" i="100"/>
  <c r="BJ10" i="100" s="1"/>
  <c r="AQ10" i="100"/>
  <c r="H12" i="100"/>
  <c r="BJ12" i="100" s="1"/>
  <c r="I85" i="91"/>
  <c r="I102" i="91"/>
  <c r="I65" i="91"/>
  <c r="I92" i="91"/>
  <c r="I57" i="91"/>
  <c r="I58" i="91"/>
  <c r="I83" i="91"/>
  <c r="I98" i="91"/>
  <c r="I61" i="91"/>
  <c r="I78" i="91"/>
  <c r="I107" i="91"/>
  <c r="I64" i="91"/>
  <c r="I76" i="91"/>
  <c r="I97" i="91"/>
  <c r="I69" i="91"/>
  <c r="I89" i="91"/>
  <c r="I94" i="91"/>
  <c r="I105" i="91"/>
  <c r="I70" i="91"/>
  <c r="I88" i="91"/>
  <c r="I71" i="91"/>
  <c r="I82" i="91"/>
  <c r="I84" i="91"/>
  <c r="I77" i="91"/>
  <c r="I108" i="91"/>
  <c r="I80" i="91"/>
  <c r="I73" i="91"/>
  <c r="I106" i="91"/>
  <c r="I66" i="91"/>
  <c r="I79" i="91"/>
  <c r="I90" i="91"/>
  <c r="I81" i="91"/>
  <c r="I95" i="91"/>
  <c r="I96" i="91"/>
  <c r="I59" i="91"/>
  <c r="I101" i="91"/>
  <c r="I75" i="91"/>
  <c r="I103" i="91"/>
  <c r="I68" i="91"/>
  <c r="I86" i="91"/>
  <c r="I60" i="91"/>
  <c r="I100" i="91"/>
  <c r="I72" i="91"/>
  <c r="I63" i="91"/>
  <c r="I87" i="91"/>
  <c r="I99" i="91"/>
  <c r="I74" i="91"/>
  <c r="I91" i="91"/>
  <c r="I62" i="91"/>
  <c r="I93" i="91"/>
  <c r="I104" i="91"/>
  <c r="I67" i="91"/>
  <c r="AR27" i="88"/>
  <c r="AR11" i="88"/>
  <c r="AR92" i="88"/>
  <c r="AR9" i="88"/>
  <c r="AR32" i="88"/>
  <c r="AR49" i="88"/>
  <c r="AR85" i="88"/>
  <c r="AR47" i="88"/>
  <c r="AR104" i="88"/>
  <c r="AR65" i="88"/>
  <c r="AR28" i="88"/>
  <c r="AR18" i="88"/>
  <c r="AR35" i="88"/>
  <c r="AR50" i="88"/>
  <c r="AR22" i="88"/>
  <c r="AR54" i="88"/>
  <c r="AR89" i="88"/>
  <c r="AR40" i="88"/>
  <c r="AR66" i="88"/>
  <c r="AR43" i="88"/>
  <c r="AR68" i="88"/>
  <c r="AR103" i="88"/>
  <c r="AR83" i="88"/>
  <c r="AR48" i="88"/>
  <c r="AR55" i="88"/>
  <c r="AR80" i="88"/>
  <c r="AR51" i="88"/>
  <c r="AR53" i="88"/>
  <c r="AR71" i="88"/>
  <c r="AR12" i="88"/>
  <c r="AR96" i="88"/>
  <c r="AR64" i="88"/>
  <c r="AR67" i="88"/>
  <c r="AR58" i="88"/>
  <c r="AR69" i="88"/>
  <c r="AR44" i="88"/>
  <c r="AR90" i="88"/>
  <c r="AR24" i="88"/>
  <c r="AR33" i="88"/>
  <c r="AR37" i="88"/>
  <c r="AR82" i="88"/>
  <c r="AR56" i="88"/>
  <c r="AR78" i="88"/>
  <c r="AR14" i="88"/>
  <c r="AR34" i="88"/>
  <c r="AR86" i="88"/>
  <c r="AR17" i="88"/>
  <c r="AR108" i="88"/>
  <c r="AR29" i="88"/>
  <c r="AR101" i="88"/>
  <c r="AR70" i="88"/>
  <c r="AR76" i="88"/>
  <c r="AR81" i="88"/>
  <c r="AR88" i="88"/>
  <c r="AR23" i="88"/>
  <c r="AR52" i="88"/>
  <c r="AR19" i="88"/>
  <c r="AR98" i="88"/>
  <c r="AR74" i="88"/>
  <c r="AR26" i="88"/>
  <c r="AR106" i="88"/>
  <c r="AR41" i="88"/>
  <c r="AR57" i="88"/>
  <c r="AR79" i="88"/>
  <c r="AR72" i="88"/>
  <c r="AR15" i="88"/>
  <c r="AR60" i="88"/>
  <c r="AR20" i="88"/>
  <c r="AR62" i="88"/>
  <c r="AE13" i="88"/>
  <c r="AR16" i="88"/>
  <c r="AR105" i="88"/>
  <c r="AR73" i="88"/>
  <c r="AR59" i="88"/>
  <c r="AR13" i="88"/>
  <c r="AR46" i="88"/>
  <c r="AR91" i="88"/>
  <c r="AR84" i="88"/>
  <c r="AR61" i="88"/>
  <c r="AR31" i="88"/>
  <c r="AR30" i="88"/>
  <c r="AR75" i="88"/>
  <c r="AR99" i="88"/>
  <c r="AR63" i="88"/>
  <c r="AR102" i="88"/>
  <c r="AR38" i="88"/>
  <c r="AF57" i="88"/>
  <c r="AR100" i="88"/>
  <c r="AR77" i="88"/>
  <c r="AR42" i="88"/>
  <c r="AR45" i="88"/>
  <c r="AR36" i="88"/>
  <c r="AR39" i="88"/>
  <c r="AR97" i="88"/>
  <c r="AR107" i="88"/>
  <c r="AR94" i="88"/>
  <c r="AR10" i="88"/>
  <c r="AR21" i="88"/>
  <c r="AR93" i="88"/>
  <c r="AR95" i="88"/>
  <c r="AR87" i="88"/>
  <c r="AR25" i="88"/>
  <c r="AM37" i="88"/>
  <c r="AM40" i="88"/>
  <c r="AM38" i="88"/>
  <c r="AM39" i="88"/>
  <c r="BI12" i="75"/>
  <c r="BH13" i="75"/>
  <c r="D26" i="86"/>
  <c r="D25" i="86" s="1"/>
  <c r="AD66" i="86"/>
  <c r="AB49" i="86"/>
  <c r="C26" i="86"/>
  <c r="C25" i="86" s="1"/>
  <c r="AB48" i="86"/>
  <c r="AP13" i="88"/>
  <c r="AQ12" i="88"/>
  <c r="AA17" i="66"/>
  <c r="G17" i="66"/>
  <c r="U17" i="66"/>
  <c r="F18" i="66"/>
  <c r="BF83" i="78"/>
  <c r="AT76" i="78"/>
  <c r="H13" i="86"/>
  <c r="BJ13" i="86" s="1"/>
  <c r="BL58" i="86"/>
  <c r="L13" i="86"/>
  <c r="W48" i="86"/>
  <c r="I13" i="86"/>
  <c r="G14" i="86"/>
  <c r="AT12" i="100"/>
  <c r="AP13" i="100"/>
  <c r="AQ13" i="100" s="1"/>
  <c r="AI86" i="59"/>
  <c r="V56" i="59"/>
  <c r="AP16" i="86"/>
  <c r="AQ15" i="86"/>
  <c r="Y58" i="78"/>
  <c r="AL95" i="78"/>
  <c r="F22" i="110"/>
  <c r="AZ22" i="110" s="1"/>
  <c r="AN10" i="110"/>
  <c r="AN9" i="110"/>
  <c r="AP93" i="109"/>
  <c r="A27" i="108"/>
  <c r="B26" i="108"/>
  <c r="BY28" i="106"/>
  <c r="CC27" i="106"/>
  <c r="BK8" i="100"/>
  <c r="E25" i="100"/>
  <c r="AG54" i="100"/>
  <c r="AL86" i="100"/>
  <c r="Y44" i="100"/>
  <c r="AL85" i="78"/>
  <c r="D22" i="88"/>
  <c r="E22" i="88" s="1"/>
  <c r="K12" i="66"/>
  <c r="J12" i="66"/>
  <c r="I12" i="66" s="1"/>
  <c r="AR100" i="75"/>
  <c r="AR52" i="75"/>
  <c r="AR14" i="75"/>
  <c r="AR19" i="75"/>
  <c r="AR83" i="75"/>
  <c r="AR50" i="75"/>
  <c r="AR27" i="75"/>
  <c r="AR74" i="75"/>
  <c r="AR26" i="75"/>
  <c r="AF57" i="75"/>
  <c r="AF56" i="75" s="1"/>
  <c r="AR9" i="75"/>
  <c r="AR54" i="75"/>
  <c r="AE14" i="75"/>
  <c r="AG57" i="75" s="1"/>
  <c r="AR97" i="75"/>
  <c r="AR89" i="75"/>
  <c r="AR45" i="75"/>
  <c r="AR98" i="75"/>
  <c r="AR44" i="75"/>
  <c r="AR12" i="75"/>
  <c r="AR16" i="75"/>
  <c r="AR99" i="75"/>
  <c r="AR46" i="75"/>
  <c r="AR47" i="75"/>
  <c r="AR18" i="75"/>
  <c r="AR101" i="75"/>
  <c r="AR56" i="75"/>
  <c r="AR86" i="75"/>
  <c r="AR49" i="75"/>
  <c r="AR22" i="75"/>
  <c r="AR90" i="75"/>
  <c r="AR60" i="75"/>
  <c r="AR21" i="75"/>
  <c r="AR103" i="75"/>
  <c r="AR67" i="75"/>
  <c r="AR25" i="75"/>
  <c r="AR102" i="75"/>
  <c r="AR94" i="75"/>
  <c r="AR105" i="75"/>
  <c r="AR106" i="75"/>
  <c r="AR79" i="75"/>
  <c r="AR33" i="75"/>
  <c r="AR78" i="75"/>
  <c r="AR93" i="75"/>
  <c r="AR80" i="75"/>
  <c r="AR31" i="75"/>
  <c r="AR96" i="75"/>
  <c r="AR73" i="75"/>
  <c r="AR11" i="75"/>
  <c r="AR95" i="75"/>
  <c r="AR72" i="75"/>
  <c r="AR55" i="75"/>
  <c r="AR41" i="75"/>
  <c r="AR70" i="75"/>
  <c r="AR71" i="75"/>
  <c r="AR53" i="75"/>
  <c r="AR84" i="75"/>
  <c r="AR43" i="75"/>
  <c r="AR13" i="75"/>
  <c r="AR108" i="75"/>
  <c r="AR58" i="75"/>
  <c r="AR69" i="75"/>
  <c r="AR65" i="75"/>
  <c r="AR64" i="75"/>
  <c r="AR34" i="75"/>
  <c r="AR88" i="75"/>
  <c r="AR15" i="75"/>
  <c r="AR87" i="75"/>
  <c r="AR57" i="75"/>
  <c r="AR24" i="75"/>
  <c r="AR76" i="75"/>
  <c r="AR28" i="75"/>
  <c r="AR61" i="75"/>
  <c r="AR81" i="75"/>
  <c r="AR59" i="75"/>
  <c r="AR30" i="75"/>
  <c r="AR35" i="75"/>
  <c r="AR85" i="75"/>
  <c r="AR51" i="75"/>
  <c r="AR29" i="75"/>
  <c r="AR104" i="75"/>
  <c r="AR77" i="75"/>
  <c r="AR40" i="75"/>
  <c r="AR63" i="75"/>
  <c r="AR68" i="75"/>
  <c r="AR42" i="75"/>
  <c r="AR48" i="75"/>
  <c r="AR82" i="75"/>
  <c r="AR37" i="75"/>
  <c r="AE13" i="75"/>
  <c r="AR23" i="75"/>
  <c r="AR10" i="75"/>
  <c r="AR39" i="75"/>
  <c r="AR75" i="75"/>
  <c r="AR91" i="75"/>
  <c r="AR32" i="75"/>
  <c r="AR17" i="75"/>
  <c r="AR66" i="75"/>
  <c r="AR92" i="75"/>
  <c r="AR38" i="75"/>
  <c r="AR62" i="75"/>
  <c r="AR107" i="75"/>
  <c r="AR20" i="75"/>
  <c r="AR36" i="75"/>
  <c r="D28" i="75"/>
  <c r="E25" i="75"/>
  <c r="BL56" i="88"/>
  <c r="L11" i="88"/>
  <c r="I11" i="88"/>
  <c r="G12" i="88"/>
  <c r="W46" i="88"/>
  <c r="H11" i="88"/>
  <c r="BJ11" i="88" s="1"/>
  <c r="M15" i="66"/>
  <c r="N15" i="66"/>
  <c r="L15" i="66"/>
  <c r="U54" i="59"/>
  <c r="BF7" i="59"/>
  <c r="W77" i="66"/>
  <c r="O76" i="66"/>
  <c r="AQ95" i="109"/>
  <c r="AU94" i="109"/>
  <c r="BA9" i="105"/>
  <c r="X45" i="100"/>
  <c r="BK10" i="100"/>
  <c r="C17" i="75"/>
  <c r="AE55" i="75"/>
  <c r="AD56" i="75"/>
  <c r="S8" i="75"/>
  <c r="AE57" i="75"/>
  <c r="E23" i="75"/>
  <c r="K8" i="75"/>
  <c r="AE56" i="75"/>
  <c r="AD55" i="75" s="1"/>
  <c r="AE54" i="75"/>
  <c r="C25" i="78"/>
  <c r="M10" i="78" s="1"/>
  <c r="N11" i="78" s="1"/>
  <c r="AE54" i="78"/>
  <c r="AE55" i="78"/>
  <c r="AD55" i="78" s="1"/>
  <c r="AE56" i="78"/>
  <c r="R8" i="78"/>
  <c r="AD56" i="78"/>
  <c r="AC56" i="78" s="1"/>
  <c r="J8" i="78"/>
  <c r="AE57" i="78"/>
  <c r="E38" i="78"/>
  <c r="BJ57" i="78"/>
  <c r="G13" i="78"/>
  <c r="W52" i="78"/>
  <c r="AS12" i="78"/>
  <c r="K12" i="78"/>
  <c r="Y47" i="75"/>
  <c r="AL89" i="75"/>
  <c r="BH13" i="88"/>
  <c r="BI12" i="88"/>
  <c r="AG57" i="91"/>
  <c r="BG8" i="91"/>
  <c r="AG55" i="91"/>
  <c r="AF56" i="91"/>
  <c r="AG54" i="91"/>
  <c r="AF55" i="91" s="1"/>
  <c r="AG56" i="91"/>
  <c r="AT8" i="91"/>
  <c r="AM46" i="91" s="1"/>
  <c r="AE55" i="91"/>
  <c r="AD56" i="91"/>
  <c r="E22" i="91"/>
  <c r="S8" i="91"/>
  <c r="C17" i="91"/>
  <c r="AE57" i="91"/>
  <c r="AE54" i="91"/>
  <c r="AD55" i="91" s="1"/>
  <c r="K8" i="91"/>
  <c r="AE56" i="91"/>
  <c r="AQ13" i="91"/>
  <c r="AP14" i="91"/>
  <c r="W13" i="59"/>
  <c r="V29" i="59"/>
  <c r="V38" i="59"/>
  <c r="F18" i="110"/>
  <c r="AZ18" i="110" s="1"/>
  <c r="AN21" i="110"/>
  <c r="AM48" i="106"/>
  <c r="AO9" i="106"/>
  <c r="D19" i="106"/>
  <c r="AL36" i="106" s="1"/>
  <c r="AS9" i="106"/>
  <c r="AS109" i="106" s="1"/>
  <c r="K8" i="105"/>
  <c r="S8" i="105"/>
  <c r="AE54" i="105"/>
  <c r="AE57" i="105"/>
  <c r="E23" i="105"/>
  <c r="AD56" i="105"/>
  <c r="AE55" i="105"/>
  <c r="AE56" i="105"/>
  <c r="AD55" i="105" s="1"/>
  <c r="BI11" i="105"/>
  <c r="BH12" i="105"/>
  <c r="AO11" i="100"/>
  <c r="AS11" i="100"/>
  <c r="AM50" i="100"/>
  <c r="O11" i="78"/>
  <c r="X21" i="59"/>
  <c r="AI54" i="59"/>
  <c r="BA11" i="88"/>
  <c r="AI52" i="59"/>
  <c r="E23" i="59"/>
  <c r="H15" i="91"/>
  <c r="BJ15" i="91" s="1"/>
  <c r="G16" i="91"/>
  <c r="C28" i="91"/>
  <c r="E28" i="91" s="1"/>
  <c r="E27" i="91"/>
  <c r="W22" i="110"/>
  <c r="X22" i="110"/>
  <c r="AC58" i="110"/>
  <c r="BI11" i="109"/>
  <c r="BJ10" i="109"/>
  <c r="BB10" i="109" s="1"/>
  <c r="R10" i="110"/>
  <c r="S9" i="110"/>
  <c r="BE23" i="112"/>
  <c r="BE24" i="112" s="1"/>
  <c r="Q9" i="109"/>
  <c r="R9" i="109"/>
  <c r="AK49" i="110"/>
  <c r="AK48" i="110"/>
  <c r="AB81" i="110"/>
  <c r="F2" i="110" s="1"/>
  <c r="AD81" i="110"/>
  <c r="V11" i="109"/>
  <c r="U12" i="109"/>
  <c r="Q10" i="109"/>
  <c r="R10" i="109"/>
  <c r="J15" i="111"/>
  <c r="E16" i="111"/>
  <c r="F15" i="111"/>
  <c r="AZ15" i="111" s="1"/>
  <c r="D12" i="111"/>
  <c r="BE22" i="111"/>
  <c r="AX13" i="111"/>
  <c r="AN40" i="109"/>
  <c r="AN38" i="109"/>
  <c r="AN39" i="109"/>
  <c r="Z66" i="110"/>
  <c r="Z67" i="110" s="1"/>
  <c r="T17" i="110"/>
  <c r="V13" i="111"/>
  <c r="U13" i="111"/>
  <c r="V10" i="94"/>
  <c r="U11" i="94"/>
  <c r="C25" i="94"/>
  <c r="BH8" i="94"/>
  <c r="AM148" i="109"/>
  <c r="F17" i="110"/>
  <c r="AZ17" i="110" s="1"/>
  <c r="AN22" i="110"/>
  <c r="AN25" i="110"/>
  <c r="AN29" i="110"/>
  <c r="AN30" i="110"/>
  <c r="AN32" i="110"/>
  <c r="F36" i="110"/>
  <c r="AZ36" i="110" s="1"/>
  <c r="F10" i="110"/>
  <c r="AZ10" i="110" s="1"/>
  <c r="F16" i="110"/>
  <c r="AZ16" i="110" s="1"/>
  <c r="F21" i="110"/>
  <c r="AZ21" i="110" s="1"/>
  <c r="F24" i="110"/>
  <c r="AZ24" i="110" s="1"/>
  <c r="F25" i="110"/>
  <c r="AZ25" i="110" s="1"/>
  <c r="F26" i="110"/>
  <c r="AZ26" i="110" s="1"/>
  <c r="AN33" i="110"/>
  <c r="AN34" i="110"/>
  <c r="AN35" i="110"/>
  <c r="F34" i="110"/>
  <c r="AZ34" i="110" s="1"/>
  <c r="AN38" i="110"/>
  <c r="F37" i="110"/>
  <c r="AZ37" i="110" s="1"/>
  <c r="F39" i="110"/>
  <c r="AZ39" i="110" s="1"/>
  <c r="AN42" i="110"/>
  <c r="AN12" i="110"/>
  <c r="F13" i="110"/>
  <c r="AZ13" i="110" s="1"/>
  <c r="AN28" i="110"/>
  <c r="F27" i="110"/>
  <c r="AZ27" i="110" s="1"/>
  <c r="F28" i="110"/>
  <c r="AZ28" i="110" s="1"/>
  <c r="F29" i="110"/>
  <c r="AZ29" i="110" s="1"/>
  <c r="F30" i="110"/>
  <c r="AZ30" i="110" s="1"/>
  <c r="F32" i="110"/>
  <c r="AZ32" i="110" s="1"/>
  <c r="F33" i="110"/>
  <c r="AZ33" i="110" s="1"/>
  <c r="AN36" i="110"/>
  <c r="F35" i="110"/>
  <c r="AZ35" i="110" s="1"/>
  <c r="F38" i="110"/>
  <c r="AZ38" i="110" s="1"/>
  <c r="AN18" i="110"/>
  <c r="AN39" i="110"/>
  <c r="F41" i="110"/>
  <c r="AZ41" i="110" s="1"/>
  <c r="AN44" i="110"/>
  <c r="AN45" i="110"/>
  <c r="AN50" i="110"/>
  <c r="AN53" i="110"/>
  <c r="AN55" i="110"/>
  <c r="AN58" i="110"/>
  <c r="AN66" i="110"/>
  <c r="AN69" i="110"/>
  <c r="AN75" i="110"/>
  <c r="AN76" i="110"/>
  <c r="AN26" i="110"/>
  <c r="F31" i="110"/>
  <c r="AZ31" i="110" s="1"/>
  <c r="F40" i="110"/>
  <c r="AZ40" i="110" s="1"/>
  <c r="AN49" i="110"/>
  <c r="AN57" i="110"/>
  <c r="AN60" i="110"/>
  <c r="AN62" i="110"/>
  <c r="AN67" i="110"/>
  <c r="AN68" i="110"/>
  <c r="AN70" i="110"/>
  <c r="AN72" i="110"/>
  <c r="AN77" i="110"/>
  <c r="AN31" i="110"/>
  <c r="AN41" i="110"/>
  <c r="F42" i="110"/>
  <c r="AZ42" i="110" s="1"/>
  <c r="AN46" i="110"/>
  <c r="AN47" i="110"/>
  <c r="AN52" i="110"/>
  <c r="AN54" i="110"/>
  <c r="AN56" i="110"/>
  <c r="AN59" i="110"/>
  <c r="AN61" i="110"/>
  <c r="AN65" i="110"/>
  <c r="AN78" i="110"/>
  <c r="AN27" i="110"/>
  <c r="AN37" i="110"/>
  <c r="AN71" i="110"/>
  <c r="AN80" i="110"/>
  <c r="AN81" i="110"/>
  <c r="AN82" i="110"/>
  <c r="AN92" i="110"/>
  <c r="AN95" i="110"/>
  <c r="AN96" i="110"/>
  <c r="AN101" i="110"/>
  <c r="AN107" i="110"/>
  <c r="AN108" i="110"/>
  <c r="AN110" i="110"/>
  <c r="AN111" i="110"/>
  <c r="AN115" i="110"/>
  <c r="AN117" i="110"/>
  <c r="AN119" i="110"/>
  <c r="AN120" i="110"/>
  <c r="AN122" i="110"/>
  <c r="AN126" i="110"/>
  <c r="AN128" i="110"/>
  <c r="AN63" i="110"/>
  <c r="AN64" i="110"/>
  <c r="AN73" i="110"/>
  <c r="AN83" i="110"/>
  <c r="AN84" i="110"/>
  <c r="AN87" i="110"/>
  <c r="AN88" i="110"/>
  <c r="AN94" i="110"/>
  <c r="AN102" i="110"/>
  <c r="AN103" i="110"/>
  <c r="AN109" i="110"/>
  <c r="AN112" i="110"/>
  <c r="AN123" i="110"/>
  <c r="AN127" i="110"/>
  <c r="AN51" i="110"/>
  <c r="AN74" i="110"/>
  <c r="AN85" i="110"/>
  <c r="AN86" i="110"/>
  <c r="AN89" i="110"/>
  <c r="AN90" i="110"/>
  <c r="AN91" i="110"/>
  <c r="AN93" i="110"/>
  <c r="AN97" i="110"/>
  <c r="AN98" i="110"/>
  <c r="AN104" i="110"/>
  <c r="AN105" i="110"/>
  <c r="AN116" i="110"/>
  <c r="AN118" i="110"/>
  <c r="AN121" i="110"/>
  <c r="AN48" i="110"/>
  <c r="AN114" i="110"/>
  <c r="AN124" i="110"/>
  <c r="AN106" i="110"/>
  <c r="AN40" i="110"/>
  <c r="AN43" i="110"/>
  <c r="AN99" i="110"/>
  <c r="AN100" i="110"/>
  <c r="AN113" i="110"/>
  <c r="AN125" i="110"/>
  <c r="F11" i="110"/>
  <c r="AZ11" i="110" s="1"/>
  <c r="AN79" i="110"/>
  <c r="AN129" i="110"/>
  <c r="AM86" i="109"/>
  <c r="Z44" i="109"/>
  <c r="H9" i="109"/>
  <c r="BK9" i="109" s="1"/>
  <c r="AR9" i="109"/>
  <c r="AR13" i="109"/>
  <c r="AR15" i="109"/>
  <c r="AR16" i="109"/>
  <c r="AR17" i="109"/>
  <c r="AR23" i="109"/>
  <c r="AR27" i="109"/>
  <c r="AR30" i="109"/>
  <c r="AR31" i="109"/>
  <c r="AR34" i="109"/>
  <c r="AR35" i="109"/>
  <c r="AR38" i="109"/>
  <c r="AR41" i="109"/>
  <c r="AR11" i="109"/>
  <c r="H11" i="109"/>
  <c r="BK11" i="109" s="1"/>
  <c r="H12" i="109"/>
  <c r="BK12" i="109" s="1"/>
  <c r="AR20" i="109"/>
  <c r="AR21" i="109"/>
  <c r="AR22" i="109"/>
  <c r="AR26" i="109"/>
  <c r="AR28" i="109"/>
  <c r="AR29" i="109"/>
  <c r="AR39" i="109"/>
  <c r="AR40" i="109"/>
  <c r="AR44" i="109"/>
  <c r="AR14" i="109"/>
  <c r="AR12" i="109"/>
  <c r="AR19" i="109"/>
  <c r="AR24" i="109"/>
  <c r="AR32" i="109"/>
  <c r="AR37" i="109"/>
  <c r="AR42" i="109"/>
  <c r="AR10" i="109"/>
  <c r="H10" i="109"/>
  <c r="BK10" i="109" s="1"/>
  <c r="AR36" i="109"/>
  <c r="AR43" i="109"/>
  <c r="AR52" i="109"/>
  <c r="AR53" i="109"/>
  <c r="AR61" i="109"/>
  <c r="AR62" i="109"/>
  <c r="AR64" i="109"/>
  <c r="AR68" i="109"/>
  <c r="AR71" i="109"/>
  <c r="AR72" i="109"/>
  <c r="AR75" i="109"/>
  <c r="AR76" i="109"/>
  <c r="AR25" i="109"/>
  <c r="AR48" i="109"/>
  <c r="AR49" i="109"/>
  <c r="AR50" i="109"/>
  <c r="AR57" i="109"/>
  <c r="AR60" i="109"/>
  <c r="AR65" i="109"/>
  <c r="AR66" i="109"/>
  <c r="AR70" i="109"/>
  <c r="AR73" i="109"/>
  <c r="AR78" i="109"/>
  <c r="AR18" i="109"/>
  <c r="AR45" i="109"/>
  <c r="AR47" i="109"/>
  <c r="AR55" i="109"/>
  <c r="AR56" i="109"/>
  <c r="AR58" i="109"/>
  <c r="AR59" i="109"/>
  <c r="AR63" i="109"/>
  <c r="AR74" i="109"/>
  <c r="AR77" i="109"/>
  <c r="AR33" i="109"/>
  <c r="AR51" i="109"/>
  <c r="AR80" i="109"/>
  <c r="AR81" i="109"/>
  <c r="AR82" i="109"/>
  <c r="AR83" i="109"/>
  <c r="AR89" i="109"/>
  <c r="AR91" i="109"/>
  <c r="AR92" i="109"/>
  <c r="AR46" i="109"/>
  <c r="AR54" i="109"/>
  <c r="AR67" i="109"/>
  <c r="AR84" i="109"/>
  <c r="AR85" i="109"/>
  <c r="AR87" i="109"/>
  <c r="AR90" i="109"/>
  <c r="AR95" i="109"/>
  <c r="AR86" i="109"/>
  <c r="AR88" i="109"/>
  <c r="AR93" i="109"/>
  <c r="AR69" i="109"/>
  <c r="AR94" i="109"/>
  <c r="AR79" i="109"/>
  <c r="AB6" i="110"/>
  <c r="D31" i="110"/>
  <c r="AB10" i="110"/>
  <c r="D20" i="110"/>
  <c r="D19" i="110"/>
  <c r="AB14" i="110" s="1"/>
  <c r="AI46" i="110" s="1"/>
  <c r="AB12" i="110"/>
  <c r="AB13" i="110" s="1"/>
  <c r="Y54" i="110"/>
  <c r="AB9" i="110"/>
  <c r="AB15" i="110"/>
  <c r="D21" i="110" s="1"/>
  <c r="AB11" i="110"/>
  <c r="AB8" i="110"/>
  <c r="AB4" i="110"/>
  <c r="AB7" i="110"/>
  <c r="AB5" i="110"/>
  <c r="A29" i="110"/>
  <c r="D12" i="110"/>
  <c r="C12" i="110"/>
  <c r="AE68" i="110"/>
  <c r="AF68" i="110"/>
  <c r="AA68" i="110"/>
  <c r="A28" i="110"/>
  <c r="C23" i="110"/>
  <c r="AD66" i="110"/>
  <c r="AD67" i="110" s="1"/>
  <c r="AE67" i="110" s="1"/>
  <c r="AH68" i="110" s="1"/>
  <c r="G2" i="110"/>
  <c r="AH68" i="112"/>
  <c r="D32" i="112"/>
  <c r="C32" i="112"/>
  <c r="C25" i="109" s="1"/>
  <c r="AM15" i="112"/>
  <c r="AN14" i="112"/>
  <c r="AX13" i="112"/>
  <c r="J13" i="112"/>
  <c r="E14" i="112"/>
  <c r="F13" i="112"/>
  <c r="AZ13" i="112" s="1"/>
  <c r="V46" i="103"/>
  <c r="D32" i="111"/>
  <c r="D28" i="111" s="1"/>
  <c r="AH68" i="111"/>
  <c r="BJ11" i="94"/>
  <c r="BB11" i="94" s="1"/>
  <c r="BI12" i="94"/>
  <c r="Z58" i="111"/>
  <c r="D17" i="111"/>
  <c r="C23" i="111"/>
  <c r="C19" i="111"/>
  <c r="AA13" i="111"/>
  <c r="C23" i="103"/>
  <c r="AE68" i="103"/>
  <c r="AF68" i="103"/>
  <c r="G12" i="94"/>
  <c r="W11" i="94"/>
  <c r="H11" i="94"/>
  <c r="BK11" i="94" s="1"/>
  <c r="BM56" i="94"/>
  <c r="X46" i="94"/>
  <c r="AQ12" i="94"/>
  <c r="AR11" i="94"/>
  <c r="AN9" i="103"/>
  <c r="F16" i="103"/>
  <c r="AZ16" i="103" s="1"/>
  <c r="F10" i="103"/>
  <c r="AZ10" i="103" s="1"/>
  <c r="F160" i="103"/>
  <c r="AZ110" i="103" s="1"/>
  <c r="AN11" i="103"/>
  <c r="F13" i="103"/>
  <c r="AZ13" i="103" s="1"/>
  <c r="F11" i="103"/>
  <c r="AZ11" i="103" s="1"/>
  <c r="AN16" i="103"/>
  <c r="AN17" i="103"/>
  <c r="AN18" i="103"/>
  <c r="AN20" i="103"/>
  <c r="AN21" i="103"/>
  <c r="AN22" i="103"/>
  <c r="AN24" i="103"/>
  <c r="AN30" i="103"/>
  <c r="AN33" i="103"/>
  <c r="AN35" i="103"/>
  <c r="AN39" i="103"/>
  <c r="AN42" i="103"/>
  <c r="AN43" i="103"/>
  <c r="AN44" i="103"/>
  <c r="AN47" i="103"/>
  <c r="AN48" i="103"/>
  <c r="AN51" i="103"/>
  <c r="AN55" i="103"/>
  <c r="AN57" i="103"/>
  <c r="AN62" i="103"/>
  <c r="AN63" i="103"/>
  <c r="AN64" i="103"/>
  <c r="AN65" i="103"/>
  <c r="AN66" i="103"/>
  <c r="AN68" i="103"/>
  <c r="AN73" i="103"/>
  <c r="AN80" i="103"/>
  <c r="AN83" i="103"/>
  <c r="AN91" i="103"/>
  <c r="AN94" i="103"/>
  <c r="AN97" i="103"/>
  <c r="AN102" i="103"/>
  <c r="AN111" i="103"/>
  <c r="AN113" i="103"/>
  <c r="AN115" i="103"/>
  <c r="AN117" i="103"/>
  <c r="AN120" i="103"/>
  <c r="AN122" i="103"/>
  <c r="AN127" i="103"/>
  <c r="F15" i="103"/>
  <c r="AZ15" i="103" s="1"/>
  <c r="AN28" i="103"/>
  <c r="AN29" i="103"/>
  <c r="AN46" i="103"/>
  <c r="AN50" i="103"/>
  <c r="AN56" i="103"/>
  <c r="AN60" i="103"/>
  <c r="AN61" i="103"/>
  <c r="AN67" i="103"/>
  <c r="AN70" i="103"/>
  <c r="AN72" i="103"/>
  <c r="AN75" i="103"/>
  <c r="AN76" i="103"/>
  <c r="AN79" i="103"/>
  <c r="AN82" i="103"/>
  <c r="AN85" i="103"/>
  <c r="AN87" i="103"/>
  <c r="AN93" i="103"/>
  <c r="AN96" i="103"/>
  <c r="AN100" i="103"/>
  <c r="AN101" i="103"/>
  <c r="AN105" i="103"/>
  <c r="AN108" i="103"/>
  <c r="AN119" i="103"/>
  <c r="AN124" i="103"/>
  <c r="F9" i="103"/>
  <c r="AZ9" i="103" s="1"/>
  <c r="AN10" i="103"/>
  <c r="AN12" i="103"/>
  <c r="AN19" i="103"/>
  <c r="AN23" i="103"/>
  <c r="AN25" i="103"/>
  <c r="AN26" i="103"/>
  <c r="AN31" i="103"/>
  <c r="AN32" i="103"/>
  <c r="AN34" i="103"/>
  <c r="AN36" i="103"/>
  <c r="AN37" i="103"/>
  <c r="AN38" i="103"/>
  <c r="AN40" i="103"/>
  <c r="AN41" i="103"/>
  <c r="AN45" i="103"/>
  <c r="AN54" i="103"/>
  <c r="AN58" i="103"/>
  <c r="AN59" i="103"/>
  <c r="AN69" i="103"/>
  <c r="AN71" i="103"/>
  <c r="AN78" i="103"/>
  <c r="AN86" i="103"/>
  <c r="AN90" i="103"/>
  <c r="AN92" i="103"/>
  <c r="AN95" i="103"/>
  <c r="AN104" i="103"/>
  <c r="AN107" i="103"/>
  <c r="AN110" i="103"/>
  <c r="AN112" i="103"/>
  <c r="AN114" i="103"/>
  <c r="AN116" i="103"/>
  <c r="AN121" i="103"/>
  <c r="AN123" i="103"/>
  <c r="AN126" i="103"/>
  <c r="AN129" i="103"/>
  <c r="F12" i="103"/>
  <c r="AZ12" i="103" s="1"/>
  <c r="AN13" i="103"/>
  <c r="AN14" i="103"/>
  <c r="AN15" i="103"/>
  <c r="AN27" i="103"/>
  <c r="AN49" i="103"/>
  <c r="AN52" i="103"/>
  <c r="AN53" i="103"/>
  <c r="AN74" i="103"/>
  <c r="AN77" i="103"/>
  <c r="AN81" i="103"/>
  <c r="AN84" i="103"/>
  <c r="AN88" i="103"/>
  <c r="AN89" i="103"/>
  <c r="AN98" i="103"/>
  <c r="AN99" i="103"/>
  <c r="AN103" i="103"/>
  <c r="AN106" i="103"/>
  <c r="AN109" i="103"/>
  <c r="AN118" i="103"/>
  <c r="AN125" i="103"/>
  <c r="AN128" i="103"/>
  <c r="Z46" i="94"/>
  <c r="AM88" i="94"/>
  <c r="AA14" i="103"/>
  <c r="AD66" i="103"/>
  <c r="AD67" i="103" s="1"/>
  <c r="AH68" i="103" s="1"/>
  <c r="G2" i="103"/>
  <c r="T17" i="103"/>
  <c r="Z66" i="103"/>
  <c r="Z67" i="103" s="1"/>
  <c r="AA68" i="103"/>
  <c r="F2" i="103"/>
  <c r="AB66" i="103"/>
  <c r="AB67" i="103" s="1"/>
  <c r="T46" i="103"/>
  <c r="E27" i="94"/>
  <c r="AS56" i="94"/>
  <c r="A15" i="103"/>
  <c r="D32" i="103"/>
  <c r="D28" i="103" s="1"/>
  <c r="AW8" i="103" s="1"/>
  <c r="AB5" i="103"/>
  <c r="D20" i="103"/>
  <c r="AB9" i="103"/>
  <c r="AB6" i="103"/>
  <c r="AB8" i="103"/>
  <c r="D31" i="103"/>
  <c r="AB12" i="103"/>
  <c r="AB11" i="103"/>
  <c r="AB15" i="103"/>
  <c r="D21" i="103" s="1"/>
  <c r="AB10" i="103"/>
  <c r="AB4" i="103"/>
  <c r="A29" i="103"/>
  <c r="Y54" i="103"/>
  <c r="AB7" i="103"/>
  <c r="G71" i="61"/>
  <c r="AL38" i="106"/>
  <c r="AL39" i="106"/>
  <c r="AL37" i="106"/>
  <c r="AL40" i="106"/>
  <c r="G77" i="61"/>
  <c r="AS34" i="94"/>
  <c r="AS11" i="94"/>
  <c r="AS66" i="94"/>
  <c r="AS48" i="94"/>
  <c r="AG57" i="94"/>
  <c r="AG56" i="94" s="1"/>
  <c r="U36" i="61"/>
  <c r="U37" i="61" s="1"/>
  <c r="U38" i="61" s="1"/>
  <c r="U39" i="61" s="1"/>
  <c r="U40" i="61" s="1"/>
  <c r="U41" i="61" s="1"/>
  <c r="U42" i="61" s="1"/>
  <c r="U43" i="61" s="1"/>
  <c r="U44" i="61" s="1"/>
  <c r="U45" i="61" s="1"/>
  <c r="U46" i="61" s="1"/>
  <c r="U47" i="61" s="1"/>
  <c r="U48" i="61" s="1"/>
  <c r="U49" i="61" s="1"/>
  <c r="U50" i="61" s="1"/>
  <c r="U51" i="61" s="1"/>
  <c r="U52" i="61" s="1"/>
  <c r="U53" i="61" s="1"/>
  <c r="U54" i="61" s="1"/>
  <c r="U55" i="61" s="1"/>
  <c r="U56" i="61" s="1"/>
  <c r="U57" i="61" s="1"/>
  <c r="U58" i="61" s="1"/>
  <c r="U59" i="61" s="1"/>
  <c r="U60" i="61" s="1"/>
  <c r="U61" i="61" s="1"/>
  <c r="U62" i="61" s="1"/>
  <c r="U63" i="61" s="1"/>
  <c r="U64" i="61" s="1"/>
  <c r="U65" i="61" s="1"/>
  <c r="U66" i="61" s="1"/>
  <c r="U67" i="61" s="1"/>
  <c r="U68" i="61" s="1"/>
  <c r="U69" i="61" s="1"/>
  <c r="U70" i="61" s="1"/>
  <c r="U71" i="61" s="1"/>
  <c r="U72" i="61" s="1"/>
  <c r="U73" i="61" s="1"/>
  <c r="U74" i="61" s="1"/>
  <c r="U75" i="61" s="1"/>
  <c r="U76" i="61" s="1"/>
  <c r="G68" i="61"/>
  <c r="G76" i="61"/>
  <c r="G48" i="61"/>
  <c r="G52" i="61"/>
  <c r="G32" i="61"/>
  <c r="G21" i="61"/>
  <c r="G47" i="61"/>
  <c r="G40" i="61"/>
  <c r="G28" i="61"/>
  <c r="G83" i="61"/>
  <c r="G43" i="61"/>
  <c r="G56" i="61"/>
  <c r="G44" i="61"/>
  <c r="G39" i="61"/>
  <c r="G13" i="61"/>
  <c r="G10" i="61"/>
  <c r="G18" i="61"/>
  <c r="AS75" i="94"/>
  <c r="G51" i="61"/>
  <c r="G19" i="61"/>
  <c r="G75" i="61"/>
  <c r="G64" i="61"/>
  <c r="AS58" i="94"/>
  <c r="AS101" i="94"/>
  <c r="G20" i="61"/>
  <c r="G41" i="61"/>
  <c r="G14" i="61"/>
  <c r="AS85" i="94"/>
  <c r="AS65" i="94"/>
  <c r="AS53" i="94"/>
  <c r="AS27" i="94"/>
  <c r="AS97" i="94"/>
  <c r="AS63" i="94"/>
  <c r="AS90" i="94"/>
  <c r="AS82" i="94"/>
  <c r="AS86" i="94"/>
  <c r="AS108" i="94"/>
  <c r="AS40" i="94"/>
  <c r="AS94" i="94"/>
  <c r="AS18" i="94"/>
  <c r="AS70" i="94"/>
  <c r="AF13" i="94"/>
  <c r="AS96" i="94"/>
  <c r="AS33" i="94"/>
  <c r="AS25" i="94"/>
  <c r="AS46" i="94"/>
  <c r="AS73" i="94"/>
  <c r="AS61" i="94"/>
  <c r="AS16" i="94"/>
  <c r="AS55" i="94"/>
  <c r="AS50" i="94"/>
  <c r="AS77" i="94"/>
  <c r="AS21" i="94"/>
  <c r="AS29" i="94"/>
  <c r="AS74" i="94"/>
  <c r="AS79" i="94"/>
  <c r="AS38" i="94"/>
  <c r="AS35" i="94"/>
  <c r="AS23" i="94"/>
  <c r="AS88" i="94"/>
  <c r="AS44" i="94"/>
  <c r="AS89" i="94"/>
  <c r="AS54" i="94"/>
  <c r="AS81" i="94"/>
  <c r="AS83" i="94"/>
  <c r="AS106" i="94"/>
  <c r="AS62" i="94"/>
  <c r="AS47" i="94"/>
  <c r="AS49" i="94"/>
  <c r="AS24" i="94"/>
  <c r="R7" i="61"/>
  <c r="N7" i="61" s="1"/>
  <c r="AS13" i="94"/>
  <c r="AS72" i="94"/>
  <c r="AS67" i="94"/>
  <c r="AS69" i="94"/>
  <c r="AS71" i="94"/>
  <c r="AV9" i="94"/>
  <c r="AZ9" i="94" s="1"/>
  <c r="AS17" i="94"/>
  <c r="AS19" i="94"/>
  <c r="AS22" i="94"/>
  <c r="AS78" i="94"/>
  <c r="AS92" i="94"/>
  <c r="AS20" i="94"/>
  <c r="AS60" i="94"/>
  <c r="AS57" i="94"/>
  <c r="AS80" i="94"/>
  <c r="AS102" i="94"/>
  <c r="AS104" i="94"/>
  <c r="AS37" i="94"/>
  <c r="AS84" i="94"/>
  <c r="AS45" i="94"/>
  <c r="AS103" i="94"/>
  <c r="AS41" i="94"/>
  <c r="AS95" i="94"/>
  <c r="AS93" i="94"/>
  <c r="AS32" i="94"/>
  <c r="AS87" i="94"/>
  <c r="AS30" i="94"/>
  <c r="AS15" i="94"/>
  <c r="AS31" i="94"/>
  <c r="AS43" i="94"/>
  <c r="AS100" i="94"/>
  <c r="AS26" i="94"/>
  <c r="AS42" i="94"/>
  <c r="AS107" i="94"/>
  <c r="AS28" i="94"/>
  <c r="AS76" i="94"/>
  <c r="AS39" i="94"/>
  <c r="G15" i="61"/>
  <c r="AD38" i="61"/>
  <c r="G81" i="61"/>
  <c r="G65" i="61"/>
  <c r="G35" i="61"/>
  <c r="G55" i="61"/>
  <c r="G80" i="61"/>
  <c r="AS98" i="94"/>
  <c r="AS59" i="94"/>
  <c r="AS12" i="94"/>
  <c r="AS68" i="94"/>
  <c r="AS36" i="94"/>
  <c r="AS14" i="94"/>
  <c r="AS105" i="94"/>
  <c r="AS52" i="94"/>
  <c r="AS10" i="94"/>
  <c r="AS64" i="94"/>
  <c r="AS51" i="94"/>
  <c r="AS99" i="94"/>
  <c r="AS91" i="94"/>
  <c r="AF14" i="94"/>
  <c r="G57" i="61"/>
  <c r="G22" i="61"/>
  <c r="G33" i="61"/>
  <c r="G45" i="61"/>
  <c r="G85" i="61"/>
  <c r="G30" i="61"/>
  <c r="G79" i="61"/>
  <c r="G29" i="61"/>
  <c r="G46" i="61"/>
  <c r="G63" i="61"/>
  <c r="G74" i="61"/>
  <c r="G66" i="61"/>
  <c r="G58" i="61"/>
  <c r="G70" i="61"/>
  <c r="G62" i="61"/>
  <c r="G84" i="61"/>
  <c r="G42" i="61"/>
  <c r="G37" i="61"/>
  <c r="G50" i="61"/>
  <c r="G69" i="61"/>
  <c r="G38" i="61"/>
  <c r="G9" i="61"/>
  <c r="G34" i="61"/>
  <c r="G49" i="61"/>
  <c r="G67" i="61"/>
  <c r="G36" i="61"/>
  <c r="G16" i="61"/>
  <c r="G7" i="61"/>
  <c r="I7" i="61" s="1"/>
  <c r="G82" i="61"/>
  <c r="G26" i="61"/>
  <c r="G11" i="61"/>
  <c r="G12" i="61"/>
  <c r="G25" i="61"/>
  <c r="G24" i="61"/>
  <c r="G78" i="61"/>
  <c r="G73" i="61"/>
  <c r="G8" i="61"/>
  <c r="G27" i="61"/>
  <c r="G72" i="61"/>
  <c r="G61" i="61"/>
  <c r="G60" i="61"/>
  <c r="G59" i="61"/>
  <c r="G31" i="61"/>
  <c r="G17" i="61"/>
  <c r="G54" i="61"/>
  <c r="G53" i="61"/>
  <c r="U22" i="103"/>
  <c r="D19" i="103"/>
  <c r="AB14" i="103" s="1"/>
  <c r="AI46" i="103" s="1"/>
  <c r="V22" i="103"/>
  <c r="X22" i="103"/>
  <c r="W22" i="103"/>
  <c r="AC58" i="103"/>
  <c r="AB13" i="103"/>
  <c r="Z45" i="61"/>
  <c r="Y45" i="61" s="1"/>
  <c r="D20" i="61" s="1"/>
  <c r="AQ14" i="91" l="1"/>
  <c r="AP15" i="91"/>
  <c r="AG47" i="91"/>
  <c r="W10" i="91"/>
  <c r="X10" i="91"/>
  <c r="K13" i="78"/>
  <c r="W53" i="78"/>
  <c r="G14" i="78"/>
  <c r="BJ58" i="78"/>
  <c r="J13" i="78"/>
  <c r="AS13" i="78"/>
  <c r="H13" i="78"/>
  <c r="BH13" i="78" s="1"/>
  <c r="BG9" i="78"/>
  <c r="AH49" i="78"/>
  <c r="W10" i="75"/>
  <c r="X10" i="75"/>
  <c r="AG47" i="75"/>
  <c r="AC56" i="75" s="1"/>
  <c r="D29" i="75"/>
  <c r="E29" i="75" s="1"/>
  <c r="E28" i="75"/>
  <c r="AP14" i="88"/>
  <c r="AQ13" i="88"/>
  <c r="BA12" i="75"/>
  <c r="Q10" i="105"/>
  <c r="R10" i="105"/>
  <c r="J69" i="61"/>
  <c r="Q70" i="61"/>
  <c r="AC56" i="88"/>
  <c r="BE9" i="59"/>
  <c r="J9" i="59"/>
  <c r="T56" i="59"/>
  <c r="BA10" i="86"/>
  <c r="AP9" i="59"/>
  <c r="BG54" i="59"/>
  <c r="BD9" i="59"/>
  <c r="J16" i="103"/>
  <c r="E17" i="103"/>
  <c r="F24" i="108"/>
  <c r="E24" i="108"/>
  <c r="G24" i="108"/>
  <c r="AL87" i="100"/>
  <c r="Y45" i="100"/>
  <c r="B27" i="108"/>
  <c r="A28" i="108"/>
  <c r="AP17" i="86"/>
  <c r="AQ16" i="86"/>
  <c r="BF84" i="78"/>
  <c r="AT77" i="78"/>
  <c r="BJ9" i="100"/>
  <c r="L9" i="100"/>
  <c r="V16" i="106"/>
  <c r="U17" i="106"/>
  <c r="AP35" i="78"/>
  <c r="AQ34" i="78"/>
  <c r="Y48" i="106"/>
  <c r="AL90" i="106"/>
  <c r="AL36" i="100"/>
  <c r="E24" i="100"/>
  <c r="AT9" i="105"/>
  <c r="AT10" i="105"/>
  <c r="AU9" i="105"/>
  <c r="AY9" i="105" s="1"/>
  <c r="BH13" i="105"/>
  <c r="BI12" i="105"/>
  <c r="L9" i="105"/>
  <c r="P9" i="105" s="1"/>
  <c r="AG47" i="105"/>
  <c r="W10" i="105"/>
  <c r="X10" i="105"/>
  <c r="K9" i="105"/>
  <c r="AC56" i="91"/>
  <c r="Y48" i="75"/>
  <c r="AL90" i="75"/>
  <c r="E39" i="78"/>
  <c r="AE94" i="78"/>
  <c r="AE95" i="78" s="1"/>
  <c r="AE96" i="78" s="1"/>
  <c r="AE97" i="78" s="1"/>
  <c r="AE98" i="78" s="1"/>
  <c r="C23" i="86"/>
  <c r="E25" i="86"/>
  <c r="BK8" i="86"/>
  <c r="C28" i="86"/>
  <c r="Q15" i="106"/>
  <c r="R15" i="106"/>
  <c r="AG56" i="75"/>
  <c r="AF55" i="75" s="1"/>
  <c r="V13" i="75"/>
  <c r="R13" i="75" s="1"/>
  <c r="U14" i="75"/>
  <c r="C41" i="88"/>
  <c r="Q14" i="88"/>
  <c r="C46" i="88"/>
  <c r="Q12" i="88"/>
  <c r="Q13" i="88"/>
  <c r="Q10" i="88"/>
  <c r="P10" i="88" s="1"/>
  <c r="C18" i="88"/>
  <c r="C30" i="88" s="1"/>
  <c r="E30" i="88" s="1"/>
  <c r="Q11" i="88"/>
  <c r="Q9" i="88"/>
  <c r="R10" i="100"/>
  <c r="Q10" i="100"/>
  <c r="Y52" i="105"/>
  <c r="AL94" i="105"/>
  <c r="M9" i="78"/>
  <c r="E24" i="59"/>
  <c r="G13" i="109"/>
  <c r="I13" i="109" s="1"/>
  <c r="W12" i="109"/>
  <c r="X47" i="109"/>
  <c r="BM57" i="109"/>
  <c r="V15" i="88"/>
  <c r="U16" i="88"/>
  <c r="BA11" i="105"/>
  <c r="X42" i="105"/>
  <c r="BK7" i="105"/>
  <c r="AU9" i="91"/>
  <c r="O12" i="78"/>
  <c r="M12" i="78" s="1"/>
  <c r="Q12" i="75"/>
  <c r="P12" i="75" s="1"/>
  <c r="C47" i="75"/>
  <c r="Q9" i="75"/>
  <c r="P9" i="75" s="1"/>
  <c r="Q13" i="75"/>
  <c r="Q14" i="75"/>
  <c r="Q11" i="75"/>
  <c r="P11" i="75" s="1"/>
  <c r="C42" i="75"/>
  <c r="C18" i="75"/>
  <c r="C31" i="75" s="1"/>
  <c r="E31" i="75" s="1"/>
  <c r="Q10" i="75"/>
  <c r="P10" i="75" s="1"/>
  <c r="AP94" i="109"/>
  <c r="AN133" i="109"/>
  <c r="BL57" i="88"/>
  <c r="G13" i="88"/>
  <c r="W47" i="88"/>
  <c r="H12" i="88"/>
  <c r="BJ12" i="88" s="1"/>
  <c r="I12" i="88"/>
  <c r="L12" i="88"/>
  <c r="P12" i="88" s="1"/>
  <c r="N12" i="88" s="1"/>
  <c r="V57" i="59"/>
  <c r="AI87" i="59"/>
  <c r="F19" i="66"/>
  <c r="AA18" i="66"/>
  <c r="U18" i="66"/>
  <c r="G18" i="66"/>
  <c r="AY9" i="100"/>
  <c r="AW9" i="100" s="1"/>
  <c r="AG55" i="75"/>
  <c r="AO11" i="105"/>
  <c r="AM50" i="105"/>
  <c r="AS11" i="105"/>
  <c r="Y45" i="86"/>
  <c r="AL87" i="86"/>
  <c r="AQ18" i="75"/>
  <c r="AP19" i="75"/>
  <c r="X42" i="88"/>
  <c r="BK7" i="88"/>
  <c r="U12" i="100"/>
  <c r="V11" i="100"/>
  <c r="BI11" i="106"/>
  <c r="BH12" i="106"/>
  <c r="AS12" i="106"/>
  <c r="AO12" i="106"/>
  <c r="AM51" i="106"/>
  <c r="AH49" i="105"/>
  <c r="BK7" i="91"/>
  <c r="X42" i="91"/>
  <c r="X47" i="78"/>
  <c r="BI7" i="78"/>
  <c r="AH49" i="75"/>
  <c r="AU95" i="109"/>
  <c r="AQ96" i="109"/>
  <c r="BW18" i="78"/>
  <c r="BX17" i="78"/>
  <c r="AT12" i="105"/>
  <c r="AP13" i="105"/>
  <c r="AQ12" i="105"/>
  <c r="BH15" i="91"/>
  <c r="BI14" i="91"/>
  <c r="W10" i="88"/>
  <c r="K12" i="88" s="1"/>
  <c r="AG47" i="88"/>
  <c r="C23" i="88" s="1"/>
  <c r="X10" i="88"/>
  <c r="BL59" i="106"/>
  <c r="H14" i="106"/>
  <c r="BJ14" i="106" s="1"/>
  <c r="W49" i="106"/>
  <c r="G15" i="106"/>
  <c r="BA10" i="106"/>
  <c r="Q12" i="78"/>
  <c r="P12" i="78"/>
  <c r="BA10" i="100"/>
  <c r="AP14" i="106"/>
  <c r="AT13" i="106"/>
  <c r="AQ13" i="106"/>
  <c r="M11" i="78"/>
  <c r="AH49" i="91"/>
  <c r="BA12" i="88"/>
  <c r="BK7" i="75"/>
  <c r="X42" i="75"/>
  <c r="P11" i="88"/>
  <c r="N11" i="88" s="1"/>
  <c r="AG56" i="88"/>
  <c r="BG8" i="88"/>
  <c r="AG55" i="88"/>
  <c r="AF56" i="88"/>
  <c r="D23" i="88"/>
  <c r="AL36" i="88" s="1"/>
  <c r="AT8" i="88"/>
  <c r="AM46" i="88" s="1"/>
  <c r="AG54" i="88"/>
  <c r="AF55" i="88" s="1"/>
  <c r="AG57" i="88"/>
  <c r="AP14" i="100"/>
  <c r="AT13" i="100"/>
  <c r="L17" i="66"/>
  <c r="M17" i="66"/>
  <c r="N17" i="66"/>
  <c r="D28" i="86"/>
  <c r="D29" i="86" s="1"/>
  <c r="D23" i="86"/>
  <c r="X46" i="100"/>
  <c r="BK11" i="100"/>
  <c r="I13" i="105"/>
  <c r="H13" i="105"/>
  <c r="BJ13" i="105" s="1"/>
  <c r="BL58" i="105"/>
  <c r="W48" i="105"/>
  <c r="G14" i="105"/>
  <c r="N12" i="78"/>
  <c r="Y48" i="91"/>
  <c r="AL90" i="91"/>
  <c r="BA13" i="91"/>
  <c r="F26" i="107"/>
  <c r="E26" i="107"/>
  <c r="G26" i="107"/>
  <c r="U13" i="78"/>
  <c r="T14" i="78"/>
  <c r="BI11" i="100"/>
  <c r="BH12" i="100"/>
  <c r="A31" i="107"/>
  <c r="B30" i="107"/>
  <c r="AC56" i="105"/>
  <c r="AI61" i="59"/>
  <c r="AI148" i="59" s="1"/>
  <c r="BH14" i="88"/>
  <c r="BI13" i="88"/>
  <c r="X15" i="78"/>
  <c r="W15" i="78"/>
  <c r="AM51" i="100"/>
  <c r="AS12" i="100"/>
  <c r="AO12" i="100"/>
  <c r="BL57" i="100"/>
  <c r="I12" i="100"/>
  <c r="W47" i="100"/>
  <c r="G13" i="100"/>
  <c r="K12" i="100"/>
  <c r="H14" i="75"/>
  <c r="BJ14" i="75" s="1"/>
  <c r="BL59" i="75"/>
  <c r="W49" i="75"/>
  <c r="G15" i="75"/>
  <c r="K14" i="75"/>
  <c r="L14" i="75"/>
  <c r="P14" i="75" s="1"/>
  <c r="I14" i="75"/>
  <c r="AU9" i="75"/>
  <c r="AY9" i="75" s="1"/>
  <c r="BG9" i="106"/>
  <c r="AU10" i="106" s="1"/>
  <c r="AY10" i="106" s="1"/>
  <c r="Q15" i="91"/>
  <c r="R15" i="91"/>
  <c r="V12" i="86"/>
  <c r="R12" i="86" s="1"/>
  <c r="U13" i="86"/>
  <c r="AH49" i="88"/>
  <c r="BQ16" i="59"/>
  <c r="BR15" i="59"/>
  <c r="H16" i="91"/>
  <c r="BJ16" i="91" s="1"/>
  <c r="G17" i="91"/>
  <c r="X13" i="59"/>
  <c r="W38" i="59"/>
  <c r="AI71" i="59" s="1"/>
  <c r="W29" i="59"/>
  <c r="AI62" i="59" s="1"/>
  <c r="C18" i="91"/>
  <c r="C30" i="91" s="1"/>
  <c r="E30" i="91" s="1"/>
  <c r="Q13" i="91"/>
  <c r="P13" i="91" s="1"/>
  <c r="C41" i="91"/>
  <c r="Q9" i="91"/>
  <c r="C46" i="91"/>
  <c r="Q10" i="91"/>
  <c r="P10" i="91" s="1"/>
  <c r="Q12" i="91"/>
  <c r="P12" i="91" s="1"/>
  <c r="Q14" i="91"/>
  <c r="P14" i="91" s="1"/>
  <c r="Q11" i="91"/>
  <c r="P11" i="91" s="1"/>
  <c r="W78" i="66"/>
  <c r="O77" i="66"/>
  <c r="CC28" i="106"/>
  <c r="C20" i="106"/>
  <c r="AL96" i="78"/>
  <c r="Y59" i="78"/>
  <c r="L14" i="86"/>
  <c r="G15" i="86"/>
  <c r="H14" i="86"/>
  <c r="BJ14" i="86" s="1"/>
  <c r="I14" i="86"/>
  <c r="W49" i="86"/>
  <c r="BL59" i="86"/>
  <c r="BI13" i="75"/>
  <c r="BH14" i="75"/>
  <c r="V11" i="105"/>
  <c r="U12" i="105"/>
  <c r="E43" i="110"/>
  <c r="J42" i="110"/>
  <c r="P13" i="75"/>
  <c r="S12" i="66"/>
  <c r="T12" i="66"/>
  <c r="AQ77" i="59"/>
  <c r="BC84" i="59"/>
  <c r="V16" i="91"/>
  <c r="U17" i="91"/>
  <c r="BH12" i="86"/>
  <c r="BI11" i="86"/>
  <c r="AL88" i="88"/>
  <c r="Y46" i="88"/>
  <c r="BJ11" i="109"/>
  <c r="BB11" i="109" s="1"/>
  <c r="BI12" i="109"/>
  <c r="R11" i="110"/>
  <c r="S10" i="110"/>
  <c r="AB66" i="110"/>
  <c r="AB67" i="110" s="1"/>
  <c r="AF67" i="110" s="1"/>
  <c r="AK50" i="110"/>
  <c r="AK47" i="110" s="1"/>
  <c r="AK46" i="110"/>
  <c r="V12" i="109"/>
  <c r="U13" i="109"/>
  <c r="R11" i="109"/>
  <c r="Q11" i="109"/>
  <c r="J16" i="111"/>
  <c r="E17" i="111"/>
  <c r="F16" i="111"/>
  <c r="AZ16" i="111" s="1"/>
  <c r="AX14" i="111"/>
  <c r="AO8" i="111"/>
  <c r="AW8" i="111"/>
  <c r="U12" i="94"/>
  <c r="V11" i="94"/>
  <c r="Q10" i="94"/>
  <c r="R10" i="94"/>
  <c r="Z45" i="109"/>
  <c r="AM87" i="109"/>
  <c r="T46" i="110"/>
  <c r="C25" i="110"/>
  <c r="BI23" i="110"/>
  <c r="BI24" i="110" s="1"/>
  <c r="I12" i="109"/>
  <c r="I9" i="109"/>
  <c r="I10" i="109"/>
  <c r="I11" i="109"/>
  <c r="BA8" i="112"/>
  <c r="C28" i="112"/>
  <c r="C23" i="109" s="1"/>
  <c r="U49" i="112"/>
  <c r="AJ49" i="112"/>
  <c r="D28" i="112"/>
  <c r="AX14" i="112"/>
  <c r="AM16" i="112"/>
  <c r="AN15" i="112"/>
  <c r="J14" i="112"/>
  <c r="E15" i="112"/>
  <c r="F14" i="112"/>
  <c r="AZ14" i="112" s="1"/>
  <c r="BI13" i="94"/>
  <c r="BJ12" i="94"/>
  <c r="BB12" i="94" s="1"/>
  <c r="AJ49" i="111"/>
  <c r="U22" i="111"/>
  <c r="AB13" i="111"/>
  <c r="AC58" i="111"/>
  <c r="D19" i="111"/>
  <c r="W22" i="111"/>
  <c r="V22" i="111"/>
  <c r="X22" i="111"/>
  <c r="AA14" i="111"/>
  <c r="C13" i="94"/>
  <c r="T46" i="111"/>
  <c r="C25" i="111"/>
  <c r="BE23" i="111" s="1"/>
  <c r="BE24" i="111" s="1"/>
  <c r="C19" i="94"/>
  <c r="Z47" i="94"/>
  <c r="AM89" i="94"/>
  <c r="AR12" i="94"/>
  <c r="AQ13" i="94"/>
  <c r="W12" i="94"/>
  <c r="G13" i="94"/>
  <c r="X47" i="94"/>
  <c r="BM57" i="94"/>
  <c r="H12" i="94"/>
  <c r="BK12" i="94" s="1"/>
  <c r="AC57" i="103"/>
  <c r="AO8" i="103"/>
  <c r="AJ48" i="103" s="1"/>
  <c r="C25" i="103"/>
  <c r="AJ49" i="103"/>
  <c r="O7" i="61"/>
  <c r="S37" i="61"/>
  <c r="AD55" i="103"/>
  <c r="D29" i="103" s="1"/>
  <c r="AD56" i="103"/>
  <c r="AC56" i="103" s="1"/>
  <c r="AY9" i="103" s="1"/>
  <c r="AD57" i="103"/>
  <c r="AH57" i="94"/>
  <c r="AH54" i="94"/>
  <c r="AH56" i="94"/>
  <c r="AH55" i="94"/>
  <c r="AG55" i="94" s="1"/>
  <c r="AD58" i="103"/>
  <c r="AP9" i="103"/>
  <c r="BB55" i="103"/>
  <c r="BB155" i="103" s="1"/>
  <c r="AI50" i="103"/>
  <c r="U77" i="61"/>
  <c r="U78" i="61" s="1"/>
  <c r="U79" i="61" s="1"/>
  <c r="U80" i="61" s="1"/>
  <c r="U81" i="61" s="1"/>
  <c r="U82" i="61" s="1"/>
  <c r="U83" i="61" s="1"/>
  <c r="U84" i="61" s="1"/>
  <c r="U85" i="61" s="1"/>
  <c r="U86" i="61" s="1"/>
  <c r="U87" i="61" s="1"/>
  <c r="U88" i="61" s="1"/>
  <c r="U89" i="61" s="1"/>
  <c r="U90" i="61" s="1"/>
  <c r="U91" i="61" s="1"/>
  <c r="U92" i="61" s="1"/>
  <c r="U93" i="61" s="1"/>
  <c r="U94" i="61" s="1"/>
  <c r="U95" i="61" s="1"/>
  <c r="U96" i="61" s="1"/>
  <c r="U97" i="61" s="1"/>
  <c r="U98" i="61" s="1"/>
  <c r="U99" i="61" s="1"/>
  <c r="U100" i="61" s="1"/>
  <c r="U101" i="61" s="1"/>
  <c r="U102" i="61" s="1"/>
  <c r="U103" i="61" s="1"/>
  <c r="U104" i="61" s="1"/>
  <c r="U105" i="61" s="1"/>
  <c r="U106" i="61" s="1"/>
  <c r="U107" i="61"/>
  <c r="U108" i="61" s="1"/>
  <c r="U109" i="61" s="1"/>
  <c r="U110" i="61" s="1"/>
  <c r="U111" i="61" s="1"/>
  <c r="U112" i="61" s="1"/>
  <c r="U113" i="61" s="1"/>
  <c r="U114" i="61" s="1"/>
  <c r="U115" i="61" s="1"/>
  <c r="M7" i="61"/>
  <c r="J12" i="88" l="1"/>
  <c r="BK12" i="88"/>
  <c r="X47" i="88"/>
  <c r="D26" i="107"/>
  <c r="C27" i="107" s="1"/>
  <c r="AU9" i="88"/>
  <c r="N12" i="75"/>
  <c r="E18" i="103"/>
  <c r="J17" i="103"/>
  <c r="F17" i="103"/>
  <c r="AZ17" i="103" s="1"/>
  <c r="AL89" i="88"/>
  <c r="Y47" i="88"/>
  <c r="BC85" i="59"/>
  <c r="AQ78" i="59"/>
  <c r="V12" i="105"/>
  <c r="U13" i="105"/>
  <c r="BA11" i="86"/>
  <c r="BH15" i="75"/>
  <c r="BI14" i="75"/>
  <c r="BI14" i="88"/>
  <c r="BH15" i="88"/>
  <c r="P13" i="78"/>
  <c r="Q13" i="78"/>
  <c r="AT14" i="106"/>
  <c r="AP15" i="106"/>
  <c r="AQ14" i="106"/>
  <c r="E23" i="88"/>
  <c r="AF36" i="88"/>
  <c r="AF37" i="88" s="1"/>
  <c r="AF38" i="88" s="1"/>
  <c r="AF39" i="88" s="1"/>
  <c r="AF40" i="88" s="1"/>
  <c r="BI12" i="106"/>
  <c r="BH13" i="106"/>
  <c r="AV9" i="100"/>
  <c r="J10" i="100"/>
  <c r="C29" i="86"/>
  <c r="E29" i="86" s="1"/>
  <c r="E28" i="86"/>
  <c r="Y49" i="75"/>
  <c r="AL91" i="75"/>
  <c r="AT14" i="100"/>
  <c r="AP15" i="100"/>
  <c r="AQ14" i="100"/>
  <c r="K9" i="88"/>
  <c r="K10" i="88"/>
  <c r="K11" i="88"/>
  <c r="R11" i="100"/>
  <c r="Q11" i="100"/>
  <c r="J11" i="100" s="1"/>
  <c r="N18" i="66"/>
  <c r="M18" i="66"/>
  <c r="L18" i="66"/>
  <c r="P9" i="88"/>
  <c r="BH14" i="105"/>
  <c r="BI13" i="105"/>
  <c r="D23" i="91"/>
  <c r="AL36" i="91" s="1"/>
  <c r="C23" i="91"/>
  <c r="AL91" i="106"/>
  <c r="Y49" i="106"/>
  <c r="V17" i="91"/>
  <c r="U18" i="91"/>
  <c r="H14" i="105"/>
  <c r="BJ14" i="105" s="1"/>
  <c r="W49" i="105"/>
  <c r="G15" i="105"/>
  <c r="I14" i="105"/>
  <c r="BL59" i="105"/>
  <c r="BA14" i="91"/>
  <c r="AU96" i="109"/>
  <c r="AQ97" i="109"/>
  <c r="AR96" i="109"/>
  <c r="U13" i="100"/>
  <c r="V12" i="100"/>
  <c r="AY9" i="91"/>
  <c r="V14" i="75"/>
  <c r="R14" i="75" s="1"/>
  <c r="U15" i="75"/>
  <c r="AE56" i="86"/>
  <c r="AD55" i="86" s="1"/>
  <c r="AD56" i="86"/>
  <c r="S8" i="86"/>
  <c r="C17" i="86"/>
  <c r="K8" i="86"/>
  <c r="AE55" i="86"/>
  <c r="AE54" i="86"/>
  <c r="E23" i="86"/>
  <c r="AE57" i="86"/>
  <c r="BK9" i="105"/>
  <c r="J9" i="105"/>
  <c r="K10" i="105"/>
  <c r="X44" i="105"/>
  <c r="M9" i="105"/>
  <c r="S9" i="105" s="1"/>
  <c r="C24" i="105"/>
  <c r="AW9" i="105"/>
  <c r="AV9" i="105" s="1"/>
  <c r="BG9" i="105" s="1"/>
  <c r="AP36" i="78"/>
  <c r="AQ35" i="78"/>
  <c r="W54" i="78"/>
  <c r="J14" i="78"/>
  <c r="AS14" i="78"/>
  <c r="G15" i="78"/>
  <c r="H14" i="78"/>
  <c r="BH14" i="78" s="1"/>
  <c r="K14" i="78"/>
  <c r="AR14" i="78"/>
  <c r="AP16" i="91"/>
  <c r="AQ15" i="91"/>
  <c r="G16" i="106"/>
  <c r="H15" i="106"/>
  <c r="BJ15" i="106" s="1"/>
  <c r="BA11" i="106"/>
  <c r="BA12" i="105"/>
  <c r="X53" i="78"/>
  <c r="BI13" i="78"/>
  <c r="Q16" i="91"/>
  <c r="R16" i="91"/>
  <c r="BK8" i="106"/>
  <c r="E20" i="106"/>
  <c r="C18" i="106"/>
  <c r="BK12" i="100"/>
  <c r="X47" i="100"/>
  <c r="N10" i="91"/>
  <c r="X38" i="59"/>
  <c r="X29" i="59"/>
  <c r="BL58" i="100"/>
  <c r="K13" i="100"/>
  <c r="W48" i="100"/>
  <c r="G14" i="100"/>
  <c r="I13" i="100"/>
  <c r="H13" i="100"/>
  <c r="BJ13" i="100" s="1"/>
  <c r="A32" i="107"/>
  <c r="B31" i="107"/>
  <c r="AF56" i="86"/>
  <c r="AG54" i="86"/>
  <c r="AG55" i="86"/>
  <c r="AT8" i="86"/>
  <c r="AM46" i="86" s="1"/>
  <c r="AG56" i="86"/>
  <c r="AF55" i="86" s="1"/>
  <c r="BG8" i="86"/>
  <c r="AG57" i="86"/>
  <c r="AI70" i="59"/>
  <c r="N13" i="78"/>
  <c r="BH16" i="91"/>
  <c r="BI15" i="91"/>
  <c r="AP95" i="109"/>
  <c r="AN134" i="109"/>
  <c r="V16" i="88"/>
  <c r="U17" i="88"/>
  <c r="AO10" i="105"/>
  <c r="AM49" i="105"/>
  <c r="AS10" i="105"/>
  <c r="AT78" i="78"/>
  <c r="BF85" i="78"/>
  <c r="AU9" i="59"/>
  <c r="AV9" i="59"/>
  <c r="N9" i="59"/>
  <c r="L9" i="59" s="1"/>
  <c r="BI12" i="86"/>
  <c r="BH13" i="86"/>
  <c r="BA13" i="75"/>
  <c r="AL97" i="78"/>
  <c r="Y60" i="78"/>
  <c r="U14" i="86"/>
  <c r="V13" i="86"/>
  <c r="R13" i="86" s="1"/>
  <c r="AM52" i="100"/>
  <c r="AO13" i="100"/>
  <c r="AS13" i="100"/>
  <c r="BW19" i="78"/>
  <c r="BX18" i="78"/>
  <c r="Y46" i="86"/>
  <c r="AL88" i="86"/>
  <c r="W13" i="109"/>
  <c r="BM58" i="109"/>
  <c r="G14" i="109"/>
  <c r="X48" i="109"/>
  <c r="H13" i="109"/>
  <c r="BK13" i="109" s="1"/>
  <c r="N13" i="75"/>
  <c r="E44" i="110"/>
  <c r="J43" i="110"/>
  <c r="F43" i="110"/>
  <c r="AZ43" i="110" s="1"/>
  <c r="C20" i="78"/>
  <c r="J11" i="78"/>
  <c r="J9" i="78"/>
  <c r="J10" i="78"/>
  <c r="AR10" i="78"/>
  <c r="AR9" i="78"/>
  <c r="AR11" i="78"/>
  <c r="AR12" i="78"/>
  <c r="J12" i="78"/>
  <c r="BI12" i="100"/>
  <c r="BH13" i="100"/>
  <c r="G19" i="66"/>
  <c r="U19" i="66"/>
  <c r="AA19" i="66"/>
  <c r="F20" i="66"/>
  <c r="I13" i="88"/>
  <c r="BL58" i="88"/>
  <c r="L13" i="88"/>
  <c r="P13" i="88" s="1"/>
  <c r="N13" i="88" s="1"/>
  <c r="H13" i="88"/>
  <c r="BJ13" i="88" s="1"/>
  <c r="K13" i="88"/>
  <c r="G14" i="88"/>
  <c r="W48" i="88"/>
  <c r="Q15" i="88"/>
  <c r="R15" i="88"/>
  <c r="N10" i="78"/>
  <c r="N10" i="88"/>
  <c r="D24" i="105"/>
  <c r="AL36" i="105" s="1"/>
  <c r="AM48" i="105"/>
  <c r="AO9" i="105"/>
  <c r="AS9" i="105"/>
  <c r="V17" i="106"/>
  <c r="U18" i="106"/>
  <c r="D24" i="75"/>
  <c r="AL36" i="75" s="1"/>
  <c r="AL37" i="75" s="1"/>
  <c r="AL38" i="75" s="1"/>
  <c r="AL39" i="75" s="1"/>
  <c r="AL40" i="75" s="1"/>
  <c r="C24" i="75"/>
  <c r="AY9" i="78"/>
  <c r="AX9" i="78"/>
  <c r="G18" i="91"/>
  <c r="H17" i="91"/>
  <c r="BJ17" i="91" s="1"/>
  <c r="AL91" i="91"/>
  <c r="Y49" i="91"/>
  <c r="P9" i="91"/>
  <c r="BQ17" i="59"/>
  <c r="BR16" i="59"/>
  <c r="X49" i="75"/>
  <c r="J14" i="75"/>
  <c r="BK14" i="75"/>
  <c r="BA11" i="100"/>
  <c r="AL38" i="88"/>
  <c r="AL37" i="88"/>
  <c r="AL40" i="88"/>
  <c r="AL39" i="88"/>
  <c r="AP14" i="105"/>
  <c r="AT13" i="105"/>
  <c r="AQ13" i="105"/>
  <c r="AP20" i="75"/>
  <c r="AQ19" i="75"/>
  <c r="Q16" i="106"/>
  <c r="R16" i="106"/>
  <c r="AP18" i="86"/>
  <c r="AQ17" i="86"/>
  <c r="D24" i="108"/>
  <c r="C25" i="108" s="1"/>
  <c r="R12" i="66"/>
  <c r="P12" i="66" s="1"/>
  <c r="Y46" i="100"/>
  <c r="AL88" i="100"/>
  <c r="R11" i="105"/>
  <c r="Q11" i="105"/>
  <c r="G16" i="86"/>
  <c r="H15" i="86"/>
  <c r="BJ15" i="86" s="1"/>
  <c r="W79" i="66"/>
  <c r="O78" i="66"/>
  <c r="G16" i="75"/>
  <c r="H15" i="75"/>
  <c r="BJ15" i="75" s="1"/>
  <c r="BA13" i="88"/>
  <c r="U14" i="78"/>
  <c r="T15" i="78"/>
  <c r="AS13" i="106"/>
  <c r="AO13" i="106"/>
  <c r="AM52" i="106"/>
  <c r="AV10" i="106"/>
  <c r="AO12" i="105"/>
  <c r="AM51" i="105"/>
  <c r="AS12" i="105"/>
  <c r="AI88" i="59"/>
  <c r="V58" i="59"/>
  <c r="N9" i="75"/>
  <c r="M9" i="75" s="1"/>
  <c r="S9" i="75" s="1"/>
  <c r="Y53" i="105"/>
  <c r="AL95" i="105"/>
  <c r="AL38" i="100"/>
  <c r="AL37" i="100"/>
  <c r="AL40" i="100"/>
  <c r="AL39" i="100"/>
  <c r="M9" i="100"/>
  <c r="P9" i="100"/>
  <c r="B28" i="108"/>
  <c r="A29" i="108"/>
  <c r="AT9" i="59"/>
  <c r="Q71" i="61"/>
  <c r="J70" i="61"/>
  <c r="AP15" i="88"/>
  <c r="AQ14" i="88"/>
  <c r="K9" i="75"/>
  <c r="K10" i="75"/>
  <c r="K11" i="75"/>
  <c r="K12" i="75"/>
  <c r="K13" i="75"/>
  <c r="AR13" i="78"/>
  <c r="K11" i="91"/>
  <c r="K13" i="91"/>
  <c r="K9" i="91"/>
  <c r="K10" i="91"/>
  <c r="K12" i="91"/>
  <c r="K14" i="91"/>
  <c r="BJ12" i="109"/>
  <c r="BB12" i="109" s="1"/>
  <c r="BI13" i="109"/>
  <c r="R12" i="110"/>
  <c r="S11" i="110"/>
  <c r="V13" i="109"/>
  <c r="U14" i="109"/>
  <c r="R12" i="109"/>
  <c r="Q12" i="109"/>
  <c r="E18" i="111"/>
  <c r="J17" i="111"/>
  <c r="F17" i="111"/>
  <c r="AZ17" i="111" s="1"/>
  <c r="BI22" i="111"/>
  <c r="BI23" i="111" s="1"/>
  <c r="BI24" i="111" s="1"/>
  <c r="AP9" i="111"/>
  <c r="BB55" i="111"/>
  <c r="BB155" i="111" s="1"/>
  <c r="AB14" i="111"/>
  <c r="AD56" i="111" s="1"/>
  <c r="AX15" i="111"/>
  <c r="I13" i="94"/>
  <c r="Q11" i="94"/>
  <c r="R11" i="94"/>
  <c r="U13" i="94"/>
  <c r="V12" i="94"/>
  <c r="Z46" i="109"/>
  <c r="AM88" i="109"/>
  <c r="C32" i="110"/>
  <c r="D32" i="110"/>
  <c r="BE23" i="110"/>
  <c r="BE24" i="110" s="1"/>
  <c r="AX15" i="112"/>
  <c r="J15" i="112"/>
  <c r="E16" i="112"/>
  <c r="F15" i="112"/>
  <c r="AZ15" i="112" s="1"/>
  <c r="AB58" i="112"/>
  <c r="AB57" i="112"/>
  <c r="AB56" i="112"/>
  <c r="AA56" i="112" s="1"/>
  <c r="AA57" i="112"/>
  <c r="Z57" i="112" s="1"/>
  <c r="AB55" i="112"/>
  <c r="Q8" i="112"/>
  <c r="G8" i="112"/>
  <c r="AM17" i="112"/>
  <c r="AN16" i="112"/>
  <c r="AD58" i="112"/>
  <c r="AD57" i="112"/>
  <c r="AD56" i="112"/>
  <c r="AC57" i="112"/>
  <c r="AW8" i="112"/>
  <c r="AO8" i="112"/>
  <c r="AJ48" i="112" s="1"/>
  <c r="AJ48" i="111"/>
  <c r="AC57" i="111"/>
  <c r="BJ13" i="94"/>
  <c r="BB13" i="94" s="1"/>
  <c r="BI14" i="94"/>
  <c r="C18" i="94"/>
  <c r="C28" i="111"/>
  <c r="U49" i="111"/>
  <c r="AD58" i="111"/>
  <c r="AD57" i="111"/>
  <c r="I9" i="94"/>
  <c r="I10" i="94"/>
  <c r="I12" i="94"/>
  <c r="I11" i="94"/>
  <c r="G14" i="94"/>
  <c r="W13" i="94"/>
  <c r="X48" i="94"/>
  <c r="H13" i="94"/>
  <c r="BK13" i="94" s="1"/>
  <c r="BM58" i="94"/>
  <c r="AR13" i="94"/>
  <c r="AQ14" i="94"/>
  <c r="Z48" i="94"/>
  <c r="AM90" i="94"/>
  <c r="BE23" i="103"/>
  <c r="BE24" i="103" s="1"/>
  <c r="C32" i="103" s="1"/>
  <c r="U49" i="103" s="1"/>
  <c r="K7" i="61"/>
  <c r="H7" i="61" s="1"/>
  <c r="J7" i="61" s="1"/>
  <c r="AU9" i="94"/>
  <c r="AT9" i="94" s="1"/>
  <c r="AV9" i="103"/>
  <c r="AU9" i="103"/>
  <c r="AT9" i="103" s="1"/>
  <c r="B32" i="107" l="1"/>
  <c r="A33" i="107"/>
  <c r="AQ98" i="109"/>
  <c r="AU97" i="109"/>
  <c r="AR97" i="109"/>
  <c r="AS14" i="106"/>
  <c r="AM53" i="106"/>
  <c r="AO14" i="106"/>
  <c r="BA14" i="75"/>
  <c r="I9" i="59"/>
  <c r="K9" i="59" s="1"/>
  <c r="M10" i="59"/>
  <c r="AU9" i="86"/>
  <c r="AF36" i="105"/>
  <c r="AF37" i="105" s="1"/>
  <c r="AF38" i="105" s="1"/>
  <c r="AF39" i="105" s="1"/>
  <c r="AF40" i="105" s="1"/>
  <c r="E24" i="105"/>
  <c r="U16" i="75"/>
  <c r="V15" i="75"/>
  <c r="BI13" i="106"/>
  <c r="BH14" i="106"/>
  <c r="BI15" i="75"/>
  <c r="BH16" i="75"/>
  <c r="AL98" i="78"/>
  <c r="Y61" i="78"/>
  <c r="H15" i="78"/>
  <c r="BH15" i="78" s="1"/>
  <c r="G16" i="78"/>
  <c r="BH14" i="100"/>
  <c r="BI13" i="100"/>
  <c r="J13" i="91"/>
  <c r="BK13" i="91"/>
  <c r="X48" i="91"/>
  <c r="X50" i="78"/>
  <c r="BI10" i="78"/>
  <c r="S8" i="106"/>
  <c r="AE56" i="106"/>
  <c r="K8" i="106"/>
  <c r="AD56" i="106"/>
  <c r="AE54" i="106"/>
  <c r="AE57" i="106"/>
  <c r="AE55" i="106"/>
  <c r="AD55" i="106" s="1"/>
  <c r="E18" i="106"/>
  <c r="E25" i="108"/>
  <c r="G25" i="108"/>
  <c r="F25" i="108"/>
  <c r="BI9" i="78"/>
  <c r="X49" i="78"/>
  <c r="L9" i="78"/>
  <c r="E23" i="91"/>
  <c r="AF36" i="91"/>
  <c r="AF37" i="91" s="1"/>
  <c r="AF38" i="91" s="1"/>
  <c r="AF39" i="91" s="1"/>
  <c r="AF40" i="91" s="1"/>
  <c r="AM52" i="78"/>
  <c r="AO13" i="78"/>
  <c r="V59" i="59"/>
  <c r="AI89" i="59"/>
  <c r="O79" i="66"/>
  <c r="W80" i="66"/>
  <c r="X51" i="78"/>
  <c r="BI11" i="78"/>
  <c r="BW20" i="78"/>
  <c r="BX19" i="78"/>
  <c r="AP16" i="100"/>
  <c r="AT15" i="100"/>
  <c r="AQ15" i="100"/>
  <c r="BA12" i="106"/>
  <c r="Y54" i="105"/>
  <c r="AL96" i="105"/>
  <c r="U20" i="66"/>
  <c r="G20" i="66"/>
  <c r="F21" i="66"/>
  <c r="AA20" i="66"/>
  <c r="BF86" i="78"/>
  <c r="AT79" i="78"/>
  <c r="Y47" i="86"/>
  <c r="AL89" i="86"/>
  <c r="G17" i="106"/>
  <c r="H16" i="106"/>
  <c r="BJ16" i="106" s="1"/>
  <c r="S9" i="100"/>
  <c r="L14" i="88"/>
  <c r="I14" i="88"/>
  <c r="H14" i="88"/>
  <c r="BJ14" i="88" s="1"/>
  <c r="W49" i="88"/>
  <c r="K14" i="88"/>
  <c r="BL59" i="88"/>
  <c r="G15" i="88"/>
  <c r="BI14" i="78"/>
  <c r="X54" i="78"/>
  <c r="N9" i="105"/>
  <c r="BC86" i="59"/>
  <c r="AQ79" i="59"/>
  <c r="BK13" i="75"/>
  <c r="J13" i="75"/>
  <c r="X48" i="75"/>
  <c r="J71" i="61"/>
  <c r="Q72" i="61"/>
  <c r="AP19" i="86"/>
  <c r="AQ18" i="86"/>
  <c r="AM52" i="105"/>
  <c r="AO13" i="105"/>
  <c r="AS13" i="105"/>
  <c r="N9" i="91"/>
  <c r="G19" i="91"/>
  <c r="H18" i="91"/>
  <c r="BJ18" i="91" s="1"/>
  <c r="E24" i="75"/>
  <c r="AF36" i="75"/>
  <c r="AF37" i="75" s="1"/>
  <c r="AF38" i="75" s="1"/>
  <c r="AF39" i="75" s="1"/>
  <c r="AF40" i="75" s="1"/>
  <c r="AL37" i="105"/>
  <c r="AL38" i="105"/>
  <c r="AL39" i="105"/>
  <c r="AL40" i="105"/>
  <c r="BK13" i="88"/>
  <c r="X48" i="88"/>
  <c r="J13" i="88"/>
  <c r="BI12" i="78"/>
  <c r="X52" i="78"/>
  <c r="BA15" i="91"/>
  <c r="K14" i="100"/>
  <c r="I14" i="100"/>
  <c r="G15" i="100"/>
  <c r="H14" i="100"/>
  <c r="BJ14" i="100" s="1"/>
  <c r="X42" i="86"/>
  <c r="BK7" i="86"/>
  <c r="BA13" i="105"/>
  <c r="AM53" i="100"/>
  <c r="AS14" i="100"/>
  <c r="AO14" i="100"/>
  <c r="N14" i="78"/>
  <c r="AL90" i="88"/>
  <c r="Y48" i="88"/>
  <c r="AY9" i="88"/>
  <c r="AW9" i="88" s="1"/>
  <c r="BK14" i="91"/>
  <c r="X49" i="91"/>
  <c r="J14" i="91"/>
  <c r="J12" i="75"/>
  <c r="BK12" i="75"/>
  <c r="X47" i="75"/>
  <c r="U15" i="78"/>
  <c r="T16" i="78"/>
  <c r="G17" i="75"/>
  <c r="H16" i="75"/>
  <c r="BJ16" i="75" s="1"/>
  <c r="Y47" i="100"/>
  <c r="AL89" i="100"/>
  <c r="AT14" i="105"/>
  <c r="AP15" i="105"/>
  <c r="AQ14" i="105"/>
  <c r="N10" i="75"/>
  <c r="M10" i="75" s="1"/>
  <c r="S10" i="75" s="1"/>
  <c r="L19" i="66"/>
  <c r="N19" i="66"/>
  <c r="M19" i="66"/>
  <c r="AM51" i="78"/>
  <c r="AO12" i="78"/>
  <c r="N14" i="75"/>
  <c r="G15" i="109"/>
  <c r="W14" i="109"/>
  <c r="H14" i="109"/>
  <c r="BK14" i="109" s="1"/>
  <c r="I14" i="109"/>
  <c r="BH17" i="91"/>
  <c r="BI16" i="91"/>
  <c r="AQ16" i="91"/>
  <c r="AP17" i="91"/>
  <c r="X45" i="105"/>
  <c r="J10" i="105"/>
  <c r="BK10" i="105"/>
  <c r="K11" i="105"/>
  <c r="C42" i="86"/>
  <c r="Q12" i="86"/>
  <c r="P12" i="86" s="1"/>
  <c r="Q11" i="86"/>
  <c r="P11" i="86" s="1"/>
  <c r="Q9" i="86"/>
  <c r="Q14" i="86"/>
  <c r="P14" i="86" s="1"/>
  <c r="Q10" i="86"/>
  <c r="P10" i="86" s="1"/>
  <c r="Q13" i="86"/>
  <c r="P13" i="86" s="1"/>
  <c r="C18" i="86"/>
  <c r="C31" i="86" s="1"/>
  <c r="E31" i="86" s="1"/>
  <c r="C47" i="86"/>
  <c r="AW9" i="91"/>
  <c r="BH15" i="105"/>
  <c r="BI14" i="105"/>
  <c r="N14" i="91"/>
  <c r="BI15" i="88"/>
  <c r="BH16" i="88"/>
  <c r="AI46" i="111"/>
  <c r="AI50" i="111" s="1"/>
  <c r="AR9" i="59"/>
  <c r="AM50" i="78"/>
  <c r="AO11" i="78"/>
  <c r="AO14" i="78"/>
  <c r="AM53" i="78"/>
  <c r="BA14" i="88"/>
  <c r="U14" i="105"/>
  <c r="V13" i="105"/>
  <c r="O13" i="78"/>
  <c r="M13" i="78" s="1"/>
  <c r="U19" i="106"/>
  <c r="V18" i="106"/>
  <c r="AM48" i="78"/>
  <c r="AO9" i="78"/>
  <c r="BA12" i="86"/>
  <c r="R16" i="88"/>
  <c r="Q16" i="88"/>
  <c r="O14" i="78"/>
  <c r="M14" i="78" s="1"/>
  <c r="U14" i="100"/>
  <c r="V13" i="100"/>
  <c r="R17" i="91"/>
  <c r="Q17" i="91"/>
  <c r="N9" i="88"/>
  <c r="J10" i="88"/>
  <c r="BK10" i="88"/>
  <c r="X45" i="88"/>
  <c r="Y50" i="75"/>
  <c r="AL92" i="75"/>
  <c r="N13" i="91"/>
  <c r="Q12" i="105"/>
  <c r="R12" i="105"/>
  <c r="F27" i="107"/>
  <c r="G27" i="107" s="1"/>
  <c r="E27" i="107"/>
  <c r="AP21" i="75"/>
  <c r="AQ20" i="75"/>
  <c r="AU10" i="105"/>
  <c r="AY10" i="105" s="1"/>
  <c r="AW10" i="105" s="1"/>
  <c r="AV10" i="105" s="1"/>
  <c r="BG10" i="105" s="1"/>
  <c r="J11" i="91"/>
  <c r="BK11" i="91"/>
  <c r="X46" i="91"/>
  <c r="AP16" i="88"/>
  <c r="AQ15" i="88"/>
  <c r="N9" i="100"/>
  <c r="BR17" i="59"/>
  <c r="BQ18" i="59"/>
  <c r="BR18" i="59" s="1"/>
  <c r="AP96" i="109"/>
  <c r="AN135" i="109"/>
  <c r="BA12" i="100"/>
  <c r="S10" i="105"/>
  <c r="L10" i="105"/>
  <c r="P10" i="105" s="1"/>
  <c r="N10" i="105" s="1"/>
  <c r="M10" i="105"/>
  <c r="AL37" i="91"/>
  <c r="AL39" i="91"/>
  <c r="AL38" i="91"/>
  <c r="AL40" i="91"/>
  <c r="X47" i="91"/>
  <c r="BK12" i="91"/>
  <c r="J12" i="91"/>
  <c r="X46" i="75"/>
  <c r="J11" i="75"/>
  <c r="BK11" i="75"/>
  <c r="P14" i="78"/>
  <c r="Q14" i="78"/>
  <c r="BG10" i="106"/>
  <c r="AL92" i="91"/>
  <c r="Y50" i="91"/>
  <c r="N11" i="91"/>
  <c r="BH14" i="86"/>
  <c r="BI13" i="86"/>
  <c r="V17" i="88"/>
  <c r="U18" i="88"/>
  <c r="X48" i="100"/>
  <c r="BK13" i="100"/>
  <c r="W10" i="86"/>
  <c r="AG47" i="86"/>
  <c r="AH49" i="86" s="1"/>
  <c r="X10" i="86"/>
  <c r="R12" i="100"/>
  <c r="Q12" i="100"/>
  <c r="J12" i="100" s="1"/>
  <c r="V18" i="91"/>
  <c r="U19" i="91"/>
  <c r="X46" i="88"/>
  <c r="J11" i="88"/>
  <c r="BK11" i="88"/>
  <c r="X45" i="91"/>
  <c r="J10" i="91"/>
  <c r="BK10" i="91"/>
  <c r="BK10" i="75"/>
  <c r="X45" i="75"/>
  <c r="J10" i="75"/>
  <c r="B29" i="108"/>
  <c r="A30" i="108"/>
  <c r="X44" i="91"/>
  <c r="BK9" i="91"/>
  <c r="J9" i="91"/>
  <c r="X44" i="75"/>
  <c r="J9" i="75"/>
  <c r="BK9" i="75"/>
  <c r="AW9" i="75"/>
  <c r="G17" i="86"/>
  <c r="H16" i="86"/>
  <c r="BJ16" i="86" s="1"/>
  <c r="O12" i="66"/>
  <c r="H12" i="66"/>
  <c r="AV10" i="78"/>
  <c r="AW9" i="78"/>
  <c r="AU9" i="78" s="1"/>
  <c r="AT9" i="78" s="1"/>
  <c r="R17" i="106"/>
  <c r="Q17" i="106"/>
  <c r="AO10" i="78"/>
  <c r="AM49" i="78"/>
  <c r="E45" i="110"/>
  <c r="F44" i="110"/>
  <c r="AZ44" i="110" s="1"/>
  <c r="U15" i="86"/>
  <c r="V14" i="86"/>
  <c r="R14" i="86" s="1"/>
  <c r="N11" i="75"/>
  <c r="N12" i="91"/>
  <c r="AP37" i="78"/>
  <c r="AQ36" i="78"/>
  <c r="I15" i="105"/>
  <c r="G16" i="105"/>
  <c r="H15" i="105"/>
  <c r="BJ15" i="105" s="1"/>
  <c r="AL92" i="106"/>
  <c r="Y50" i="106"/>
  <c r="J9" i="88"/>
  <c r="X44" i="88"/>
  <c r="BK9" i="88"/>
  <c r="BG9" i="100"/>
  <c r="AQ15" i="106"/>
  <c r="AP16" i="106"/>
  <c r="AT15" i="106"/>
  <c r="E19" i="103"/>
  <c r="J18" i="103"/>
  <c r="F18" i="103"/>
  <c r="AZ18" i="103" s="1"/>
  <c r="Q13" i="66"/>
  <c r="BI14" i="109"/>
  <c r="BJ13" i="109"/>
  <c r="BB13" i="109" s="1"/>
  <c r="R13" i="110"/>
  <c r="S12" i="110"/>
  <c r="U15" i="109"/>
  <c r="V14" i="109"/>
  <c r="Q13" i="109"/>
  <c r="R13" i="109"/>
  <c r="J18" i="111"/>
  <c r="E19" i="111"/>
  <c r="F18" i="111"/>
  <c r="AZ18" i="111" s="1"/>
  <c r="C23" i="94"/>
  <c r="G8" i="111"/>
  <c r="BA7" i="111" s="1"/>
  <c r="Q8" i="111"/>
  <c r="AX16" i="111"/>
  <c r="V13" i="94"/>
  <c r="U14" i="94"/>
  <c r="Q12" i="94"/>
  <c r="R12" i="94"/>
  <c r="Z47" i="109"/>
  <c r="AM89" i="109"/>
  <c r="AJ49" i="110"/>
  <c r="D28" i="110"/>
  <c r="D23" i="109" s="1"/>
  <c r="C28" i="110"/>
  <c r="BA8" i="110"/>
  <c r="U49" i="110"/>
  <c r="BB55" i="112"/>
  <c r="BB155" i="112" s="1"/>
  <c r="AP9" i="112"/>
  <c r="AI50" i="112"/>
  <c r="U48" i="112"/>
  <c r="BA7" i="112"/>
  <c r="AE50" i="112"/>
  <c r="S9" i="112"/>
  <c r="U15" i="112"/>
  <c r="T15" i="112"/>
  <c r="T22" i="112" s="1"/>
  <c r="Z32" i="112" s="1"/>
  <c r="T50" i="112"/>
  <c r="H9" i="112"/>
  <c r="AX16" i="112"/>
  <c r="AD55" i="112"/>
  <c r="D29" i="112" s="1"/>
  <c r="AC56" i="112"/>
  <c r="AM18" i="112"/>
  <c r="AN17" i="112"/>
  <c r="E17" i="112"/>
  <c r="J16" i="112"/>
  <c r="F16" i="112"/>
  <c r="AZ16" i="112" s="1"/>
  <c r="BI15" i="94"/>
  <c r="BJ14" i="94"/>
  <c r="BB14" i="94" s="1"/>
  <c r="AB57" i="111"/>
  <c r="AB58" i="111"/>
  <c r="AB55" i="111"/>
  <c r="AB56" i="111"/>
  <c r="AA56" i="111" s="1"/>
  <c r="AA57" i="111"/>
  <c r="Z57" i="111" s="1"/>
  <c r="AC56" i="111"/>
  <c r="AD55" i="111"/>
  <c r="D29" i="111" s="1"/>
  <c r="AR14" i="94"/>
  <c r="AQ15" i="94"/>
  <c r="W14" i="94"/>
  <c r="G15" i="94"/>
  <c r="H14" i="94"/>
  <c r="BK14" i="94" s="1"/>
  <c r="I14" i="94"/>
  <c r="Z49" i="94"/>
  <c r="AM91" i="94"/>
  <c r="E25" i="94"/>
  <c r="BA8" i="103"/>
  <c r="C28" i="103"/>
  <c r="L8" i="61"/>
  <c r="AU10" i="94"/>
  <c r="AP10" i="94" s="1"/>
  <c r="D24" i="94"/>
  <c r="AN48" i="94"/>
  <c r="AP9" i="94"/>
  <c r="AR9" i="103"/>
  <c r="BC9" i="103" s="1"/>
  <c r="P7" i="61"/>
  <c r="T37" i="61"/>
  <c r="AU11" i="105" l="1"/>
  <c r="AY11" i="105" s="1"/>
  <c r="AW11" i="105" s="1"/>
  <c r="AV11" i="105" s="1"/>
  <c r="BG11" i="105" s="1"/>
  <c r="Q9" i="59"/>
  <c r="U56" i="59"/>
  <c r="D27" i="107"/>
  <c r="C28" i="107" s="1"/>
  <c r="M11" i="75"/>
  <c r="S11" i="75"/>
  <c r="U20" i="91"/>
  <c r="V19" i="91"/>
  <c r="BI14" i="86"/>
  <c r="BH15" i="86"/>
  <c r="E20" i="103"/>
  <c r="J19" i="103"/>
  <c r="F19" i="103"/>
  <c r="AZ19" i="103" s="1"/>
  <c r="R18" i="91"/>
  <c r="Q18" i="91"/>
  <c r="R13" i="105"/>
  <c r="Q13" i="105"/>
  <c r="BH16" i="105"/>
  <c r="BI15" i="105"/>
  <c r="AP16" i="105"/>
  <c r="AT15" i="105"/>
  <c r="AQ15" i="105"/>
  <c r="G18" i="75"/>
  <c r="H17" i="75"/>
  <c r="BJ17" i="75" s="1"/>
  <c r="G16" i="88"/>
  <c r="H15" i="88"/>
  <c r="BJ15" i="88" s="1"/>
  <c r="L10" i="100"/>
  <c r="F22" i="66"/>
  <c r="U21" i="66"/>
  <c r="G21" i="66"/>
  <c r="AA21" i="66"/>
  <c r="O80" i="66"/>
  <c r="W81" i="66"/>
  <c r="L9" i="106"/>
  <c r="X10" i="106"/>
  <c r="K9" i="106"/>
  <c r="AG47" i="106"/>
  <c r="W10" i="106"/>
  <c r="V19" i="106"/>
  <c r="U20" i="106"/>
  <c r="K9" i="86"/>
  <c r="K11" i="86"/>
  <c r="K10" i="86"/>
  <c r="K12" i="86"/>
  <c r="K13" i="86"/>
  <c r="K14" i="86"/>
  <c r="AO15" i="106"/>
  <c r="AM54" i="106"/>
  <c r="AS15" i="106"/>
  <c r="G17" i="105"/>
  <c r="H16" i="105"/>
  <c r="BJ16" i="105" s="1"/>
  <c r="I16" i="105"/>
  <c r="V15" i="86"/>
  <c r="U16" i="86"/>
  <c r="AT109" i="78"/>
  <c r="BE9" i="78"/>
  <c r="BG10" i="78" s="1"/>
  <c r="Y51" i="91"/>
  <c r="AL93" i="91"/>
  <c r="Y51" i="75"/>
  <c r="AL93" i="75"/>
  <c r="R13" i="100"/>
  <c r="Q13" i="100"/>
  <c r="V14" i="105"/>
  <c r="U15" i="105"/>
  <c r="AT9" i="91"/>
  <c r="AV9" i="91"/>
  <c r="BA16" i="91"/>
  <c r="AS14" i="105"/>
  <c r="AM53" i="105"/>
  <c r="AO14" i="105"/>
  <c r="M20" i="66"/>
  <c r="L20" i="66"/>
  <c r="N20" i="66"/>
  <c r="AO15" i="100"/>
  <c r="AS15" i="100"/>
  <c r="AM54" i="100"/>
  <c r="R9" i="78"/>
  <c r="G17" i="78"/>
  <c r="H16" i="78"/>
  <c r="BH16" i="78" s="1"/>
  <c r="BH17" i="75"/>
  <c r="BI16" i="75"/>
  <c r="BF9" i="59"/>
  <c r="BI17" i="91"/>
  <c r="BH18" i="91"/>
  <c r="U16" i="78"/>
  <c r="T17" i="78"/>
  <c r="K15" i="100"/>
  <c r="G16" i="100"/>
  <c r="I15" i="100"/>
  <c r="H15" i="100"/>
  <c r="BJ15" i="100" s="1"/>
  <c r="J14" i="88"/>
  <c r="BK14" i="88"/>
  <c r="X49" i="88"/>
  <c r="AP17" i="100"/>
  <c r="AT16" i="100"/>
  <c r="AQ16" i="100"/>
  <c r="AH49" i="106"/>
  <c r="BA15" i="75"/>
  <c r="AP97" i="109"/>
  <c r="AN136" i="109"/>
  <c r="L11" i="105"/>
  <c r="P11" i="105" s="1"/>
  <c r="N11" i="105" s="1"/>
  <c r="U15" i="100"/>
  <c r="V14" i="100"/>
  <c r="AO9" i="59"/>
  <c r="AQ9" i="59"/>
  <c r="E46" i="110"/>
  <c r="J45" i="110"/>
  <c r="F45" i="110"/>
  <c r="AZ45" i="110" s="1"/>
  <c r="G18" i="86"/>
  <c r="H17" i="86"/>
  <c r="BJ17" i="86" s="1"/>
  <c r="V18" i="88"/>
  <c r="U19" i="88"/>
  <c r="AU11" i="106"/>
  <c r="AY11" i="106" s="1"/>
  <c r="AC56" i="86"/>
  <c r="X46" i="105"/>
  <c r="J11" i="105"/>
  <c r="BK11" i="105"/>
  <c r="K12" i="105"/>
  <c r="AL90" i="100"/>
  <c r="Y48" i="100"/>
  <c r="P15" i="78"/>
  <c r="Q15" i="78"/>
  <c r="AT9" i="88"/>
  <c r="AV9" i="88"/>
  <c r="AP20" i="86"/>
  <c r="AQ19" i="86"/>
  <c r="AI90" i="59"/>
  <c r="V60" i="59"/>
  <c r="BI14" i="106"/>
  <c r="BH15" i="106"/>
  <c r="AQ99" i="109"/>
  <c r="AU98" i="109"/>
  <c r="AR98" i="109"/>
  <c r="AT16" i="106"/>
  <c r="AQ16" i="106"/>
  <c r="AP17" i="106"/>
  <c r="AU10" i="100"/>
  <c r="AL93" i="106"/>
  <c r="Y51" i="106"/>
  <c r="V12" i="66"/>
  <c r="Z12" i="66"/>
  <c r="B30" i="108"/>
  <c r="A31" i="108"/>
  <c r="AL91" i="88"/>
  <c r="Y49" i="88"/>
  <c r="G20" i="91"/>
  <c r="H19" i="91"/>
  <c r="BJ19" i="91" s="1"/>
  <c r="Q73" i="61"/>
  <c r="J72" i="61"/>
  <c r="BC87" i="59"/>
  <c r="AQ80" i="59"/>
  <c r="H17" i="106"/>
  <c r="BJ17" i="106" s="1"/>
  <c r="G18" i="106"/>
  <c r="AL97" i="105"/>
  <c r="Y55" i="105"/>
  <c r="BX20" i="78"/>
  <c r="BW21" i="78"/>
  <c r="BA13" i="106"/>
  <c r="AV9" i="75"/>
  <c r="AT9" i="75"/>
  <c r="R17" i="88"/>
  <c r="Q17" i="88"/>
  <c r="BI16" i="88"/>
  <c r="BH17" i="88"/>
  <c r="AP38" i="78"/>
  <c r="AQ37" i="78"/>
  <c r="AS10" i="59"/>
  <c r="N15" i="78"/>
  <c r="AP17" i="88"/>
  <c r="AQ16" i="88"/>
  <c r="AP22" i="75"/>
  <c r="AQ21" i="75"/>
  <c r="Q18" i="106"/>
  <c r="R18" i="106"/>
  <c r="BA15" i="88"/>
  <c r="N10" i="86"/>
  <c r="BF87" i="78"/>
  <c r="AT80" i="78"/>
  <c r="AC56" i="106"/>
  <c r="R15" i="75"/>
  <c r="Q15" i="75"/>
  <c r="AY9" i="86"/>
  <c r="AW9" i="86" s="1"/>
  <c r="BA13" i="86"/>
  <c r="M9" i="88"/>
  <c r="N14" i="86"/>
  <c r="BK14" i="100"/>
  <c r="X49" i="100"/>
  <c r="M9" i="91"/>
  <c r="P14" i="88"/>
  <c r="X42" i="106"/>
  <c r="BK7" i="106"/>
  <c r="BA13" i="100"/>
  <c r="V16" i="75"/>
  <c r="U17" i="75"/>
  <c r="A34" i="107"/>
  <c r="B33" i="107"/>
  <c r="C24" i="86"/>
  <c r="N11" i="86" s="1"/>
  <c r="D24" i="86"/>
  <c r="AL36" i="86" s="1"/>
  <c r="BA14" i="105"/>
  <c r="P9" i="86"/>
  <c r="AQ17" i="91"/>
  <c r="AP18" i="91"/>
  <c r="G16" i="109"/>
  <c r="W15" i="109"/>
  <c r="H15" i="109"/>
  <c r="BK15" i="109" s="1"/>
  <c r="I15" i="109"/>
  <c r="AL90" i="86"/>
  <c r="Y48" i="86"/>
  <c r="D25" i="108"/>
  <c r="C26" i="108" s="1"/>
  <c r="BH15" i="100"/>
  <c r="BI14" i="100"/>
  <c r="Y62" i="78"/>
  <c r="AL99" i="78"/>
  <c r="BJ14" i="109"/>
  <c r="BB14" i="109" s="1"/>
  <c r="BI15" i="109"/>
  <c r="AB55" i="110"/>
  <c r="C29" i="110" s="1"/>
  <c r="AU9" i="109" s="1"/>
  <c r="R14" i="110"/>
  <c r="S13" i="110"/>
  <c r="U16" i="109"/>
  <c r="V15" i="109"/>
  <c r="Q14" i="109"/>
  <c r="R14" i="109"/>
  <c r="S9" i="111"/>
  <c r="H9" i="111"/>
  <c r="J19" i="111"/>
  <c r="E20" i="111"/>
  <c r="F19" i="111"/>
  <c r="AZ19" i="111" s="1"/>
  <c r="AY9" i="111"/>
  <c r="C29" i="111"/>
  <c r="C24" i="94" s="1"/>
  <c r="K9" i="94" s="1"/>
  <c r="AX17" i="111"/>
  <c r="AH57" i="109"/>
  <c r="AH54" i="109"/>
  <c r="AG56" i="109"/>
  <c r="AH55" i="109"/>
  <c r="AG55" i="109" s="1"/>
  <c r="BH8" i="109"/>
  <c r="AV9" i="109" s="1"/>
  <c r="AZ9" i="109" s="1"/>
  <c r="AH56" i="109"/>
  <c r="AU8" i="109"/>
  <c r="AN46" i="109" s="1"/>
  <c r="AB58" i="103"/>
  <c r="AB55" i="103"/>
  <c r="C29" i="103" s="1"/>
  <c r="V14" i="94"/>
  <c r="U15" i="94"/>
  <c r="Q13" i="94"/>
  <c r="R13" i="94"/>
  <c r="Z48" i="109"/>
  <c r="AM90" i="109"/>
  <c r="G8" i="110"/>
  <c r="AB57" i="110"/>
  <c r="Q8" i="110"/>
  <c r="AA57" i="110"/>
  <c r="Z57" i="110" s="1"/>
  <c r="AB56" i="110"/>
  <c r="AA56" i="110" s="1"/>
  <c r="AB58" i="110"/>
  <c r="AW8" i="110"/>
  <c r="AO8" i="110"/>
  <c r="AJ48" i="110" s="1"/>
  <c r="AD55" i="110"/>
  <c r="D29" i="110" s="1"/>
  <c r="D24" i="109" s="1"/>
  <c r="AC57" i="110"/>
  <c r="AD56" i="110"/>
  <c r="AC56" i="110" s="1"/>
  <c r="AD58" i="110"/>
  <c r="AD57" i="110"/>
  <c r="BL8" i="109"/>
  <c r="E25" i="109"/>
  <c r="I9" i="112"/>
  <c r="O9" i="112"/>
  <c r="N9" i="112" s="1"/>
  <c r="P9" i="112"/>
  <c r="E18" i="112"/>
  <c r="J17" i="112"/>
  <c r="BI22" i="112"/>
  <c r="BI23" i="112" s="1"/>
  <c r="BI24" i="112" s="1"/>
  <c r="F17" i="112"/>
  <c r="AZ17" i="112" s="1"/>
  <c r="AM19" i="112"/>
  <c r="AN18" i="112"/>
  <c r="C29" i="112"/>
  <c r="C24" i="109" s="1"/>
  <c r="K9" i="109" s="1"/>
  <c r="AX17" i="112"/>
  <c r="AY9" i="112"/>
  <c r="BI16" i="94"/>
  <c r="BJ15" i="94"/>
  <c r="BB15" i="94" s="1"/>
  <c r="U48" i="111"/>
  <c r="AE50" i="111"/>
  <c r="T50" i="111"/>
  <c r="T15" i="111"/>
  <c r="T22" i="111" s="1"/>
  <c r="Z32" i="111" s="1"/>
  <c r="U15" i="111"/>
  <c r="AR15" i="94"/>
  <c r="AQ16" i="94"/>
  <c r="AM92" i="94"/>
  <c r="Z50" i="94"/>
  <c r="G16" i="94"/>
  <c r="W15" i="94"/>
  <c r="H15" i="94"/>
  <c r="BK15" i="94" s="1"/>
  <c r="I15" i="94"/>
  <c r="AA57" i="103"/>
  <c r="Z57" i="103" s="1"/>
  <c r="Q8" i="103"/>
  <c r="H9" i="103" s="1"/>
  <c r="I9" i="103" s="1"/>
  <c r="G8" i="103"/>
  <c r="BA7" i="103" s="1"/>
  <c r="AB57" i="103"/>
  <c r="AF57" i="94"/>
  <c r="AB56" i="103"/>
  <c r="AA56" i="103" s="1"/>
  <c r="AE50" i="103" s="1"/>
  <c r="BL8" i="94"/>
  <c r="AT10" i="94"/>
  <c r="AU11" i="94"/>
  <c r="AN50" i="94" s="1"/>
  <c r="AX9" i="94"/>
  <c r="AW9" i="94" s="1"/>
  <c r="AN49" i="94"/>
  <c r="AM36" i="94"/>
  <c r="AM40" i="94" s="1"/>
  <c r="AS10" i="103"/>
  <c r="AO9" i="103"/>
  <c r="AL9" i="103" s="1"/>
  <c r="I8" i="61"/>
  <c r="S38" i="61"/>
  <c r="R8" i="61"/>
  <c r="AU12" i="105" l="1"/>
  <c r="AY12" i="105" s="1"/>
  <c r="AW12" i="105" s="1"/>
  <c r="AV12" i="105" s="1"/>
  <c r="BG12" i="105" s="1"/>
  <c r="S9" i="91"/>
  <c r="S9" i="88"/>
  <c r="J73" i="61"/>
  <c r="Q74" i="61"/>
  <c r="AP98" i="109"/>
  <c r="AN137" i="109"/>
  <c r="BI18" i="91"/>
  <c r="BH19" i="91"/>
  <c r="AO9" i="91"/>
  <c r="AS9" i="91"/>
  <c r="AM48" i="91"/>
  <c r="BK9" i="86"/>
  <c r="J9" i="86"/>
  <c r="X44" i="86"/>
  <c r="P9" i="106"/>
  <c r="U22" i="66"/>
  <c r="AA22" i="66"/>
  <c r="F23" i="66"/>
  <c r="G22" i="66"/>
  <c r="G17" i="88"/>
  <c r="H16" i="88"/>
  <c r="BJ16" i="88" s="1"/>
  <c r="R19" i="91"/>
  <c r="Q19" i="91"/>
  <c r="BA14" i="100"/>
  <c r="Q16" i="75"/>
  <c r="R16" i="75"/>
  <c r="BH16" i="100"/>
  <c r="BI15" i="100"/>
  <c r="G17" i="109"/>
  <c r="W16" i="109"/>
  <c r="H16" i="109"/>
  <c r="BK16" i="109" s="1"/>
  <c r="I16" i="109"/>
  <c r="AP18" i="88"/>
  <c r="AQ17" i="88"/>
  <c r="N13" i="86"/>
  <c r="AU99" i="109"/>
  <c r="AQ100" i="109"/>
  <c r="AR99" i="109"/>
  <c r="AL91" i="100"/>
  <c r="Y49" i="100"/>
  <c r="AV11" i="106"/>
  <c r="M11" i="105"/>
  <c r="S11" i="105" s="1"/>
  <c r="BA17" i="91"/>
  <c r="AL94" i="91"/>
  <c r="Y52" i="91"/>
  <c r="U21" i="106"/>
  <c r="V20" i="106"/>
  <c r="AS15" i="105"/>
  <c r="AM54" i="105"/>
  <c r="AO15" i="105"/>
  <c r="V20" i="91"/>
  <c r="U21" i="91"/>
  <c r="B34" i="107"/>
  <c r="A35" i="107"/>
  <c r="AP19" i="91"/>
  <c r="AQ18" i="91"/>
  <c r="BW22" i="78"/>
  <c r="BX21" i="78"/>
  <c r="A32" i="108"/>
  <c r="B31" i="108"/>
  <c r="BI15" i="106"/>
  <c r="BH16" i="106"/>
  <c r="AP21" i="86"/>
  <c r="AQ20" i="86"/>
  <c r="E47" i="110"/>
  <c r="J46" i="110"/>
  <c r="F46" i="110"/>
  <c r="AZ46" i="110" s="1"/>
  <c r="G18" i="78"/>
  <c r="H17" i="78"/>
  <c r="BH17" i="78" s="1"/>
  <c r="U16" i="105"/>
  <c r="V15" i="105"/>
  <c r="Q19" i="106"/>
  <c r="R19" i="106"/>
  <c r="O81" i="66"/>
  <c r="W82" i="66"/>
  <c r="P10" i="100"/>
  <c r="AT16" i="105"/>
  <c r="AQ16" i="105"/>
  <c r="AP17" i="105"/>
  <c r="AY9" i="110"/>
  <c r="G26" i="108"/>
  <c r="F26" i="108"/>
  <c r="E26" i="108"/>
  <c r="AL38" i="86"/>
  <c r="AL39" i="86"/>
  <c r="AL37" i="86"/>
  <c r="AL40" i="86"/>
  <c r="AY10" i="100"/>
  <c r="AW10" i="100" s="1"/>
  <c r="BA14" i="106"/>
  <c r="BG9" i="88"/>
  <c r="X47" i="105"/>
  <c r="BK12" i="105"/>
  <c r="J12" i="105"/>
  <c r="K13" i="105"/>
  <c r="BB9" i="59"/>
  <c r="AS16" i="100"/>
  <c r="AO16" i="100"/>
  <c r="AM55" i="100"/>
  <c r="Q14" i="105"/>
  <c r="R14" i="105"/>
  <c r="BE10" i="78"/>
  <c r="BG11" i="78" s="1"/>
  <c r="AT10" i="78"/>
  <c r="AY10" i="78"/>
  <c r="AX10" i="78"/>
  <c r="J14" i="86"/>
  <c r="X49" i="86"/>
  <c r="BK14" i="86"/>
  <c r="M10" i="100"/>
  <c r="M12" i="75"/>
  <c r="S12" i="75" s="1"/>
  <c r="T57" i="59"/>
  <c r="J10" i="59"/>
  <c r="S10" i="59"/>
  <c r="AL91" i="86"/>
  <c r="Y49" i="86"/>
  <c r="N9" i="86"/>
  <c r="E24" i="86"/>
  <c r="AF36" i="86"/>
  <c r="AF37" i="86" s="1"/>
  <c r="AF38" i="86" s="1"/>
  <c r="AF39" i="86" s="1"/>
  <c r="AF40" i="86" s="1"/>
  <c r="AM48" i="75"/>
  <c r="AS9" i="75"/>
  <c r="AO9" i="75"/>
  <c r="AL98" i="105"/>
  <c r="Y56" i="105"/>
  <c r="AP18" i="106"/>
  <c r="AQ17" i="106"/>
  <c r="AT17" i="106"/>
  <c r="AS9" i="88"/>
  <c r="AO9" i="88"/>
  <c r="AM48" i="88"/>
  <c r="U20" i="88"/>
  <c r="V19" i="88"/>
  <c r="AL9" i="59"/>
  <c r="AJ48" i="59"/>
  <c r="AP18" i="100"/>
  <c r="AT17" i="100"/>
  <c r="AQ17" i="100"/>
  <c r="I16" i="100"/>
  <c r="K16" i="100"/>
  <c r="G17" i="100"/>
  <c r="H16" i="100"/>
  <c r="BJ16" i="100" s="1"/>
  <c r="J13" i="100"/>
  <c r="G18" i="105"/>
  <c r="H17" i="105"/>
  <c r="BJ17" i="105" s="1"/>
  <c r="I17" i="105"/>
  <c r="BK13" i="86"/>
  <c r="J13" i="86"/>
  <c r="X48" i="86"/>
  <c r="BA15" i="105"/>
  <c r="BF88" i="78"/>
  <c r="AT81" i="78"/>
  <c r="AQ39" i="78"/>
  <c r="AQ38" i="78"/>
  <c r="BG9" i="75"/>
  <c r="J13" i="66"/>
  <c r="I13" i="66" s="1"/>
  <c r="K13" i="66"/>
  <c r="X13" i="66"/>
  <c r="R18" i="88"/>
  <c r="Q18" i="88"/>
  <c r="R14" i="100"/>
  <c r="Q14" i="100"/>
  <c r="J14" i="100" s="1"/>
  <c r="X50" i="100"/>
  <c r="BK15" i="100"/>
  <c r="U17" i="86"/>
  <c r="V16" i="86"/>
  <c r="X47" i="86"/>
  <c r="BK12" i="86"/>
  <c r="J12" i="86"/>
  <c r="BK9" i="106"/>
  <c r="K10" i="106"/>
  <c r="X44" i="106"/>
  <c r="C19" i="106"/>
  <c r="J9" i="106"/>
  <c r="J109" i="106" s="1"/>
  <c r="M9" i="106"/>
  <c r="BI16" i="105"/>
  <c r="BH17" i="105"/>
  <c r="J20" i="103"/>
  <c r="E21" i="103"/>
  <c r="F20" i="103"/>
  <c r="AZ20" i="103" s="1"/>
  <c r="AT9" i="86"/>
  <c r="AV9" i="86" s="1"/>
  <c r="BH18" i="88"/>
  <c r="BI17" i="88"/>
  <c r="BC88" i="59"/>
  <c r="AQ81" i="59"/>
  <c r="H20" i="91"/>
  <c r="BJ20" i="91" s="1"/>
  <c r="G21" i="91"/>
  <c r="AM55" i="106"/>
  <c r="AO16" i="106"/>
  <c r="AS16" i="106"/>
  <c r="G19" i="86"/>
  <c r="H18" i="86"/>
  <c r="BJ18" i="86" s="1"/>
  <c r="U16" i="100"/>
  <c r="V15" i="100"/>
  <c r="T18" i="78"/>
  <c r="U17" i="78"/>
  <c r="BA16" i="75"/>
  <c r="N12" i="86"/>
  <c r="Q15" i="86"/>
  <c r="R15" i="86"/>
  <c r="BK10" i="86"/>
  <c r="X45" i="86"/>
  <c r="J10" i="86"/>
  <c r="L21" i="66"/>
  <c r="N21" i="66"/>
  <c r="M21" i="66"/>
  <c r="BI15" i="86"/>
  <c r="BH16" i="86"/>
  <c r="E28" i="107"/>
  <c r="G28" i="107" s="1"/>
  <c r="F28" i="107"/>
  <c r="Y63" i="78"/>
  <c r="AL100" i="78"/>
  <c r="V17" i="75"/>
  <c r="U18" i="75"/>
  <c r="N14" i="88"/>
  <c r="AP23" i="75"/>
  <c r="AQ22" i="75"/>
  <c r="BA16" i="88"/>
  <c r="G19" i="106"/>
  <c r="H18" i="106"/>
  <c r="BJ18" i="106" s="1"/>
  <c r="Y50" i="88"/>
  <c r="AL92" i="88"/>
  <c r="Y52" i="106"/>
  <c r="AL94" i="106"/>
  <c r="AI91" i="59"/>
  <c r="V61" i="59"/>
  <c r="P16" i="78"/>
  <c r="Q16" i="78"/>
  <c r="BI17" i="75"/>
  <c r="BH18" i="75"/>
  <c r="L10" i="78"/>
  <c r="BG9" i="91"/>
  <c r="AL94" i="75"/>
  <c r="Y52" i="75"/>
  <c r="J11" i="86"/>
  <c r="BK11" i="86"/>
  <c r="X46" i="86"/>
  <c r="G19" i="75"/>
  <c r="H18" i="75"/>
  <c r="BJ18" i="75" s="1"/>
  <c r="BA14" i="86"/>
  <c r="BI16" i="109"/>
  <c r="BJ15" i="109"/>
  <c r="BB15" i="109" s="1"/>
  <c r="R15" i="110"/>
  <c r="S14" i="110"/>
  <c r="R15" i="109"/>
  <c r="Q15" i="109"/>
  <c r="V16" i="109"/>
  <c r="U17" i="109"/>
  <c r="E21" i="111"/>
  <c r="J20" i="111"/>
  <c r="F20" i="111"/>
  <c r="AZ20" i="111" s="1"/>
  <c r="I9" i="111"/>
  <c r="AG36" i="94"/>
  <c r="AG37" i="94" s="1"/>
  <c r="AG38" i="94" s="1"/>
  <c r="AG39" i="94" s="1"/>
  <c r="AG40" i="94" s="1"/>
  <c r="O9" i="111"/>
  <c r="P9" i="111"/>
  <c r="AU9" i="111"/>
  <c r="AV9" i="111"/>
  <c r="AX18" i="111"/>
  <c r="V15" i="94"/>
  <c r="U16" i="94"/>
  <c r="Q14" i="94"/>
  <c r="R14" i="94"/>
  <c r="Z49" i="109"/>
  <c r="AM91" i="109"/>
  <c r="AT9" i="109"/>
  <c r="AG36" i="109"/>
  <c r="AG37" i="109" s="1"/>
  <c r="AG38" i="109" s="1"/>
  <c r="AG39" i="109" s="1"/>
  <c r="AG40" i="109" s="1"/>
  <c r="AE50" i="110"/>
  <c r="U48" i="110"/>
  <c r="BA7" i="110"/>
  <c r="AV9" i="110"/>
  <c r="AU9" i="110"/>
  <c r="AI50" i="110"/>
  <c r="BB55" i="110"/>
  <c r="BB155" i="110" s="1"/>
  <c r="AP9" i="110"/>
  <c r="U15" i="110"/>
  <c r="T50" i="110"/>
  <c r="H9" i="110"/>
  <c r="T15" i="110"/>
  <c r="T22" i="110" s="1"/>
  <c r="Z32" i="110" s="1"/>
  <c r="AE56" i="109"/>
  <c r="AF56" i="109"/>
  <c r="AF54" i="109"/>
  <c r="K8" i="109"/>
  <c r="AF57" i="109"/>
  <c r="AF55" i="109"/>
  <c r="AE55" i="109" s="1"/>
  <c r="S8" i="109"/>
  <c r="L9" i="109" s="1"/>
  <c r="AX18" i="112"/>
  <c r="AV9" i="112"/>
  <c r="AU9" i="112"/>
  <c r="AM20" i="112"/>
  <c r="AN19" i="112"/>
  <c r="L9" i="112"/>
  <c r="M10" i="112" s="1"/>
  <c r="E19" i="112"/>
  <c r="J18" i="112"/>
  <c r="F18" i="112"/>
  <c r="AZ18" i="112" s="1"/>
  <c r="BI17" i="94"/>
  <c r="BJ16" i="94"/>
  <c r="BB16" i="94" s="1"/>
  <c r="AR16" i="94"/>
  <c r="AQ17" i="94"/>
  <c r="AM93" i="94"/>
  <c r="Z51" i="94"/>
  <c r="W16" i="94"/>
  <c r="G17" i="94"/>
  <c r="H16" i="94"/>
  <c r="BK16" i="94" s="1"/>
  <c r="I16" i="94"/>
  <c r="AF55" i="94"/>
  <c r="AE55" i="94" s="1"/>
  <c r="AF54" i="94"/>
  <c r="U15" i="103"/>
  <c r="K8" i="94"/>
  <c r="Y42" i="94" s="1"/>
  <c r="T50" i="103"/>
  <c r="E23" i="94"/>
  <c r="AE56" i="94"/>
  <c r="T15" i="103"/>
  <c r="T22" i="103" s="1"/>
  <c r="Z32" i="103" s="1"/>
  <c r="AF56" i="94"/>
  <c r="S8" i="94"/>
  <c r="U48" i="103"/>
  <c r="E24" i="94"/>
  <c r="S9" i="103"/>
  <c r="O9" i="103" s="1"/>
  <c r="N9" i="103" s="1"/>
  <c r="AU12" i="94"/>
  <c r="AT12" i="94" s="1"/>
  <c r="AM39" i="94"/>
  <c r="AM37" i="94"/>
  <c r="AM38" i="94"/>
  <c r="AP11" i="94"/>
  <c r="AT11" i="94"/>
  <c r="AJ50" i="103"/>
  <c r="AQ9" i="103"/>
  <c r="AW9" i="103" s="1"/>
  <c r="BH9" i="94"/>
  <c r="O8" i="61"/>
  <c r="N8" i="61"/>
  <c r="M8" i="61" s="1"/>
  <c r="K8" i="61" s="1"/>
  <c r="AU13" i="105" l="1"/>
  <c r="AY13" i="105" s="1"/>
  <c r="AW13" i="105" s="1"/>
  <c r="AV13" i="105" s="1"/>
  <c r="BG13" i="105" s="1"/>
  <c r="D28" i="107"/>
  <c r="C29" i="107" s="1"/>
  <c r="M13" i="75"/>
  <c r="S13" i="75"/>
  <c r="BG9" i="86"/>
  <c r="AU10" i="91"/>
  <c r="AQ23" i="75"/>
  <c r="AP24" i="75"/>
  <c r="AI92" i="59"/>
  <c r="V62" i="59"/>
  <c r="H19" i="106"/>
  <c r="BJ19" i="106" s="1"/>
  <c r="G20" i="106"/>
  <c r="BA17" i="88"/>
  <c r="BH18" i="105"/>
  <c r="BI17" i="105"/>
  <c r="G19" i="105"/>
  <c r="H18" i="105"/>
  <c r="BJ18" i="105" s="1"/>
  <c r="I18" i="105"/>
  <c r="U21" i="88"/>
  <c r="V20" i="88"/>
  <c r="AU10" i="88"/>
  <c r="N10" i="100"/>
  <c r="AN138" i="109"/>
  <c r="AP99" i="109"/>
  <c r="BA15" i="100"/>
  <c r="N22" i="66"/>
  <c r="M22" i="66"/>
  <c r="L22" i="66"/>
  <c r="G20" i="75"/>
  <c r="H19" i="75"/>
  <c r="BJ19" i="75" s="1"/>
  <c r="P17" i="78"/>
  <c r="Q17" i="78"/>
  <c r="BH19" i="88"/>
  <c r="BI18" i="88"/>
  <c r="BA16" i="105"/>
  <c r="AW10" i="78"/>
  <c r="AU10" i="78" s="1"/>
  <c r="AV11" i="78" s="1"/>
  <c r="E48" i="110"/>
  <c r="J47" i="110"/>
  <c r="F47" i="110"/>
  <c r="AZ47" i="110" s="1"/>
  <c r="BX22" i="78"/>
  <c r="BW23" i="78"/>
  <c r="BH17" i="100"/>
  <c r="BI16" i="100"/>
  <c r="U23" i="66"/>
  <c r="F24" i="66"/>
  <c r="AA23" i="66"/>
  <c r="G23" i="66"/>
  <c r="R10" i="78"/>
  <c r="U19" i="75"/>
  <c r="V18" i="75"/>
  <c r="BH17" i="86"/>
  <c r="BI16" i="86"/>
  <c r="T19" i="78"/>
  <c r="U18" i="78"/>
  <c r="H19" i="86"/>
  <c r="BJ19" i="86" s="1"/>
  <c r="G20" i="86"/>
  <c r="G22" i="91"/>
  <c r="H21" i="91"/>
  <c r="BJ21" i="91" s="1"/>
  <c r="AM56" i="100"/>
  <c r="AS17" i="100"/>
  <c r="AO17" i="100"/>
  <c r="AL99" i="105"/>
  <c r="Y57" i="105"/>
  <c r="BG55" i="59"/>
  <c r="AP10" i="59"/>
  <c r="BD10" i="59"/>
  <c r="W83" i="66"/>
  <c r="O82" i="66"/>
  <c r="L12" i="105"/>
  <c r="P12" i="105" s="1"/>
  <c r="N12" i="105" s="1"/>
  <c r="J74" i="61"/>
  <c r="Q75" i="61"/>
  <c r="BI18" i="75"/>
  <c r="BH19" i="75"/>
  <c r="Y53" i="106"/>
  <c r="AL95" i="106"/>
  <c r="Q17" i="75"/>
  <c r="R17" i="75"/>
  <c r="BA15" i="86"/>
  <c r="R15" i="100"/>
  <c r="Q15" i="100"/>
  <c r="J15" i="100" s="1"/>
  <c r="AO9" i="86"/>
  <c r="AM48" i="86"/>
  <c r="AS9" i="86"/>
  <c r="S9" i="106"/>
  <c r="AT82" i="78"/>
  <c r="BF89" i="78"/>
  <c r="AP19" i="100"/>
  <c r="AT18" i="100"/>
  <c r="AQ18" i="100"/>
  <c r="AP22" i="86"/>
  <c r="AQ21" i="86"/>
  <c r="AP20" i="91"/>
  <c r="AQ19" i="91"/>
  <c r="R20" i="106"/>
  <c r="Q20" i="106"/>
  <c r="BG11" i="106"/>
  <c r="AP19" i="88"/>
  <c r="AQ18" i="88"/>
  <c r="BA17" i="75"/>
  <c r="AU10" i="75"/>
  <c r="AY10" i="75" s="1"/>
  <c r="AW10" i="75" s="1"/>
  <c r="AT10" i="75" s="1"/>
  <c r="M9" i="86"/>
  <c r="AY11" i="78"/>
  <c r="BE11" i="78"/>
  <c r="BG12" i="78" s="1"/>
  <c r="AX11" i="78"/>
  <c r="AT11" i="78"/>
  <c r="BK13" i="105"/>
  <c r="J13" i="105"/>
  <c r="X48" i="105"/>
  <c r="K14" i="105"/>
  <c r="AT17" i="105"/>
  <c r="AQ17" i="105"/>
  <c r="AP18" i="105"/>
  <c r="BH17" i="106"/>
  <c r="BI16" i="106"/>
  <c r="A36" i="107"/>
  <c r="B35" i="107"/>
  <c r="U22" i="106"/>
  <c r="V21" i="106"/>
  <c r="AL92" i="100"/>
  <c r="Y50" i="100"/>
  <c r="M10" i="88"/>
  <c r="S10" i="88"/>
  <c r="V16" i="100"/>
  <c r="U17" i="100"/>
  <c r="AL95" i="75"/>
  <c r="Y53" i="75"/>
  <c r="Y51" i="88"/>
  <c r="AL93" i="88"/>
  <c r="AL101" i="78"/>
  <c r="Y64" i="78"/>
  <c r="AF36" i="106"/>
  <c r="AF37" i="106" s="1"/>
  <c r="AF38" i="106" s="1"/>
  <c r="AF39" i="106" s="1"/>
  <c r="AF40" i="106" s="1"/>
  <c r="E19" i="106"/>
  <c r="Q16" i="86"/>
  <c r="R16" i="86"/>
  <c r="I17" i="100"/>
  <c r="K17" i="100"/>
  <c r="G18" i="100"/>
  <c r="H17" i="100"/>
  <c r="BJ17" i="100" s="1"/>
  <c r="AM56" i="106"/>
  <c r="AO17" i="106"/>
  <c r="AS17" i="106"/>
  <c r="Y50" i="86"/>
  <c r="AL92" i="86"/>
  <c r="S10" i="100"/>
  <c r="BA15" i="106"/>
  <c r="AL95" i="91"/>
  <c r="Y53" i="91"/>
  <c r="P109" i="106"/>
  <c r="N9" i="106"/>
  <c r="N109" i="106" s="1"/>
  <c r="J21" i="103"/>
  <c r="E22" i="103"/>
  <c r="F21" i="103"/>
  <c r="AZ21" i="103" s="1"/>
  <c r="U18" i="86"/>
  <c r="V17" i="86"/>
  <c r="AV10" i="100"/>
  <c r="AS16" i="105"/>
  <c r="AM55" i="105"/>
  <c r="AO16" i="105"/>
  <c r="R15" i="105"/>
  <c r="Q15" i="105"/>
  <c r="H18" i="78"/>
  <c r="BH18" i="78" s="1"/>
  <c r="G19" i="78"/>
  <c r="U22" i="91"/>
  <c r="V21" i="91"/>
  <c r="G18" i="88"/>
  <c r="H17" i="88"/>
  <c r="BJ17" i="88" s="1"/>
  <c r="BH20" i="91"/>
  <c r="BI19" i="91"/>
  <c r="M10" i="91"/>
  <c r="S10" i="91"/>
  <c r="BC89" i="59"/>
  <c r="AQ82" i="59"/>
  <c r="J10" i="106"/>
  <c r="BK10" i="106"/>
  <c r="X45" i="106"/>
  <c r="K11" i="106"/>
  <c r="S13" i="66"/>
  <c r="T13" i="66"/>
  <c r="AQ40" i="78"/>
  <c r="AR39" i="78"/>
  <c r="X51" i="100"/>
  <c r="BK16" i="100"/>
  <c r="Q19" i="88"/>
  <c r="R19" i="88"/>
  <c r="AP19" i="106"/>
  <c r="AT18" i="106"/>
  <c r="AQ18" i="106"/>
  <c r="P10" i="59"/>
  <c r="O10" i="59"/>
  <c r="N10" i="59" s="1"/>
  <c r="L10" i="59" s="1"/>
  <c r="D26" i="108"/>
  <c r="C27" i="108" s="1"/>
  <c r="U17" i="105"/>
  <c r="V16" i="105"/>
  <c r="A33" i="108"/>
  <c r="B32" i="108"/>
  <c r="Q20" i="91"/>
  <c r="R20" i="91"/>
  <c r="AU100" i="109"/>
  <c r="AQ101" i="109"/>
  <c r="AR100" i="109"/>
  <c r="W17" i="109"/>
  <c r="G18" i="109"/>
  <c r="H17" i="109"/>
  <c r="BK17" i="109" s="1"/>
  <c r="I17" i="109"/>
  <c r="BA18" i="91"/>
  <c r="BI17" i="109"/>
  <c r="BJ16" i="109"/>
  <c r="BB16" i="109" s="1"/>
  <c r="R16" i="110"/>
  <c r="S15" i="110"/>
  <c r="V17" i="109"/>
  <c r="U18" i="109"/>
  <c r="Q16" i="109"/>
  <c r="R16" i="109"/>
  <c r="E22" i="111"/>
  <c r="J21" i="111"/>
  <c r="F21" i="111"/>
  <c r="AZ21" i="111" s="1"/>
  <c r="N9" i="111"/>
  <c r="L9" i="111" s="1"/>
  <c r="M10" i="111" s="1"/>
  <c r="AX19" i="111"/>
  <c r="AT9" i="111"/>
  <c r="AR9" i="111" s="1"/>
  <c r="AO9" i="111" s="1"/>
  <c r="AJ50" i="111" s="1"/>
  <c r="U17" i="94"/>
  <c r="V16" i="94"/>
  <c r="R15" i="94"/>
  <c r="Q15" i="94"/>
  <c r="Z50" i="109"/>
  <c r="AM92" i="109"/>
  <c r="AT9" i="110"/>
  <c r="AR9" i="110" s="1"/>
  <c r="AO9" i="110" s="1"/>
  <c r="AL9" i="110" s="1"/>
  <c r="O9" i="110"/>
  <c r="N9" i="110" s="1"/>
  <c r="P9" i="110"/>
  <c r="Y42" i="109"/>
  <c r="BL7" i="109"/>
  <c r="AH47" i="109"/>
  <c r="AD56" i="109" s="1"/>
  <c r="X10" i="109"/>
  <c r="Y10" i="109"/>
  <c r="P9" i="109"/>
  <c r="N9" i="109" s="1"/>
  <c r="I9" i="110"/>
  <c r="AU10" i="109"/>
  <c r="AN48" i="109"/>
  <c r="AP9" i="109"/>
  <c r="AM21" i="112"/>
  <c r="AN20" i="112"/>
  <c r="G9" i="112"/>
  <c r="K9" i="112" s="1"/>
  <c r="AX19" i="112"/>
  <c r="E20" i="112"/>
  <c r="J19" i="112"/>
  <c r="F19" i="112"/>
  <c r="AZ19" i="112" s="1"/>
  <c r="AT9" i="112"/>
  <c r="AR9" i="112" s="1"/>
  <c r="AH47" i="94"/>
  <c r="AI49" i="94" s="1"/>
  <c r="L9" i="94"/>
  <c r="P9" i="94" s="1"/>
  <c r="N9" i="94" s="1"/>
  <c r="BJ17" i="94"/>
  <c r="BB17" i="94" s="1"/>
  <c r="BI18" i="94"/>
  <c r="G18" i="94"/>
  <c r="W17" i="94"/>
  <c r="H17" i="94"/>
  <c r="BK17" i="94" s="1"/>
  <c r="I17" i="94"/>
  <c r="Z52" i="94"/>
  <c r="AM94" i="94"/>
  <c r="AQ18" i="94"/>
  <c r="AR17" i="94"/>
  <c r="BL7" i="94"/>
  <c r="Y10" i="94"/>
  <c r="X10" i="94"/>
  <c r="P9" i="103"/>
  <c r="L9" i="103" s="1"/>
  <c r="G9" i="103" s="1"/>
  <c r="AP12" i="94"/>
  <c r="AN51" i="94"/>
  <c r="AU13" i="94"/>
  <c r="AU14" i="94" s="1"/>
  <c r="AP10" i="103"/>
  <c r="AI51" i="103"/>
  <c r="BB56" i="103"/>
  <c r="AY10" i="103"/>
  <c r="AV10" i="94"/>
  <c r="H8" i="61"/>
  <c r="J8" i="61" s="1"/>
  <c r="L9" i="61"/>
  <c r="AU14" i="105" l="1"/>
  <c r="AY14" i="105" s="1"/>
  <c r="AW14" i="105" s="1"/>
  <c r="AV14" i="105"/>
  <c r="BG14" i="105" s="1"/>
  <c r="I10" i="59"/>
  <c r="K10" i="59"/>
  <c r="AO10" i="75"/>
  <c r="AM49" i="75"/>
  <c r="AS10" i="75"/>
  <c r="J11" i="106"/>
  <c r="X46" i="106"/>
  <c r="BK11" i="106"/>
  <c r="K12" i="106"/>
  <c r="M11" i="91"/>
  <c r="S11" i="91" s="1"/>
  <c r="BG10" i="100"/>
  <c r="H18" i="88"/>
  <c r="BJ18" i="88" s="1"/>
  <c r="G19" i="88"/>
  <c r="BA16" i="106"/>
  <c r="AV10" i="75"/>
  <c r="AQ20" i="91"/>
  <c r="AP21" i="91"/>
  <c r="M12" i="105"/>
  <c r="S12" i="105" s="1"/>
  <c r="L11" i="78"/>
  <c r="R11" i="78" s="1"/>
  <c r="BH18" i="100"/>
  <c r="BI17" i="100"/>
  <c r="Y65" i="78"/>
  <c r="AL102" i="78"/>
  <c r="G19" i="109"/>
  <c r="W18" i="109"/>
  <c r="H18" i="109"/>
  <c r="BK18" i="109" s="1"/>
  <c r="I18" i="109"/>
  <c r="B33" i="108"/>
  <c r="A34" i="108"/>
  <c r="R21" i="91"/>
  <c r="Q21" i="91"/>
  <c r="BI17" i="106"/>
  <c r="BH18" i="106"/>
  <c r="BF90" i="78"/>
  <c r="AT83" i="78"/>
  <c r="BX23" i="78"/>
  <c r="BW24" i="78"/>
  <c r="BX24" i="78" s="1"/>
  <c r="G20" i="105"/>
  <c r="H19" i="105"/>
  <c r="BJ19" i="105" s="1"/>
  <c r="I19" i="105"/>
  <c r="Q16" i="105"/>
  <c r="R16" i="105"/>
  <c r="BH21" i="91"/>
  <c r="BI20" i="91"/>
  <c r="U23" i="91"/>
  <c r="V22" i="91"/>
  <c r="R17" i="86"/>
  <c r="Q17" i="86"/>
  <c r="AL94" i="88"/>
  <c r="Y52" i="88"/>
  <c r="AL93" i="100"/>
  <c r="Y51" i="100"/>
  <c r="AP19" i="105"/>
  <c r="AT18" i="105"/>
  <c r="AQ18" i="105"/>
  <c r="AV12" i="78"/>
  <c r="AW11" i="78"/>
  <c r="AU11" i="78" s="1"/>
  <c r="AP20" i="88"/>
  <c r="AQ19" i="88"/>
  <c r="AP23" i="86"/>
  <c r="AQ22" i="86"/>
  <c r="AL96" i="106"/>
  <c r="Y54" i="106"/>
  <c r="AL100" i="105"/>
  <c r="Y58" i="105"/>
  <c r="Q18" i="78"/>
  <c r="P18" i="78"/>
  <c r="Q20" i="88"/>
  <c r="R20" i="88"/>
  <c r="BA17" i="105"/>
  <c r="G21" i="106"/>
  <c r="H20" i="106"/>
  <c r="BJ20" i="106" s="1"/>
  <c r="BE12" i="78"/>
  <c r="BG13" i="78" s="1"/>
  <c r="AY12" i="78"/>
  <c r="AX12" i="78"/>
  <c r="AT12" i="78"/>
  <c r="AU12" i="106"/>
  <c r="AY12" i="106" s="1"/>
  <c r="AV12" i="106"/>
  <c r="BG12" i="106" s="1"/>
  <c r="L10" i="106"/>
  <c r="M10" i="106"/>
  <c r="BH20" i="75"/>
  <c r="BI19" i="75"/>
  <c r="G23" i="91"/>
  <c r="H22" i="91"/>
  <c r="BJ22" i="91" s="1"/>
  <c r="T20" i="78"/>
  <c r="U19" i="78"/>
  <c r="M23" i="66"/>
  <c r="L23" i="66"/>
  <c r="N23" i="66"/>
  <c r="U22" i="88"/>
  <c r="V21" i="88"/>
  <c r="BI18" i="105"/>
  <c r="BH19" i="105"/>
  <c r="AY10" i="91"/>
  <c r="AW10" i="91" s="1"/>
  <c r="F29" i="107"/>
  <c r="G29" i="107" s="1"/>
  <c r="E29" i="107"/>
  <c r="L11" i="100"/>
  <c r="M11" i="100" s="1"/>
  <c r="AL96" i="75"/>
  <c r="Y54" i="75"/>
  <c r="AU101" i="109"/>
  <c r="AQ102" i="109"/>
  <c r="AR101" i="109"/>
  <c r="AQ19" i="106"/>
  <c r="AP20" i="106"/>
  <c r="AT19" i="106"/>
  <c r="R21" i="106"/>
  <c r="Q21" i="106"/>
  <c r="AS17" i="105"/>
  <c r="AM56" i="105"/>
  <c r="AO17" i="105"/>
  <c r="BA18" i="75"/>
  <c r="W84" i="66"/>
  <c r="O83" i="66"/>
  <c r="BA16" i="86"/>
  <c r="BA18" i="88"/>
  <c r="V63" i="59"/>
  <c r="AI93" i="59"/>
  <c r="AU10" i="86"/>
  <c r="V18" i="86"/>
  <c r="U19" i="86"/>
  <c r="AR40" i="78"/>
  <c r="AQ41" i="78"/>
  <c r="AN139" i="109"/>
  <c r="AP100" i="109"/>
  <c r="F27" i="108"/>
  <c r="G27" i="108"/>
  <c r="E27" i="108"/>
  <c r="U18" i="100"/>
  <c r="V17" i="100"/>
  <c r="V22" i="106"/>
  <c r="U23" i="106"/>
  <c r="X49" i="105"/>
  <c r="J14" i="105"/>
  <c r="BK14" i="105"/>
  <c r="K15" i="105"/>
  <c r="S9" i="86"/>
  <c r="AO18" i="100"/>
  <c r="AS18" i="100"/>
  <c r="AM57" i="100"/>
  <c r="Q76" i="61"/>
  <c r="J75" i="61"/>
  <c r="AV10" i="59"/>
  <c r="AU10" i="59"/>
  <c r="R13" i="66"/>
  <c r="P13" i="66" s="1"/>
  <c r="Q14" i="66" s="1"/>
  <c r="BI17" i="86"/>
  <c r="BH18" i="86"/>
  <c r="U24" i="66"/>
  <c r="F25" i="66"/>
  <c r="G24" i="66"/>
  <c r="AA24" i="66"/>
  <c r="E49" i="110"/>
  <c r="J48" i="110"/>
  <c r="F48" i="110"/>
  <c r="AZ48" i="110" s="1"/>
  <c r="BI19" i="88"/>
  <c r="BH20" i="88"/>
  <c r="U18" i="105"/>
  <c r="V17" i="105"/>
  <c r="AQ83" i="59"/>
  <c r="BC90" i="59"/>
  <c r="AL96" i="91"/>
  <c r="Y54" i="91"/>
  <c r="AL93" i="86"/>
  <c r="Y51" i="86"/>
  <c r="I18" i="100"/>
  <c r="G19" i="100"/>
  <c r="K18" i="100"/>
  <c r="H18" i="100"/>
  <c r="BJ18" i="100" s="1"/>
  <c r="R16" i="100"/>
  <c r="Q16" i="100"/>
  <c r="J16" i="100" s="1"/>
  <c r="AT19" i="100"/>
  <c r="AP20" i="100"/>
  <c r="AQ19" i="100"/>
  <c r="G21" i="86"/>
  <c r="H20" i="86"/>
  <c r="BJ20" i="86" s="1"/>
  <c r="R18" i="75"/>
  <c r="Q18" i="75"/>
  <c r="AY10" i="88"/>
  <c r="AW10" i="88" s="1"/>
  <c r="AP25" i="75"/>
  <c r="AQ24" i="75"/>
  <c r="AM57" i="106"/>
  <c r="AO18" i="106"/>
  <c r="AS18" i="106"/>
  <c r="M11" i="59"/>
  <c r="H19" i="78"/>
  <c r="BH25" i="78" s="1"/>
  <c r="G20" i="78"/>
  <c r="E23" i="103"/>
  <c r="J22" i="103"/>
  <c r="F22" i="103"/>
  <c r="AZ22" i="103" s="1"/>
  <c r="X52" i="100"/>
  <c r="BK17" i="100"/>
  <c r="M11" i="88"/>
  <c r="S11" i="88" s="1"/>
  <c r="A37" i="107"/>
  <c r="B36" i="107"/>
  <c r="AT10" i="59"/>
  <c r="AR10" i="59" s="1"/>
  <c r="AO10" i="59" s="1"/>
  <c r="V19" i="75"/>
  <c r="U20" i="75"/>
  <c r="BA16" i="100"/>
  <c r="H20" i="75"/>
  <c r="BJ20" i="75" s="1"/>
  <c r="G21" i="75"/>
  <c r="M14" i="75"/>
  <c r="S14" i="75" s="1"/>
  <c r="BJ17" i="109"/>
  <c r="BB17" i="109" s="1"/>
  <c r="BI18" i="109"/>
  <c r="R17" i="110"/>
  <c r="S16" i="110"/>
  <c r="U19" i="109"/>
  <c r="V18" i="109"/>
  <c r="R17" i="109"/>
  <c r="Q17" i="109"/>
  <c r="AL9" i="111"/>
  <c r="AD56" i="94"/>
  <c r="J22" i="111"/>
  <c r="E23" i="111"/>
  <c r="F22" i="111"/>
  <c r="AZ22" i="111" s="1"/>
  <c r="G9" i="111"/>
  <c r="BC9" i="111"/>
  <c r="AQ9" i="111"/>
  <c r="AS10" i="111"/>
  <c r="AX20" i="111"/>
  <c r="Q16" i="94"/>
  <c r="R16" i="94"/>
  <c r="U18" i="94"/>
  <c r="V17" i="94"/>
  <c r="BC9" i="110"/>
  <c r="Z51" i="109"/>
  <c r="AM93" i="109"/>
  <c r="AJ50" i="110"/>
  <c r="AS10" i="110"/>
  <c r="AQ9" i="110"/>
  <c r="AW9" i="110" s="1"/>
  <c r="AI51" i="110" s="1"/>
  <c r="AK51" i="110" s="1"/>
  <c r="AI49" i="109"/>
  <c r="L9" i="110"/>
  <c r="G9" i="110" s="1"/>
  <c r="K9" i="110" s="1"/>
  <c r="Q9" i="110" s="1"/>
  <c r="AU11" i="109"/>
  <c r="AT10" i="109"/>
  <c r="AN49" i="109"/>
  <c r="AP10" i="109"/>
  <c r="AX9" i="109"/>
  <c r="AW9" i="109" s="1"/>
  <c r="BH9" i="109" s="1"/>
  <c r="AM36" i="109"/>
  <c r="Q9" i="112"/>
  <c r="BC9" i="112"/>
  <c r="AO9" i="112"/>
  <c r="AM22" i="112"/>
  <c r="AN21" i="112"/>
  <c r="AX20" i="112"/>
  <c r="AS10" i="112"/>
  <c r="E21" i="112"/>
  <c r="J20" i="112"/>
  <c r="F20" i="112"/>
  <c r="AZ20" i="112" s="1"/>
  <c r="BA9" i="112"/>
  <c r="BJ18" i="94"/>
  <c r="BB18" i="94" s="1"/>
  <c r="BI19" i="94"/>
  <c r="AQ19" i="94"/>
  <c r="AR18" i="94"/>
  <c r="Z53" i="94"/>
  <c r="AM95" i="94"/>
  <c r="W18" i="94"/>
  <c r="G19" i="94"/>
  <c r="H18" i="94"/>
  <c r="BK18" i="94" s="1"/>
  <c r="I18" i="94"/>
  <c r="M10" i="103"/>
  <c r="AN52" i="94"/>
  <c r="AP13" i="94"/>
  <c r="AT13" i="94"/>
  <c r="K9" i="103"/>
  <c r="Q9" i="103" s="1"/>
  <c r="BA9" i="103"/>
  <c r="AU15" i="94"/>
  <c r="AT14" i="94"/>
  <c r="AN53" i="94"/>
  <c r="AP14" i="94"/>
  <c r="AK51" i="103"/>
  <c r="AZ10" i="94"/>
  <c r="AX10" i="94" s="1"/>
  <c r="AU10" i="103"/>
  <c r="AV10" i="103"/>
  <c r="P8" i="61"/>
  <c r="T38" i="61"/>
  <c r="AU13" i="106" l="1"/>
  <c r="AY13" i="106" s="1"/>
  <c r="AV13" i="106"/>
  <c r="BG13" i="106"/>
  <c r="D29" i="107"/>
  <c r="C30" i="107" s="1"/>
  <c r="L12" i="78"/>
  <c r="R12" i="78"/>
  <c r="M12" i="91"/>
  <c r="S12" i="91" s="1"/>
  <c r="L15" i="75"/>
  <c r="P15" i="75" s="1"/>
  <c r="N15" i="75" s="1"/>
  <c r="W50" i="75"/>
  <c r="W144" i="75" s="1"/>
  <c r="M12" i="88"/>
  <c r="S12" i="88" s="1"/>
  <c r="AU15" i="105"/>
  <c r="AY15" i="105" s="1"/>
  <c r="AW15" i="105" s="1"/>
  <c r="BL60" i="105"/>
  <c r="BL154" i="105" s="1"/>
  <c r="BG15" i="105"/>
  <c r="AV15" i="105"/>
  <c r="E50" i="110"/>
  <c r="J49" i="110"/>
  <c r="F49" i="110"/>
  <c r="AZ49" i="110" s="1"/>
  <c r="U21" i="75"/>
  <c r="V20" i="75"/>
  <c r="AY10" i="86"/>
  <c r="AW10" i="86" s="1"/>
  <c r="Q19" i="75"/>
  <c r="R19" i="75"/>
  <c r="Y52" i="86"/>
  <c r="AL94" i="86"/>
  <c r="R17" i="105"/>
  <c r="Q17" i="105"/>
  <c r="M10" i="86"/>
  <c r="Q17" i="100"/>
  <c r="J17" i="100" s="1"/>
  <c r="R17" i="100"/>
  <c r="AQ103" i="109"/>
  <c r="AU102" i="109"/>
  <c r="AR102" i="109"/>
  <c r="U23" i="88"/>
  <c r="V22" i="88"/>
  <c r="S10" i="106"/>
  <c r="AM57" i="105"/>
  <c r="AS18" i="105"/>
  <c r="AO18" i="105"/>
  <c r="Q22" i="91"/>
  <c r="R22" i="91"/>
  <c r="BA17" i="106"/>
  <c r="G20" i="88"/>
  <c r="H19" i="88"/>
  <c r="BJ19" i="88" s="1"/>
  <c r="BF10" i="59"/>
  <c r="V18" i="105"/>
  <c r="U19" i="105"/>
  <c r="M24" i="66"/>
  <c r="L24" i="66"/>
  <c r="N24" i="66"/>
  <c r="AQ10" i="59"/>
  <c r="U19" i="100"/>
  <c r="V18" i="100"/>
  <c r="AP42" i="78"/>
  <c r="AR41" i="78"/>
  <c r="AP101" i="109"/>
  <c r="AN140" i="109"/>
  <c r="AP20" i="105"/>
  <c r="AT19" i="105"/>
  <c r="AQ19" i="105"/>
  <c r="V23" i="91"/>
  <c r="U24" i="91"/>
  <c r="AJ49" i="59"/>
  <c r="AL10" i="59"/>
  <c r="G21" i="78"/>
  <c r="H20" i="78"/>
  <c r="BH26" i="78" s="1"/>
  <c r="AL97" i="91"/>
  <c r="Y55" i="91"/>
  <c r="BH21" i="88"/>
  <c r="BI20" i="88"/>
  <c r="G25" i="66"/>
  <c r="U25" i="66"/>
  <c r="F26" i="66"/>
  <c r="AA25" i="66"/>
  <c r="X50" i="105"/>
  <c r="J15" i="105"/>
  <c r="BK15" i="105"/>
  <c r="K16" i="105"/>
  <c r="V64" i="59"/>
  <c r="AI94" i="59"/>
  <c r="Y55" i="75"/>
  <c r="AL97" i="75"/>
  <c r="AP24" i="86"/>
  <c r="AQ23" i="86"/>
  <c r="AL94" i="100"/>
  <c r="Y52" i="100"/>
  <c r="W19" i="109"/>
  <c r="G20" i="109"/>
  <c r="H19" i="109"/>
  <c r="BK19" i="109" s="1"/>
  <c r="I19" i="109"/>
  <c r="AT10" i="88"/>
  <c r="AV10" i="88"/>
  <c r="H21" i="86"/>
  <c r="BJ21" i="86" s="1"/>
  <c r="G22" i="86"/>
  <c r="U20" i="86"/>
  <c r="V19" i="86"/>
  <c r="O84" i="66"/>
  <c r="W85" i="66"/>
  <c r="H23" i="91"/>
  <c r="BJ23" i="91" s="1"/>
  <c r="G24" i="91"/>
  <c r="BI21" i="91"/>
  <c r="BH22" i="91"/>
  <c r="L13" i="105"/>
  <c r="P13" i="105" s="1"/>
  <c r="N13" i="105" s="1"/>
  <c r="AU11" i="100"/>
  <c r="G22" i="75"/>
  <c r="H21" i="75"/>
  <c r="BJ21" i="75" s="1"/>
  <c r="AP26" i="75"/>
  <c r="AQ25" i="75"/>
  <c r="X53" i="100"/>
  <c r="BK18" i="100"/>
  <c r="BI18" i="86"/>
  <c r="BH19" i="86"/>
  <c r="AM58" i="106"/>
  <c r="AO19" i="106"/>
  <c r="AS19" i="106"/>
  <c r="AT10" i="91"/>
  <c r="AV10" i="91" s="1"/>
  <c r="P19" i="78"/>
  <c r="Q19" i="78"/>
  <c r="H21" i="106"/>
  <c r="BJ21" i="106" s="1"/>
  <c r="G22" i="106"/>
  <c r="AP21" i="88"/>
  <c r="AQ20" i="88"/>
  <c r="Y53" i="88"/>
  <c r="AL95" i="88"/>
  <c r="AL103" i="78"/>
  <c r="Y66" i="78"/>
  <c r="B37" i="107"/>
  <c r="A38" i="107"/>
  <c r="E24" i="103"/>
  <c r="J23" i="103"/>
  <c r="F23" i="103"/>
  <c r="AZ23" i="103" s="1"/>
  <c r="J76" i="61"/>
  <c r="Q77" i="61"/>
  <c r="Q18" i="86"/>
  <c r="R18" i="86"/>
  <c r="S11" i="100"/>
  <c r="I19" i="100"/>
  <c r="K19" i="100"/>
  <c r="G20" i="100"/>
  <c r="H19" i="100"/>
  <c r="BJ19" i="100" s="1"/>
  <c r="BA17" i="86"/>
  <c r="D27" i="108"/>
  <c r="C28" i="108" s="1"/>
  <c r="AP21" i="106"/>
  <c r="AT20" i="106"/>
  <c r="AQ20" i="106"/>
  <c r="P11" i="100"/>
  <c r="BH20" i="105"/>
  <c r="BI19" i="105"/>
  <c r="T21" i="78"/>
  <c r="U20" i="78"/>
  <c r="BI20" i="75"/>
  <c r="BH21" i="75"/>
  <c r="AV13" i="78"/>
  <c r="AW12" i="78"/>
  <c r="AU12" i="78" s="1"/>
  <c r="AL101" i="105"/>
  <c r="Y59" i="105"/>
  <c r="A35" i="108"/>
  <c r="B34" i="108"/>
  <c r="AP22" i="91"/>
  <c r="AQ21" i="91"/>
  <c r="G21" i="105"/>
  <c r="I20" i="105"/>
  <c r="H20" i="105"/>
  <c r="BJ20" i="105" s="1"/>
  <c r="AT84" i="78"/>
  <c r="BF91" i="78"/>
  <c r="BA17" i="100"/>
  <c r="AT20" i="100"/>
  <c r="AP21" i="100"/>
  <c r="AQ20" i="100"/>
  <c r="BC91" i="59"/>
  <c r="AQ84" i="59"/>
  <c r="H13" i="66"/>
  <c r="V23" i="106"/>
  <c r="U24" i="106"/>
  <c r="BA18" i="105"/>
  <c r="AO19" i="100"/>
  <c r="AS19" i="100"/>
  <c r="AM58" i="100"/>
  <c r="AS11" i="59"/>
  <c r="R22" i="106"/>
  <c r="Q22" i="106"/>
  <c r="R21" i="88"/>
  <c r="Q21" i="88"/>
  <c r="P10" i="106"/>
  <c r="N10" i="106" s="1"/>
  <c r="AT13" i="78"/>
  <c r="BE13" i="78"/>
  <c r="BG14" i="78" s="1"/>
  <c r="AY13" i="78"/>
  <c r="AX13" i="78"/>
  <c r="Y55" i="106"/>
  <c r="AL97" i="106"/>
  <c r="BI18" i="106"/>
  <c r="BH19" i="106"/>
  <c r="BI18" i="100"/>
  <c r="BH19" i="100"/>
  <c r="BG10" i="75"/>
  <c r="BK12" i="106"/>
  <c r="X47" i="106"/>
  <c r="J12" i="106"/>
  <c r="K13" i="106"/>
  <c r="Q10" i="59"/>
  <c r="U57" i="59"/>
  <c r="BJ18" i="109"/>
  <c r="BB18" i="109" s="1"/>
  <c r="BI19" i="109"/>
  <c r="R18" i="110"/>
  <c r="S17" i="110"/>
  <c r="R18" i="109"/>
  <c r="Q18" i="109"/>
  <c r="V19" i="109"/>
  <c r="U20" i="109"/>
  <c r="BA9" i="111"/>
  <c r="K9" i="111"/>
  <c r="J23" i="111"/>
  <c r="E24" i="111"/>
  <c r="F23" i="111"/>
  <c r="AZ23" i="111" s="1"/>
  <c r="AX21" i="111"/>
  <c r="AW9" i="111"/>
  <c r="R17" i="94"/>
  <c r="Q17" i="94"/>
  <c r="U19" i="94"/>
  <c r="V18" i="94"/>
  <c r="Z52" i="109"/>
  <c r="AM94" i="109"/>
  <c r="BB56" i="110"/>
  <c r="AP10" i="110"/>
  <c r="AY10" i="110"/>
  <c r="M10" i="110"/>
  <c r="T51" i="110"/>
  <c r="V51" i="110" s="1"/>
  <c r="H10" i="110"/>
  <c r="AV10" i="109"/>
  <c r="AZ10" i="109" s="1"/>
  <c r="AX10" i="109" s="1"/>
  <c r="AW10" i="109" s="1"/>
  <c r="BH10" i="109" s="1"/>
  <c r="AV11" i="109" s="1"/>
  <c r="AP11" i="109"/>
  <c r="AN50" i="109"/>
  <c r="AT11" i="109"/>
  <c r="AU12" i="109"/>
  <c r="AM39" i="109"/>
  <c r="AM38" i="109"/>
  <c r="AM37" i="109"/>
  <c r="AM40" i="109"/>
  <c r="BA9" i="110"/>
  <c r="AM23" i="112"/>
  <c r="AN22" i="112"/>
  <c r="AL9" i="112"/>
  <c r="AJ50" i="112"/>
  <c r="E22" i="112"/>
  <c r="J21" i="112"/>
  <c r="F21" i="112"/>
  <c r="AZ21" i="112" s="1"/>
  <c r="AX21" i="112"/>
  <c r="H10" i="112"/>
  <c r="T51" i="112"/>
  <c r="S10" i="112"/>
  <c r="AQ9" i="112"/>
  <c r="BI20" i="94"/>
  <c r="BJ19" i="94"/>
  <c r="AM96" i="94"/>
  <c r="Z54" i="94"/>
  <c r="G20" i="94"/>
  <c r="W19" i="94"/>
  <c r="H19" i="94"/>
  <c r="BK19" i="94" s="1"/>
  <c r="I19" i="94"/>
  <c r="AR19" i="94"/>
  <c r="AQ20" i="94"/>
  <c r="J9" i="94"/>
  <c r="Y44" i="94"/>
  <c r="M9" i="94"/>
  <c r="S9" i="94" s="1"/>
  <c r="BL9" i="94"/>
  <c r="H10" i="103"/>
  <c r="T51" i="103"/>
  <c r="S10" i="103"/>
  <c r="AT10" i="103"/>
  <c r="AR10" i="103" s="1"/>
  <c r="AS11" i="103" s="1"/>
  <c r="AT15" i="94"/>
  <c r="AU16" i="94"/>
  <c r="AN54" i="94"/>
  <c r="AP15" i="94"/>
  <c r="AW10" i="94"/>
  <c r="I9" i="61"/>
  <c r="S39" i="61"/>
  <c r="R9" i="61"/>
  <c r="M13" i="88" l="1"/>
  <c r="S13" i="88" s="1"/>
  <c r="M13" i="91"/>
  <c r="S13" i="91" s="1"/>
  <c r="BG10" i="91"/>
  <c r="AL102" i="105"/>
  <c r="Y60" i="105"/>
  <c r="G28" i="108"/>
  <c r="D28" i="108" s="1"/>
  <c r="C29" i="108" s="1"/>
  <c r="F28" i="108"/>
  <c r="E28" i="108"/>
  <c r="X54" i="100"/>
  <c r="BK19" i="100"/>
  <c r="AP27" i="75"/>
  <c r="AQ26" i="75"/>
  <c r="O85" i="66"/>
  <c r="W86" i="66"/>
  <c r="BK16" i="105"/>
  <c r="J16" i="105"/>
  <c r="X51" i="105"/>
  <c r="K17" i="105"/>
  <c r="M25" i="66"/>
  <c r="L25" i="66"/>
  <c r="N25" i="66"/>
  <c r="V19" i="105"/>
  <c r="U20" i="105"/>
  <c r="Y56" i="106"/>
  <c r="AL98" i="106"/>
  <c r="BI20" i="105"/>
  <c r="BH21" i="105"/>
  <c r="J24" i="103"/>
  <c r="E25" i="103"/>
  <c r="F24" i="103"/>
  <c r="AZ24" i="103" s="1"/>
  <c r="AP22" i="88"/>
  <c r="AQ21" i="88"/>
  <c r="BH20" i="86"/>
  <c r="BI19" i="86"/>
  <c r="AY11" i="100"/>
  <c r="AW11" i="100" s="1"/>
  <c r="AP25" i="86"/>
  <c r="AQ24" i="86"/>
  <c r="U25" i="91"/>
  <c r="V24" i="91"/>
  <c r="AP43" i="78"/>
  <c r="AQ42" i="78"/>
  <c r="R18" i="105"/>
  <c r="Q18" i="105"/>
  <c r="H20" i="88"/>
  <c r="BJ20" i="88" s="1"/>
  <c r="G21" i="88"/>
  <c r="L13" i="78"/>
  <c r="R13" i="78"/>
  <c r="AU11" i="75"/>
  <c r="AY11" i="75" s="1"/>
  <c r="AW11" i="75" s="1"/>
  <c r="AT11" i="75" s="1"/>
  <c r="AW13" i="78"/>
  <c r="AU13" i="78" s="1"/>
  <c r="AV14" i="78" s="1"/>
  <c r="L12" i="100"/>
  <c r="M12" i="100" s="1"/>
  <c r="A39" i="107"/>
  <c r="B38" i="107"/>
  <c r="BA18" i="86"/>
  <c r="Q19" i="86"/>
  <c r="R19" i="86"/>
  <c r="H22" i="86"/>
  <c r="BJ22" i="86" s="1"/>
  <c r="G23" i="86"/>
  <c r="W20" i="109"/>
  <c r="G21" i="109"/>
  <c r="H20" i="109"/>
  <c r="BK20" i="109" s="1"/>
  <c r="I20" i="109"/>
  <c r="BI21" i="88"/>
  <c r="BH22" i="88"/>
  <c r="Q23" i="91"/>
  <c r="R23" i="91"/>
  <c r="R18" i="100"/>
  <c r="Q18" i="100"/>
  <c r="J18" i="100" s="1"/>
  <c r="L11" i="106"/>
  <c r="M11" i="106" s="1"/>
  <c r="E51" i="110"/>
  <c r="J50" i="110"/>
  <c r="F50" i="110"/>
  <c r="AZ50" i="110" s="1"/>
  <c r="U25" i="106"/>
  <c r="V24" i="106"/>
  <c r="BC92" i="59"/>
  <c r="AQ85" i="59"/>
  <c r="I21" i="105"/>
  <c r="H21" i="105"/>
  <c r="BJ21" i="105" s="1"/>
  <c r="G22" i="105"/>
  <c r="N11" i="100"/>
  <c r="V20" i="86"/>
  <c r="U21" i="86"/>
  <c r="AL98" i="91"/>
  <c r="Y56" i="91"/>
  <c r="H21" i="78"/>
  <c r="BH27" i="78" s="1"/>
  <c r="G22" i="78"/>
  <c r="U20" i="100"/>
  <c r="V19" i="100"/>
  <c r="R22" i="88"/>
  <c r="Q22" i="88"/>
  <c r="S10" i="86"/>
  <c r="AV10" i="86"/>
  <c r="AT10" i="86"/>
  <c r="K15" i="75"/>
  <c r="J11" i="59"/>
  <c r="T58" i="59"/>
  <c r="S11" i="59"/>
  <c r="BI19" i="100"/>
  <c r="BH20" i="100"/>
  <c r="BE14" i="78"/>
  <c r="AX14" i="78"/>
  <c r="AY14" i="78"/>
  <c r="AT14" i="78"/>
  <c r="R23" i="106"/>
  <c r="Q23" i="106"/>
  <c r="AT85" i="78"/>
  <c r="BF92" i="78"/>
  <c r="BI21" i="75"/>
  <c r="BH22" i="75"/>
  <c r="AL104" i="78"/>
  <c r="Y67" i="78"/>
  <c r="H22" i="106"/>
  <c r="BJ22" i="106" s="1"/>
  <c r="G23" i="106"/>
  <c r="AM49" i="91"/>
  <c r="AS10" i="91"/>
  <c r="AO10" i="91"/>
  <c r="BG10" i="88"/>
  <c r="AM58" i="105"/>
  <c r="AO19" i="105"/>
  <c r="AS19" i="105"/>
  <c r="BB10" i="59"/>
  <c r="V23" i="88"/>
  <c r="U24" i="88"/>
  <c r="Q20" i="75"/>
  <c r="R20" i="75"/>
  <c r="AU16" i="105"/>
  <c r="AY16" i="105" s="1"/>
  <c r="AW16" i="105" s="1"/>
  <c r="BL61" i="105"/>
  <c r="AV16" i="105"/>
  <c r="BG16" i="105"/>
  <c r="E30" i="107"/>
  <c r="G30" i="107" s="1"/>
  <c r="D30" i="107" s="1"/>
  <c r="C31" i="107" s="1"/>
  <c r="F30" i="107"/>
  <c r="BA18" i="100"/>
  <c r="AP22" i="100"/>
  <c r="AT21" i="100"/>
  <c r="AQ21" i="100"/>
  <c r="AQ22" i="91"/>
  <c r="AP23" i="91"/>
  <c r="AO20" i="106"/>
  <c r="AS20" i="106"/>
  <c r="AM59" i="106"/>
  <c r="Q78" i="61"/>
  <c r="J77" i="61"/>
  <c r="M13" i="105"/>
  <c r="S13" i="105" s="1"/>
  <c r="G25" i="91"/>
  <c r="H24" i="91"/>
  <c r="BJ24" i="91" s="1"/>
  <c r="AS10" i="88"/>
  <c r="AM49" i="88"/>
  <c r="AO10" i="88"/>
  <c r="AL98" i="75"/>
  <c r="Y56" i="75"/>
  <c r="AQ20" i="105"/>
  <c r="AP21" i="105"/>
  <c r="AT20" i="105"/>
  <c r="U22" i="75"/>
  <c r="V21" i="75"/>
  <c r="AU14" i="106"/>
  <c r="AY14" i="106" s="1"/>
  <c r="BK13" i="106"/>
  <c r="X48" i="106"/>
  <c r="J13" i="106"/>
  <c r="K14" i="106"/>
  <c r="BH20" i="106"/>
  <c r="BI19" i="106"/>
  <c r="O13" i="66"/>
  <c r="AM59" i="100"/>
  <c r="AS20" i="100"/>
  <c r="AO20" i="100"/>
  <c r="Q20" i="78"/>
  <c r="P20" i="78"/>
  <c r="AQ21" i="106"/>
  <c r="AT21" i="106"/>
  <c r="AP22" i="106"/>
  <c r="G23" i="75"/>
  <c r="H22" i="75"/>
  <c r="BJ22" i="75" s="1"/>
  <c r="BI22" i="91"/>
  <c r="BH23" i="91"/>
  <c r="AL95" i="100"/>
  <c r="Y53" i="100"/>
  <c r="AA26" i="66"/>
  <c r="U26" i="66"/>
  <c r="F27" i="66"/>
  <c r="G26" i="66"/>
  <c r="AP102" i="109"/>
  <c r="AN141" i="109"/>
  <c r="BA18" i="106"/>
  <c r="A36" i="108"/>
  <c r="B35" i="108"/>
  <c r="U21" i="78"/>
  <c r="T22" i="78"/>
  <c r="G21" i="100"/>
  <c r="I20" i="100"/>
  <c r="K20" i="100"/>
  <c r="H20" i="100"/>
  <c r="BJ20" i="100" s="1"/>
  <c r="Y54" i="88"/>
  <c r="AL96" i="88"/>
  <c r="V65" i="59"/>
  <c r="AI95" i="59"/>
  <c r="AQ104" i="109"/>
  <c r="AU103" i="109"/>
  <c r="AR103" i="109"/>
  <c r="Y53" i="86"/>
  <c r="AL95" i="86"/>
  <c r="BJ19" i="109"/>
  <c r="BI20" i="109"/>
  <c r="R19" i="110"/>
  <c r="S18" i="110"/>
  <c r="V20" i="109"/>
  <c r="U21" i="109"/>
  <c r="R19" i="109"/>
  <c r="Q19" i="109"/>
  <c r="E25" i="111"/>
  <c r="J24" i="111"/>
  <c r="F24" i="111"/>
  <c r="AZ24" i="111" s="1"/>
  <c r="Q9" i="111"/>
  <c r="AP10" i="111"/>
  <c r="BB56" i="111"/>
  <c r="AY10" i="111"/>
  <c r="AI51" i="111"/>
  <c r="AK51" i="111" s="1"/>
  <c r="AX22" i="111"/>
  <c r="Q18" i="94"/>
  <c r="R18" i="94"/>
  <c r="U20" i="94"/>
  <c r="V19" i="94"/>
  <c r="Z53" i="109"/>
  <c r="AM95" i="109"/>
  <c r="AU10" i="110"/>
  <c r="AT10" i="110" s="1"/>
  <c r="AV10" i="110"/>
  <c r="U50" i="110"/>
  <c r="O10" i="110"/>
  <c r="N10" i="110" s="1"/>
  <c r="L10" i="110" s="1"/>
  <c r="P10" i="110"/>
  <c r="AU13" i="109"/>
  <c r="AP12" i="109"/>
  <c r="AT12" i="109"/>
  <c r="AN51" i="109"/>
  <c r="I10" i="110"/>
  <c r="M9" i="109"/>
  <c r="S9" i="109" s="1"/>
  <c r="L10" i="109" s="1"/>
  <c r="J9" i="109"/>
  <c r="BL9" i="109"/>
  <c r="Y44" i="109"/>
  <c r="P10" i="112"/>
  <c r="O10" i="112"/>
  <c r="N10" i="112" s="1"/>
  <c r="L10" i="112" s="1"/>
  <c r="AX22" i="112"/>
  <c r="AW9" i="112"/>
  <c r="V51" i="112"/>
  <c r="U50" i="112"/>
  <c r="AM24" i="112"/>
  <c r="AN23" i="112"/>
  <c r="I10" i="112"/>
  <c r="E23" i="112"/>
  <c r="J22" i="112"/>
  <c r="F22" i="112"/>
  <c r="AZ22" i="112" s="1"/>
  <c r="L10" i="94"/>
  <c r="K10" i="94" s="1"/>
  <c r="BI21" i="94"/>
  <c r="BJ20" i="94"/>
  <c r="AR20" i="94"/>
  <c r="AQ21" i="94"/>
  <c r="AM97" i="94"/>
  <c r="Z55" i="94"/>
  <c r="W20" i="94"/>
  <c r="G21" i="94"/>
  <c r="H20" i="94"/>
  <c r="BK20" i="94" s="1"/>
  <c r="I20" i="94"/>
  <c r="AZ11" i="109"/>
  <c r="AX11" i="109" s="1"/>
  <c r="V51" i="103"/>
  <c r="U50" i="103"/>
  <c r="I10" i="103"/>
  <c r="P10" i="103"/>
  <c r="O10" i="103"/>
  <c r="N10" i="103" s="1"/>
  <c r="L10" i="103" s="1"/>
  <c r="AU17" i="94"/>
  <c r="AP16" i="94"/>
  <c r="AN55" i="94"/>
  <c r="AT16" i="94"/>
  <c r="BC10" i="103"/>
  <c r="AO10" i="103"/>
  <c r="AQ10" i="103" s="1"/>
  <c r="BH10" i="94"/>
  <c r="N9" i="61"/>
  <c r="M9" i="61" s="1"/>
  <c r="K9" i="61" s="1"/>
  <c r="O9" i="61"/>
  <c r="S12" i="100" l="1"/>
  <c r="M14" i="91"/>
  <c r="S14" i="91"/>
  <c r="AO11" i="75"/>
  <c r="AM50" i="75"/>
  <c r="AS11" i="75"/>
  <c r="F31" i="107"/>
  <c r="G31" i="107"/>
  <c r="D31" i="107" s="1"/>
  <c r="C32" i="107" s="1"/>
  <c r="E31" i="107"/>
  <c r="M14" i="88"/>
  <c r="S14" i="88" s="1"/>
  <c r="G29" i="108"/>
  <c r="F29" i="108"/>
  <c r="E29" i="108"/>
  <c r="S11" i="106"/>
  <c r="AL105" i="78"/>
  <c r="Y68" i="78"/>
  <c r="M11" i="86"/>
  <c r="S11" i="86"/>
  <c r="R20" i="86"/>
  <c r="Q20" i="86"/>
  <c r="L26" i="66"/>
  <c r="N26" i="66"/>
  <c r="M26" i="66"/>
  <c r="BI20" i="106"/>
  <c r="BH21" i="106"/>
  <c r="Q21" i="75"/>
  <c r="R21" i="75"/>
  <c r="G27" i="66"/>
  <c r="U27" i="66"/>
  <c r="F28" i="66"/>
  <c r="AA27" i="66"/>
  <c r="X49" i="106"/>
  <c r="BK14" i="106"/>
  <c r="J14" i="106"/>
  <c r="K15" i="106"/>
  <c r="U23" i="75"/>
  <c r="V22" i="75"/>
  <c r="H25" i="91"/>
  <c r="BJ25" i="91" s="1"/>
  <c r="G26" i="91"/>
  <c r="BH23" i="75"/>
  <c r="BI22" i="75"/>
  <c r="L14" i="78"/>
  <c r="R14" i="78"/>
  <c r="V20" i="105"/>
  <c r="U21" i="105"/>
  <c r="BK20" i="100"/>
  <c r="X55" i="100"/>
  <c r="AU17" i="105"/>
  <c r="AY17" i="105" s="1"/>
  <c r="AW17" i="105" s="1"/>
  <c r="AV17" i="105" s="1"/>
  <c r="BG17" i="105" s="1"/>
  <c r="BL62" i="105"/>
  <c r="AP11" i="59"/>
  <c r="BG56" i="59"/>
  <c r="BD11" i="59"/>
  <c r="Y54" i="86"/>
  <c r="AL96" i="86"/>
  <c r="I21" i="100"/>
  <c r="K21" i="100"/>
  <c r="G22" i="100"/>
  <c r="H21" i="100"/>
  <c r="BJ21" i="100" s="1"/>
  <c r="AM59" i="105"/>
  <c r="AO20" i="105"/>
  <c r="AS20" i="105"/>
  <c r="L14" i="105"/>
  <c r="P14" i="105" s="1"/>
  <c r="N14" i="105" s="1"/>
  <c r="AP24" i="91"/>
  <c r="AQ23" i="91"/>
  <c r="H23" i="106"/>
  <c r="BJ23" i="106" s="1"/>
  <c r="G24" i="106"/>
  <c r="AP26" i="86"/>
  <c r="AQ25" i="86"/>
  <c r="E26" i="103"/>
  <c r="J25" i="103"/>
  <c r="F25" i="103"/>
  <c r="AZ25" i="103" s="1"/>
  <c r="R19" i="105"/>
  <c r="Q19" i="105"/>
  <c r="AU11" i="91"/>
  <c r="AP22" i="105"/>
  <c r="AQ21" i="105"/>
  <c r="AT21" i="105"/>
  <c r="AW14" i="78"/>
  <c r="AU14" i="78" s="1"/>
  <c r="AV15" i="78" s="1"/>
  <c r="BK15" i="75"/>
  <c r="J15" i="75"/>
  <c r="X50" i="75"/>
  <c r="R19" i="100"/>
  <c r="Q19" i="100"/>
  <c r="J19" i="100" s="1"/>
  <c r="I22" i="105"/>
  <c r="H22" i="105"/>
  <c r="BJ22" i="105" s="1"/>
  <c r="G23" i="105"/>
  <c r="AQ86" i="59"/>
  <c r="BC93" i="59"/>
  <c r="E52" i="110"/>
  <c r="J51" i="110"/>
  <c r="F51" i="110"/>
  <c r="AZ51" i="110" s="1"/>
  <c r="O86" i="66"/>
  <c r="W87" i="66"/>
  <c r="AO21" i="106"/>
  <c r="AM60" i="106"/>
  <c r="T23" i="78"/>
  <c r="U22" i="78"/>
  <c r="AP103" i="109"/>
  <c r="AN142" i="109"/>
  <c r="AL97" i="88"/>
  <c r="Y55" i="88"/>
  <c r="Q21" i="78"/>
  <c r="P21" i="78"/>
  <c r="AL96" i="100"/>
  <c r="Y54" i="100"/>
  <c r="Q79" i="61"/>
  <c r="J78" i="61"/>
  <c r="AU11" i="88"/>
  <c r="BG15" i="78"/>
  <c r="AS15" i="78"/>
  <c r="AS10" i="86"/>
  <c r="AO10" i="86"/>
  <c r="AM49" i="86"/>
  <c r="V20" i="100"/>
  <c r="U21" i="100"/>
  <c r="AL99" i="91"/>
  <c r="Y57" i="91"/>
  <c r="R24" i="106"/>
  <c r="Q24" i="106"/>
  <c r="BI22" i="88"/>
  <c r="BH23" i="88"/>
  <c r="AP44" i="78"/>
  <c r="AQ43" i="78"/>
  <c r="AV11" i="100"/>
  <c r="BH22" i="105"/>
  <c r="BI21" i="105"/>
  <c r="AM60" i="100"/>
  <c r="AO21" i="100"/>
  <c r="BF93" i="78"/>
  <c r="AT86" i="78"/>
  <c r="BI20" i="100"/>
  <c r="BH21" i="100"/>
  <c r="BG10" i="86"/>
  <c r="R24" i="91"/>
  <c r="Q24" i="91"/>
  <c r="AU104" i="109"/>
  <c r="AQ105" i="109"/>
  <c r="AR104" i="109"/>
  <c r="G24" i="75"/>
  <c r="H23" i="75"/>
  <c r="BJ23" i="75" s="1"/>
  <c r="AV14" i="106"/>
  <c r="BG14" i="106" s="1"/>
  <c r="U25" i="88"/>
  <c r="V24" i="88"/>
  <c r="U26" i="106"/>
  <c r="V25" i="106"/>
  <c r="A37" i="108"/>
  <c r="B36" i="108"/>
  <c r="BI23" i="91"/>
  <c r="BH24" i="91"/>
  <c r="AP23" i="106"/>
  <c r="AQ22" i="106"/>
  <c r="AT22" i="106"/>
  <c r="V13" i="66"/>
  <c r="Z13" i="66"/>
  <c r="Y57" i="75"/>
  <c r="AL99" i="75"/>
  <c r="AT22" i="100"/>
  <c r="AP23" i="100"/>
  <c r="AQ22" i="100"/>
  <c r="Q23" i="88"/>
  <c r="R23" i="88"/>
  <c r="G23" i="78"/>
  <c r="H22" i="78"/>
  <c r="BH28" i="78" s="1"/>
  <c r="V21" i="86"/>
  <c r="U22" i="86"/>
  <c r="H23" i="86"/>
  <c r="BJ23" i="86" s="1"/>
  <c r="G24" i="86"/>
  <c r="AV11" i="75"/>
  <c r="V25" i="91"/>
  <c r="U26" i="91"/>
  <c r="BI20" i="86"/>
  <c r="BH21" i="86"/>
  <c r="X52" i="105"/>
  <c r="J17" i="105"/>
  <c r="BK17" i="105"/>
  <c r="K18" i="105"/>
  <c r="AQ27" i="75"/>
  <c r="AP28" i="75"/>
  <c r="P11" i="106"/>
  <c r="N11" i="106" s="1"/>
  <c r="A40" i="107"/>
  <c r="B39" i="107"/>
  <c r="H21" i="88"/>
  <c r="BJ21" i="88" s="1"/>
  <c r="G22" i="88"/>
  <c r="AL99" i="106"/>
  <c r="Y57" i="106"/>
  <c r="V66" i="59"/>
  <c r="AI96" i="59"/>
  <c r="O11" i="59"/>
  <c r="P11" i="59"/>
  <c r="G22" i="109"/>
  <c r="W21" i="109"/>
  <c r="H21" i="109"/>
  <c r="BK21" i="109" s="1"/>
  <c r="I21" i="109"/>
  <c r="P12" i="100"/>
  <c r="AP23" i="88"/>
  <c r="AQ22" i="88"/>
  <c r="AL103" i="105"/>
  <c r="Y61" i="105"/>
  <c r="M15" i="75"/>
  <c r="S15" i="75" s="1"/>
  <c r="BI21" i="109"/>
  <c r="BJ20" i="109"/>
  <c r="R20" i="110"/>
  <c r="S19" i="110"/>
  <c r="V21" i="109"/>
  <c r="U22" i="109"/>
  <c r="R20" i="109"/>
  <c r="Q20" i="109"/>
  <c r="E26" i="111"/>
  <c r="J25" i="111"/>
  <c r="F25" i="111"/>
  <c r="AZ25" i="111" s="1"/>
  <c r="H10" i="111"/>
  <c r="S10" i="111"/>
  <c r="T51" i="111"/>
  <c r="AV10" i="111"/>
  <c r="AU10" i="111"/>
  <c r="AX23" i="111"/>
  <c r="R19" i="94"/>
  <c r="Q19" i="94"/>
  <c r="U21" i="94"/>
  <c r="V20" i="94"/>
  <c r="AR10" i="110"/>
  <c r="AS11" i="110" s="1"/>
  <c r="Z54" i="109"/>
  <c r="AM96" i="109"/>
  <c r="G10" i="110"/>
  <c r="BA10" i="110" s="1"/>
  <c r="AT13" i="109"/>
  <c r="AP13" i="109"/>
  <c r="AN52" i="109"/>
  <c r="AU14" i="109"/>
  <c r="P10" i="109"/>
  <c r="N10" i="109" s="1"/>
  <c r="M11" i="110"/>
  <c r="G10" i="112"/>
  <c r="K10" i="112" s="1"/>
  <c r="BB56" i="112"/>
  <c r="AI51" i="112"/>
  <c r="AP10" i="112"/>
  <c r="AY10" i="112"/>
  <c r="AM25" i="112"/>
  <c r="AN24" i="112"/>
  <c r="M11" i="112"/>
  <c r="J23" i="112"/>
  <c r="E24" i="112"/>
  <c r="F23" i="112"/>
  <c r="AZ23" i="112" s="1"/>
  <c r="AX23" i="112"/>
  <c r="P10" i="94"/>
  <c r="N10" i="94" s="1"/>
  <c r="BL10" i="94"/>
  <c r="M10" i="94"/>
  <c r="S10" i="94" s="1"/>
  <c r="L11" i="94" s="1"/>
  <c r="J10" i="94"/>
  <c r="Y45" i="94"/>
  <c r="BI22" i="94"/>
  <c r="BJ21" i="94"/>
  <c r="G22" i="94"/>
  <c r="W21" i="94"/>
  <c r="H21" i="94"/>
  <c r="BK21" i="94" s="1"/>
  <c r="I21" i="94"/>
  <c r="Z56" i="94"/>
  <c r="AM98" i="94"/>
  <c r="AR21" i="94"/>
  <c r="AQ22" i="94"/>
  <c r="AW11" i="109"/>
  <c r="M11" i="103"/>
  <c r="AW10" i="103"/>
  <c r="AV11" i="94"/>
  <c r="AL10" i="103"/>
  <c r="AJ51" i="103"/>
  <c r="AT17" i="94"/>
  <c r="AU18" i="94"/>
  <c r="AN56" i="94"/>
  <c r="AP17" i="94"/>
  <c r="H9" i="61"/>
  <c r="J9" i="61" s="1"/>
  <c r="L10" i="61"/>
  <c r="L15" i="88" l="1"/>
  <c r="W50" i="88"/>
  <c r="AU18" i="105"/>
  <c r="AY18" i="105" s="1"/>
  <c r="AW18" i="105" s="1"/>
  <c r="AV18" i="105" s="1"/>
  <c r="BG18" i="105" s="1"/>
  <c r="BL63" i="105"/>
  <c r="E32" i="107"/>
  <c r="G32" i="107" s="1"/>
  <c r="D32" i="107" s="1"/>
  <c r="C33" i="107" s="1"/>
  <c r="F32" i="107"/>
  <c r="W51" i="75"/>
  <c r="L16" i="75"/>
  <c r="P16" i="75" s="1"/>
  <c r="N16" i="75" s="1"/>
  <c r="AI97" i="59"/>
  <c r="V67" i="59"/>
  <c r="X53" i="105"/>
  <c r="J18" i="105"/>
  <c r="BK18" i="105"/>
  <c r="K19" i="105"/>
  <c r="BG11" i="75"/>
  <c r="R21" i="86"/>
  <c r="Q21" i="86"/>
  <c r="G24" i="78"/>
  <c r="H23" i="78"/>
  <c r="BH29" i="78" s="1"/>
  <c r="BH25" i="91"/>
  <c r="BI24" i="91"/>
  <c r="V25" i="88"/>
  <c r="U26" i="88"/>
  <c r="AQ106" i="109"/>
  <c r="AU105" i="109"/>
  <c r="AR105" i="109"/>
  <c r="BI22" i="105"/>
  <c r="BH23" i="105"/>
  <c r="W88" i="66"/>
  <c r="O87" i="66"/>
  <c r="AP25" i="91"/>
  <c r="AQ24" i="91"/>
  <c r="AL97" i="86"/>
  <c r="Y55" i="86"/>
  <c r="U22" i="105"/>
  <c r="V21" i="105"/>
  <c r="BH22" i="106"/>
  <c r="BI21" i="106"/>
  <c r="H22" i="88"/>
  <c r="BJ22" i="88" s="1"/>
  <c r="G23" i="88"/>
  <c r="U23" i="86"/>
  <c r="V22" i="86"/>
  <c r="Y62" i="105"/>
  <c r="AL104" i="105"/>
  <c r="Y58" i="75"/>
  <c r="AL100" i="75"/>
  <c r="AU15" i="106"/>
  <c r="AY15" i="106" s="1"/>
  <c r="BL60" i="106"/>
  <c r="BL154" i="106" s="1"/>
  <c r="AV15" i="106"/>
  <c r="BG15" i="106" s="1"/>
  <c r="AP104" i="109"/>
  <c r="AN143" i="109"/>
  <c r="BG11" i="100"/>
  <c r="AL100" i="91"/>
  <c r="Y58" i="91"/>
  <c r="AS109" i="78"/>
  <c r="D45" i="78" s="1"/>
  <c r="D46" i="78" s="1"/>
  <c r="J79" i="61"/>
  <c r="Q80" i="61"/>
  <c r="H23" i="105"/>
  <c r="BJ23" i="105" s="1"/>
  <c r="G24" i="105"/>
  <c r="I23" i="105"/>
  <c r="AQ22" i="105"/>
  <c r="AT22" i="105"/>
  <c r="AP23" i="105"/>
  <c r="AU11" i="59"/>
  <c r="AV11" i="59"/>
  <c r="Q20" i="105"/>
  <c r="R20" i="105"/>
  <c r="Q22" i="75"/>
  <c r="R22" i="75"/>
  <c r="Y69" i="78"/>
  <c r="AL106" i="78"/>
  <c r="D29" i="108"/>
  <c r="C30" i="108" s="1"/>
  <c r="G23" i="109"/>
  <c r="W22" i="109"/>
  <c r="H22" i="109"/>
  <c r="BK22" i="109" s="1"/>
  <c r="I22" i="109"/>
  <c r="AL100" i="106"/>
  <c r="Y58" i="106"/>
  <c r="BF94" i="78"/>
  <c r="AT87" i="78"/>
  <c r="Y55" i="100"/>
  <c r="AL97" i="100"/>
  <c r="Q22" i="78"/>
  <c r="P22" i="78"/>
  <c r="E27" i="103"/>
  <c r="J26" i="103"/>
  <c r="F26" i="103"/>
  <c r="AZ26" i="103" s="1"/>
  <c r="W55" i="78"/>
  <c r="K15" i="78"/>
  <c r="O15" i="78" s="1"/>
  <c r="M15" i="78" s="1"/>
  <c r="L15" i="78" s="1"/>
  <c r="R15" i="78" s="1"/>
  <c r="J15" i="78"/>
  <c r="V23" i="75"/>
  <c r="U24" i="75"/>
  <c r="U28" i="66"/>
  <c r="G28" i="66"/>
  <c r="F29" i="66"/>
  <c r="AA28" i="66"/>
  <c r="B40" i="107"/>
  <c r="A41" i="107"/>
  <c r="K14" i="66"/>
  <c r="J14" i="66"/>
  <c r="I14" i="66" s="1"/>
  <c r="X14" i="66"/>
  <c r="B37" i="108"/>
  <c r="A38" i="108"/>
  <c r="AU11" i="86"/>
  <c r="V21" i="100"/>
  <c r="U22" i="100"/>
  <c r="BE15" i="78"/>
  <c r="AX15" i="78"/>
  <c r="AW15" i="78" s="1"/>
  <c r="AU15" i="78" s="1"/>
  <c r="AR15" i="78" s="1"/>
  <c r="AT15" i="78"/>
  <c r="AY15" i="78"/>
  <c r="T24" i="78"/>
  <c r="U23" i="78"/>
  <c r="H24" i="106"/>
  <c r="BJ24" i="106" s="1"/>
  <c r="G25" i="106"/>
  <c r="M14" i="105"/>
  <c r="S14" i="105" s="1"/>
  <c r="G23" i="100"/>
  <c r="K22" i="100"/>
  <c r="I22" i="100"/>
  <c r="H22" i="100"/>
  <c r="BJ22" i="100" s="1"/>
  <c r="X50" i="106"/>
  <c r="J15" i="106"/>
  <c r="BK15" i="106"/>
  <c r="K16" i="106"/>
  <c r="BH22" i="86"/>
  <c r="BI21" i="86"/>
  <c r="AP45" i="78"/>
  <c r="AQ44" i="78"/>
  <c r="AP27" i="86"/>
  <c r="AQ26" i="86"/>
  <c r="AT11" i="59"/>
  <c r="L27" i="66"/>
  <c r="N27" i="66"/>
  <c r="M27" i="66"/>
  <c r="L12" i="106"/>
  <c r="M12" i="106" s="1"/>
  <c r="W50" i="91"/>
  <c r="W144" i="91" s="1"/>
  <c r="L15" i="91"/>
  <c r="AP24" i="88"/>
  <c r="AQ23" i="88"/>
  <c r="R20" i="100"/>
  <c r="Q20" i="100"/>
  <c r="J20" i="100" s="1"/>
  <c r="E53" i="110"/>
  <c r="J52" i="110"/>
  <c r="F52" i="110"/>
  <c r="AZ52" i="110" s="1"/>
  <c r="G25" i="86"/>
  <c r="H24" i="86"/>
  <c r="BJ24" i="86" s="1"/>
  <c r="AO22" i="106"/>
  <c r="AM61" i="106"/>
  <c r="Q25" i="106"/>
  <c r="R25" i="106"/>
  <c r="BH22" i="100"/>
  <c r="BI21" i="100"/>
  <c r="BI23" i="88"/>
  <c r="BH24" i="88"/>
  <c r="AY11" i="91"/>
  <c r="AW11" i="91" s="1"/>
  <c r="BK21" i="100"/>
  <c r="X56" i="100"/>
  <c r="N12" i="100"/>
  <c r="AQ28" i="75"/>
  <c r="AP29" i="75"/>
  <c r="U27" i="91"/>
  <c r="V26" i="91"/>
  <c r="AP24" i="100"/>
  <c r="AT23" i="100"/>
  <c r="AQ23" i="100"/>
  <c r="U27" i="106"/>
  <c r="V26" i="106"/>
  <c r="H24" i="75"/>
  <c r="BJ24" i="75" s="1"/>
  <c r="G25" i="75"/>
  <c r="AL98" i="88"/>
  <c r="Y56" i="88"/>
  <c r="H26" i="91"/>
  <c r="BJ26" i="91" s="1"/>
  <c r="G27" i="91"/>
  <c r="M13" i="100"/>
  <c r="S13" i="100" s="1"/>
  <c r="L13" i="100"/>
  <c r="R25" i="91"/>
  <c r="Q25" i="91"/>
  <c r="AO22" i="100"/>
  <c r="AM61" i="100"/>
  <c r="AP24" i="106"/>
  <c r="AQ23" i="106"/>
  <c r="AT23" i="106"/>
  <c r="R24" i="88"/>
  <c r="Q24" i="88"/>
  <c r="AY11" i="88"/>
  <c r="AW11" i="88" s="1"/>
  <c r="BC94" i="59"/>
  <c r="AQ87" i="59"/>
  <c r="AM60" i="105"/>
  <c r="AO21" i="105"/>
  <c r="N11" i="59"/>
  <c r="L11" i="59" s="1"/>
  <c r="M12" i="59" s="1"/>
  <c r="BI23" i="75"/>
  <c r="BH24" i="75"/>
  <c r="M12" i="86"/>
  <c r="S12" i="86"/>
  <c r="BI22" i="109"/>
  <c r="BJ21" i="109"/>
  <c r="R21" i="110"/>
  <c r="S20" i="110"/>
  <c r="U23" i="109"/>
  <c r="V22" i="109"/>
  <c r="Q21" i="109"/>
  <c r="R21" i="109"/>
  <c r="BC10" i="110"/>
  <c r="AO10" i="110"/>
  <c r="AL10" i="110" s="1"/>
  <c r="V51" i="111"/>
  <c r="U50" i="111"/>
  <c r="P10" i="111"/>
  <c r="O10" i="111"/>
  <c r="J26" i="111"/>
  <c r="E27" i="111"/>
  <c r="F26" i="111"/>
  <c r="AZ26" i="111" s="1"/>
  <c r="I10" i="111"/>
  <c r="N10" i="111"/>
  <c r="L10" i="111" s="1"/>
  <c r="AT10" i="111"/>
  <c r="AR10" i="111" s="1"/>
  <c r="AX24" i="111"/>
  <c r="R20" i="94"/>
  <c r="Q20" i="94"/>
  <c r="U22" i="94"/>
  <c r="V21" i="94"/>
  <c r="Z55" i="109"/>
  <c r="AM97" i="109"/>
  <c r="K10" i="109"/>
  <c r="M10" i="109" s="1"/>
  <c r="S10" i="109" s="1"/>
  <c r="L11" i="109" s="1"/>
  <c r="AT14" i="109"/>
  <c r="AN53" i="109"/>
  <c r="AU15" i="109"/>
  <c r="AP14" i="109"/>
  <c r="K10" i="110"/>
  <c r="Q10" i="110" s="1"/>
  <c r="AV10" i="112"/>
  <c r="AU10" i="112"/>
  <c r="E25" i="112"/>
  <c r="J24" i="112"/>
  <c r="F24" i="112"/>
  <c r="AZ24" i="112" s="1"/>
  <c r="AX24" i="112"/>
  <c r="AK51" i="112"/>
  <c r="BA10" i="112"/>
  <c r="AM26" i="112"/>
  <c r="AN25" i="112"/>
  <c r="Q10" i="112"/>
  <c r="K11" i="94"/>
  <c r="BL11" i="94" s="1"/>
  <c r="BJ22" i="94"/>
  <c r="BI23" i="94"/>
  <c r="AM99" i="94"/>
  <c r="Z57" i="94"/>
  <c r="W22" i="94"/>
  <c r="G23" i="94"/>
  <c r="H22" i="94"/>
  <c r="BK22" i="94" s="1"/>
  <c r="I22" i="94"/>
  <c r="AR22" i="94"/>
  <c r="AQ23" i="94"/>
  <c r="BH11" i="109"/>
  <c r="J11" i="94"/>
  <c r="P11" i="94"/>
  <c r="AZ11" i="94"/>
  <c r="AX11" i="94" s="1"/>
  <c r="BB57" i="103"/>
  <c r="AI52" i="103"/>
  <c r="AP11" i="103"/>
  <c r="AY11" i="103"/>
  <c r="AP18" i="94"/>
  <c r="AT18" i="94"/>
  <c r="AN57" i="94"/>
  <c r="AU19" i="94"/>
  <c r="P9" i="61"/>
  <c r="T39" i="61"/>
  <c r="AU16" i="106" l="1"/>
  <c r="AY16" i="106" s="1"/>
  <c r="BL61" i="106"/>
  <c r="K16" i="78"/>
  <c r="O16" i="78" s="1"/>
  <c r="M16" i="78" s="1"/>
  <c r="N17" i="78" s="1"/>
  <c r="W56" i="78"/>
  <c r="S12" i="106"/>
  <c r="E33" i="107"/>
  <c r="C34" i="107"/>
  <c r="F33" i="107"/>
  <c r="G33" i="107"/>
  <c r="D33" i="107" s="1"/>
  <c r="AU19" i="105"/>
  <c r="AY19" i="105" s="1"/>
  <c r="BL64" i="105"/>
  <c r="AO15" i="78"/>
  <c r="AO7" i="78" s="1"/>
  <c r="AM54" i="78"/>
  <c r="AR109" i="78"/>
  <c r="D44" i="78" s="1"/>
  <c r="AC51" i="78" s="1"/>
  <c r="AB51" i="78" s="1"/>
  <c r="R26" i="91"/>
  <c r="Q26" i="91"/>
  <c r="T14" i="66"/>
  <c r="S14" i="66"/>
  <c r="AR11" i="59"/>
  <c r="X51" i="106"/>
  <c r="BK16" i="106"/>
  <c r="J16" i="106"/>
  <c r="K17" i="106"/>
  <c r="M13" i="86"/>
  <c r="S13" i="86"/>
  <c r="AP30" i="75"/>
  <c r="AQ29" i="75"/>
  <c r="G26" i="86"/>
  <c r="H25" i="86"/>
  <c r="BJ25" i="86" s="1"/>
  <c r="X57" i="100"/>
  <c r="BK22" i="100"/>
  <c r="Q23" i="78"/>
  <c r="P23" i="78"/>
  <c r="M28" i="66"/>
  <c r="L28" i="66"/>
  <c r="N28" i="66"/>
  <c r="AU12" i="100"/>
  <c r="BH23" i="106"/>
  <c r="BI22" i="106"/>
  <c r="U27" i="88"/>
  <c r="V26" i="88"/>
  <c r="X54" i="105"/>
  <c r="J19" i="105"/>
  <c r="BK19" i="105"/>
  <c r="K20" i="105"/>
  <c r="K16" i="75"/>
  <c r="L14" i="100"/>
  <c r="P14" i="100" s="1"/>
  <c r="N14" i="100" s="1"/>
  <c r="W49" i="100"/>
  <c r="BI15" i="78"/>
  <c r="X55" i="78"/>
  <c r="Y57" i="88"/>
  <c r="AL99" i="88"/>
  <c r="BI22" i="86"/>
  <c r="BH23" i="86"/>
  <c r="V27" i="91"/>
  <c r="U28" i="91"/>
  <c r="R21" i="100"/>
  <c r="Q21" i="100"/>
  <c r="J21" i="100" s="1"/>
  <c r="U29" i="66"/>
  <c r="AA29" i="66"/>
  <c r="F30" i="66"/>
  <c r="G29" i="66"/>
  <c r="AL98" i="100"/>
  <c r="Y56" i="100"/>
  <c r="R26" i="106"/>
  <c r="Q26" i="106"/>
  <c r="AT11" i="91"/>
  <c r="AP25" i="88"/>
  <c r="AQ24" i="88"/>
  <c r="AP28" i="86"/>
  <c r="AQ27" i="86"/>
  <c r="G24" i="100"/>
  <c r="I23" i="100"/>
  <c r="K23" i="100"/>
  <c r="H23" i="100"/>
  <c r="BJ23" i="100" s="1"/>
  <c r="U24" i="78"/>
  <c r="T25" i="78"/>
  <c r="R14" i="66"/>
  <c r="P14" i="66" s="1"/>
  <c r="H14" i="66" s="1"/>
  <c r="AT23" i="105"/>
  <c r="AP24" i="105"/>
  <c r="AQ23" i="105"/>
  <c r="R21" i="105"/>
  <c r="Q21" i="105"/>
  <c r="W89" i="66"/>
  <c r="O88" i="66"/>
  <c r="R25" i="88"/>
  <c r="Q25" i="88"/>
  <c r="P15" i="91"/>
  <c r="V24" i="75"/>
  <c r="U25" i="75"/>
  <c r="AM61" i="105"/>
  <c r="AO22" i="105"/>
  <c r="Q81" i="61"/>
  <c r="J80" i="61"/>
  <c r="U23" i="105"/>
  <c r="V22" i="105"/>
  <c r="AO23" i="100"/>
  <c r="AM62" i="100"/>
  <c r="BH25" i="75"/>
  <c r="BI24" i="75"/>
  <c r="H27" i="91"/>
  <c r="BJ27" i="91" s="1"/>
  <c r="G28" i="91"/>
  <c r="V27" i="106"/>
  <c r="U28" i="106"/>
  <c r="BH25" i="88"/>
  <c r="BI24" i="88"/>
  <c r="L15" i="105"/>
  <c r="P15" i="105" s="1"/>
  <c r="N15" i="105" s="1"/>
  <c r="W50" i="105"/>
  <c r="AQ88" i="59"/>
  <c r="BC95" i="59"/>
  <c r="AM62" i="106"/>
  <c r="AO23" i="106"/>
  <c r="P13" i="100"/>
  <c r="AY11" i="86"/>
  <c r="AW11" i="86" s="1"/>
  <c r="B41" i="107"/>
  <c r="A42" i="107"/>
  <c r="R23" i="75"/>
  <c r="Q23" i="75"/>
  <c r="E28" i="103"/>
  <c r="J27" i="103"/>
  <c r="F27" i="103"/>
  <c r="AZ27" i="103" s="1"/>
  <c r="AT88" i="78"/>
  <c r="BF95" i="78"/>
  <c r="G24" i="109"/>
  <c r="W23" i="109"/>
  <c r="H23" i="109"/>
  <c r="BK23" i="109" s="1"/>
  <c r="I23" i="109"/>
  <c r="Y59" i="75"/>
  <c r="AL101" i="75"/>
  <c r="Y56" i="86"/>
  <c r="AL98" i="86"/>
  <c r="BH24" i="105"/>
  <c r="BI23" i="105"/>
  <c r="BI25" i="91"/>
  <c r="BH26" i="91"/>
  <c r="G25" i="78"/>
  <c r="H24" i="78"/>
  <c r="BH30" i="78" s="1"/>
  <c r="G30" i="108"/>
  <c r="E30" i="108"/>
  <c r="F30" i="108"/>
  <c r="D51" i="78"/>
  <c r="E46" i="78"/>
  <c r="G24" i="88"/>
  <c r="H23" i="88"/>
  <c r="BJ23" i="88" s="1"/>
  <c r="V68" i="59"/>
  <c r="AI98" i="59"/>
  <c r="P15" i="88"/>
  <c r="AT11" i="88"/>
  <c r="AP25" i="106"/>
  <c r="AQ24" i="106"/>
  <c r="AT24" i="106"/>
  <c r="AP25" i="100"/>
  <c r="AT24" i="100"/>
  <c r="AQ24" i="100"/>
  <c r="BI22" i="100"/>
  <c r="BH23" i="100"/>
  <c r="E54" i="110"/>
  <c r="J53" i="110"/>
  <c r="F53" i="110"/>
  <c r="AZ53" i="110" s="1"/>
  <c r="H25" i="106"/>
  <c r="BJ25" i="106" s="1"/>
  <c r="G26" i="106"/>
  <c r="BG16" i="78"/>
  <c r="AS16" i="78"/>
  <c r="N16" i="78"/>
  <c r="Y63" i="105"/>
  <c r="AL105" i="105"/>
  <c r="I11" i="59"/>
  <c r="K11" i="59"/>
  <c r="AV16" i="78"/>
  <c r="AL101" i="106"/>
  <c r="Y59" i="106"/>
  <c r="AL107" i="78"/>
  <c r="Y70" i="78"/>
  <c r="AL101" i="91"/>
  <c r="Y59" i="91"/>
  <c r="R22" i="86"/>
  <c r="Q22" i="86"/>
  <c r="AP26" i="91"/>
  <c r="AQ25" i="91"/>
  <c r="AN144" i="109"/>
  <c r="AP105" i="109"/>
  <c r="AU12" i="75"/>
  <c r="AY12" i="75" s="1"/>
  <c r="AW12" i="75" s="1"/>
  <c r="AT12" i="75" s="1"/>
  <c r="AP46" i="78"/>
  <c r="AQ45" i="78"/>
  <c r="A39" i="108"/>
  <c r="B38" i="108"/>
  <c r="U23" i="100"/>
  <c r="V22" i="100"/>
  <c r="G26" i="75"/>
  <c r="H25" i="75"/>
  <c r="BJ25" i="75" s="1"/>
  <c r="P12" i="106"/>
  <c r="N12" i="106" s="1"/>
  <c r="I24" i="105"/>
  <c r="H24" i="105"/>
  <c r="BJ24" i="105" s="1"/>
  <c r="G25" i="105"/>
  <c r="U24" i="86"/>
  <c r="V23" i="86"/>
  <c r="AU106" i="109"/>
  <c r="AQ107" i="109"/>
  <c r="AR106" i="109"/>
  <c r="BJ22" i="109"/>
  <c r="BI23" i="109"/>
  <c r="R22" i="110"/>
  <c r="S21" i="110"/>
  <c r="U24" i="109"/>
  <c r="V23" i="109"/>
  <c r="Q22" i="109"/>
  <c r="R22" i="109"/>
  <c r="AJ51" i="110"/>
  <c r="AQ10" i="110"/>
  <c r="AW10" i="110" s="1"/>
  <c r="AY11" i="110" s="1"/>
  <c r="G10" i="111"/>
  <c r="M11" i="111"/>
  <c r="BC10" i="111"/>
  <c r="AO10" i="111"/>
  <c r="AQ10" i="111"/>
  <c r="J27" i="111"/>
  <c r="E28" i="111"/>
  <c r="F27" i="111"/>
  <c r="AZ27" i="111" s="1"/>
  <c r="K10" i="111"/>
  <c r="AX25" i="111"/>
  <c r="AS11" i="111"/>
  <c r="M11" i="94"/>
  <c r="Y46" i="94"/>
  <c r="Q21" i="94"/>
  <c r="R21" i="94"/>
  <c r="V22" i="94"/>
  <c r="U23" i="94"/>
  <c r="Z56" i="109"/>
  <c r="AM98" i="109"/>
  <c r="BL10" i="109"/>
  <c r="J10" i="109"/>
  <c r="Y45" i="109"/>
  <c r="AI52" i="110"/>
  <c r="AK52" i="110" s="1"/>
  <c r="P11" i="109"/>
  <c r="N11" i="109" s="1"/>
  <c r="H11" i="110"/>
  <c r="I11" i="110" s="1"/>
  <c r="T52" i="110"/>
  <c r="AU16" i="109"/>
  <c r="AP15" i="109"/>
  <c r="AT15" i="109"/>
  <c r="AN54" i="109"/>
  <c r="K11" i="109"/>
  <c r="AM27" i="112"/>
  <c r="AN26" i="112"/>
  <c r="AX25" i="112"/>
  <c r="J25" i="112"/>
  <c r="E26" i="112"/>
  <c r="F25" i="112"/>
  <c r="AZ25" i="112" s="1"/>
  <c r="T52" i="112"/>
  <c r="H11" i="112"/>
  <c r="S11" i="112"/>
  <c r="AT10" i="112"/>
  <c r="AR10" i="112" s="1"/>
  <c r="BI24" i="94"/>
  <c r="BJ23" i="94"/>
  <c r="AQ24" i="94"/>
  <c r="AR23" i="94"/>
  <c r="G24" i="94"/>
  <c r="W23" i="94"/>
  <c r="H23" i="94"/>
  <c r="BK23" i="94" s="1"/>
  <c r="I23" i="94"/>
  <c r="Z58" i="94"/>
  <c r="AM100" i="94"/>
  <c r="AV12" i="109"/>
  <c r="AW11" i="94"/>
  <c r="AV11" i="103"/>
  <c r="AU11" i="103"/>
  <c r="AT11" i="103" s="1"/>
  <c r="AU20" i="94"/>
  <c r="AP19" i="94"/>
  <c r="AN58" i="94"/>
  <c r="AT19" i="94"/>
  <c r="S11" i="94"/>
  <c r="L12" i="94" s="1"/>
  <c r="AK52" i="103"/>
  <c r="N11" i="94"/>
  <c r="I10" i="61"/>
  <c r="S40" i="61"/>
  <c r="R10" i="61"/>
  <c r="M14" i="100" l="1"/>
  <c r="S14" i="100" s="1"/>
  <c r="W50" i="100" s="1"/>
  <c r="AM51" i="75"/>
  <c r="AS12" i="75"/>
  <c r="AO12" i="75"/>
  <c r="AP106" i="109"/>
  <c r="AN145" i="109"/>
  <c r="Y64" i="105"/>
  <c r="AL106" i="105"/>
  <c r="J28" i="103"/>
  <c r="E29" i="103"/>
  <c r="F28" i="103"/>
  <c r="AZ28" i="103" s="1"/>
  <c r="AM50" i="88"/>
  <c r="AO11" i="88"/>
  <c r="AS11" i="88"/>
  <c r="N13" i="100"/>
  <c r="V28" i="106"/>
  <c r="U29" i="106"/>
  <c r="V23" i="105"/>
  <c r="U24" i="105"/>
  <c r="U25" i="78"/>
  <c r="T26" i="78"/>
  <c r="BK17" i="106"/>
  <c r="X52" i="106"/>
  <c r="J17" i="106"/>
  <c r="K18" i="106"/>
  <c r="U58" i="59"/>
  <c r="Q11" i="59"/>
  <c r="G27" i="106"/>
  <c r="H26" i="106"/>
  <c r="BJ26" i="106" s="1"/>
  <c r="AP26" i="106"/>
  <c r="AQ25" i="106"/>
  <c r="AT25" i="106"/>
  <c r="AQ108" i="109"/>
  <c r="AU107" i="109"/>
  <c r="AR107" i="109"/>
  <c r="H26" i="75"/>
  <c r="BJ26" i="75" s="1"/>
  <c r="G27" i="75"/>
  <c r="AV12" i="75"/>
  <c r="Y57" i="86"/>
  <c r="AL99" i="86"/>
  <c r="A43" i="107"/>
  <c r="B42" i="107"/>
  <c r="Q27" i="106"/>
  <c r="R27" i="106"/>
  <c r="BH26" i="75"/>
  <c r="BI25" i="75"/>
  <c r="N15" i="91"/>
  <c r="P24" i="78"/>
  <c r="Q24" i="78"/>
  <c r="AP29" i="86"/>
  <c r="AQ28" i="86"/>
  <c r="AL99" i="100"/>
  <c r="Y57" i="100"/>
  <c r="BK16" i="75"/>
  <c r="J16" i="75"/>
  <c r="X51" i="75"/>
  <c r="BI23" i="106"/>
  <c r="BH24" i="106"/>
  <c r="Q82" i="61"/>
  <c r="J81" i="61"/>
  <c r="V28" i="91"/>
  <c r="U29" i="91"/>
  <c r="X55" i="105"/>
  <c r="J20" i="105"/>
  <c r="BK20" i="105"/>
  <c r="K21" i="105"/>
  <c r="AM148" i="78"/>
  <c r="AN148" i="78"/>
  <c r="D56" i="78" s="1"/>
  <c r="E34" i="107"/>
  <c r="G34" i="107" s="1"/>
  <c r="D34" i="107" s="1"/>
  <c r="C35" i="107" s="1"/>
  <c r="F34" i="107"/>
  <c r="AP25" i="105"/>
  <c r="AQ24" i="105"/>
  <c r="AT24" i="105"/>
  <c r="U24" i="100"/>
  <c r="V23" i="100"/>
  <c r="BF11" i="59"/>
  <c r="AY16" i="78"/>
  <c r="AX16" i="78"/>
  <c r="AT16" i="78"/>
  <c r="BE16" i="78"/>
  <c r="AT25" i="100"/>
  <c r="AP26" i="100"/>
  <c r="AQ25" i="100"/>
  <c r="N15" i="88"/>
  <c r="D30" i="108"/>
  <c r="C31" i="108" s="1"/>
  <c r="G26" i="78"/>
  <c r="H25" i="78"/>
  <c r="BH31" i="78" s="1"/>
  <c r="Y60" i="75"/>
  <c r="AL102" i="75"/>
  <c r="AM62" i="105"/>
  <c r="AO23" i="105"/>
  <c r="AP26" i="88"/>
  <c r="AQ25" i="88"/>
  <c r="Q27" i="91"/>
  <c r="R27" i="91"/>
  <c r="H26" i="86"/>
  <c r="BJ26" i="86" s="1"/>
  <c r="G27" i="86"/>
  <c r="D57" i="78"/>
  <c r="BL33" i="78"/>
  <c r="M16" i="75"/>
  <c r="S16" i="75" s="1"/>
  <c r="R22" i="100"/>
  <c r="Q22" i="100"/>
  <c r="J22" i="100" s="1"/>
  <c r="AL108" i="78"/>
  <c r="Y71" i="78"/>
  <c r="AO24" i="106"/>
  <c r="AM63" i="106"/>
  <c r="BH27" i="91"/>
  <c r="BI26" i="91"/>
  <c r="AT11" i="86"/>
  <c r="AV11" i="86"/>
  <c r="BK23" i="100"/>
  <c r="X58" i="100"/>
  <c r="AM50" i="91"/>
  <c r="AS11" i="91"/>
  <c r="AO11" i="91"/>
  <c r="L29" i="66"/>
  <c r="N29" i="66"/>
  <c r="M29" i="66"/>
  <c r="BI23" i="86"/>
  <c r="BH24" i="86"/>
  <c r="AY12" i="100"/>
  <c r="AW12" i="100" s="1"/>
  <c r="AO11" i="59"/>
  <c r="AQ11" i="59"/>
  <c r="L13" i="106"/>
  <c r="M13" i="106"/>
  <c r="S13" i="106" s="1"/>
  <c r="AL102" i="91"/>
  <c r="Y60" i="91"/>
  <c r="AM63" i="100"/>
  <c r="AO24" i="100"/>
  <c r="AT89" i="78"/>
  <c r="BF96" i="78"/>
  <c r="Q23" i="86"/>
  <c r="R23" i="86"/>
  <c r="B39" i="108"/>
  <c r="A40" i="108"/>
  <c r="V69" i="59"/>
  <c r="AI99" i="59"/>
  <c r="G25" i="88"/>
  <c r="H24" i="88"/>
  <c r="BJ24" i="88" s="1"/>
  <c r="BA19" i="91"/>
  <c r="M15" i="105"/>
  <c r="S15" i="105" s="1"/>
  <c r="AV11" i="91"/>
  <c r="U30" i="66"/>
  <c r="F31" i="66"/>
  <c r="G30" i="66"/>
  <c r="AA30" i="66"/>
  <c r="AS12" i="59"/>
  <c r="AQ30" i="75"/>
  <c r="AP31" i="75"/>
  <c r="Q15" i="66"/>
  <c r="AV16" i="106"/>
  <c r="BG16" i="106" s="1"/>
  <c r="U25" i="86"/>
  <c r="V24" i="86"/>
  <c r="BC96" i="59"/>
  <c r="AQ89" i="59"/>
  <c r="G29" i="91"/>
  <c r="H28" i="91"/>
  <c r="BJ28" i="91" s="1"/>
  <c r="V25" i="75"/>
  <c r="U26" i="75"/>
  <c r="L15" i="100"/>
  <c r="P15" i="100" s="1"/>
  <c r="N15" i="100" s="1"/>
  <c r="Q26" i="88"/>
  <c r="R26" i="88"/>
  <c r="S14" i="86"/>
  <c r="M14" i="86"/>
  <c r="Y60" i="106"/>
  <c r="AL102" i="106"/>
  <c r="E55" i="110"/>
  <c r="J54" i="110"/>
  <c r="F54" i="110"/>
  <c r="AZ54" i="110" s="1"/>
  <c r="O89" i="66"/>
  <c r="W90" i="66"/>
  <c r="H25" i="105"/>
  <c r="BJ25" i="105" s="1"/>
  <c r="I25" i="105"/>
  <c r="G26" i="105"/>
  <c r="AP47" i="78"/>
  <c r="AQ46" i="78"/>
  <c r="AP27" i="91"/>
  <c r="AQ26" i="91"/>
  <c r="BI23" i="100"/>
  <c r="BH24" i="100"/>
  <c r="AV11" i="88"/>
  <c r="D53" i="78"/>
  <c r="D54" i="78" s="1"/>
  <c r="D52" i="78"/>
  <c r="BH25" i="105"/>
  <c r="BI24" i="105"/>
  <c r="W24" i="109"/>
  <c r="G25" i="109"/>
  <c r="H24" i="109"/>
  <c r="BK24" i="109" s="1"/>
  <c r="I24" i="109"/>
  <c r="BH26" i="88"/>
  <c r="BI25" i="88"/>
  <c r="R22" i="105"/>
  <c r="Q22" i="105"/>
  <c r="R24" i="75"/>
  <c r="Q24" i="75"/>
  <c r="O14" i="66"/>
  <c r="K24" i="100"/>
  <c r="G25" i="100"/>
  <c r="I24" i="100"/>
  <c r="H24" i="100"/>
  <c r="BJ24" i="100" s="1"/>
  <c r="AL100" i="88"/>
  <c r="Y58" i="88"/>
  <c r="U28" i="88"/>
  <c r="V27" i="88"/>
  <c r="J16" i="78"/>
  <c r="BJ23" i="109"/>
  <c r="BI24" i="109"/>
  <c r="R23" i="110"/>
  <c r="S22" i="110"/>
  <c r="BB57" i="110"/>
  <c r="AP11" i="110"/>
  <c r="Q23" i="109"/>
  <c r="R23" i="109"/>
  <c r="V24" i="109"/>
  <c r="U25" i="109"/>
  <c r="J28" i="111"/>
  <c r="E29" i="111"/>
  <c r="F28" i="111"/>
  <c r="AZ28" i="111" s="1"/>
  <c r="Q10" i="111"/>
  <c r="AW10" i="111"/>
  <c r="BA10" i="111"/>
  <c r="AL10" i="111"/>
  <c r="AJ51" i="111"/>
  <c r="AX26" i="111"/>
  <c r="V23" i="94"/>
  <c r="U24" i="94"/>
  <c r="Q22" i="94"/>
  <c r="R22" i="94"/>
  <c r="Z57" i="109"/>
  <c r="AM99" i="109"/>
  <c r="AU11" i="110"/>
  <c r="AV11" i="110"/>
  <c r="BL11" i="109"/>
  <c r="J11" i="109"/>
  <c r="Y46" i="109"/>
  <c r="M11" i="109"/>
  <c r="S11" i="109" s="1"/>
  <c r="L12" i="109" s="1"/>
  <c r="AN55" i="109"/>
  <c r="AT16" i="109"/>
  <c r="AU17" i="109"/>
  <c r="AP16" i="109"/>
  <c r="V52" i="110"/>
  <c r="U51" i="110"/>
  <c r="P11" i="110"/>
  <c r="O11" i="110"/>
  <c r="N11" i="110" s="1"/>
  <c r="L11" i="110" s="1"/>
  <c r="M12" i="110" s="1"/>
  <c r="P11" i="112"/>
  <c r="O11" i="112"/>
  <c r="AO10" i="112"/>
  <c r="AQ10" i="112" s="1"/>
  <c r="BC10" i="112"/>
  <c r="AX26" i="112"/>
  <c r="AS11" i="112"/>
  <c r="I11" i="112"/>
  <c r="V52" i="112"/>
  <c r="U51" i="112"/>
  <c r="AM28" i="112"/>
  <c r="AN27" i="112"/>
  <c r="J26" i="112"/>
  <c r="E27" i="112"/>
  <c r="F26" i="112"/>
  <c r="AZ26" i="112" s="1"/>
  <c r="G10" i="103"/>
  <c r="BJ24" i="94"/>
  <c r="BI25" i="94"/>
  <c r="Z59" i="94"/>
  <c r="AM101" i="94"/>
  <c r="W24" i="94"/>
  <c r="G25" i="94"/>
  <c r="H24" i="94"/>
  <c r="BK24" i="94" s="1"/>
  <c r="I24" i="94"/>
  <c r="AR24" i="94"/>
  <c r="AQ25" i="94"/>
  <c r="AZ12" i="109"/>
  <c r="AX12" i="109" s="1"/>
  <c r="AR11" i="103"/>
  <c r="BC11" i="103" s="1"/>
  <c r="AU21" i="94"/>
  <c r="AN59" i="94"/>
  <c r="AT20" i="94"/>
  <c r="AP20" i="94"/>
  <c r="K12" i="94"/>
  <c r="BH11" i="94"/>
  <c r="N10" i="61"/>
  <c r="M10" i="61" s="1"/>
  <c r="K10" i="61" s="1"/>
  <c r="O10" i="61"/>
  <c r="M15" i="100" l="1"/>
  <c r="S15" i="100" s="1"/>
  <c r="L16" i="100" s="1"/>
  <c r="P16" i="100" s="1"/>
  <c r="N16" i="100" s="1"/>
  <c r="L14" i="106"/>
  <c r="P14" i="106" s="1"/>
  <c r="N14" i="106" s="1"/>
  <c r="M14" i="106"/>
  <c r="S14" i="106" s="1"/>
  <c r="F35" i="107"/>
  <c r="E35" i="107"/>
  <c r="G35" i="107" s="1"/>
  <c r="D35" i="107" s="1"/>
  <c r="C36" i="107" s="1"/>
  <c r="E56" i="110"/>
  <c r="J55" i="110"/>
  <c r="F55" i="110"/>
  <c r="AZ55" i="110" s="1"/>
  <c r="BC97" i="59"/>
  <c r="AQ90" i="59"/>
  <c r="BH25" i="86"/>
  <c r="BI24" i="86"/>
  <c r="BI27" i="91"/>
  <c r="BH28" i="91"/>
  <c r="M17" i="75"/>
  <c r="S17" i="75"/>
  <c r="L17" i="75"/>
  <c r="P17" i="75" s="1"/>
  <c r="N17" i="75" s="1"/>
  <c r="K17" i="75"/>
  <c r="W52" i="75"/>
  <c r="BG17" i="78"/>
  <c r="AS17" i="78"/>
  <c r="AO24" i="105"/>
  <c r="AM63" i="105"/>
  <c r="AP30" i="86"/>
  <c r="AQ29" i="86"/>
  <c r="Q23" i="105"/>
  <c r="R23" i="105"/>
  <c r="BI16" i="78"/>
  <c r="X56" i="78"/>
  <c r="AQ27" i="91"/>
  <c r="AP28" i="91"/>
  <c r="L16" i="105"/>
  <c r="M16" i="105" s="1"/>
  <c r="S16" i="105" s="1"/>
  <c r="W51" i="105"/>
  <c r="BI25" i="105"/>
  <c r="BH26" i="105"/>
  <c r="R24" i="86"/>
  <c r="Q24" i="86"/>
  <c r="G26" i="88"/>
  <c r="H25" i="88"/>
  <c r="BJ25" i="88" s="1"/>
  <c r="AL103" i="75"/>
  <c r="Y61" i="75"/>
  <c r="G27" i="78"/>
  <c r="H26" i="78"/>
  <c r="BH32" i="78" s="1"/>
  <c r="BK21" i="105"/>
  <c r="J21" i="105"/>
  <c r="X56" i="105"/>
  <c r="K22" i="105"/>
  <c r="Q83" i="61"/>
  <c r="J82" i="61"/>
  <c r="AL107" i="105"/>
  <c r="Y65" i="105"/>
  <c r="Y59" i="88"/>
  <c r="AL101" i="88"/>
  <c r="G26" i="100"/>
  <c r="I25" i="100"/>
  <c r="K25" i="100"/>
  <c r="H25" i="100"/>
  <c r="BJ25" i="100" s="1"/>
  <c r="BA19" i="88"/>
  <c r="AP48" i="78"/>
  <c r="AQ47" i="78"/>
  <c r="W91" i="66"/>
  <c r="O90" i="66"/>
  <c r="Y61" i="106"/>
  <c r="AL103" i="106"/>
  <c r="H29" i="91"/>
  <c r="BJ29" i="91" s="1"/>
  <c r="G30" i="91"/>
  <c r="V25" i="86"/>
  <c r="U26" i="86"/>
  <c r="B43" i="107"/>
  <c r="A44" i="107"/>
  <c r="AP107" i="109"/>
  <c r="AN146" i="109"/>
  <c r="V14" i="66"/>
  <c r="Z14" i="66"/>
  <c r="W25" i="109"/>
  <c r="G26" i="109"/>
  <c r="H25" i="109"/>
  <c r="BK25" i="109" s="1"/>
  <c r="I25" i="109"/>
  <c r="Q27" i="88"/>
  <c r="R27" i="88"/>
  <c r="BF97" i="78"/>
  <c r="AT90" i="78"/>
  <c r="E31" i="108"/>
  <c r="F31" i="108"/>
  <c r="G31" i="108"/>
  <c r="D31" i="108" s="1"/>
  <c r="C32" i="108" s="1"/>
  <c r="AT25" i="105"/>
  <c r="AQ25" i="105"/>
  <c r="AP26" i="105"/>
  <c r="AW16" i="78"/>
  <c r="AU16" i="78" s="1"/>
  <c r="AR16" i="78" s="1"/>
  <c r="U29" i="88"/>
  <c r="V28" i="88"/>
  <c r="X59" i="100"/>
  <c r="BK24" i="100"/>
  <c r="BH27" i="88"/>
  <c r="BI26" i="88"/>
  <c r="G27" i="105"/>
  <c r="H26" i="105"/>
  <c r="BJ26" i="105" s="1"/>
  <c r="I26" i="105"/>
  <c r="U27" i="75"/>
  <c r="V26" i="75"/>
  <c r="AU17" i="106"/>
  <c r="BL62" i="106"/>
  <c r="AV17" i="106"/>
  <c r="BG17" i="106"/>
  <c r="V70" i="59"/>
  <c r="AI100" i="59"/>
  <c r="P13" i="106"/>
  <c r="N13" i="106" s="1"/>
  <c r="L16" i="78"/>
  <c r="R16" i="78" s="1"/>
  <c r="AU108" i="109"/>
  <c r="AR108" i="109"/>
  <c r="H27" i="106"/>
  <c r="BJ27" i="106" s="1"/>
  <c r="G28" i="106"/>
  <c r="V29" i="106"/>
  <c r="U30" i="106"/>
  <c r="BG11" i="88"/>
  <c r="L15" i="86"/>
  <c r="W50" i="86"/>
  <c r="R25" i="75"/>
  <c r="Q25" i="75"/>
  <c r="M30" i="66"/>
  <c r="N30" i="66"/>
  <c r="L30" i="66"/>
  <c r="B40" i="108"/>
  <c r="A41" i="108"/>
  <c r="BB11" i="59"/>
  <c r="BG11" i="86"/>
  <c r="AL109" i="78"/>
  <c r="Y72" i="78"/>
  <c r="AQ26" i="88"/>
  <c r="AP27" i="88"/>
  <c r="K15" i="88"/>
  <c r="K15" i="91"/>
  <c r="M15" i="91"/>
  <c r="S15" i="91" s="1"/>
  <c r="Y58" i="86"/>
  <c r="AL100" i="86"/>
  <c r="AM64" i="106"/>
  <c r="AO25" i="106"/>
  <c r="J12" i="59"/>
  <c r="T59" i="59"/>
  <c r="S12" i="59"/>
  <c r="R28" i="106"/>
  <c r="Q28" i="106"/>
  <c r="BH25" i="100"/>
  <c r="BI24" i="100"/>
  <c r="AP32" i="75"/>
  <c r="AQ31" i="75"/>
  <c r="U31" i="66"/>
  <c r="F32" i="66"/>
  <c r="AA31" i="66"/>
  <c r="G31" i="66"/>
  <c r="AL11" i="59"/>
  <c r="AJ50" i="59"/>
  <c r="AS11" i="86"/>
  <c r="AO11" i="86"/>
  <c r="AM50" i="86"/>
  <c r="BI24" i="106"/>
  <c r="BH25" i="106"/>
  <c r="AL100" i="100"/>
  <c r="Y58" i="100"/>
  <c r="BA19" i="75"/>
  <c r="BG12" i="75"/>
  <c r="T27" i="78"/>
  <c r="U26" i="78"/>
  <c r="AP27" i="100"/>
  <c r="AT26" i="100"/>
  <c r="AQ26" i="100"/>
  <c r="R23" i="100"/>
  <c r="Q23" i="100"/>
  <c r="J23" i="100" s="1"/>
  <c r="U30" i="91"/>
  <c r="V29" i="91"/>
  <c r="BH27" i="75"/>
  <c r="BI26" i="75"/>
  <c r="AQ26" i="106"/>
  <c r="AP27" i="106"/>
  <c r="AT26" i="106"/>
  <c r="P25" i="78"/>
  <c r="Q25" i="78"/>
  <c r="E30" i="103"/>
  <c r="J29" i="103"/>
  <c r="F29" i="103"/>
  <c r="AZ29" i="103" s="1"/>
  <c r="BG11" i="91"/>
  <c r="AL103" i="91"/>
  <c r="Y61" i="91"/>
  <c r="AV12" i="100"/>
  <c r="BA20" i="91"/>
  <c r="H27" i="86"/>
  <c r="BJ27" i="86" s="1"/>
  <c r="G28" i="86"/>
  <c r="AM64" i="100"/>
  <c r="AO25" i="100"/>
  <c r="V24" i="100"/>
  <c r="U25" i="100"/>
  <c r="R28" i="91"/>
  <c r="Q28" i="91"/>
  <c r="G28" i="75"/>
  <c r="H27" i="75"/>
  <c r="BJ27" i="75" s="1"/>
  <c r="X53" i="106"/>
  <c r="BK18" i="106"/>
  <c r="J18" i="106"/>
  <c r="K19" i="106"/>
  <c r="V24" i="105"/>
  <c r="U25" i="105"/>
  <c r="BJ24" i="109"/>
  <c r="BI25" i="109"/>
  <c r="R24" i="110"/>
  <c r="S23" i="110"/>
  <c r="AT11" i="110"/>
  <c r="AR11" i="110" s="1"/>
  <c r="U26" i="109"/>
  <c r="V25" i="109"/>
  <c r="Q24" i="109"/>
  <c r="R24" i="109"/>
  <c r="E30" i="111"/>
  <c r="J29" i="111"/>
  <c r="F29" i="111"/>
  <c r="AZ29" i="111" s="1"/>
  <c r="BB57" i="111"/>
  <c r="AP11" i="111"/>
  <c r="AY11" i="111"/>
  <c r="AI52" i="111"/>
  <c r="AK52" i="111" s="1"/>
  <c r="H11" i="111"/>
  <c r="S11" i="111"/>
  <c r="T52" i="111"/>
  <c r="AX27" i="111"/>
  <c r="V24" i="94"/>
  <c r="U25" i="94"/>
  <c r="Q23" i="94"/>
  <c r="R23" i="94"/>
  <c r="Z58" i="109"/>
  <c r="AM100" i="109"/>
  <c r="P12" i="109"/>
  <c r="N12" i="109" s="1"/>
  <c r="AN56" i="109"/>
  <c r="AU18" i="109"/>
  <c r="AT17" i="109"/>
  <c r="AP17" i="109"/>
  <c r="G11" i="110"/>
  <c r="K11" i="110" s="1"/>
  <c r="Q11" i="110" s="1"/>
  <c r="J27" i="112"/>
  <c r="E28" i="112"/>
  <c r="F27" i="112"/>
  <c r="AZ27" i="112" s="1"/>
  <c r="AW10" i="112"/>
  <c r="AM29" i="112"/>
  <c r="AN28" i="112"/>
  <c r="AX27" i="112"/>
  <c r="N11" i="112"/>
  <c r="L11" i="112" s="1"/>
  <c r="AL10" i="112"/>
  <c r="AJ51" i="112"/>
  <c r="BA10" i="103"/>
  <c r="K10" i="103"/>
  <c r="Q10" i="103" s="1"/>
  <c r="BI26" i="94"/>
  <c r="BJ25" i="94"/>
  <c r="BB19" i="94" s="1"/>
  <c r="AR25" i="94"/>
  <c r="AQ26" i="94"/>
  <c r="G26" i="94"/>
  <c r="W25" i="94"/>
  <c r="H25" i="94"/>
  <c r="BK25" i="94" s="1"/>
  <c r="I25" i="94"/>
  <c r="Z60" i="94"/>
  <c r="AM102" i="94"/>
  <c r="AW12" i="109"/>
  <c r="AO11" i="103"/>
  <c r="AQ11" i="103" s="1"/>
  <c r="AW11" i="103" s="1"/>
  <c r="AS12" i="103"/>
  <c r="AV12" i="94"/>
  <c r="AN60" i="94"/>
  <c r="AU22" i="94"/>
  <c r="AP21" i="94"/>
  <c r="Y47" i="94"/>
  <c r="BL12" i="94"/>
  <c r="J12" i="94"/>
  <c r="P12" i="94"/>
  <c r="M12" i="94"/>
  <c r="H10" i="61"/>
  <c r="J10" i="61" s="1"/>
  <c r="L11" i="61"/>
  <c r="W51" i="100" l="1"/>
  <c r="M15" i="106"/>
  <c r="S15" i="106" s="1"/>
  <c r="L15" i="106"/>
  <c r="P15" i="106" s="1"/>
  <c r="N15" i="106" s="1"/>
  <c r="W50" i="106"/>
  <c r="W144" i="106" s="1"/>
  <c r="L17" i="105"/>
  <c r="P17" i="105" s="1"/>
  <c r="N17" i="105" s="1"/>
  <c r="M17" i="105"/>
  <c r="S17" i="105" s="1"/>
  <c r="W52" i="105"/>
  <c r="F32" i="108"/>
  <c r="G32" i="108"/>
  <c r="E32" i="108"/>
  <c r="E36" i="107"/>
  <c r="F36" i="107"/>
  <c r="G36" i="107" s="1"/>
  <c r="D36" i="107" s="1"/>
  <c r="C37" i="107" s="1"/>
  <c r="AM65" i="106"/>
  <c r="AO26" i="106"/>
  <c r="T28" i="78"/>
  <c r="U27" i="78"/>
  <c r="AU12" i="91"/>
  <c r="AT27" i="106"/>
  <c r="AP28" i="106"/>
  <c r="AQ27" i="106"/>
  <c r="Y59" i="100"/>
  <c r="AL101" i="100"/>
  <c r="X50" i="91"/>
  <c r="BK15" i="91"/>
  <c r="J15" i="91"/>
  <c r="AM64" i="105"/>
  <c r="AO25" i="105"/>
  <c r="H30" i="91"/>
  <c r="BJ30" i="91" s="1"/>
  <c r="G31" i="91"/>
  <c r="AQ48" i="78"/>
  <c r="AP49" i="78"/>
  <c r="G27" i="88"/>
  <c r="H26" i="88"/>
  <c r="BJ26" i="88" s="1"/>
  <c r="BI28" i="91"/>
  <c r="BH29" i="91"/>
  <c r="AP33" i="75"/>
  <c r="AQ32" i="75"/>
  <c r="AU12" i="86"/>
  <c r="G29" i="106"/>
  <c r="H28" i="106"/>
  <c r="BJ28" i="106" s="1"/>
  <c r="V71" i="59"/>
  <c r="AI101" i="59"/>
  <c r="AV17" i="78"/>
  <c r="BF98" i="78"/>
  <c r="AT91" i="78"/>
  <c r="K15" i="66"/>
  <c r="I15" i="66" s="1"/>
  <c r="J15" i="66"/>
  <c r="X15" i="66"/>
  <c r="G27" i="100"/>
  <c r="K26" i="100"/>
  <c r="I26" i="100"/>
  <c r="H26" i="100"/>
  <c r="BJ26" i="100" s="1"/>
  <c r="AQ28" i="91"/>
  <c r="AP29" i="91"/>
  <c r="BA21" i="91"/>
  <c r="AZ21" i="91"/>
  <c r="BC98" i="59"/>
  <c r="AQ91" i="59"/>
  <c r="BH26" i="106"/>
  <c r="BI25" i="106"/>
  <c r="BK15" i="88"/>
  <c r="X50" i="88"/>
  <c r="J15" i="88"/>
  <c r="U27" i="86"/>
  <c r="V26" i="86"/>
  <c r="Q84" i="61"/>
  <c r="J83" i="61"/>
  <c r="AT17" i="78"/>
  <c r="BE17" i="78"/>
  <c r="AY17" i="78"/>
  <c r="AX17" i="78"/>
  <c r="V25" i="105"/>
  <c r="U26" i="105"/>
  <c r="G29" i="75"/>
  <c r="H28" i="75"/>
  <c r="BJ28" i="75" s="1"/>
  <c r="BA20" i="75"/>
  <c r="AU12" i="88"/>
  <c r="AU18" i="106"/>
  <c r="AY18" i="106" s="1"/>
  <c r="BL63" i="106"/>
  <c r="R24" i="105"/>
  <c r="Q24" i="105"/>
  <c r="BI27" i="75"/>
  <c r="BH28" i="75"/>
  <c r="AM65" i="100"/>
  <c r="AO26" i="100"/>
  <c r="AU13" i="75"/>
  <c r="AY13" i="75" s="1"/>
  <c r="AW13" i="75" s="1"/>
  <c r="AT13" i="75" s="1"/>
  <c r="BI25" i="100"/>
  <c r="BH26" i="100"/>
  <c r="M15" i="88"/>
  <c r="S15" i="88" s="1"/>
  <c r="Q28" i="88"/>
  <c r="R28" i="88"/>
  <c r="R25" i="86"/>
  <c r="Q25" i="86"/>
  <c r="AL104" i="106"/>
  <c r="Y62" i="106"/>
  <c r="X57" i="105"/>
  <c r="J22" i="105"/>
  <c r="BK22" i="105"/>
  <c r="K23" i="105"/>
  <c r="BH27" i="105"/>
  <c r="BI26" i="105"/>
  <c r="M16" i="100"/>
  <c r="S16" i="100" s="1"/>
  <c r="N31" i="66"/>
  <c r="L31" i="66"/>
  <c r="M31" i="66"/>
  <c r="H27" i="105"/>
  <c r="BJ27" i="105" s="1"/>
  <c r="G28" i="105"/>
  <c r="I27" i="105"/>
  <c r="V29" i="88"/>
  <c r="U30" i="88"/>
  <c r="BA19" i="105"/>
  <c r="AW19" i="105" s="1"/>
  <c r="AP31" i="86"/>
  <c r="AQ30" i="86"/>
  <c r="BK17" i="75"/>
  <c r="J17" i="75"/>
  <c r="X52" i="75"/>
  <c r="E57" i="110"/>
  <c r="J56" i="110"/>
  <c r="F56" i="110"/>
  <c r="AZ56" i="110" s="1"/>
  <c r="J19" i="106"/>
  <c r="BK19" i="106"/>
  <c r="X54" i="106"/>
  <c r="K20" i="106"/>
  <c r="BG12" i="100"/>
  <c r="J30" i="103"/>
  <c r="E31" i="103"/>
  <c r="F30" i="103"/>
  <c r="AZ30" i="103" s="1"/>
  <c r="AP28" i="100"/>
  <c r="AT27" i="100"/>
  <c r="AQ27" i="100"/>
  <c r="AP12" i="59"/>
  <c r="BD12" i="59"/>
  <c r="BG57" i="59"/>
  <c r="U31" i="106"/>
  <c r="V30" i="106"/>
  <c r="AP108" i="109"/>
  <c r="AN147" i="109"/>
  <c r="U26" i="100"/>
  <c r="V25" i="100"/>
  <c r="AP28" i="88"/>
  <c r="AQ27" i="88"/>
  <c r="Q29" i="106"/>
  <c r="R29" i="106"/>
  <c r="K17" i="78"/>
  <c r="O17" i="78" s="1"/>
  <c r="M17" i="78" s="1"/>
  <c r="J17" i="78" s="1"/>
  <c r="W57" i="78"/>
  <c r="AY17" i="106"/>
  <c r="AO16" i="78"/>
  <c r="AM55" i="78"/>
  <c r="BK25" i="100"/>
  <c r="X60" i="100"/>
  <c r="Y60" i="88"/>
  <c r="AL102" i="88"/>
  <c r="BI25" i="86"/>
  <c r="BH26" i="86"/>
  <c r="Q24" i="100"/>
  <c r="J24" i="100" s="1"/>
  <c r="R24" i="100"/>
  <c r="G29" i="86"/>
  <c r="H28" i="86"/>
  <c r="BJ28" i="86" s="1"/>
  <c r="AL104" i="91"/>
  <c r="Y62" i="91"/>
  <c r="Q29" i="91"/>
  <c r="R29" i="91"/>
  <c r="P26" i="78"/>
  <c r="Q26" i="78"/>
  <c r="G32" i="66"/>
  <c r="F33" i="66"/>
  <c r="U32" i="66"/>
  <c r="AA32" i="66"/>
  <c r="P12" i="59"/>
  <c r="O12" i="59"/>
  <c r="AL101" i="86"/>
  <c r="Y59" i="86"/>
  <c r="B41" i="108"/>
  <c r="A42" i="108"/>
  <c r="P15" i="86"/>
  <c r="R26" i="75"/>
  <c r="Q26" i="75"/>
  <c r="BA20" i="88"/>
  <c r="AQ26" i="105"/>
  <c r="AT26" i="105"/>
  <c r="AP27" i="105"/>
  <c r="W26" i="109"/>
  <c r="G27" i="109"/>
  <c r="H26" i="109"/>
  <c r="BK26" i="109" s="1"/>
  <c r="I26" i="109"/>
  <c r="W92" i="66"/>
  <c r="O91" i="66"/>
  <c r="Y66" i="105"/>
  <c r="AL108" i="105"/>
  <c r="G28" i="78"/>
  <c r="H27" i="78"/>
  <c r="BH33" i="78" s="1"/>
  <c r="P16" i="105"/>
  <c r="N16" i="105" s="1"/>
  <c r="W53" i="75"/>
  <c r="L18" i="75"/>
  <c r="P18" i="75" s="1"/>
  <c r="N18" i="75" s="1"/>
  <c r="U31" i="91"/>
  <c r="V30" i="91"/>
  <c r="L16" i="91"/>
  <c r="W51" i="91"/>
  <c r="AL110" i="78"/>
  <c r="Y73" i="78"/>
  <c r="U28" i="75"/>
  <c r="V27" i="75"/>
  <c r="BI27" i="88"/>
  <c r="BH28" i="88"/>
  <c r="B44" i="107"/>
  <c r="A45" i="107"/>
  <c r="AL104" i="75"/>
  <c r="Y62" i="75"/>
  <c r="BI26" i="109"/>
  <c r="BJ25" i="109"/>
  <c r="BB19" i="109" s="1"/>
  <c r="R25" i="110"/>
  <c r="S24" i="110"/>
  <c r="R25" i="109"/>
  <c r="Q25" i="109"/>
  <c r="V26" i="109"/>
  <c r="U27" i="109"/>
  <c r="V52" i="111"/>
  <c r="U51" i="111"/>
  <c r="O11" i="111"/>
  <c r="P11" i="111"/>
  <c r="AU11" i="111"/>
  <c r="AV11" i="111"/>
  <c r="J30" i="111"/>
  <c r="E31" i="111"/>
  <c r="F30" i="111"/>
  <c r="AZ30" i="111" s="1"/>
  <c r="I11" i="111"/>
  <c r="N11" i="111"/>
  <c r="L11" i="111" s="1"/>
  <c r="AT11" i="111"/>
  <c r="AR11" i="111" s="1"/>
  <c r="AX28" i="111"/>
  <c r="U26" i="94"/>
  <c r="V25" i="94"/>
  <c r="R24" i="94"/>
  <c r="Q24" i="94"/>
  <c r="AM101" i="109"/>
  <c r="Z59" i="109"/>
  <c r="AS12" i="110"/>
  <c r="AO11" i="110"/>
  <c r="BC11" i="110"/>
  <c r="K12" i="109"/>
  <c r="M12" i="109" s="1"/>
  <c r="S12" i="109" s="1"/>
  <c r="L13" i="109" s="1"/>
  <c r="AP18" i="109"/>
  <c r="AU19" i="109"/>
  <c r="AN57" i="109"/>
  <c r="AT18" i="109"/>
  <c r="BA11" i="110"/>
  <c r="AM30" i="112"/>
  <c r="AN29" i="112"/>
  <c r="AX28" i="112"/>
  <c r="AI52" i="112"/>
  <c r="AP11" i="112"/>
  <c r="BB57" i="112"/>
  <c r="AY11" i="112"/>
  <c r="E29" i="112"/>
  <c r="J28" i="112"/>
  <c r="F28" i="112"/>
  <c r="AZ28" i="112" s="1"/>
  <c r="G11" i="112"/>
  <c r="K11" i="112" s="1"/>
  <c r="M12" i="112"/>
  <c r="T52" i="103"/>
  <c r="S11" i="103"/>
  <c r="H11" i="103"/>
  <c r="I11" i="103" s="1"/>
  <c r="BI27" i="94"/>
  <c r="BJ26" i="94"/>
  <c r="BB20" i="94" s="1"/>
  <c r="AM103" i="94"/>
  <c r="Z61" i="94"/>
  <c r="W26" i="94"/>
  <c r="G27" i="94"/>
  <c r="H26" i="94"/>
  <c r="BK26" i="94" s="1"/>
  <c r="I26" i="94"/>
  <c r="AQ27" i="94"/>
  <c r="AR26" i="94"/>
  <c r="AL11" i="103"/>
  <c r="AJ52" i="103"/>
  <c r="BH12" i="109"/>
  <c r="H12" i="110"/>
  <c r="T53" i="110"/>
  <c r="AP22" i="94"/>
  <c r="AU23" i="94"/>
  <c r="AN61" i="94"/>
  <c r="N12" i="94"/>
  <c r="S12" i="94"/>
  <c r="L13" i="94" s="1"/>
  <c r="AZ12" i="94"/>
  <c r="AX12" i="94" s="1"/>
  <c r="AP12" i="103"/>
  <c r="AI53" i="103"/>
  <c r="BB58" i="103"/>
  <c r="AY12" i="103"/>
  <c r="P10" i="61"/>
  <c r="T40" i="61"/>
  <c r="M18" i="75" l="1"/>
  <c r="S18" i="75" s="1"/>
  <c r="M16" i="106"/>
  <c r="S16" i="106" s="1"/>
  <c r="L16" i="106"/>
  <c r="P16" i="106" s="1"/>
  <c r="N16" i="106" s="1"/>
  <c r="W51" i="106"/>
  <c r="X57" i="78"/>
  <c r="BI17" i="78"/>
  <c r="L17" i="78"/>
  <c r="R17" i="78" s="1"/>
  <c r="AS13" i="75"/>
  <c r="AO13" i="75"/>
  <c r="AM52" i="75"/>
  <c r="AV13" i="75"/>
  <c r="L18" i="105"/>
  <c r="M18" i="105" s="1"/>
  <c r="S18" i="105" s="1"/>
  <c r="W53" i="105"/>
  <c r="F37" i="107"/>
  <c r="G37" i="107" s="1"/>
  <c r="D37" i="107" s="1"/>
  <c r="C38" i="107" s="1"/>
  <c r="E37" i="107"/>
  <c r="AL105" i="75"/>
  <c r="Y63" i="75"/>
  <c r="A46" i="107"/>
  <c r="B45" i="107"/>
  <c r="BI26" i="86"/>
  <c r="BH27" i="86"/>
  <c r="X55" i="106"/>
  <c r="BK20" i="106"/>
  <c r="J20" i="106"/>
  <c r="K21" i="106"/>
  <c r="AV19" i="105"/>
  <c r="BG19" i="105" s="1"/>
  <c r="AY12" i="88"/>
  <c r="AW12" i="88" s="1"/>
  <c r="V26" i="105"/>
  <c r="U27" i="105"/>
  <c r="R26" i="86"/>
  <c r="Q26" i="86"/>
  <c r="BA19" i="106"/>
  <c r="X61" i="100"/>
  <c r="BK26" i="100"/>
  <c r="Q27" i="75"/>
  <c r="R27" i="75"/>
  <c r="Y74" i="78"/>
  <c r="AL111" i="78"/>
  <c r="K18" i="75"/>
  <c r="AL109" i="105"/>
  <c r="Y67" i="105"/>
  <c r="AP28" i="105"/>
  <c r="AT27" i="105"/>
  <c r="AQ27" i="105"/>
  <c r="BA19" i="86"/>
  <c r="AM66" i="100"/>
  <c r="AO27" i="100"/>
  <c r="U31" i="88"/>
  <c r="V30" i="88"/>
  <c r="W51" i="88"/>
  <c r="L16" i="88"/>
  <c r="P16" i="88" s="1"/>
  <c r="Q25" i="105"/>
  <c r="R25" i="105"/>
  <c r="V27" i="86"/>
  <c r="U28" i="86"/>
  <c r="BH27" i="106"/>
  <c r="BI26" i="106"/>
  <c r="K27" i="100"/>
  <c r="G28" i="100"/>
  <c r="I27" i="100"/>
  <c r="H27" i="100"/>
  <c r="BJ27" i="100" s="1"/>
  <c r="G30" i="106"/>
  <c r="H29" i="106"/>
  <c r="BJ29" i="106" s="1"/>
  <c r="AP34" i="75"/>
  <c r="AQ33" i="75"/>
  <c r="AY12" i="91"/>
  <c r="AW12" i="91" s="1"/>
  <c r="AP50" i="78"/>
  <c r="AQ49" i="78"/>
  <c r="U32" i="91"/>
  <c r="V31" i="91"/>
  <c r="P16" i="91"/>
  <c r="Q30" i="106"/>
  <c r="R30" i="106"/>
  <c r="AP29" i="100"/>
  <c r="AT28" i="100"/>
  <c r="AQ28" i="100"/>
  <c r="R29" i="88"/>
  <c r="Q29" i="88"/>
  <c r="BH27" i="100"/>
  <c r="BI26" i="100"/>
  <c r="AV18" i="106"/>
  <c r="BG18" i="106" s="1"/>
  <c r="AW17" i="78"/>
  <c r="AU17" i="78" s="1"/>
  <c r="AR17" i="78" s="1"/>
  <c r="H31" i="91"/>
  <c r="BJ31" i="91" s="1"/>
  <c r="G32" i="91"/>
  <c r="AL102" i="100"/>
  <c r="Y60" i="100"/>
  <c r="W93" i="66"/>
  <c r="O92" i="66"/>
  <c r="E32" i="103"/>
  <c r="J31" i="103"/>
  <c r="F31" i="103"/>
  <c r="AZ31" i="103" s="1"/>
  <c r="L17" i="100"/>
  <c r="P17" i="100" s="1"/>
  <c r="N17" i="100" s="1"/>
  <c r="W52" i="100"/>
  <c r="BG18" i="78"/>
  <c r="AS18" i="78"/>
  <c r="BI29" i="91"/>
  <c r="BH30" i="91"/>
  <c r="AL105" i="91"/>
  <c r="Y63" i="91"/>
  <c r="BI28" i="88"/>
  <c r="BH29" i="88"/>
  <c r="AO26" i="105"/>
  <c r="AM65" i="105"/>
  <c r="N15" i="86"/>
  <c r="BA21" i="88"/>
  <c r="AZ21" i="88"/>
  <c r="A43" i="108"/>
  <c r="B42" i="108"/>
  <c r="AL103" i="88"/>
  <c r="Y61" i="88"/>
  <c r="AP29" i="88"/>
  <c r="AQ28" i="88"/>
  <c r="V31" i="106"/>
  <c r="U32" i="106"/>
  <c r="Y63" i="106"/>
  <c r="AL105" i="106"/>
  <c r="BA19" i="100"/>
  <c r="AP30" i="91"/>
  <c r="AQ29" i="91"/>
  <c r="T15" i="66"/>
  <c r="S15" i="66"/>
  <c r="BF99" i="78"/>
  <c r="AT92" i="78"/>
  <c r="G28" i="88"/>
  <c r="H27" i="88"/>
  <c r="BJ27" i="88" s="1"/>
  <c r="Q27" i="78"/>
  <c r="P27" i="78"/>
  <c r="AT28" i="106"/>
  <c r="AQ28" i="106"/>
  <c r="AP29" i="106"/>
  <c r="U28" i="78"/>
  <c r="T29" i="78"/>
  <c r="V28" i="75"/>
  <c r="U29" i="75"/>
  <c r="R30" i="91"/>
  <c r="Q30" i="91"/>
  <c r="Y60" i="86"/>
  <c r="AL102" i="86"/>
  <c r="H29" i="86"/>
  <c r="BJ29" i="86" s="1"/>
  <c r="G30" i="86"/>
  <c r="N18" i="78"/>
  <c r="AV12" i="59"/>
  <c r="AU12" i="59"/>
  <c r="AP32" i="86"/>
  <c r="AQ31" i="86"/>
  <c r="BA20" i="105"/>
  <c r="BI28" i="75"/>
  <c r="BH29" i="75"/>
  <c r="BC99" i="59"/>
  <c r="AQ92" i="59"/>
  <c r="AZ22" i="91"/>
  <c r="BA22" i="91"/>
  <c r="AM66" i="106"/>
  <c r="AO27" i="106"/>
  <c r="D32" i="108"/>
  <c r="C33" i="108" s="1"/>
  <c r="AA33" i="66"/>
  <c r="F34" i="66"/>
  <c r="G33" i="66"/>
  <c r="U33" i="66"/>
  <c r="R25" i="100"/>
  <c r="Q25" i="100"/>
  <c r="J25" i="100" s="1"/>
  <c r="AU13" i="100"/>
  <c r="E58" i="110"/>
  <c r="J57" i="110"/>
  <c r="F57" i="110"/>
  <c r="AZ57" i="110" s="1"/>
  <c r="BI27" i="105"/>
  <c r="BH28" i="105"/>
  <c r="BA21" i="75"/>
  <c r="AZ21" i="75"/>
  <c r="AI102" i="59"/>
  <c r="V72" i="59"/>
  <c r="G29" i="78"/>
  <c r="H28" i="78"/>
  <c r="BH34" i="78" s="1"/>
  <c r="G28" i="109"/>
  <c r="W27" i="109"/>
  <c r="H27" i="109"/>
  <c r="BK27" i="109" s="1"/>
  <c r="I27" i="109"/>
  <c r="M13" i="59"/>
  <c r="L32" i="66"/>
  <c r="N32" i="66"/>
  <c r="M32" i="66"/>
  <c r="V26" i="100"/>
  <c r="U27" i="100"/>
  <c r="H28" i="105"/>
  <c r="BJ28" i="105" s="1"/>
  <c r="I28" i="105"/>
  <c r="G29" i="105"/>
  <c r="X58" i="105"/>
  <c r="BK23" i="105"/>
  <c r="J23" i="105"/>
  <c r="K24" i="105"/>
  <c r="G30" i="75"/>
  <c r="H29" i="75"/>
  <c r="BJ29" i="75" s="1"/>
  <c r="Q85" i="61"/>
  <c r="J84" i="61"/>
  <c r="H15" i="66"/>
  <c r="R15" i="66"/>
  <c r="P15" i="66" s="1"/>
  <c r="AY12" i="86"/>
  <c r="AW12" i="86" s="1"/>
  <c r="N12" i="59"/>
  <c r="L12" i="59" s="1"/>
  <c r="BJ26" i="109"/>
  <c r="BB20" i="109" s="1"/>
  <c r="BI27" i="109"/>
  <c r="R26" i="110"/>
  <c r="S25" i="110"/>
  <c r="U28" i="109"/>
  <c r="V27" i="109"/>
  <c r="R26" i="109"/>
  <c r="Q26" i="109"/>
  <c r="G11" i="111"/>
  <c r="AS12" i="111"/>
  <c r="BC11" i="111"/>
  <c r="AO11" i="111"/>
  <c r="E32" i="111"/>
  <c r="J31" i="111"/>
  <c r="F31" i="111"/>
  <c r="AZ31" i="111" s="1"/>
  <c r="AQ11" i="111"/>
  <c r="M12" i="111"/>
  <c r="AX29" i="111"/>
  <c r="Q25" i="94"/>
  <c r="R25" i="94"/>
  <c r="V26" i="94"/>
  <c r="U27" i="94"/>
  <c r="Z60" i="109"/>
  <c r="AM102" i="109"/>
  <c r="AQ11" i="110"/>
  <c r="AW11" i="110" s="1"/>
  <c r="AJ52" i="110"/>
  <c r="AL11" i="110"/>
  <c r="BL12" i="109"/>
  <c r="J12" i="109"/>
  <c r="Y47" i="109"/>
  <c r="AU20" i="109"/>
  <c r="AP19" i="109"/>
  <c r="AT19" i="109"/>
  <c r="AN58" i="109"/>
  <c r="P13" i="109"/>
  <c r="N13" i="109" s="1"/>
  <c r="Q11" i="112"/>
  <c r="AV11" i="112"/>
  <c r="AU11" i="112"/>
  <c r="AM31" i="112"/>
  <c r="AN30" i="112"/>
  <c r="AK52" i="112"/>
  <c r="BA11" i="112"/>
  <c r="J29" i="112"/>
  <c r="E30" i="112"/>
  <c r="F29" i="112"/>
  <c r="AZ29" i="112" s="1"/>
  <c r="AX29" i="112"/>
  <c r="O11" i="103"/>
  <c r="P11" i="103"/>
  <c r="U51" i="103"/>
  <c r="V52" i="103"/>
  <c r="BI28" i="94"/>
  <c r="BJ27" i="94"/>
  <c r="G28" i="94"/>
  <c r="W27" i="94"/>
  <c r="H27" i="94"/>
  <c r="BK27" i="94" s="1"/>
  <c r="I27" i="94"/>
  <c r="Z62" i="94"/>
  <c r="AM104" i="94"/>
  <c r="AR27" i="94"/>
  <c r="AQ28" i="94"/>
  <c r="AJ52" i="111"/>
  <c r="AV13" i="109"/>
  <c r="O12" i="110"/>
  <c r="N12" i="110" s="1"/>
  <c r="L12" i="110" s="1"/>
  <c r="P12" i="110"/>
  <c r="V53" i="110"/>
  <c r="U52" i="110"/>
  <c r="I12" i="110"/>
  <c r="AV12" i="103"/>
  <c r="AU12" i="103"/>
  <c r="AU24" i="94"/>
  <c r="AN62" i="94"/>
  <c r="AP23" i="94"/>
  <c r="AW12" i="94"/>
  <c r="AK53" i="103"/>
  <c r="K13" i="94"/>
  <c r="M13" i="94" s="1"/>
  <c r="I11" i="61"/>
  <c r="R11" i="61"/>
  <c r="S41" i="61"/>
  <c r="M17" i="100" l="1"/>
  <c r="S17" i="100" s="1"/>
  <c r="M19" i="105"/>
  <c r="S19" i="105" s="1"/>
  <c r="L19" i="105"/>
  <c r="P19" i="105" s="1"/>
  <c r="N19" i="105" s="1"/>
  <c r="W54" i="105"/>
  <c r="L17" i="106"/>
  <c r="P17" i="106" s="1"/>
  <c r="N17" i="106" s="1"/>
  <c r="W52" i="106"/>
  <c r="F38" i="107"/>
  <c r="C39" i="107"/>
  <c r="E38" i="107"/>
  <c r="G38" i="107"/>
  <c r="D38" i="107" s="1"/>
  <c r="Q26" i="100"/>
  <c r="J26" i="100" s="1"/>
  <c r="R26" i="100"/>
  <c r="R28" i="75"/>
  <c r="Q28" i="75"/>
  <c r="BH30" i="88"/>
  <c r="BI29" i="88"/>
  <c r="G30" i="105"/>
  <c r="H29" i="105"/>
  <c r="BJ29" i="105" s="1"/>
  <c r="I29" i="105"/>
  <c r="AZ21" i="105"/>
  <c r="BA21" i="105"/>
  <c r="AT12" i="59"/>
  <c r="AR12" i="59" s="1"/>
  <c r="AS13" i="59" s="1"/>
  <c r="E33" i="108"/>
  <c r="G33" i="108"/>
  <c r="F33" i="108"/>
  <c r="BA22" i="75"/>
  <c r="AZ22" i="75"/>
  <c r="U29" i="78"/>
  <c r="T30" i="78"/>
  <c r="AP30" i="88"/>
  <c r="AQ29" i="88"/>
  <c r="BA22" i="88"/>
  <c r="AZ22" i="88"/>
  <c r="G33" i="91"/>
  <c r="H32" i="91"/>
  <c r="BJ32" i="91" s="1"/>
  <c r="N16" i="91"/>
  <c r="AQ34" i="75"/>
  <c r="AP35" i="75"/>
  <c r="V31" i="88"/>
  <c r="U32" i="88"/>
  <c r="AU20" i="105"/>
  <c r="BL65" i="105"/>
  <c r="A47" i="107"/>
  <c r="B46" i="107"/>
  <c r="G29" i="109"/>
  <c r="W28" i="109"/>
  <c r="H28" i="109"/>
  <c r="BK28" i="109" s="1"/>
  <c r="I28" i="109"/>
  <c r="I12" i="59"/>
  <c r="K12" i="59" s="1"/>
  <c r="BI28" i="105"/>
  <c r="BH29" i="105"/>
  <c r="AT12" i="86"/>
  <c r="AI103" i="59"/>
  <c r="V73" i="59"/>
  <c r="Q28" i="78"/>
  <c r="P28" i="78"/>
  <c r="AL104" i="88"/>
  <c r="Y62" i="88"/>
  <c r="AL106" i="91"/>
  <c r="Y64" i="91"/>
  <c r="O93" i="66"/>
  <c r="W94" i="66"/>
  <c r="Q31" i="91"/>
  <c r="R31" i="91"/>
  <c r="I28" i="100"/>
  <c r="G29" i="100"/>
  <c r="K28" i="100"/>
  <c r="H28" i="100"/>
  <c r="BJ28" i="100" s="1"/>
  <c r="AO27" i="105"/>
  <c r="AM66" i="105"/>
  <c r="X56" i="106"/>
  <c r="J21" i="106"/>
  <c r="BK21" i="106"/>
  <c r="K22" i="106"/>
  <c r="AL106" i="75"/>
  <c r="Y64" i="75"/>
  <c r="P18" i="105"/>
  <c r="G31" i="75"/>
  <c r="H30" i="75"/>
  <c r="BJ30" i="75" s="1"/>
  <c r="BF100" i="78"/>
  <c r="AT93" i="78"/>
  <c r="AL103" i="100"/>
  <c r="Y61" i="100"/>
  <c r="N16" i="88"/>
  <c r="AT28" i="105"/>
  <c r="AQ28" i="105"/>
  <c r="AP29" i="105"/>
  <c r="AQ29" i="106"/>
  <c r="AP30" i="106"/>
  <c r="AT29" i="106"/>
  <c r="AO17" i="78"/>
  <c r="AM56" i="78"/>
  <c r="U33" i="91"/>
  <c r="V32" i="91"/>
  <c r="O15" i="66"/>
  <c r="X59" i="105"/>
  <c r="J24" i="105"/>
  <c r="BK24" i="105"/>
  <c r="K25" i="105"/>
  <c r="E59" i="110"/>
  <c r="J58" i="110"/>
  <c r="F58" i="110"/>
  <c r="AZ58" i="110" s="1"/>
  <c r="AL103" i="86"/>
  <c r="Y61" i="86"/>
  <c r="Q16" i="66"/>
  <c r="K15" i="86"/>
  <c r="M15" i="86"/>
  <c r="S15" i="86" s="1"/>
  <c r="BI30" i="91"/>
  <c r="BH31" i="91"/>
  <c r="AV18" i="78"/>
  <c r="AM67" i="100"/>
  <c r="AO28" i="100"/>
  <c r="X62" i="100"/>
  <c r="BK27" i="100"/>
  <c r="AL110" i="105"/>
  <c r="Y68" i="105"/>
  <c r="V27" i="105"/>
  <c r="U28" i="105"/>
  <c r="BG13" i="75"/>
  <c r="AO28" i="106"/>
  <c r="AM67" i="106"/>
  <c r="AL106" i="106"/>
  <c r="Y64" i="106"/>
  <c r="A44" i="108"/>
  <c r="B43" i="108"/>
  <c r="AZ23" i="91"/>
  <c r="BA23" i="91"/>
  <c r="AU19" i="106"/>
  <c r="BL64" i="106"/>
  <c r="AV19" i="106"/>
  <c r="BG19" i="106" s="1"/>
  <c r="AT29" i="100"/>
  <c r="AP30" i="100"/>
  <c r="AQ29" i="100"/>
  <c r="AP51" i="78"/>
  <c r="AQ50" i="78"/>
  <c r="BA20" i="106"/>
  <c r="Q26" i="105"/>
  <c r="R26" i="105"/>
  <c r="V27" i="100"/>
  <c r="U28" i="100"/>
  <c r="M33" i="66"/>
  <c r="N33" i="66"/>
  <c r="L33" i="66"/>
  <c r="AP33" i="86"/>
  <c r="AQ32" i="86"/>
  <c r="U33" i="106"/>
  <c r="V32" i="106"/>
  <c r="BA20" i="100"/>
  <c r="H30" i="106"/>
  <c r="BJ30" i="106" s="1"/>
  <c r="G31" i="106"/>
  <c r="BI27" i="106"/>
  <c r="BH28" i="106"/>
  <c r="J18" i="75"/>
  <c r="BK18" i="75"/>
  <c r="X53" i="75"/>
  <c r="BI27" i="86"/>
  <c r="BH28" i="86"/>
  <c r="H29" i="78"/>
  <c r="BH35" i="78" s="1"/>
  <c r="G30" i="78"/>
  <c r="AY13" i="100"/>
  <c r="AW13" i="100" s="1"/>
  <c r="U34" i="66"/>
  <c r="F35" i="66"/>
  <c r="AA34" i="66"/>
  <c r="G34" i="66"/>
  <c r="BC100" i="59"/>
  <c r="AQ93" i="59"/>
  <c r="V29" i="75"/>
  <c r="U30" i="75"/>
  <c r="G29" i="88"/>
  <c r="H28" i="88"/>
  <c r="BJ28" i="88" s="1"/>
  <c r="AQ30" i="91"/>
  <c r="AP31" i="91"/>
  <c r="R31" i="106"/>
  <c r="Q31" i="106"/>
  <c r="AW18" i="78"/>
  <c r="AU18" i="78" s="1"/>
  <c r="AR18" i="78" s="1"/>
  <c r="E33" i="103"/>
  <c r="J32" i="103"/>
  <c r="F32" i="103"/>
  <c r="AZ32" i="103" s="1"/>
  <c r="BI27" i="100"/>
  <c r="BH28" i="100"/>
  <c r="AT12" i="91"/>
  <c r="V28" i="86"/>
  <c r="U29" i="86"/>
  <c r="AT12" i="88"/>
  <c r="BA20" i="86"/>
  <c r="BH30" i="75"/>
  <c r="BI29" i="75"/>
  <c r="G31" i="86"/>
  <c r="H30" i="86"/>
  <c r="BJ30" i="86" s="1"/>
  <c r="AY18" i="78"/>
  <c r="AX18" i="78"/>
  <c r="BE18" i="78"/>
  <c r="AT18" i="78"/>
  <c r="R27" i="86"/>
  <c r="Q27" i="86"/>
  <c r="Q30" i="88"/>
  <c r="R30" i="88"/>
  <c r="AL112" i="78"/>
  <c r="Y75" i="78"/>
  <c r="W58" i="78"/>
  <c r="K18" i="78"/>
  <c r="O18" i="78" s="1"/>
  <c r="M18" i="78" s="1"/>
  <c r="N19" i="78" s="1"/>
  <c r="J18" i="78"/>
  <c r="K19" i="75"/>
  <c r="W54" i="75"/>
  <c r="L19" i="75"/>
  <c r="P19" i="75" s="1"/>
  <c r="N19" i="75" s="1"/>
  <c r="BJ27" i="109"/>
  <c r="BI28" i="109"/>
  <c r="R27" i="110"/>
  <c r="S26" i="110"/>
  <c r="Q27" i="109"/>
  <c r="R27" i="109"/>
  <c r="V28" i="109"/>
  <c r="U29" i="109"/>
  <c r="J32" i="111"/>
  <c r="E33" i="111"/>
  <c r="F32" i="111"/>
  <c r="AZ32" i="111" s="1"/>
  <c r="BA11" i="111"/>
  <c r="AW11" i="111"/>
  <c r="AL11" i="111"/>
  <c r="K11" i="111"/>
  <c r="AX30" i="111"/>
  <c r="U28" i="94"/>
  <c r="V27" i="94"/>
  <c r="R26" i="94"/>
  <c r="Q26" i="94"/>
  <c r="Z61" i="109"/>
  <c r="AM103" i="109"/>
  <c r="AY12" i="110"/>
  <c r="BB58" i="110"/>
  <c r="AP12" i="110"/>
  <c r="AI53" i="110"/>
  <c r="AK53" i="110" s="1"/>
  <c r="K13" i="109"/>
  <c r="M13" i="109" s="1"/>
  <c r="S13" i="109" s="1"/>
  <c r="L14" i="109" s="1"/>
  <c r="AN59" i="109"/>
  <c r="AP20" i="109"/>
  <c r="AT20" i="109"/>
  <c r="AU21" i="109"/>
  <c r="AM32" i="112"/>
  <c r="AN31" i="112"/>
  <c r="AX30" i="112"/>
  <c r="AT11" i="112"/>
  <c r="AR11" i="112" s="1"/>
  <c r="AS12" i="112" s="1"/>
  <c r="H12" i="112"/>
  <c r="T53" i="112"/>
  <c r="S12" i="112"/>
  <c r="J30" i="112"/>
  <c r="E31" i="112"/>
  <c r="F30" i="112"/>
  <c r="AZ30" i="112" s="1"/>
  <c r="N11" i="103"/>
  <c r="L11" i="103" s="1"/>
  <c r="G11" i="103" s="1"/>
  <c r="BA21" i="94"/>
  <c r="AT21" i="94" s="1"/>
  <c r="BB21" i="94"/>
  <c r="BI29" i="94"/>
  <c r="BJ28" i="94"/>
  <c r="AR28" i="94"/>
  <c r="AQ29" i="94"/>
  <c r="W28" i="94"/>
  <c r="G29" i="94"/>
  <c r="H28" i="94"/>
  <c r="BK28" i="94" s="1"/>
  <c r="I28" i="94"/>
  <c r="Z63" i="94"/>
  <c r="AM105" i="94"/>
  <c r="G12" i="110"/>
  <c r="M13" i="110"/>
  <c r="AZ13" i="109"/>
  <c r="AX13" i="109" s="1"/>
  <c r="BH12" i="94"/>
  <c r="S13" i="94"/>
  <c r="BL13" i="94"/>
  <c r="J13" i="94"/>
  <c r="Y48" i="94"/>
  <c r="P13" i="94"/>
  <c r="AU25" i="94"/>
  <c r="AP24" i="94"/>
  <c r="AN63" i="94"/>
  <c r="AT12" i="103"/>
  <c r="AR12" i="103" s="1"/>
  <c r="AS13" i="103" s="1"/>
  <c r="O11" i="61"/>
  <c r="N11" i="61"/>
  <c r="M11" i="61" s="1"/>
  <c r="K11" i="61" s="1"/>
  <c r="W53" i="100" l="1"/>
  <c r="L18" i="100"/>
  <c r="P18" i="100" s="1"/>
  <c r="N18" i="100" s="1"/>
  <c r="U59" i="59"/>
  <c r="Q12" i="59"/>
  <c r="AU20" i="106"/>
  <c r="AY20" i="106" s="1"/>
  <c r="BL65" i="106"/>
  <c r="BG20" i="106"/>
  <c r="AV20" i="106"/>
  <c r="L20" i="105"/>
  <c r="M20" i="105"/>
  <c r="S20" i="105"/>
  <c r="W55" i="105"/>
  <c r="BG25" i="78"/>
  <c r="AS19" i="78"/>
  <c r="AO12" i="88"/>
  <c r="AS12" i="88"/>
  <c r="AM51" i="88"/>
  <c r="BA21" i="100"/>
  <c r="AZ21" i="100"/>
  <c r="U31" i="75"/>
  <c r="V30" i="75"/>
  <c r="B44" i="108"/>
  <c r="A45" i="108"/>
  <c r="AO28" i="105"/>
  <c r="AM67" i="105"/>
  <c r="G30" i="100"/>
  <c r="I29" i="100"/>
  <c r="K29" i="100"/>
  <c r="H29" i="100"/>
  <c r="BJ29" i="100" s="1"/>
  <c r="AO12" i="86"/>
  <c r="AS12" i="86"/>
  <c r="AM51" i="86"/>
  <c r="AM57" i="78"/>
  <c r="AO18" i="78"/>
  <c r="R27" i="100"/>
  <c r="Q27" i="100"/>
  <c r="J27" i="100" s="1"/>
  <c r="X54" i="75"/>
  <c r="J19" i="75"/>
  <c r="BK19" i="75"/>
  <c r="Y76" i="78"/>
  <c r="AL113" i="78"/>
  <c r="AV19" i="78"/>
  <c r="H31" i="86"/>
  <c r="BJ31" i="86" s="1"/>
  <c r="G32" i="86"/>
  <c r="R29" i="75"/>
  <c r="Q29" i="75"/>
  <c r="F36" i="66"/>
  <c r="G35" i="66"/>
  <c r="AA35" i="66"/>
  <c r="U35" i="66"/>
  <c r="G31" i="78"/>
  <c r="H30" i="78"/>
  <c r="BH36" i="78" s="1"/>
  <c r="Y65" i="106"/>
  <c r="AL107" i="106"/>
  <c r="V28" i="105"/>
  <c r="U29" i="105"/>
  <c r="AM68" i="106"/>
  <c r="AO29" i="106"/>
  <c r="N18" i="105"/>
  <c r="AL105" i="88"/>
  <c r="Y63" i="88"/>
  <c r="AV12" i="86"/>
  <c r="AY20" i="105"/>
  <c r="AW20" i="105" s="1"/>
  <c r="AS21" i="105"/>
  <c r="AZ23" i="88"/>
  <c r="BA23" i="88"/>
  <c r="AZ23" i="75"/>
  <c r="BA23" i="75"/>
  <c r="V29" i="86"/>
  <c r="U30" i="86"/>
  <c r="BI28" i="106"/>
  <c r="BH29" i="106"/>
  <c r="AY19" i="106"/>
  <c r="Q27" i="105"/>
  <c r="R27" i="105"/>
  <c r="Y62" i="86"/>
  <c r="AL104" i="86"/>
  <c r="AP31" i="106"/>
  <c r="AT30" i="106"/>
  <c r="AQ30" i="106"/>
  <c r="K16" i="88"/>
  <c r="AL107" i="75"/>
  <c r="Y65" i="75"/>
  <c r="V32" i="88"/>
  <c r="U33" i="88"/>
  <c r="BI30" i="88"/>
  <c r="BH31" i="88"/>
  <c r="AO12" i="91"/>
  <c r="AM51" i="91"/>
  <c r="AS12" i="91"/>
  <c r="H31" i="106"/>
  <c r="BJ31" i="106" s="1"/>
  <c r="G32" i="106"/>
  <c r="M19" i="75"/>
  <c r="S19" i="75" s="1"/>
  <c r="BH31" i="75"/>
  <c r="BI30" i="75"/>
  <c r="R28" i="86"/>
  <c r="Q28" i="86"/>
  <c r="E34" i="103"/>
  <c r="J33" i="103"/>
  <c r="F33" i="103"/>
  <c r="AZ33" i="103" s="1"/>
  <c r="AZ21" i="106"/>
  <c r="AS21" i="106" s="1"/>
  <c r="BA21" i="106"/>
  <c r="V28" i="100"/>
  <c r="U29" i="100"/>
  <c r="AQ51" i="78"/>
  <c r="AP52" i="78"/>
  <c r="Y69" i="105"/>
  <c r="AL111" i="105"/>
  <c r="V15" i="66"/>
  <c r="Z15" i="66"/>
  <c r="AL104" i="100"/>
  <c r="Y62" i="100"/>
  <c r="BI29" i="105"/>
  <c r="BH30" i="105"/>
  <c r="G30" i="109"/>
  <c r="W29" i="109"/>
  <c r="H29" i="109"/>
  <c r="BK29" i="109" s="1"/>
  <c r="I29" i="109"/>
  <c r="R31" i="88"/>
  <c r="Q31" i="88"/>
  <c r="AP31" i="88"/>
  <c r="AQ30" i="88"/>
  <c r="D33" i="108"/>
  <c r="C34" i="108" s="1"/>
  <c r="AV13" i="100"/>
  <c r="R32" i="106"/>
  <c r="Q32" i="106"/>
  <c r="BF101" i="78"/>
  <c r="AT94" i="78"/>
  <c r="X57" i="106"/>
  <c r="BK22" i="106"/>
  <c r="J22" i="106"/>
  <c r="K23" i="106"/>
  <c r="AZ22" i="105"/>
  <c r="AS22" i="105" s="1"/>
  <c r="BA22" i="105"/>
  <c r="AP36" i="75"/>
  <c r="AQ35" i="75"/>
  <c r="T31" i="78"/>
  <c r="U30" i="78"/>
  <c r="F39" i="107"/>
  <c r="G39" i="107" s="1"/>
  <c r="D39" i="107" s="1"/>
  <c r="C40" i="107" s="1"/>
  <c r="E39" i="107"/>
  <c r="BI31" i="91"/>
  <c r="BH32" i="91"/>
  <c r="AV12" i="91"/>
  <c r="BC101" i="59"/>
  <c r="AQ94" i="59"/>
  <c r="BH29" i="86"/>
  <c r="BI28" i="86"/>
  <c r="U34" i="106"/>
  <c r="V33" i="106"/>
  <c r="AT30" i="100"/>
  <c r="AP31" i="100"/>
  <c r="AQ30" i="100"/>
  <c r="BA24" i="91"/>
  <c r="AZ24" i="91"/>
  <c r="Q32" i="91"/>
  <c r="R32" i="91"/>
  <c r="O94" i="66"/>
  <c r="W95" i="66"/>
  <c r="V74" i="59"/>
  <c r="AI104" i="59"/>
  <c r="A48" i="107"/>
  <c r="B47" i="107"/>
  <c r="G34" i="91"/>
  <c r="H33" i="91"/>
  <c r="BJ33" i="91" s="1"/>
  <c r="Q29" i="78"/>
  <c r="P29" i="78"/>
  <c r="G30" i="88"/>
  <c r="H29" i="88"/>
  <c r="BJ29" i="88" s="1"/>
  <c r="BA21" i="86"/>
  <c r="AZ21" i="86"/>
  <c r="AM68" i="100"/>
  <c r="AO29" i="100"/>
  <c r="BF12" i="59"/>
  <c r="AO12" i="59"/>
  <c r="AQ12" i="59" s="1"/>
  <c r="X58" i="78"/>
  <c r="BI18" i="78"/>
  <c r="L16" i="86"/>
  <c r="W51" i="86"/>
  <c r="E60" i="110"/>
  <c r="J59" i="110"/>
  <c r="F59" i="110"/>
  <c r="AZ59" i="110" s="1"/>
  <c r="V33" i="91"/>
  <c r="U34" i="91"/>
  <c r="AT29" i="105"/>
  <c r="AQ29" i="105"/>
  <c r="AP30" i="105"/>
  <c r="L18" i="78"/>
  <c r="R18" i="78" s="1"/>
  <c r="AV12" i="88"/>
  <c r="BH29" i="100"/>
  <c r="BI28" i="100"/>
  <c r="AQ31" i="91"/>
  <c r="AP32" i="91"/>
  <c r="N34" i="66"/>
  <c r="M34" i="66"/>
  <c r="L34" i="66"/>
  <c r="AP34" i="86"/>
  <c r="AQ33" i="86"/>
  <c r="AU14" i="75"/>
  <c r="AY14" i="75" s="1"/>
  <c r="AW14" i="75" s="1"/>
  <c r="AT14" i="75"/>
  <c r="AV14" i="75" s="1"/>
  <c r="BG14" i="75" s="1"/>
  <c r="J15" i="86"/>
  <c r="X50" i="86"/>
  <c r="BK15" i="86"/>
  <c r="X60" i="105"/>
  <c r="J25" i="105"/>
  <c r="BK25" i="105"/>
  <c r="K26" i="105"/>
  <c r="H31" i="75"/>
  <c r="BJ31" i="75" s="1"/>
  <c r="G32" i="75"/>
  <c r="X63" i="100"/>
  <c r="BK28" i="100"/>
  <c r="Y65" i="91"/>
  <c r="AL107" i="91"/>
  <c r="M16" i="91"/>
  <c r="S16" i="91" s="1"/>
  <c r="K16" i="91"/>
  <c r="G31" i="105"/>
  <c r="H30" i="105"/>
  <c r="BJ30" i="105" s="1"/>
  <c r="I30" i="105"/>
  <c r="M17" i="106"/>
  <c r="S17" i="106" s="1"/>
  <c r="BJ28" i="109"/>
  <c r="BI29" i="109"/>
  <c r="BA21" i="109"/>
  <c r="BB21" i="109"/>
  <c r="R28" i="110"/>
  <c r="S27" i="110"/>
  <c r="U30" i="109"/>
  <c r="V29" i="109"/>
  <c r="R28" i="109"/>
  <c r="Q28" i="109"/>
  <c r="BB58" i="111"/>
  <c r="AP12" i="111"/>
  <c r="AY12" i="111"/>
  <c r="Q11" i="111"/>
  <c r="J33" i="111"/>
  <c r="E34" i="111"/>
  <c r="F33" i="111"/>
  <c r="AZ33" i="111" s="1"/>
  <c r="AX31" i="111"/>
  <c r="R27" i="94"/>
  <c r="Q27" i="94"/>
  <c r="U29" i="94"/>
  <c r="V28" i="94"/>
  <c r="Y48" i="109"/>
  <c r="J13" i="109"/>
  <c r="Z62" i="109"/>
  <c r="AM104" i="109"/>
  <c r="AV12" i="110"/>
  <c r="AU12" i="110"/>
  <c r="P14" i="109"/>
  <c r="N14" i="109" s="1"/>
  <c r="X49" i="109"/>
  <c r="BL13" i="109"/>
  <c r="AN60" i="109"/>
  <c r="AP21" i="109"/>
  <c r="AT21" i="109"/>
  <c r="AU22" i="109"/>
  <c r="I12" i="112"/>
  <c r="P12" i="112"/>
  <c r="O12" i="112"/>
  <c r="AO11" i="112"/>
  <c r="BC11" i="112"/>
  <c r="E32" i="112"/>
  <c r="J31" i="112"/>
  <c r="F31" i="112"/>
  <c r="AZ31" i="112" s="1"/>
  <c r="AM33" i="112"/>
  <c r="AN32" i="112"/>
  <c r="V53" i="112"/>
  <c r="U52" i="112"/>
  <c r="AX31" i="112"/>
  <c r="M12" i="103"/>
  <c r="K11" i="103"/>
  <c r="Q11" i="103" s="1"/>
  <c r="BA11" i="103"/>
  <c r="X49" i="94"/>
  <c r="L14" i="94"/>
  <c r="P14" i="94" s="1"/>
  <c r="N14" i="94" s="1"/>
  <c r="BB22" i="94"/>
  <c r="BA22" i="94"/>
  <c r="AT22" i="94" s="1"/>
  <c r="BJ29" i="94"/>
  <c r="BI30" i="94"/>
  <c r="G30" i="94"/>
  <c r="W29" i="94"/>
  <c r="H29" i="94"/>
  <c r="BK29" i="94" s="1"/>
  <c r="I29" i="94"/>
  <c r="AQ30" i="94"/>
  <c r="AR29" i="94"/>
  <c r="Z64" i="94"/>
  <c r="AM106" i="94"/>
  <c r="AI53" i="111"/>
  <c r="AW13" i="109"/>
  <c r="BA12" i="110"/>
  <c r="K12" i="110"/>
  <c r="BC12" i="103"/>
  <c r="AO12" i="103"/>
  <c r="AQ12" i="103" s="1"/>
  <c r="AP25" i="94"/>
  <c r="AN64" i="94"/>
  <c r="AU26" i="94"/>
  <c r="AV13" i="94"/>
  <c r="N13" i="94"/>
  <c r="H11" i="61"/>
  <c r="J11" i="61" s="1"/>
  <c r="L12" i="61"/>
  <c r="M18" i="100" l="1"/>
  <c r="S18" i="100" s="1"/>
  <c r="L19" i="100"/>
  <c r="P19" i="100" s="1"/>
  <c r="N19" i="100" s="1"/>
  <c r="W54" i="100"/>
  <c r="AU15" i="75"/>
  <c r="AY15" i="75" s="1"/>
  <c r="AW15" i="75" s="1"/>
  <c r="AT15" i="75" s="1"/>
  <c r="BL60" i="75"/>
  <c r="BL154" i="75" s="1"/>
  <c r="BB12" i="59"/>
  <c r="F40" i="107"/>
  <c r="E40" i="107"/>
  <c r="G40" i="107" s="1"/>
  <c r="D40" i="107" s="1"/>
  <c r="C41" i="107" s="1"/>
  <c r="Q33" i="91"/>
  <c r="R33" i="91"/>
  <c r="V75" i="59"/>
  <c r="AI105" i="59"/>
  <c r="BI29" i="86"/>
  <c r="BH30" i="86"/>
  <c r="K16" i="66"/>
  <c r="J16" i="66"/>
  <c r="I16" i="66" s="1"/>
  <c r="X16" i="66"/>
  <c r="R32" i="88"/>
  <c r="Q32" i="88"/>
  <c r="AQ31" i="106"/>
  <c r="AP32" i="106"/>
  <c r="AT31" i="106"/>
  <c r="BA22" i="106"/>
  <c r="AZ22" i="106"/>
  <c r="AS22" i="106" s="1"/>
  <c r="AL106" i="88"/>
  <c r="Y64" i="88"/>
  <c r="L35" i="66"/>
  <c r="M35" i="66"/>
  <c r="N35" i="66"/>
  <c r="G33" i="86"/>
  <c r="H32" i="86"/>
  <c r="BJ32" i="86" s="1"/>
  <c r="BK26" i="105"/>
  <c r="J26" i="105"/>
  <c r="X61" i="105"/>
  <c r="K27" i="105"/>
  <c r="G34" i="108"/>
  <c r="E34" i="108"/>
  <c r="F34" i="108"/>
  <c r="W30" i="109"/>
  <c r="G31" i="109"/>
  <c r="H30" i="109"/>
  <c r="BK30" i="109" s="1"/>
  <c r="I30" i="109"/>
  <c r="AZ24" i="75"/>
  <c r="BA24" i="75"/>
  <c r="AL108" i="75"/>
  <c r="Y66" i="75"/>
  <c r="U31" i="86"/>
  <c r="V30" i="86"/>
  <c r="U30" i="105"/>
  <c r="V29" i="105"/>
  <c r="U36" i="66"/>
  <c r="G36" i="66"/>
  <c r="F37" i="66"/>
  <c r="AA36" i="66"/>
  <c r="AS21" i="100"/>
  <c r="BE19" i="78"/>
  <c r="AY19" i="78"/>
  <c r="AX19" i="78"/>
  <c r="AT19" i="78"/>
  <c r="AL108" i="91"/>
  <c r="Y66" i="91"/>
  <c r="AP33" i="91"/>
  <c r="AQ32" i="91"/>
  <c r="W96" i="66"/>
  <c r="O95" i="66"/>
  <c r="BH31" i="105"/>
  <c r="BI30" i="105"/>
  <c r="BH32" i="75"/>
  <c r="BI31" i="75"/>
  <c r="Y63" i="86"/>
  <c r="AL105" i="86"/>
  <c r="Q29" i="86"/>
  <c r="R29" i="86"/>
  <c r="R28" i="105"/>
  <c r="Q28" i="105"/>
  <c r="A46" i="108"/>
  <c r="B45" i="108"/>
  <c r="AU21" i="106"/>
  <c r="BL66" i="106"/>
  <c r="AV21" i="106"/>
  <c r="BG21" i="106" s="1"/>
  <c r="AT31" i="100"/>
  <c r="AP32" i="100"/>
  <c r="AQ31" i="100"/>
  <c r="BF102" i="78"/>
  <c r="AT95" i="78"/>
  <c r="AP32" i="88"/>
  <c r="AQ31" i="88"/>
  <c r="AZ23" i="105"/>
  <c r="AS23" i="105" s="1"/>
  <c r="BA23" i="105"/>
  <c r="AL112" i="105"/>
  <c r="Y70" i="105"/>
  <c r="L20" i="75"/>
  <c r="P20" i="75" s="1"/>
  <c r="N20" i="75" s="1"/>
  <c r="K20" i="75" s="1"/>
  <c r="W55" i="75"/>
  <c r="BK16" i="88"/>
  <c r="X51" i="88"/>
  <c r="J16" i="88"/>
  <c r="BK29" i="100"/>
  <c r="X64" i="100"/>
  <c r="AG33" i="105"/>
  <c r="AF33" i="105" s="1"/>
  <c r="L21" i="105"/>
  <c r="P21" i="105" s="1"/>
  <c r="N21" i="105" s="1"/>
  <c r="W56" i="105"/>
  <c r="BA22" i="100"/>
  <c r="AZ22" i="100"/>
  <c r="AS22" i="100" s="1"/>
  <c r="AT30" i="105"/>
  <c r="AQ30" i="105"/>
  <c r="AP31" i="105"/>
  <c r="G31" i="88"/>
  <c r="H30" i="88"/>
  <c r="BJ30" i="88" s="1"/>
  <c r="H34" i="91"/>
  <c r="BJ34" i="91" s="1"/>
  <c r="G35" i="91"/>
  <c r="AM69" i="100"/>
  <c r="AO30" i="100"/>
  <c r="AQ95" i="59"/>
  <c r="BC102" i="59"/>
  <c r="Q30" i="78"/>
  <c r="P30" i="78"/>
  <c r="J23" i="106"/>
  <c r="BK23" i="106"/>
  <c r="X58" i="106"/>
  <c r="K24" i="106"/>
  <c r="AP53" i="78"/>
  <c r="AQ52" i="78"/>
  <c r="G33" i="106"/>
  <c r="H32" i="106"/>
  <c r="BJ32" i="106" s="1"/>
  <c r="M16" i="88"/>
  <c r="S16" i="88" s="1"/>
  <c r="Y66" i="106"/>
  <c r="AL108" i="106"/>
  <c r="G32" i="78"/>
  <c r="H31" i="78"/>
  <c r="BH37" i="78" s="1"/>
  <c r="AL114" i="78"/>
  <c r="Y77" i="78"/>
  <c r="G32" i="105"/>
  <c r="H31" i="105"/>
  <c r="BJ31" i="105" s="1"/>
  <c r="I31" i="105"/>
  <c r="BI29" i="100"/>
  <c r="BH30" i="100"/>
  <c r="AJ51" i="59"/>
  <c r="AL12" i="59"/>
  <c r="Q33" i="106"/>
  <c r="R33" i="106"/>
  <c r="BG12" i="91"/>
  <c r="U31" i="78"/>
  <c r="T32" i="78"/>
  <c r="AL105" i="100"/>
  <c r="Y63" i="100"/>
  <c r="BH32" i="88"/>
  <c r="BI31" i="88"/>
  <c r="G31" i="100"/>
  <c r="I30" i="100"/>
  <c r="K30" i="100"/>
  <c r="H30" i="100"/>
  <c r="BJ30" i="100" s="1"/>
  <c r="R30" i="75"/>
  <c r="Q30" i="75"/>
  <c r="P20" i="105"/>
  <c r="T60" i="59"/>
  <c r="J13" i="59"/>
  <c r="S13" i="59"/>
  <c r="AO14" i="75"/>
  <c r="AM53" i="75"/>
  <c r="AS14" i="75"/>
  <c r="E61" i="110"/>
  <c r="J60" i="110"/>
  <c r="F60" i="110"/>
  <c r="AZ60" i="110" s="1"/>
  <c r="BK16" i="91"/>
  <c r="X51" i="91"/>
  <c r="J16" i="91"/>
  <c r="AP35" i="86"/>
  <c r="AQ34" i="86"/>
  <c r="BG12" i="88"/>
  <c r="AM68" i="105"/>
  <c r="AO29" i="105"/>
  <c r="P16" i="86"/>
  <c r="B48" i="107"/>
  <c r="A49" i="107"/>
  <c r="V34" i="106"/>
  <c r="U35" i="106"/>
  <c r="BI32" i="91"/>
  <c r="BH33" i="91"/>
  <c r="U30" i="100"/>
  <c r="V29" i="100"/>
  <c r="E35" i="103"/>
  <c r="J34" i="103"/>
  <c r="F34" i="103"/>
  <c r="AZ34" i="103" s="1"/>
  <c r="BA24" i="88"/>
  <c r="AZ24" i="88"/>
  <c r="AV20" i="105"/>
  <c r="BG20" i="105" s="1"/>
  <c r="U32" i="75"/>
  <c r="V31" i="75"/>
  <c r="L18" i="106"/>
  <c r="P18" i="106" s="1"/>
  <c r="N18" i="106" s="1"/>
  <c r="M18" i="106"/>
  <c r="S18" i="106" s="1"/>
  <c r="W53" i="106"/>
  <c r="W52" i="91"/>
  <c r="L17" i="91"/>
  <c r="G33" i="75"/>
  <c r="H32" i="75"/>
  <c r="BJ32" i="75" s="1"/>
  <c r="K19" i="78"/>
  <c r="O19" i="78" s="1"/>
  <c r="M19" i="78" s="1"/>
  <c r="N20" i="78" s="1"/>
  <c r="J19" i="78"/>
  <c r="W59" i="78"/>
  <c r="U35" i="91"/>
  <c r="V34" i="91"/>
  <c r="AZ22" i="86"/>
  <c r="BA22" i="86"/>
  <c r="BA25" i="91"/>
  <c r="AZ25" i="91"/>
  <c r="AP37" i="75"/>
  <c r="AQ36" i="75"/>
  <c r="BG13" i="100"/>
  <c r="Q28" i="100"/>
  <c r="J28" i="100" s="1"/>
  <c r="R28" i="100"/>
  <c r="U34" i="88"/>
  <c r="V33" i="88"/>
  <c r="AM69" i="106"/>
  <c r="AO30" i="106"/>
  <c r="BH30" i="106"/>
  <c r="BI29" i="106"/>
  <c r="BG12" i="86"/>
  <c r="AW19" i="78"/>
  <c r="AU19" i="78" s="1"/>
  <c r="AR19" i="78" s="1"/>
  <c r="BJ29" i="109"/>
  <c r="BI30" i="109"/>
  <c r="BA22" i="109"/>
  <c r="AT22" i="109" s="1"/>
  <c r="BB22" i="109"/>
  <c r="R29" i="110"/>
  <c r="S28" i="110"/>
  <c r="R29" i="109"/>
  <c r="Q29" i="109"/>
  <c r="U31" i="109"/>
  <c r="V30" i="109"/>
  <c r="E35" i="111"/>
  <c r="J34" i="111"/>
  <c r="F34" i="111"/>
  <c r="AZ34" i="111" s="1"/>
  <c r="H12" i="111"/>
  <c r="S12" i="111"/>
  <c r="T53" i="111"/>
  <c r="AU12" i="111"/>
  <c r="AV12" i="111"/>
  <c r="AT12" i="111"/>
  <c r="AX32" i="111"/>
  <c r="Q28" i="94"/>
  <c r="R28" i="94"/>
  <c r="V29" i="94"/>
  <c r="U30" i="94"/>
  <c r="Z63" i="109"/>
  <c r="AM105" i="109"/>
  <c r="K14" i="109"/>
  <c r="M14" i="109" s="1"/>
  <c r="S14" i="109" s="1"/>
  <c r="AT12" i="110"/>
  <c r="AR12" i="110" s="1"/>
  <c r="AS13" i="110" s="1"/>
  <c r="AP22" i="109"/>
  <c r="AN61" i="109"/>
  <c r="AU23" i="109"/>
  <c r="AM34" i="112"/>
  <c r="AN33" i="112"/>
  <c r="AL11" i="112"/>
  <c r="AJ52" i="112"/>
  <c r="AQ11" i="112"/>
  <c r="AX32" i="112"/>
  <c r="E33" i="112"/>
  <c r="J32" i="112"/>
  <c r="F32" i="112"/>
  <c r="AZ32" i="112" s="1"/>
  <c r="N12" i="112"/>
  <c r="L12" i="112" s="1"/>
  <c r="M13" i="112" s="1"/>
  <c r="H12" i="103"/>
  <c r="I12" i="103" s="1"/>
  <c r="T53" i="103"/>
  <c r="S12" i="103"/>
  <c r="BJ30" i="94"/>
  <c r="BI31" i="94"/>
  <c r="BA23" i="94"/>
  <c r="AT23" i="94" s="1"/>
  <c r="BB23" i="94"/>
  <c r="Z65" i="94"/>
  <c r="AM107" i="94"/>
  <c r="W30" i="94"/>
  <c r="G31" i="94"/>
  <c r="H30" i="94"/>
  <c r="BK30" i="94" s="1"/>
  <c r="I30" i="94"/>
  <c r="AR30" i="94"/>
  <c r="AQ31" i="94"/>
  <c r="AK53" i="111"/>
  <c r="BH13" i="109"/>
  <c r="BM59" i="109" s="1"/>
  <c r="Q12" i="110"/>
  <c r="K14" i="94"/>
  <c r="M14" i="94" s="1"/>
  <c r="S14" i="94" s="1"/>
  <c r="AN65" i="94"/>
  <c r="AP26" i="94"/>
  <c r="AU27" i="94"/>
  <c r="AZ13" i="94"/>
  <c r="AX13" i="94" s="1"/>
  <c r="AW12" i="103"/>
  <c r="AL12" i="103"/>
  <c r="AJ53" i="103"/>
  <c r="P11" i="61"/>
  <c r="T41" i="61"/>
  <c r="M19" i="100" l="1"/>
  <c r="S19" i="100" s="1"/>
  <c r="L19" i="106"/>
  <c r="P19" i="106" s="1"/>
  <c r="N19" i="106" s="1"/>
  <c r="W54" i="106"/>
  <c r="AU22" i="106"/>
  <c r="AY22" i="106" s="1"/>
  <c r="BL67" i="106"/>
  <c r="AV22" i="106"/>
  <c r="BG22" i="106" s="1"/>
  <c r="F41" i="107"/>
  <c r="E41" i="107"/>
  <c r="G41" i="107"/>
  <c r="D41" i="107" s="1"/>
  <c r="C42" i="107" s="1"/>
  <c r="X55" i="75"/>
  <c r="BK20" i="75"/>
  <c r="J20" i="75"/>
  <c r="AS15" i="75"/>
  <c r="AM54" i="75"/>
  <c r="AO15" i="75"/>
  <c r="AP38" i="75"/>
  <c r="AQ37" i="75"/>
  <c r="AM58" i="78"/>
  <c r="AO19" i="78"/>
  <c r="L19" i="78"/>
  <c r="R19" i="78" s="1"/>
  <c r="P17" i="91"/>
  <c r="U31" i="100"/>
  <c r="V30" i="100"/>
  <c r="N16" i="86"/>
  <c r="AU13" i="91"/>
  <c r="H35" i="91"/>
  <c r="BJ35" i="91" s="1"/>
  <c r="G36" i="91"/>
  <c r="AT31" i="105"/>
  <c r="AP32" i="105"/>
  <c r="AQ31" i="105"/>
  <c r="M21" i="105"/>
  <c r="S21" i="105" s="1"/>
  <c r="M20" i="75"/>
  <c r="S20" i="75" s="1"/>
  <c r="AO31" i="100"/>
  <c r="AM70" i="100"/>
  <c r="AV20" i="78"/>
  <c r="L36" i="66"/>
  <c r="N36" i="66"/>
  <c r="M36" i="66"/>
  <c r="G34" i="86"/>
  <c r="H33" i="86"/>
  <c r="BJ33" i="86" s="1"/>
  <c r="BD13" i="59"/>
  <c r="AP13" i="59"/>
  <c r="BG58" i="59"/>
  <c r="V34" i="88"/>
  <c r="U35" i="88"/>
  <c r="Q34" i="91"/>
  <c r="R34" i="91"/>
  <c r="AZ26" i="91"/>
  <c r="BA26" i="91"/>
  <c r="BA25" i="88"/>
  <c r="AZ25" i="88"/>
  <c r="BA23" i="100"/>
  <c r="AZ23" i="100"/>
  <c r="AS23" i="100" s="1"/>
  <c r="Y78" i="78"/>
  <c r="AL115" i="78"/>
  <c r="AO30" i="105"/>
  <c r="AM69" i="105"/>
  <c r="AL113" i="105"/>
  <c r="Y71" i="105"/>
  <c r="AY21" i="106"/>
  <c r="O96" i="66"/>
  <c r="W97" i="66"/>
  <c r="BG26" i="78"/>
  <c r="AS20" i="78"/>
  <c r="R29" i="105"/>
  <c r="Q29" i="105"/>
  <c r="AO31" i="106"/>
  <c r="AM70" i="106"/>
  <c r="Q33" i="88"/>
  <c r="R33" i="88"/>
  <c r="AP33" i="88"/>
  <c r="AQ32" i="88"/>
  <c r="AZ23" i="106"/>
  <c r="AS23" i="106" s="1"/>
  <c r="BA23" i="106"/>
  <c r="V35" i="91"/>
  <c r="U36" i="91"/>
  <c r="Q31" i="75"/>
  <c r="R31" i="75"/>
  <c r="V35" i="106"/>
  <c r="U36" i="106"/>
  <c r="O13" i="59"/>
  <c r="P13" i="59"/>
  <c r="BI32" i="88"/>
  <c r="BH33" i="88"/>
  <c r="G33" i="78"/>
  <c r="H32" i="78"/>
  <c r="BH38" i="78" s="1"/>
  <c r="AL106" i="86"/>
  <c r="Y64" i="86"/>
  <c r="U31" i="105"/>
  <c r="V30" i="105"/>
  <c r="D34" i="108"/>
  <c r="C35" i="108" s="1"/>
  <c r="AP33" i="106"/>
  <c r="AQ32" i="106"/>
  <c r="AT32" i="106"/>
  <c r="AV15" i="75"/>
  <c r="BG15" i="75" s="1"/>
  <c r="BH31" i="106"/>
  <c r="BI30" i="106"/>
  <c r="V32" i="75"/>
  <c r="U33" i="75"/>
  <c r="Q34" i="106"/>
  <c r="R34" i="106"/>
  <c r="AU13" i="88"/>
  <c r="N13" i="59"/>
  <c r="L13" i="59" s="1"/>
  <c r="AL106" i="100"/>
  <c r="Y64" i="100"/>
  <c r="G34" i="106"/>
  <c r="H33" i="106"/>
  <c r="BJ33" i="106" s="1"/>
  <c r="A47" i="108"/>
  <c r="B46" i="108"/>
  <c r="AZ25" i="75"/>
  <c r="BA25" i="75"/>
  <c r="AP34" i="91"/>
  <c r="AQ33" i="91"/>
  <c r="R30" i="86"/>
  <c r="Q30" i="86"/>
  <c r="Y65" i="88"/>
  <c r="AL107" i="88"/>
  <c r="BH31" i="86"/>
  <c r="BI30" i="86"/>
  <c r="A50" i="107"/>
  <c r="B49" i="107"/>
  <c r="X65" i="100"/>
  <c r="BK30" i="100"/>
  <c r="AL109" i="106"/>
  <c r="Y67" i="106"/>
  <c r="BF103" i="78"/>
  <c r="AT96" i="78"/>
  <c r="BH33" i="75"/>
  <c r="BI32" i="75"/>
  <c r="Y67" i="91"/>
  <c r="AL109" i="91"/>
  <c r="V31" i="86"/>
  <c r="U32" i="86"/>
  <c r="X62" i="105"/>
  <c r="J27" i="105"/>
  <c r="BK27" i="105"/>
  <c r="K28" i="105"/>
  <c r="BA23" i="86"/>
  <c r="AZ23" i="86"/>
  <c r="AU13" i="86"/>
  <c r="BH31" i="100"/>
  <c r="BI30" i="100"/>
  <c r="AU21" i="105"/>
  <c r="BL66" i="105"/>
  <c r="E36" i="103"/>
  <c r="J35" i="103"/>
  <c r="F35" i="103"/>
  <c r="AZ35" i="103" s="1"/>
  <c r="E62" i="110"/>
  <c r="J61" i="110"/>
  <c r="F61" i="110"/>
  <c r="AZ61" i="110" s="1"/>
  <c r="U32" i="78"/>
  <c r="T33" i="78"/>
  <c r="G33" i="105"/>
  <c r="H32" i="105"/>
  <c r="BJ32" i="105" s="1"/>
  <c r="I32" i="105"/>
  <c r="AP54" i="78"/>
  <c r="AQ53" i="78"/>
  <c r="AZ24" i="105"/>
  <c r="BA24" i="105"/>
  <c r="Y67" i="75"/>
  <c r="AL109" i="75"/>
  <c r="G32" i="109"/>
  <c r="W31" i="109"/>
  <c r="H31" i="109"/>
  <c r="BK31" i="109" s="1"/>
  <c r="I31" i="109"/>
  <c r="BH34" i="91"/>
  <c r="BI33" i="91"/>
  <c r="X59" i="78"/>
  <c r="BI25" i="78"/>
  <c r="AU14" i="100"/>
  <c r="AY14" i="100" s="1"/>
  <c r="AW14" i="100" s="1"/>
  <c r="AV14" i="100" s="1"/>
  <c r="BG14" i="100" s="1"/>
  <c r="BL59" i="100"/>
  <c r="H33" i="75"/>
  <c r="BJ33" i="75" s="1"/>
  <c r="G34" i="75"/>
  <c r="Q29" i="100"/>
  <c r="J29" i="100" s="1"/>
  <c r="R29" i="100"/>
  <c r="AP36" i="86"/>
  <c r="AQ35" i="86"/>
  <c r="N20" i="105"/>
  <c r="G32" i="100"/>
  <c r="I31" i="100"/>
  <c r="K31" i="100"/>
  <c r="H31" i="100"/>
  <c r="BJ31" i="100" s="1"/>
  <c r="P31" i="78"/>
  <c r="Q31" i="78"/>
  <c r="W52" i="88"/>
  <c r="L17" i="88"/>
  <c r="P17" i="88" s="1"/>
  <c r="X59" i="106"/>
  <c r="BK24" i="106"/>
  <c r="J24" i="106"/>
  <c r="K25" i="106"/>
  <c r="BC103" i="59"/>
  <c r="AQ96" i="59"/>
  <c r="G32" i="88"/>
  <c r="H31" i="88"/>
  <c r="BJ31" i="88" s="1"/>
  <c r="AP33" i="100"/>
  <c r="AT32" i="100"/>
  <c r="AQ32" i="100"/>
  <c r="BH32" i="105"/>
  <c r="BI31" i="105"/>
  <c r="G37" i="66"/>
  <c r="AA37" i="66"/>
  <c r="U37" i="66"/>
  <c r="F38" i="66"/>
  <c r="S16" i="66"/>
  <c r="T16" i="66"/>
  <c r="V76" i="59"/>
  <c r="AI106" i="59"/>
  <c r="BJ30" i="109"/>
  <c r="BI31" i="109"/>
  <c r="BA23" i="109"/>
  <c r="BB23" i="109"/>
  <c r="R30" i="110"/>
  <c r="S29" i="110"/>
  <c r="X50" i="109"/>
  <c r="X144" i="109" s="1"/>
  <c r="L15" i="109"/>
  <c r="P15" i="109" s="1"/>
  <c r="N15" i="109" s="1"/>
  <c r="Q30" i="109"/>
  <c r="R30" i="109"/>
  <c r="U32" i="109"/>
  <c r="V31" i="109"/>
  <c r="AR12" i="111"/>
  <c r="AS13" i="111" s="1"/>
  <c r="V53" i="111"/>
  <c r="U52" i="111"/>
  <c r="E36" i="111"/>
  <c r="J35" i="111"/>
  <c r="F35" i="111"/>
  <c r="AZ35" i="111" s="1"/>
  <c r="O12" i="111"/>
  <c r="P12" i="111"/>
  <c r="N12" i="111"/>
  <c r="L12" i="111" s="1"/>
  <c r="I12" i="111"/>
  <c r="AX33" i="111"/>
  <c r="Q29" i="94"/>
  <c r="R29" i="94"/>
  <c r="U31" i="94"/>
  <c r="V30" i="94"/>
  <c r="BL14" i="109"/>
  <c r="Y49" i="109"/>
  <c r="J14" i="109"/>
  <c r="Z64" i="109"/>
  <c r="AM106" i="109"/>
  <c r="AO12" i="110"/>
  <c r="BC12" i="110"/>
  <c r="AP23" i="109"/>
  <c r="AT23" i="109"/>
  <c r="AU24" i="109"/>
  <c r="AN62" i="109"/>
  <c r="E34" i="112"/>
  <c r="J33" i="112"/>
  <c r="F33" i="112"/>
  <c r="AZ33" i="112" s="1"/>
  <c r="AX33" i="112"/>
  <c r="AM35" i="112"/>
  <c r="AN34" i="112"/>
  <c r="G12" i="112"/>
  <c r="K12" i="112" s="1"/>
  <c r="AW11" i="112"/>
  <c r="P12" i="103"/>
  <c r="O12" i="103"/>
  <c r="V53" i="103"/>
  <c r="U52" i="103"/>
  <c r="L15" i="94"/>
  <c r="P15" i="94" s="1"/>
  <c r="N15" i="94" s="1"/>
  <c r="BJ31" i="94"/>
  <c r="BI32" i="94"/>
  <c r="BA24" i="94"/>
  <c r="AT24" i="94" s="1"/>
  <c r="BB24" i="94"/>
  <c r="Z66" i="94"/>
  <c r="AM108" i="94"/>
  <c r="G32" i="94"/>
  <c r="W31" i="94"/>
  <c r="H31" i="94"/>
  <c r="BK31" i="94" s="1"/>
  <c r="I31" i="94"/>
  <c r="AQ32" i="94"/>
  <c r="AR31" i="94"/>
  <c r="H13" i="110"/>
  <c r="T54" i="110"/>
  <c r="AV14" i="109"/>
  <c r="J14" i="94"/>
  <c r="Y49" i="94"/>
  <c r="BL14" i="94"/>
  <c r="X50" i="94"/>
  <c r="X144" i="94" s="1"/>
  <c r="AP13" i="103"/>
  <c r="BB59" i="103"/>
  <c r="AI54" i="103"/>
  <c r="AY13" i="103"/>
  <c r="AW13" i="94"/>
  <c r="AN66" i="94"/>
  <c r="AU28" i="94"/>
  <c r="AP27" i="94"/>
  <c r="S42" i="61"/>
  <c r="I12" i="61"/>
  <c r="R12" i="61"/>
  <c r="W55" i="100" l="1"/>
  <c r="L20" i="100"/>
  <c r="P20" i="100" s="1"/>
  <c r="N20" i="100" s="1"/>
  <c r="F42" i="107"/>
  <c r="E42" i="107"/>
  <c r="G42" i="107" s="1"/>
  <c r="D42" i="107" s="1"/>
  <c r="C43" i="107" s="1"/>
  <c r="AU15" i="100"/>
  <c r="AY15" i="100" s="1"/>
  <c r="AW15" i="100" s="1"/>
  <c r="AV15" i="100" s="1"/>
  <c r="BG15" i="100" s="1"/>
  <c r="BL60" i="100"/>
  <c r="AU23" i="106"/>
  <c r="BL68" i="106"/>
  <c r="BI32" i="105"/>
  <c r="BH33" i="105"/>
  <c r="E63" i="110"/>
  <c r="J62" i="110"/>
  <c r="F62" i="110"/>
  <c r="AZ62" i="110" s="1"/>
  <c r="AZ24" i="100"/>
  <c r="BA24" i="100"/>
  <c r="Q31" i="86"/>
  <c r="R31" i="86"/>
  <c r="AL108" i="88"/>
  <c r="Y66" i="88"/>
  <c r="AY13" i="88"/>
  <c r="AW13" i="88" s="1"/>
  <c r="AT16" i="75"/>
  <c r="AV16" i="75" s="1"/>
  <c r="BG16" i="75" s="1"/>
  <c r="AU16" i="75"/>
  <c r="AY16" i="75" s="1"/>
  <c r="AW16" i="75" s="1"/>
  <c r="BL61" i="75"/>
  <c r="Y65" i="86"/>
  <c r="AL107" i="86"/>
  <c r="Y72" i="105"/>
  <c r="AL114" i="105"/>
  <c r="AV13" i="59"/>
  <c r="AU13" i="59"/>
  <c r="Q30" i="100"/>
  <c r="J30" i="100" s="1"/>
  <c r="R30" i="100"/>
  <c r="AQ38" i="75"/>
  <c r="AP39" i="75"/>
  <c r="G33" i="88"/>
  <c r="H32" i="88"/>
  <c r="BJ32" i="88" s="1"/>
  <c r="BI31" i="100"/>
  <c r="BH32" i="100"/>
  <c r="AL107" i="100"/>
  <c r="Y65" i="100"/>
  <c r="AM71" i="106"/>
  <c r="AO32" i="106"/>
  <c r="V36" i="106"/>
  <c r="U37" i="106"/>
  <c r="AP33" i="105"/>
  <c r="AT32" i="105"/>
  <c r="AQ32" i="105"/>
  <c r="V31" i="100"/>
  <c r="U32" i="100"/>
  <c r="Q17" i="66"/>
  <c r="AM71" i="100"/>
  <c r="AO32" i="100"/>
  <c r="BK31" i="100"/>
  <c r="X66" i="100"/>
  <c r="AP37" i="86"/>
  <c r="AQ36" i="86"/>
  <c r="AS24" i="105"/>
  <c r="G34" i="105"/>
  <c r="I33" i="105"/>
  <c r="H33" i="105"/>
  <c r="BJ33" i="105" s="1"/>
  <c r="Y68" i="91"/>
  <c r="AL110" i="91"/>
  <c r="G34" i="78"/>
  <c r="H33" i="78"/>
  <c r="BI39" i="78" s="1"/>
  <c r="Q35" i="106"/>
  <c r="R35" i="106"/>
  <c r="R16" i="66"/>
  <c r="P16" i="66" s="1"/>
  <c r="AY20" i="78"/>
  <c r="AT20" i="78"/>
  <c r="BE20" i="78"/>
  <c r="AX20" i="78"/>
  <c r="AO31" i="105"/>
  <c r="AM70" i="105"/>
  <c r="AA38" i="66"/>
  <c r="G38" i="66"/>
  <c r="U38" i="66"/>
  <c r="F39" i="66"/>
  <c r="AP34" i="100"/>
  <c r="AT33" i="100"/>
  <c r="AQ33" i="100"/>
  <c r="N17" i="88"/>
  <c r="J36" i="103"/>
  <c r="E37" i="103"/>
  <c r="F36" i="103"/>
  <c r="AZ36" i="103" s="1"/>
  <c r="J28" i="105"/>
  <c r="X63" i="105"/>
  <c r="BK28" i="105"/>
  <c r="K29" i="105"/>
  <c r="BA26" i="75"/>
  <c r="AZ26" i="75"/>
  <c r="A48" i="108"/>
  <c r="B47" i="108"/>
  <c r="AQ33" i="106"/>
  <c r="AP34" i="106"/>
  <c r="AT33" i="106"/>
  <c r="BH34" i="88"/>
  <c r="BI33" i="88"/>
  <c r="V35" i="88"/>
  <c r="U36" i="88"/>
  <c r="N17" i="91"/>
  <c r="U33" i="78"/>
  <c r="T34" i="78"/>
  <c r="BI33" i="75"/>
  <c r="BH34" i="75"/>
  <c r="B50" i="107"/>
  <c r="A51" i="107"/>
  <c r="I13" i="59"/>
  <c r="K13" i="59" s="1"/>
  <c r="V33" i="75"/>
  <c r="U34" i="75"/>
  <c r="BA26" i="88"/>
  <c r="AZ26" i="88"/>
  <c r="AP34" i="88"/>
  <c r="AQ33" i="88"/>
  <c r="O97" i="66"/>
  <c r="W98" i="66"/>
  <c r="R34" i="88"/>
  <c r="Q34" i="88"/>
  <c r="AY13" i="91"/>
  <c r="AW13" i="91" s="1"/>
  <c r="K20" i="78"/>
  <c r="O20" i="78" s="1"/>
  <c r="M20" i="78" s="1"/>
  <c r="N21" i="78" s="1"/>
  <c r="W60" i="78"/>
  <c r="AQ97" i="59"/>
  <c r="BC104" i="59"/>
  <c r="G33" i="109"/>
  <c r="W32" i="109"/>
  <c r="H32" i="109"/>
  <c r="BK32" i="109" s="1"/>
  <c r="I32" i="109"/>
  <c r="AP55" i="78"/>
  <c r="AQ54" i="78"/>
  <c r="P32" i="78"/>
  <c r="Q32" i="78"/>
  <c r="BF104" i="78"/>
  <c r="AT97" i="78"/>
  <c r="BA24" i="86"/>
  <c r="AZ24" i="86"/>
  <c r="AP35" i="91"/>
  <c r="AQ34" i="91"/>
  <c r="R32" i="75"/>
  <c r="Q32" i="75"/>
  <c r="F35" i="108"/>
  <c r="E35" i="108"/>
  <c r="G35" i="108"/>
  <c r="D35" i="108" s="1"/>
  <c r="C36" i="108" s="1"/>
  <c r="U37" i="91"/>
  <c r="V36" i="91"/>
  <c r="M19" i="106"/>
  <c r="S19" i="106" s="1"/>
  <c r="N37" i="66"/>
  <c r="L37" i="66"/>
  <c r="M37" i="66"/>
  <c r="BK25" i="106"/>
  <c r="J25" i="106"/>
  <c r="X60" i="106"/>
  <c r="K26" i="106"/>
  <c r="I32" i="100"/>
  <c r="K32" i="100"/>
  <c r="G33" i="100"/>
  <c r="H32" i="100"/>
  <c r="BJ32" i="100" s="1"/>
  <c r="H34" i="75"/>
  <c r="BJ34" i="75" s="1"/>
  <c r="G35" i="75"/>
  <c r="BA27" i="91"/>
  <c r="AZ27" i="91"/>
  <c r="AY13" i="86"/>
  <c r="AW13" i="86" s="1"/>
  <c r="Y68" i="106"/>
  <c r="AL110" i="106"/>
  <c r="BI31" i="86"/>
  <c r="BH32" i="86"/>
  <c r="AZ24" i="106"/>
  <c r="AS24" i="106" s="1"/>
  <c r="BA24" i="106"/>
  <c r="Q30" i="105"/>
  <c r="R30" i="105"/>
  <c r="Q35" i="91"/>
  <c r="R35" i="91"/>
  <c r="AT13" i="59"/>
  <c r="AR13" i="59" s="1"/>
  <c r="AO13" i="59" s="1"/>
  <c r="G35" i="86"/>
  <c r="H34" i="86"/>
  <c r="BJ34" i="86" s="1"/>
  <c r="AG33" i="75"/>
  <c r="AF33" i="75" s="1"/>
  <c r="L21" i="75"/>
  <c r="P21" i="75" s="1"/>
  <c r="N21" i="75" s="1"/>
  <c r="M21" i="75" s="1"/>
  <c r="S21" i="75" s="1"/>
  <c r="W56" i="75"/>
  <c r="K21" i="75"/>
  <c r="V77" i="59"/>
  <c r="AI107" i="59"/>
  <c r="BA25" i="105"/>
  <c r="AZ25" i="105"/>
  <c r="AS25" i="105" s="1"/>
  <c r="BI34" i="91"/>
  <c r="BH35" i="91"/>
  <c r="Y68" i="75"/>
  <c r="AL110" i="75"/>
  <c r="AY21" i="105"/>
  <c r="AW21" i="105" s="1"/>
  <c r="U33" i="86"/>
  <c r="V32" i="86"/>
  <c r="G35" i="106"/>
  <c r="H34" i="106"/>
  <c r="BJ34" i="106" s="1"/>
  <c r="BH32" i="106"/>
  <c r="BI31" i="106"/>
  <c r="V31" i="105"/>
  <c r="U32" i="105"/>
  <c r="M14" i="59"/>
  <c r="AL116" i="78"/>
  <c r="Y79" i="78"/>
  <c r="L22" i="105"/>
  <c r="M22" i="105" s="1"/>
  <c r="S22" i="105" s="1"/>
  <c r="W57" i="105"/>
  <c r="G37" i="91"/>
  <c r="H36" i="91"/>
  <c r="BJ36" i="91" s="1"/>
  <c r="K16" i="86"/>
  <c r="M16" i="86"/>
  <c r="S16" i="86" s="1"/>
  <c r="BI32" i="109"/>
  <c r="BJ31" i="109"/>
  <c r="BB24" i="109"/>
  <c r="BA24" i="109"/>
  <c r="R31" i="110"/>
  <c r="S30" i="110"/>
  <c r="Q31" i="109"/>
  <c r="R31" i="109"/>
  <c r="U33" i="109"/>
  <c r="V32" i="109"/>
  <c r="K15" i="109"/>
  <c r="BL15" i="109" s="1"/>
  <c r="G12" i="111"/>
  <c r="K12" i="111" s="1"/>
  <c r="J36" i="111"/>
  <c r="E37" i="111"/>
  <c r="F36" i="111"/>
  <c r="AZ36" i="111" s="1"/>
  <c r="M13" i="111"/>
  <c r="AO12" i="111"/>
  <c r="BC12" i="111"/>
  <c r="AX34" i="111"/>
  <c r="Q30" i="94"/>
  <c r="R30" i="94"/>
  <c r="V31" i="94"/>
  <c r="U32" i="94"/>
  <c r="K15" i="94"/>
  <c r="Y50" i="94" s="1"/>
  <c r="Z65" i="109"/>
  <c r="AM107" i="109"/>
  <c r="M15" i="109"/>
  <c r="S15" i="109" s="1"/>
  <c r="L16" i="109" s="1"/>
  <c r="AQ12" i="110"/>
  <c r="AW12" i="110" s="1"/>
  <c r="AJ53" i="110"/>
  <c r="AL12" i="110"/>
  <c r="J15" i="109"/>
  <c r="AT24" i="109"/>
  <c r="AP24" i="109"/>
  <c r="AU25" i="109"/>
  <c r="AN63" i="109"/>
  <c r="Q12" i="112"/>
  <c r="AI53" i="112"/>
  <c r="BB58" i="112"/>
  <c r="AP12" i="112"/>
  <c r="AY12" i="112"/>
  <c r="E35" i="112"/>
  <c r="J34" i="112"/>
  <c r="F34" i="112"/>
  <c r="AZ34" i="112" s="1"/>
  <c r="AM36" i="112"/>
  <c r="AN35" i="112"/>
  <c r="BA12" i="112"/>
  <c r="AX34" i="112"/>
  <c r="N12" i="103"/>
  <c r="L12" i="103" s="1"/>
  <c r="M13" i="103" s="1"/>
  <c r="BJ32" i="94"/>
  <c r="BI33" i="94"/>
  <c r="BB25" i="94"/>
  <c r="BA25" i="94"/>
  <c r="AT25" i="94" s="1"/>
  <c r="AQ33" i="94"/>
  <c r="AR32" i="94"/>
  <c r="W32" i="94"/>
  <c r="G33" i="94"/>
  <c r="H32" i="94"/>
  <c r="BK32" i="94" s="1"/>
  <c r="I32" i="94"/>
  <c r="Z67" i="94"/>
  <c r="AM109" i="94"/>
  <c r="O13" i="110"/>
  <c r="N13" i="110" s="1"/>
  <c r="L13" i="110" s="1"/>
  <c r="P13" i="110"/>
  <c r="AZ14" i="109"/>
  <c r="AX14" i="109" s="1"/>
  <c r="AW14" i="109" s="1"/>
  <c r="BH14" i="109" s="1"/>
  <c r="V54" i="110"/>
  <c r="U53" i="110"/>
  <c r="I13" i="110"/>
  <c r="AK54" i="103"/>
  <c r="BH13" i="94"/>
  <c r="BM59" i="94" s="1"/>
  <c r="AN67" i="94"/>
  <c r="AU29" i="94"/>
  <c r="AP28" i="94"/>
  <c r="AV13" i="103"/>
  <c r="AU13" i="103"/>
  <c r="AT13" i="103" s="1"/>
  <c r="O12" i="61"/>
  <c r="N12" i="61"/>
  <c r="M20" i="100" l="1"/>
  <c r="S20" i="100" s="1"/>
  <c r="W57" i="75"/>
  <c r="L22" i="75"/>
  <c r="P22" i="75" s="1"/>
  <c r="N22" i="75" s="1"/>
  <c r="L23" i="105"/>
  <c r="P23" i="105" s="1"/>
  <c r="N23" i="105" s="1"/>
  <c r="M23" i="105"/>
  <c r="S23" i="105" s="1"/>
  <c r="W58" i="105"/>
  <c r="AU17" i="75"/>
  <c r="AY17" i="75" s="1"/>
  <c r="AW17" i="75" s="1"/>
  <c r="AT17" i="75" s="1"/>
  <c r="BL62" i="75"/>
  <c r="G36" i="108"/>
  <c r="F36" i="108"/>
  <c r="E36" i="108"/>
  <c r="AU16" i="100"/>
  <c r="AY16" i="100" s="1"/>
  <c r="AW16" i="100" s="1"/>
  <c r="AV16" i="100" s="1"/>
  <c r="BG16" i="100" s="1"/>
  <c r="BL61" i="100"/>
  <c r="U60" i="59"/>
  <c r="Q13" i="59"/>
  <c r="F43" i="107"/>
  <c r="G43" i="107"/>
  <c r="D43" i="107" s="1"/>
  <c r="C44" i="107" s="1"/>
  <c r="E43" i="107"/>
  <c r="AL13" i="59"/>
  <c r="AJ52" i="59"/>
  <c r="AQ34" i="88"/>
  <c r="AP35" i="88"/>
  <c r="M17" i="91"/>
  <c r="S17" i="91" s="1"/>
  <c r="K17" i="91"/>
  <c r="AM72" i="100"/>
  <c r="AO33" i="100"/>
  <c r="I34" i="105"/>
  <c r="H34" i="105"/>
  <c r="BJ34" i="105" s="1"/>
  <c r="G35" i="105"/>
  <c r="AM71" i="105"/>
  <c r="AO32" i="105"/>
  <c r="AV21" i="105"/>
  <c r="BG21" i="105" s="1"/>
  <c r="Y80" i="78"/>
  <c r="AL117" i="78"/>
  <c r="BI32" i="86"/>
  <c r="BH33" i="86"/>
  <c r="X67" i="100"/>
  <c r="BK32" i="100"/>
  <c r="AQ98" i="59"/>
  <c r="BC105" i="59"/>
  <c r="AT13" i="91"/>
  <c r="AV13" i="91" s="1"/>
  <c r="A52" i="107"/>
  <c r="B51" i="107"/>
  <c r="V36" i="88"/>
  <c r="U37" i="88"/>
  <c r="B48" i="108"/>
  <c r="A49" i="108"/>
  <c r="AT34" i="100"/>
  <c r="AP35" i="100"/>
  <c r="AQ34" i="100"/>
  <c r="H34" i="78"/>
  <c r="BI40" i="78" s="1"/>
  <c r="G35" i="78"/>
  <c r="AP34" i="105"/>
  <c r="AT33" i="105"/>
  <c r="AQ33" i="105"/>
  <c r="AQ13" i="59"/>
  <c r="E64" i="110"/>
  <c r="J63" i="110"/>
  <c r="F63" i="110"/>
  <c r="AZ63" i="110" s="1"/>
  <c r="AY23" i="106"/>
  <c r="Y69" i="75"/>
  <c r="AL111" i="75"/>
  <c r="V78" i="59"/>
  <c r="AI108" i="59"/>
  <c r="AZ25" i="86"/>
  <c r="BA25" i="86"/>
  <c r="AQ55" i="78"/>
  <c r="AP56" i="78"/>
  <c r="R35" i="88"/>
  <c r="Q35" i="88"/>
  <c r="AL108" i="100"/>
  <c r="Y66" i="100"/>
  <c r="AS14" i="59"/>
  <c r="BH36" i="91"/>
  <c r="BI35" i="91"/>
  <c r="X56" i="75"/>
  <c r="BK21" i="75"/>
  <c r="J21" i="75"/>
  <c r="L20" i="106"/>
  <c r="P20" i="106" s="1"/>
  <c r="N20" i="106" s="1"/>
  <c r="M20" i="106"/>
  <c r="S20" i="106" s="1"/>
  <c r="W55" i="106"/>
  <c r="BH35" i="75"/>
  <c r="BI34" i="75"/>
  <c r="AZ27" i="88"/>
  <c r="BA27" i="88"/>
  <c r="J37" i="103"/>
  <c r="E38" i="103"/>
  <c r="F37" i="103"/>
  <c r="AZ37" i="103" s="1"/>
  <c r="U39" i="66"/>
  <c r="G39" i="66"/>
  <c r="F40" i="66"/>
  <c r="AA39" i="66"/>
  <c r="AV21" i="78"/>
  <c r="AL111" i="91"/>
  <c r="Y69" i="91"/>
  <c r="AW20" i="78"/>
  <c r="AU20" i="78" s="1"/>
  <c r="AR20" i="78" s="1"/>
  <c r="G34" i="88"/>
  <c r="H33" i="88"/>
  <c r="BJ33" i="88" s="1"/>
  <c r="W52" i="86"/>
  <c r="L17" i="86"/>
  <c r="V32" i="105"/>
  <c r="U33" i="105"/>
  <c r="H35" i="106"/>
  <c r="BJ35" i="106" s="1"/>
  <c r="G36" i="106"/>
  <c r="BA28" i="91"/>
  <c r="AZ28" i="91"/>
  <c r="Y69" i="106"/>
  <c r="AL111" i="106"/>
  <c r="H35" i="75"/>
  <c r="BJ35" i="75" s="1"/>
  <c r="G36" i="75"/>
  <c r="BK26" i="106"/>
  <c r="J26" i="106"/>
  <c r="X61" i="106"/>
  <c r="K27" i="106"/>
  <c r="Q36" i="91"/>
  <c r="R36" i="91"/>
  <c r="AZ27" i="75"/>
  <c r="BA27" i="75"/>
  <c r="BH35" i="88"/>
  <c r="BI34" i="88"/>
  <c r="BG27" i="78"/>
  <c r="AS21" i="78"/>
  <c r="U38" i="106"/>
  <c r="V37" i="106"/>
  <c r="BH33" i="100"/>
  <c r="BI32" i="100"/>
  <c r="AP40" i="75"/>
  <c r="AQ39" i="75"/>
  <c r="AM55" i="75"/>
  <c r="AO16" i="75"/>
  <c r="AS16" i="75"/>
  <c r="BH34" i="105"/>
  <c r="BI33" i="105"/>
  <c r="X51" i="86"/>
  <c r="J16" i="86"/>
  <c r="BK16" i="86"/>
  <c r="Q31" i="105"/>
  <c r="R31" i="105"/>
  <c r="R32" i="86"/>
  <c r="Q32" i="86"/>
  <c r="U38" i="91"/>
  <c r="V37" i="91"/>
  <c r="J20" i="78"/>
  <c r="O98" i="66"/>
  <c r="W99" i="66"/>
  <c r="V34" i="75"/>
  <c r="U35" i="75"/>
  <c r="T35" i="78"/>
  <c r="U34" i="78"/>
  <c r="AM72" i="106"/>
  <c r="AO33" i="106"/>
  <c r="N38" i="66"/>
  <c r="L38" i="66"/>
  <c r="M38" i="66"/>
  <c r="AP38" i="86"/>
  <c r="AQ37" i="86"/>
  <c r="U33" i="100"/>
  <c r="V32" i="100"/>
  <c r="Q36" i="106"/>
  <c r="R36" i="106"/>
  <c r="AZ25" i="100"/>
  <c r="AS25" i="100" s="1"/>
  <c r="BA25" i="100"/>
  <c r="Y73" i="105"/>
  <c r="AL115" i="105"/>
  <c r="AS24" i="100"/>
  <c r="AZ26" i="105"/>
  <c r="AS26" i="105" s="1"/>
  <c r="BA26" i="105"/>
  <c r="G38" i="91"/>
  <c r="H37" i="91"/>
  <c r="BJ37" i="91" s="1"/>
  <c r="BA25" i="106"/>
  <c r="AZ25" i="106"/>
  <c r="AS25" i="106" s="1"/>
  <c r="U34" i="86"/>
  <c r="V33" i="86"/>
  <c r="H35" i="86"/>
  <c r="BJ35" i="86" s="1"/>
  <c r="G36" i="86"/>
  <c r="AT13" i="86"/>
  <c r="AV13" i="86"/>
  <c r="AP36" i="91"/>
  <c r="AQ35" i="91"/>
  <c r="AT98" i="78"/>
  <c r="BF105" i="78"/>
  <c r="G34" i="109"/>
  <c r="W33" i="109"/>
  <c r="H33" i="109"/>
  <c r="BK33" i="109" s="1"/>
  <c r="I33" i="109"/>
  <c r="L20" i="78"/>
  <c r="R20" i="78" s="1"/>
  <c r="Q33" i="75"/>
  <c r="R33" i="75"/>
  <c r="P33" i="78"/>
  <c r="Q33" i="78"/>
  <c r="AQ34" i="106"/>
  <c r="AT34" i="106"/>
  <c r="AP35" i="106"/>
  <c r="X64" i="105"/>
  <c r="J29" i="105"/>
  <c r="BK29" i="105"/>
  <c r="K30" i="105"/>
  <c r="K17" i="88"/>
  <c r="M17" i="88" s="1"/>
  <c r="S17" i="88" s="1"/>
  <c r="Q31" i="100"/>
  <c r="J31" i="100" s="1"/>
  <c r="R31" i="100"/>
  <c r="AT13" i="88"/>
  <c r="AV23" i="106"/>
  <c r="BG23" i="106" s="1"/>
  <c r="P22" i="105"/>
  <c r="BH33" i="106"/>
  <c r="BI32" i="106"/>
  <c r="G34" i="100"/>
  <c r="I33" i="100"/>
  <c r="K33" i="100"/>
  <c r="H33" i="100"/>
  <c r="BJ33" i="100" s="1"/>
  <c r="BF13" i="59"/>
  <c r="O16" i="66"/>
  <c r="H16" i="66"/>
  <c r="Y66" i="86"/>
  <c r="AL108" i="86"/>
  <c r="Y67" i="88"/>
  <c r="AL109" i="88"/>
  <c r="BB25" i="109"/>
  <c r="BA25" i="109"/>
  <c r="BJ32" i="109"/>
  <c r="BI33" i="109"/>
  <c r="R32" i="110"/>
  <c r="S31" i="110"/>
  <c r="U34" i="109"/>
  <c r="V33" i="109"/>
  <c r="Q32" i="109"/>
  <c r="R32" i="109"/>
  <c r="Y50" i="109"/>
  <c r="Q12" i="111"/>
  <c r="AL12" i="111"/>
  <c r="J37" i="111"/>
  <c r="E38" i="111"/>
  <c r="F37" i="111"/>
  <c r="AZ37" i="111" s="1"/>
  <c r="AQ12" i="111"/>
  <c r="BA12" i="111"/>
  <c r="AJ53" i="111"/>
  <c r="AX35" i="111"/>
  <c r="J15" i="94"/>
  <c r="M15" i="94"/>
  <c r="S15" i="94" s="1"/>
  <c r="X51" i="94" s="1"/>
  <c r="BL15" i="94"/>
  <c r="V32" i="94"/>
  <c r="U33" i="94"/>
  <c r="Q31" i="94"/>
  <c r="R31" i="94"/>
  <c r="X51" i="109"/>
  <c r="P16" i="109"/>
  <c r="N16" i="109" s="1"/>
  <c r="K16" i="109"/>
  <c r="M16" i="109" s="1"/>
  <c r="S16" i="109" s="1"/>
  <c r="Z66" i="109"/>
  <c r="AM108" i="109"/>
  <c r="AP13" i="110"/>
  <c r="AY13" i="110"/>
  <c r="AI54" i="110"/>
  <c r="AK54" i="110" s="1"/>
  <c r="BB59" i="110"/>
  <c r="AT25" i="109"/>
  <c r="AN64" i="109"/>
  <c r="AU26" i="109"/>
  <c r="AP25" i="109"/>
  <c r="AK53" i="112"/>
  <c r="AX35" i="112"/>
  <c r="AV12" i="112"/>
  <c r="AU12" i="112"/>
  <c r="AT12" i="112" s="1"/>
  <c r="T54" i="112"/>
  <c r="H13" i="112"/>
  <c r="S13" i="112"/>
  <c r="E36" i="112"/>
  <c r="J35" i="112"/>
  <c r="F35" i="112"/>
  <c r="AZ35" i="112" s="1"/>
  <c r="AM37" i="112"/>
  <c r="AN36" i="112"/>
  <c r="BI34" i="94"/>
  <c r="BJ33" i="94"/>
  <c r="BB26" i="94"/>
  <c r="BA26" i="94"/>
  <c r="AT26" i="94" s="1"/>
  <c r="G34" i="94"/>
  <c r="W33" i="94"/>
  <c r="H33" i="94"/>
  <c r="BK33" i="94" s="1"/>
  <c r="I33" i="94"/>
  <c r="Z68" i="94"/>
  <c r="AM110" i="94"/>
  <c r="AR33" i="94"/>
  <c r="AQ34" i="94"/>
  <c r="G13" i="110"/>
  <c r="BM60" i="109"/>
  <c r="BM154" i="109" s="1"/>
  <c r="AV15" i="109"/>
  <c r="AZ15" i="109" s="1"/>
  <c r="AX15" i="109" s="1"/>
  <c r="AW15" i="109" s="1"/>
  <c r="BH15" i="109" s="1"/>
  <c r="M14" i="110"/>
  <c r="AR13" i="103"/>
  <c r="AU30" i="94"/>
  <c r="AP29" i="94"/>
  <c r="AN68" i="94"/>
  <c r="AV14" i="94"/>
  <c r="M12" i="61"/>
  <c r="K12" i="61" s="1"/>
  <c r="AG33" i="100" l="1"/>
  <c r="AF33" i="100" s="1"/>
  <c r="W56" i="100"/>
  <c r="L21" i="100"/>
  <c r="P21" i="100" s="1"/>
  <c r="N21" i="100" s="1"/>
  <c r="BG13" i="91"/>
  <c r="F44" i="107"/>
  <c r="E44" i="107"/>
  <c r="G44" i="107" s="1"/>
  <c r="D44" i="107" s="1"/>
  <c r="C45" i="107" s="1"/>
  <c r="AG33" i="106"/>
  <c r="AF33" i="106" s="1"/>
  <c r="L21" i="106"/>
  <c r="P21" i="106" s="1"/>
  <c r="N21" i="106" s="1"/>
  <c r="W56" i="106"/>
  <c r="AS17" i="75"/>
  <c r="AM56" i="75"/>
  <c r="AO17" i="75"/>
  <c r="L24" i="105"/>
  <c r="W59" i="105"/>
  <c r="AU17" i="100"/>
  <c r="AY17" i="100" s="1"/>
  <c r="AW17" i="100" s="1"/>
  <c r="AV17" i="100" s="1"/>
  <c r="BG17" i="100" s="1"/>
  <c r="BL62" i="100"/>
  <c r="L18" i="88"/>
  <c r="P18" i="88" s="1"/>
  <c r="N18" i="88" s="1"/>
  <c r="M18" i="88" s="1"/>
  <c r="S18" i="88" s="1"/>
  <c r="K18" i="88"/>
  <c r="W53" i="88"/>
  <c r="AL109" i="86"/>
  <c r="Y67" i="86"/>
  <c r="BK33" i="100"/>
  <c r="X68" i="100"/>
  <c r="AU24" i="106"/>
  <c r="AY24" i="106" s="1"/>
  <c r="BL69" i="106"/>
  <c r="W34" i="109"/>
  <c r="G35" i="109"/>
  <c r="H34" i="109"/>
  <c r="BK34" i="109" s="1"/>
  <c r="I34" i="109"/>
  <c r="AS13" i="86"/>
  <c r="AM52" i="86"/>
  <c r="AO13" i="86"/>
  <c r="Q33" i="86"/>
  <c r="R33" i="86"/>
  <c r="U39" i="106"/>
  <c r="V38" i="106"/>
  <c r="AT34" i="105"/>
  <c r="AP35" i="105"/>
  <c r="AQ34" i="105"/>
  <c r="Y81" i="78"/>
  <c r="AL118" i="78"/>
  <c r="V16" i="66"/>
  <c r="Z16" i="66"/>
  <c r="AS13" i="88"/>
  <c r="AO13" i="88"/>
  <c r="AM52" i="88"/>
  <c r="J30" i="105"/>
  <c r="BK30" i="105"/>
  <c r="X65" i="105"/>
  <c r="K31" i="105"/>
  <c r="V34" i="86"/>
  <c r="U35" i="86"/>
  <c r="O99" i="66"/>
  <c r="W100" i="66"/>
  <c r="G37" i="75"/>
  <c r="H36" i="75"/>
  <c r="BJ36" i="75" s="1"/>
  <c r="G37" i="106"/>
  <c r="H36" i="106"/>
  <c r="BJ36" i="106" s="1"/>
  <c r="P17" i="86"/>
  <c r="AL109" i="100"/>
  <c r="Y67" i="100"/>
  <c r="B52" i="107"/>
  <c r="A53" i="107"/>
  <c r="AU22" i="105"/>
  <c r="BL67" i="105"/>
  <c r="D36" i="108"/>
  <c r="C37" i="108" s="1"/>
  <c r="I34" i="100"/>
  <c r="G35" i="100"/>
  <c r="K34" i="100"/>
  <c r="H34" i="100"/>
  <c r="BJ34" i="100" s="1"/>
  <c r="AV13" i="88"/>
  <c r="R32" i="100"/>
  <c r="Q32" i="100"/>
  <c r="J32" i="100" s="1"/>
  <c r="G35" i="88"/>
  <c r="H34" i="88"/>
  <c r="BJ34" i="88" s="1"/>
  <c r="U40" i="66"/>
  <c r="G40" i="66"/>
  <c r="AA40" i="66"/>
  <c r="F41" i="66"/>
  <c r="AT35" i="100"/>
  <c r="AP36" i="100"/>
  <c r="AQ35" i="100"/>
  <c r="J17" i="91"/>
  <c r="BK17" i="91"/>
  <c r="X52" i="91"/>
  <c r="AV17" i="75"/>
  <c r="BG17" i="75" s="1"/>
  <c r="AZ26" i="106"/>
  <c r="AS26" i="106" s="1"/>
  <c r="BA26" i="106"/>
  <c r="BF106" i="78"/>
  <c r="AT99" i="78"/>
  <c r="H38" i="91"/>
  <c r="BJ38" i="91" s="1"/>
  <c r="G39" i="91"/>
  <c r="AL116" i="105"/>
  <c r="Y74" i="105"/>
  <c r="V33" i="100"/>
  <c r="U34" i="100"/>
  <c r="BI26" i="78"/>
  <c r="X60" i="78"/>
  <c r="BE21" i="78"/>
  <c r="AY21" i="78"/>
  <c r="AX21" i="78"/>
  <c r="AT21" i="78"/>
  <c r="AO20" i="78"/>
  <c r="AN59" i="78"/>
  <c r="L39" i="66"/>
  <c r="M39" i="66"/>
  <c r="N39" i="66"/>
  <c r="AO34" i="100"/>
  <c r="AM73" i="100"/>
  <c r="AS13" i="91"/>
  <c r="AM52" i="91"/>
  <c r="AO13" i="91"/>
  <c r="W53" i="91"/>
  <c r="L18" i="91"/>
  <c r="BI33" i="106"/>
  <c r="BH34" i="106"/>
  <c r="AF91" i="78"/>
  <c r="AE91" i="78" s="1"/>
  <c r="W61" i="78"/>
  <c r="K21" i="78"/>
  <c r="O21" i="78" s="1"/>
  <c r="M21" i="78" s="1"/>
  <c r="N22" i="78" s="1"/>
  <c r="Q34" i="78"/>
  <c r="P34" i="78"/>
  <c r="Q37" i="91"/>
  <c r="R37" i="91"/>
  <c r="AP41" i="75"/>
  <c r="AQ40" i="75"/>
  <c r="AZ28" i="88"/>
  <c r="BA28" i="88"/>
  <c r="J27" i="106"/>
  <c r="BK27" i="106"/>
  <c r="X62" i="106"/>
  <c r="K28" i="106"/>
  <c r="Y70" i="106"/>
  <c r="AL112" i="106"/>
  <c r="AZ28" i="75"/>
  <c r="BA28" i="75"/>
  <c r="E65" i="110"/>
  <c r="J64" i="110"/>
  <c r="F64" i="110"/>
  <c r="AZ64" i="110" s="1"/>
  <c r="A50" i="108"/>
  <c r="B49" i="108"/>
  <c r="K22" i="75"/>
  <c r="M22" i="75" s="1"/>
  <c r="S22" i="75" s="1"/>
  <c r="AL110" i="88"/>
  <c r="Y68" i="88"/>
  <c r="AP36" i="106"/>
  <c r="AQ35" i="106"/>
  <c r="AT35" i="106"/>
  <c r="AP39" i="86"/>
  <c r="AQ38" i="86"/>
  <c r="U35" i="78"/>
  <c r="T36" i="78"/>
  <c r="U39" i="91"/>
  <c r="V38" i="91"/>
  <c r="BA26" i="100"/>
  <c r="AZ26" i="100"/>
  <c r="AS26" i="100" s="1"/>
  <c r="BI35" i="88"/>
  <c r="BH36" i="88"/>
  <c r="Y70" i="91"/>
  <c r="AL112" i="91"/>
  <c r="BI35" i="75"/>
  <c r="BH36" i="75"/>
  <c r="AZ29" i="91"/>
  <c r="BA29" i="91"/>
  <c r="V79" i="59"/>
  <c r="AI109" i="59"/>
  <c r="BB13" i="59"/>
  <c r="BH34" i="86"/>
  <c r="BI33" i="86"/>
  <c r="AP36" i="88"/>
  <c r="AQ35" i="88"/>
  <c r="N22" i="105"/>
  <c r="AM73" i="106"/>
  <c r="AO34" i="106"/>
  <c r="AQ36" i="91"/>
  <c r="AP37" i="91"/>
  <c r="H36" i="86"/>
  <c r="BJ36" i="86" s="1"/>
  <c r="G37" i="86"/>
  <c r="U36" i="75"/>
  <c r="V35" i="75"/>
  <c r="AZ27" i="105"/>
  <c r="AS27" i="105" s="1"/>
  <c r="BA27" i="105"/>
  <c r="BI33" i="100"/>
  <c r="BH34" i="100"/>
  <c r="U34" i="105"/>
  <c r="V33" i="105"/>
  <c r="E39" i="103"/>
  <c r="J38" i="103"/>
  <c r="F38" i="103"/>
  <c r="AZ38" i="103" s="1"/>
  <c r="BH37" i="91"/>
  <c r="BI36" i="91"/>
  <c r="AP57" i="78"/>
  <c r="AQ56" i="78"/>
  <c r="U38" i="88"/>
  <c r="V37" i="88"/>
  <c r="BA26" i="86"/>
  <c r="AZ26" i="86"/>
  <c r="I35" i="105"/>
  <c r="H35" i="105"/>
  <c r="BJ35" i="105" s="1"/>
  <c r="G36" i="105"/>
  <c r="J17" i="88"/>
  <c r="X52" i="88"/>
  <c r="BK17" i="88"/>
  <c r="BG13" i="86"/>
  <c r="R34" i="75"/>
  <c r="Q34" i="75"/>
  <c r="BH35" i="105"/>
  <c r="BI34" i="105"/>
  <c r="Q37" i="106"/>
  <c r="R37" i="106"/>
  <c r="R32" i="105"/>
  <c r="Q32" i="105"/>
  <c r="Y70" i="75"/>
  <c r="AL112" i="75"/>
  <c r="AO33" i="105"/>
  <c r="AM72" i="105"/>
  <c r="H35" i="78"/>
  <c r="BI41" i="78" s="1"/>
  <c r="G36" i="78"/>
  <c r="Q36" i="88"/>
  <c r="R36" i="88"/>
  <c r="AQ99" i="59"/>
  <c r="BC106" i="59"/>
  <c r="S14" i="59"/>
  <c r="J14" i="59"/>
  <c r="T61" i="59"/>
  <c r="BI34" i="109"/>
  <c r="BJ33" i="109"/>
  <c r="BB26" i="109"/>
  <c r="BA26" i="109"/>
  <c r="AT26" i="109" s="1"/>
  <c r="R33" i="110"/>
  <c r="S32" i="110"/>
  <c r="X52" i="109"/>
  <c r="L17" i="109"/>
  <c r="Q33" i="109"/>
  <c r="R33" i="109"/>
  <c r="U35" i="109"/>
  <c r="V34" i="109"/>
  <c r="AW12" i="111"/>
  <c r="AI54" i="111" s="1"/>
  <c r="E39" i="111"/>
  <c r="J38" i="111"/>
  <c r="F38" i="111"/>
  <c r="AZ38" i="111" s="1"/>
  <c r="H13" i="111"/>
  <c r="S13" i="111"/>
  <c r="T54" i="111"/>
  <c r="AX36" i="111"/>
  <c r="L16" i="94"/>
  <c r="P16" i="94" s="1"/>
  <c r="N16" i="94" s="1"/>
  <c r="U34" i="94"/>
  <c r="V33" i="94"/>
  <c r="Q32" i="94"/>
  <c r="R32" i="94"/>
  <c r="Y51" i="109"/>
  <c r="BL16" i="109"/>
  <c r="J16" i="109"/>
  <c r="Z67" i="109"/>
  <c r="AM109" i="109"/>
  <c r="AV13" i="110"/>
  <c r="AU13" i="110"/>
  <c r="AT13" i="110" s="1"/>
  <c r="AU27" i="109"/>
  <c r="AN65" i="109"/>
  <c r="AP26" i="109"/>
  <c r="V54" i="112"/>
  <c r="U53" i="112"/>
  <c r="AX36" i="112"/>
  <c r="P13" i="112"/>
  <c r="O13" i="112"/>
  <c r="N13" i="112" s="1"/>
  <c r="L13" i="112" s="1"/>
  <c r="J36" i="112"/>
  <c r="E37" i="112"/>
  <c r="F36" i="112"/>
  <c r="AZ36" i="112" s="1"/>
  <c r="AR12" i="112"/>
  <c r="AS13" i="112" s="1"/>
  <c r="AM38" i="112"/>
  <c r="AN37" i="112"/>
  <c r="I13" i="112"/>
  <c r="BA27" i="94"/>
  <c r="AT27" i="94" s="1"/>
  <c r="BB27" i="94"/>
  <c r="BJ34" i="94"/>
  <c r="BI35" i="94"/>
  <c r="AQ35" i="94"/>
  <c r="AR34" i="94"/>
  <c r="Z69" i="94"/>
  <c r="AM111" i="94"/>
  <c r="W34" i="94"/>
  <c r="G35" i="94"/>
  <c r="H34" i="94"/>
  <c r="BK34" i="94" s="1"/>
  <c r="I34" i="94"/>
  <c r="AV16" i="109"/>
  <c r="AZ16" i="109" s="1"/>
  <c r="AX16" i="109" s="1"/>
  <c r="AW16" i="109" s="1"/>
  <c r="BH16" i="109" s="1"/>
  <c r="BM61" i="109"/>
  <c r="BA13" i="110"/>
  <c r="K13" i="110"/>
  <c r="AS14" i="103"/>
  <c r="BC13" i="103"/>
  <c r="AO13" i="103"/>
  <c r="AQ13" i="103" s="1"/>
  <c r="AW13" i="103" s="1"/>
  <c r="AZ14" i="94"/>
  <c r="AX14" i="94" s="1"/>
  <c r="AW14" i="94" s="1"/>
  <c r="BH14" i="94" s="1"/>
  <c r="AN69" i="94"/>
  <c r="AU31" i="94"/>
  <c r="AP30" i="94"/>
  <c r="H12" i="61"/>
  <c r="J12" i="61" s="1"/>
  <c r="L13" i="61"/>
  <c r="M21" i="100" l="1"/>
  <c r="S21" i="100" s="1"/>
  <c r="L19" i="88"/>
  <c r="P19" i="88" s="1"/>
  <c r="N19" i="88" s="1"/>
  <c r="W54" i="88"/>
  <c r="AU18" i="100"/>
  <c r="AY18" i="100" s="1"/>
  <c r="AW18" i="100" s="1"/>
  <c r="AV18" i="100" s="1"/>
  <c r="BG18" i="100" s="1"/>
  <c r="BL63" i="100"/>
  <c r="L23" i="75"/>
  <c r="P23" i="75" s="1"/>
  <c r="N23" i="75" s="1"/>
  <c r="K23" i="75" s="1"/>
  <c r="W58" i="75"/>
  <c r="E45" i="107"/>
  <c r="G45" i="107" s="1"/>
  <c r="D45" i="107" s="1"/>
  <c r="C46" i="107" s="1"/>
  <c r="F45" i="107"/>
  <c r="AP40" i="86"/>
  <c r="AQ39" i="86"/>
  <c r="A51" i="108"/>
  <c r="B50" i="108"/>
  <c r="AZ27" i="106"/>
  <c r="AS27" i="106" s="1"/>
  <c r="BA27" i="106"/>
  <c r="G37" i="108"/>
  <c r="D37" i="108" s="1"/>
  <c r="C38" i="108" s="1"/>
  <c r="F37" i="108"/>
  <c r="E37" i="108"/>
  <c r="Y82" i="78"/>
  <c r="AL119" i="78"/>
  <c r="Y68" i="86"/>
  <c r="AL110" i="86"/>
  <c r="AZ28" i="105"/>
  <c r="AS28" i="105" s="1"/>
  <c r="BA28" i="105"/>
  <c r="H37" i="86"/>
  <c r="BJ37" i="86" s="1"/>
  <c r="G38" i="86"/>
  <c r="AI110" i="59"/>
  <c r="V80" i="59"/>
  <c r="Y71" i="91"/>
  <c r="AL113" i="91"/>
  <c r="AO35" i="106"/>
  <c r="AM74" i="106"/>
  <c r="Y71" i="106"/>
  <c r="AL113" i="106"/>
  <c r="V34" i="100"/>
  <c r="U35" i="100"/>
  <c r="G40" i="91"/>
  <c r="H39" i="91"/>
  <c r="BJ39" i="91" s="1"/>
  <c r="AT36" i="100"/>
  <c r="AP37" i="100"/>
  <c r="AQ36" i="100"/>
  <c r="BG13" i="88"/>
  <c r="AV24" i="106"/>
  <c r="BG24" i="106" s="1"/>
  <c r="BI35" i="105"/>
  <c r="BH36" i="105"/>
  <c r="H36" i="105"/>
  <c r="BJ36" i="105" s="1"/>
  <c r="I36" i="105"/>
  <c r="G37" i="105"/>
  <c r="R37" i="88"/>
  <c r="Q37" i="88"/>
  <c r="E40" i="103"/>
  <c r="J39" i="103"/>
  <c r="F39" i="103"/>
  <c r="AZ39" i="103" s="1"/>
  <c r="BH37" i="88"/>
  <c r="BI36" i="88"/>
  <c r="X63" i="106"/>
  <c r="J28" i="106"/>
  <c r="BK28" i="106"/>
  <c r="K29" i="106"/>
  <c r="P18" i="91"/>
  <c r="R33" i="100"/>
  <c r="Q33" i="100"/>
  <c r="J33" i="100" s="1"/>
  <c r="AM74" i="100"/>
  <c r="AO35" i="100"/>
  <c r="N17" i="86"/>
  <c r="H37" i="75"/>
  <c r="BJ37" i="75" s="1"/>
  <c r="G38" i="75"/>
  <c r="BK31" i="105"/>
  <c r="X66" i="105"/>
  <c r="J31" i="105"/>
  <c r="K32" i="105"/>
  <c r="AQ35" i="105"/>
  <c r="AP36" i="105"/>
  <c r="AT35" i="105"/>
  <c r="BC107" i="59"/>
  <c r="AQ100" i="59"/>
  <c r="U39" i="88"/>
  <c r="V38" i="88"/>
  <c r="R33" i="105"/>
  <c r="Q33" i="105"/>
  <c r="Q35" i="75"/>
  <c r="R35" i="75"/>
  <c r="AQ37" i="91"/>
  <c r="AP38" i="91"/>
  <c r="AP37" i="88"/>
  <c r="AQ36" i="88"/>
  <c r="AZ29" i="88"/>
  <c r="BA29" i="88"/>
  <c r="Q38" i="91"/>
  <c r="R38" i="91"/>
  <c r="AP37" i="106"/>
  <c r="AQ36" i="106"/>
  <c r="AT36" i="106"/>
  <c r="E66" i="110"/>
  <c r="J65" i="110"/>
  <c r="F65" i="110"/>
  <c r="AZ65" i="110" s="1"/>
  <c r="AQ41" i="75"/>
  <c r="AP42" i="75"/>
  <c r="J21" i="78"/>
  <c r="AL117" i="105"/>
  <c r="Y75" i="105"/>
  <c r="AU18" i="75"/>
  <c r="AY18" i="75" s="1"/>
  <c r="AW18" i="75" s="1"/>
  <c r="AV18" i="75" s="1"/>
  <c r="BG18" i="75" s="1"/>
  <c r="AT18" i="75"/>
  <c r="BL63" i="75"/>
  <c r="K17" i="66"/>
  <c r="J17" i="66"/>
  <c r="I17" i="66" s="1"/>
  <c r="X17" i="66"/>
  <c r="AM73" i="105"/>
  <c r="AO34" i="105"/>
  <c r="Y71" i="75"/>
  <c r="AL113" i="75"/>
  <c r="V34" i="105"/>
  <c r="U35" i="105"/>
  <c r="V36" i="75"/>
  <c r="U37" i="75"/>
  <c r="BA27" i="86"/>
  <c r="AZ27" i="86"/>
  <c r="U40" i="91"/>
  <c r="V39" i="91"/>
  <c r="AL111" i="88"/>
  <c r="Y69" i="88"/>
  <c r="F42" i="66"/>
  <c r="U41" i="66"/>
  <c r="AA41" i="66"/>
  <c r="G41" i="66"/>
  <c r="BK34" i="100"/>
  <c r="X69" i="100"/>
  <c r="AY22" i="105"/>
  <c r="AW22" i="105" s="1"/>
  <c r="W101" i="66"/>
  <c r="O100" i="66"/>
  <c r="R38" i="106"/>
  <c r="Q38" i="106"/>
  <c r="BK18" i="88"/>
  <c r="J18" i="88"/>
  <c r="X53" i="88"/>
  <c r="O14" i="59"/>
  <c r="P14" i="59"/>
  <c r="K14" i="59"/>
  <c r="Q14" i="59" s="1"/>
  <c r="G37" i="78"/>
  <c r="H36" i="78"/>
  <c r="BH42" i="78" s="1"/>
  <c r="AP58" i="78"/>
  <c r="AQ57" i="78"/>
  <c r="BI34" i="100"/>
  <c r="BH35" i="100"/>
  <c r="BH35" i="86"/>
  <c r="BI34" i="86"/>
  <c r="U36" i="78"/>
  <c r="T37" i="78"/>
  <c r="G36" i="88"/>
  <c r="H35" i="88"/>
  <c r="BJ35" i="88" s="1"/>
  <c r="G36" i="100"/>
  <c r="K35" i="100"/>
  <c r="I35" i="100"/>
  <c r="H35" i="100"/>
  <c r="BJ35" i="100" s="1"/>
  <c r="B53" i="107"/>
  <c r="A54" i="107"/>
  <c r="U40" i="106"/>
  <c r="V39" i="106"/>
  <c r="P24" i="105"/>
  <c r="AU14" i="86"/>
  <c r="AY14" i="86" s="1"/>
  <c r="AW14" i="86" s="1"/>
  <c r="AT14" i="86" s="1"/>
  <c r="BA30" i="91"/>
  <c r="AZ30" i="91"/>
  <c r="BA27" i="100"/>
  <c r="AZ27" i="100"/>
  <c r="AS27" i="100" s="1"/>
  <c r="BG59" i="59"/>
  <c r="BD14" i="59"/>
  <c r="AP14" i="59"/>
  <c r="BI36" i="75"/>
  <c r="BH37" i="75"/>
  <c r="Q35" i="78"/>
  <c r="P35" i="78"/>
  <c r="X57" i="75"/>
  <c r="J22" i="75"/>
  <c r="BK22" i="75"/>
  <c r="L21" i="78"/>
  <c r="R21" i="78" s="1"/>
  <c r="BG28" i="78"/>
  <c r="BJ67" i="78"/>
  <c r="AS22" i="78"/>
  <c r="BF107" i="78"/>
  <c r="AT100" i="78"/>
  <c r="M40" i="66"/>
  <c r="N40" i="66"/>
  <c r="L40" i="66"/>
  <c r="AW21" i="78"/>
  <c r="AU21" i="78" s="1"/>
  <c r="AR21" i="78" s="1"/>
  <c r="U36" i="86"/>
  <c r="V35" i="86"/>
  <c r="M24" i="105"/>
  <c r="S24" i="105" s="1"/>
  <c r="M21" i="106"/>
  <c r="S21" i="106" s="1"/>
  <c r="AU14" i="91"/>
  <c r="AY14" i="91" s="1"/>
  <c r="AW14" i="91" s="1"/>
  <c r="AT14" i="91"/>
  <c r="AV14" i="91"/>
  <c r="BG14" i="91" s="1"/>
  <c r="N14" i="59"/>
  <c r="L14" i="59" s="1"/>
  <c r="I14" i="59" s="1"/>
  <c r="BF14" i="59" s="1"/>
  <c r="U61" i="59"/>
  <c r="BH38" i="91"/>
  <c r="BI37" i="91"/>
  <c r="AZ29" i="75"/>
  <c r="BA29" i="75"/>
  <c r="BH35" i="106"/>
  <c r="BI34" i="106"/>
  <c r="Y68" i="100"/>
  <c r="AL110" i="100"/>
  <c r="G38" i="106"/>
  <c r="H37" i="106"/>
  <c r="BJ37" i="106" s="1"/>
  <c r="R34" i="86"/>
  <c r="Q34" i="86"/>
  <c r="G36" i="109"/>
  <c r="W35" i="109"/>
  <c r="H35" i="109"/>
  <c r="BK35" i="109" s="1"/>
  <c r="I35" i="109"/>
  <c r="BA27" i="109"/>
  <c r="BB27" i="109"/>
  <c r="BI35" i="109"/>
  <c r="BJ34" i="109"/>
  <c r="R34" i="110"/>
  <c r="S33" i="110"/>
  <c r="AR13" i="110"/>
  <c r="AS14" i="110" s="1"/>
  <c r="U36" i="109"/>
  <c r="V35" i="109"/>
  <c r="R34" i="109"/>
  <c r="Q34" i="109"/>
  <c r="O13" i="111"/>
  <c r="P13" i="111"/>
  <c r="I13" i="111"/>
  <c r="BB59" i="111"/>
  <c r="AP13" i="111"/>
  <c r="AY13" i="111"/>
  <c r="V54" i="111"/>
  <c r="U53" i="111"/>
  <c r="E40" i="111"/>
  <c r="J39" i="111"/>
  <c r="F39" i="111"/>
  <c r="AZ39" i="111" s="1"/>
  <c r="AX37" i="111"/>
  <c r="K16" i="94"/>
  <c r="Q33" i="94"/>
  <c r="R33" i="94"/>
  <c r="U35" i="94"/>
  <c r="V34" i="94"/>
  <c r="Z68" i="109"/>
  <c r="AM110" i="109"/>
  <c r="P17" i="109"/>
  <c r="N17" i="109" s="1"/>
  <c r="K17" i="109"/>
  <c r="AP27" i="109"/>
  <c r="AT27" i="109"/>
  <c r="AU28" i="109"/>
  <c r="AN66" i="109"/>
  <c r="AM39" i="112"/>
  <c r="AN38" i="112"/>
  <c r="G13" i="112"/>
  <c r="AO12" i="112"/>
  <c r="AQ12" i="112" s="1"/>
  <c r="BC12" i="112"/>
  <c r="E38" i="112"/>
  <c r="J37" i="112"/>
  <c r="F37" i="112"/>
  <c r="AZ37" i="112" s="1"/>
  <c r="M14" i="112"/>
  <c r="AX37" i="112"/>
  <c r="BI36" i="94"/>
  <c r="BJ35" i="94"/>
  <c r="BA28" i="94"/>
  <c r="AT28" i="94" s="1"/>
  <c r="BB28" i="94"/>
  <c r="G36" i="94"/>
  <c r="W35" i="94"/>
  <c r="H35" i="94"/>
  <c r="BK35" i="94" s="1"/>
  <c r="I35" i="94"/>
  <c r="AM112" i="94"/>
  <c r="Z70" i="94"/>
  <c r="AR35" i="94"/>
  <c r="AQ36" i="94"/>
  <c r="AK54" i="111"/>
  <c r="AJ54" i="103"/>
  <c r="AL13" i="103"/>
  <c r="BM62" i="109"/>
  <c r="AV17" i="109"/>
  <c r="AZ17" i="109" s="1"/>
  <c r="AX17" i="109" s="1"/>
  <c r="AW17" i="109" s="1"/>
  <c r="BH17" i="109" s="1"/>
  <c r="Q13" i="110"/>
  <c r="BB60" i="103"/>
  <c r="AP14" i="103"/>
  <c r="AI55" i="103"/>
  <c r="AY14" i="103"/>
  <c r="AP31" i="94"/>
  <c r="AU32" i="94"/>
  <c r="AN70" i="94"/>
  <c r="AV15" i="94"/>
  <c r="AZ15" i="94" s="1"/>
  <c r="AX15" i="94" s="1"/>
  <c r="AW15" i="94" s="1"/>
  <c r="BH15" i="94" s="1"/>
  <c r="BM60" i="94"/>
  <c r="BM154" i="94" s="1"/>
  <c r="P12" i="61"/>
  <c r="T42" i="61"/>
  <c r="W57" i="100" l="1"/>
  <c r="L22" i="100"/>
  <c r="P22" i="100" s="1"/>
  <c r="N22" i="100" s="1"/>
  <c r="M22" i="100"/>
  <c r="S22" i="100" s="1"/>
  <c r="AU15" i="91"/>
  <c r="AY15" i="91" s="1"/>
  <c r="AW15" i="91" s="1"/>
  <c r="AT15" i="91" s="1"/>
  <c r="BL60" i="91"/>
  <c r="BL154" i="91" s="1"/>
  <c r="G38" i="108"/>
  <c r="F38" i="108"/>
  <c r="E38" i="108"/>
  <c r="F46" i="107"/>
  <c r="E46" i="107"/>
  <c r="G46" i="107" s="1"/>
  <c r="D46" i="107" s="1"/>
  <c r="C47" i="107" s="1"/>
  <c r="M23" i="75"/>
  <c r="S23" i="75" s="1"/>
  <c r="X58" i="75"/>
  <c r="BK23" i="75"/>
  <c r="J23" i="75"/>
  <c r="AU19" i="100"/>
  <c r="AY19" i="100" s="1"/>
  <c r="AW19" i="100" s="1"/>
  <c r="AV19" i="100" s="1"/>
  <c r="BG19" i="100" s="1"/>
  <c r="BL64" i="100"/>
  <c r="AU19" i="75"/>
  <c r="AY19" i="75" s="1"/>
  <c r="AW19" i="75" s="1"/>
  <c r="BL64" i="75"/>
  <c r="T62" i="59"/>
  <c r="J15" i="59"/>
  <c r="S15" i="59"/>
  <c r="AM53" i="86"/>
  <c r="AS14" i="86"/>
  <c r="AO14" i="86"/>
  <c r="G39" i="106"/>
  <c r="H38" i="106"/>
  <c r="BJ38" i="106" s="1"/>
  <c r="AM53" i="91"/>
  <c r="AO14" i="91"/>
  <c r="AS14" i="91"/>
  <c r="A55" i="107"/>
  <c r="B54" i="107"/>
  <c r="U37" i="78"/>
  <c r="T38" i="78"/>
  <c r="R36" i="75"/>
  <c r="Q36" i="75"/>
  <c r="T17" i="66"/>
  <c r="S17" i="66"/>
  <c r="AM57" i="75"/>
  <c r="AS18" i="75"/>
  <c r="AO18" i="75"/>
  <c r="AQ101" i="59"/>
  <c r="BC108" i="59"/>
  <c r="BA30" i="88"/>
  <c r="AZ30" i="88"/>
  <c r="G38" i="105"/>
  <c r="I37" i="105"/>
  <c r="H37" i="105"/>
  <c r="BJ37" i="105" s="1"/>
  <c r="Y72" i="106"/>
  <c r="AL114" i="106"/>
  <c r="Y83" i="78"/>
  <c r="AL120" i="78"/>
  <c r="AO21" i="78"/>
  <c r="AN60" i="78"/>
  <c r="BH38" i="75"/>
  <c r="BI37" i="75"/>
  <c r="AV14" i="86"/>
  <c r="BG14" i="86" s="1"/>
  <c r="P36" i="78"/>
  <c r="Q36" i="78"/>
  <c r="Q39" i="91"/>
  <c r="R39" i="91"/>
  <c r="U36" i="105"/>
  <c r="V35" i="105"/>
  <c r="E67" i="110"/>
  <c r="J66" i="110"/>
  <c r="F66" i="110"/>
  <c r="AZ66" i="110" s="1"/>
  <c r="AM74" i="105"/>
  <c r="AO35" i="105"/>
  <c r="H38" i="75"/>
  <c r="BJ38" i="75" s="1"/>
  <c r="G39" i="75"/>
  <c r="BI37" i="88"/>
  <c r="BH38" i="88"/>
  <c r="AU25" i="106"/>
  <c r="AY25" i="106" s="1"/>
  <c r="BL70" i="106"/>
  <c r="AV25" i="106"/>
  <c r="BG25" i="106" s="1"/>
  <c r="G37" i="109"/>
  <c r="W36" i="109"/>
  <c r="H36" i="109"/>
  <c r="BK36" i="109" s="1"/>
  <c r="I36" i="109"/>
  <c r="Y69" i="100"/>
  <c r="AL111" i="100"/>
  <c r="AZ31" i="91"/>
  <c r="BA31" i="91"/>
  <c r="L22" i="106"/>
  <c r="P22" i="106" s="1"/>
  <c r="N22" i="106" s="1"/>
  <c r="W57" i="106"/>
  <c r="AT22" i="78"/>
  <c r="BE22" i="78"/>
  <c r="AY22" i="78"/>
  <c r="AX22" i="78"/>
  <c r="BA30" i="75"/>
  <c r="AZ30" i="75"/>
  <c r="AZ28" i="86"/>
  <c r="BA28" i="86"/>
  <c r="M15" i="59"/>
  <c r="N41" i="66"/>
  <c r="M41" i="66"/>
  <c r="L41" i="66"/>
  <c r="U41" i="91"/>
  <c r="V40" i="91"/>
  <c r="R34" i="105"/>
  <c r="Q34" i="105"/>
  <c r="AL118" i="105"/>
  <c r="Y76" i="105"/>
  <c r="AO36" i="106"/>
  <c r="AM75" i="106"/>
  <c r="AP37" i="105"/>
  <c r="AQ36" i="105"/>
  <c r="AT36" i="105"/>
  <c r="AU14" i="88"/>
  <c r="AY14" i="88" s="1"/>
  <c r="AW14" i="88" s="1"/>
  <c r="AT14" i="88" s="1"/>
  <c r="K19" i="88"/>
  <c r="M19" i="88" s="1"/>
  <c r="S19" i="88" s="1"/>
  <c r="BI38" i="91"/>
  <c r="BH39" i="91"/>
  <c r="L25" i="105"/>
  <c r="P25" i="105" s="1"/>
  <c r="N25" i="105" s="1"/>
  <c r="M25" i="105"/>
  <c r="S25" i="105" s="1"/>
  <c r="W60" i="105"/>
  <c r="W62" i="78"/>
  <c r="K22" i="78"/>
  <c r="O22" i="78" s="1"/>
  <c r="M22" i="78" s="1"/>
  <c r="N23" i="78" s="1"/>
  <c r="BH36" i="86"/>
  <c r="BI35" i="86"/>
  <c r="O101" i="66"/>
  <c r="W102" i="66"/>
  <c r="R17" i="66"/>
  <c r="P17" i="66" s="1"/>
  <c r="H17" i="66" s="1"/>
  <c r="R38" i="88"/>
  <c r="Q38" i="88"/>
  <c r="N18" i="91"/>
  <c r="B51" i="108"/>
  <c r="A52" i="108"/>
  <c r="BH36" i="106"/>
  <c r="BI35" i="106"/>
  <c r="BH36" i="100"/>
  <c r="BI35" i="100"/>
  <c r="AL114" i="75"/>
  <c r="Y72" i="75"/>
  <c r="BI27" i="78"/>
  <c r="X61" i="78"/>
  <c r="AQ37" i="106"/>
  <c r="AP38" i="106"/>
  <c r="AT37" i="106"/>
  <c r="AP38" i="88"/>
  <c r="AQ37" i="88"/>
  <c r="V39" i="88"/>
  <c r="U40" i="88"/>
  <c r="J32" i="105"/>
  <c r="X67" i="105"/>
  <c r="BK32" i="105"/>
  <c r="K33" i="105"/>
  <c r="M17" i="86"/>
  <c r="S17" i="86" s="1"/>
  <c r="K17" i="86"/>
  <c r="J29" i="106"/>
  <c r="X64" i="106"/>
  <c r="BK29" i="106"/>
  <c r="K30" i="106"/>
  <c r="J40" i="103"/>
  <c r="E41" i="103"/>
  <c r="F40" i="103"/>
  <c r="AZ40" i="103" s="1"/>
  <c r="G41" i="91"/>
  <c r="H40" i="91"/>
  <c r="BJ40" i="91" s="1"/>
  <c r="R35" i="86"/>
  <c r="Q35" i="86"/>
  <c r="AV14" i="59"/>
  <c r="AU14" i="59"/>
  <c r="AT14" i="59" s="1"/>
  <c r="AR14" i="59" s="1"/>
  <c r="N24" i="105"/>
  <c r="G37" i="88"/>
  <c r="H36" i="88"/>
  <c r="BJ36" i="88" s="1"/>
  <c r="AZ28" i="100"/>
  <c r="AS28" i="100" s="1"/>
  <c r="BA28" i="100"/>
  <c r="AV22" i="105"/>
  <c r="BG22" i="105" s="1"/>
  <c r="F43" i="66"/>
  <c r="AA42" i="66"/>
  <c r="G42" i="66"/>
  <c r="U42" i="66"/>
  <c r="AP43" i="75"/>
  <c r="AQ42" i="75"/>
  <c r="AP39" i="91"/>
  <c r="AQ38" i="91"/>
  <c r="AP38" i="100"/>
  <c r="AT37" i="100"/>
  <c r="AQ37" i="100"/>
  <c r="V35" i="100"/>
  <c r="U36" i="100"/>
  <c r="AP41" i="86"/>
  <c r="AQ40" i="86"/>
  <c r="AZ28" i="106"/>
  <c r="AS28" i="106" s="1"/>
  <c r="BA28" i="106"/>
  <c r="U37" i="86"/>
  <c r="V36" i="86"/>
  <c r="BF108" i="78"/>
  <c r="AT101" i="78"/>
  <c r="Q39" i="106"/>
  <c r="R39" i="106"/>
  <c r="X70" i="100"/>
  <c r="BK35" i="100"/>
  <c r="AV22" i="78"/>
  <c r="BH37" i="105"/>
  <c r="BI36" i="105"/>
  <c r="AM75" i="100"/>
  <c r="AO36" i="100"/>
  <c r="R34" i="100"/>
  <c r="Q34" i="100"/>
  <c r="J34" i="100" s="1"/>
  <c r="AL114" i="91"/>
  <c r="Y72" i="91"/>
  <c r="H38" i="86"/>
  <c r="BJ38" i="86" s="1"/>
  <c r="G39" i="86"/>
  <c r="Y69" i="86"/>
  <c r="AL111" i="86"/>
  <c r="AW22" i="78"/>
  <c r="AU22" i="78" s="1"/>
  <c r="AR22" i="78" s="1"/>
  <c r="U41" i="106"/>
  <c r="V40" i="106"/>
  <c r="I36" i="100"/>
  <c r="K36" i="100"/>
  <c r="G37" i="100"/>
  <c r="H36" i="100"/>
  <c r="BJ36" i="100" s="1"/>
  <c r="AQ59" i="78"/>
  <c r="AQ58" i="78"/>
  <c r="H37" i="78"/>
  <c r="BH43" i="78" s="1"/>
  <c r="G38" i="78"/>
  <c r="AL112" i="88"/>
  <c r="Y70" i="88"/>
  <c r="V37" i="75"/>
  <c r="U38" i="75"/>
  <c r="BA29" i="105"/>
  <c r="AZ29" i="105"/>
  <c r="AS29" i="105" s="1"/>
  <c r="V81" i="59"/>
  <c r="AI111" i="59"/>
  <c r="BJ35" i="109"/>
  <c r="BI36" i="109"/>
  <c r="BB28" i="109"/>
  <c r="BA28" i="109"/>
  <c r="R35" i="110"/>
  <c r="S34" i="110"/>
  <c r="BC13" i="110"/>
  <c r="AO13" i="110"/>
  <c r="AQ13" i="110" s="1"/>
  <c r="AW13" i="110" s="1"/>
  <c r="Q35" i="109"/>
  <c r="R35" i="109"/>
  <c r="U37" i="109"/>
  <c r="V36" i="109"/>
  <c r="J40" i="111"/>
  <c r="E41" i="111"/>
  <c r="F40" i="111"/>
  <c r="AZ40" i="111" s="1"/>
  <c r="AU13" i="111"/>
  <c r="AV13" i="111"/>
  <c r="N13" i="111"/>
  <c r="L13" i="111" s="1"/>
  <c r="AX38" i="111"/>
  <c r="Y51" i="94"/>
  <c r="M16" i="94"/>
  <c r="S16" i="94" s="1"/>
  <c r="BL16" i="94"/>
  <c r="J16" i="94"/>
  <c r="Q34" i="94"/>
  <c r="R34" i="94"/>
  <c r="V35" i="94"/>
  <c r="U36" i="94"/>
  <c r="Z69" i="109"/>
  <c r="AM111" i="109"/>
  <c r="BL17" i="109"/>
  <c r="Y52" i="109"/>
  <c r="J17" i="109"/>
  <c r="M17" i="109"/>
  <c r="S17" i="109" s="1"/>
  <c r="L18" i="109" s="1"/>
  <c r="AN67" i="109"/>
  <c r="AU29" i="109"/>
  <c r="AT28" i="109"/>
  <c r="AP28" i="109"/>
  <c r="AW12" i="112"/>
  <c r="AX38" i="112"/>
  <c r="AM40" i="112"/>
  <c r="AN39" i="112"/>
  <c r="BA13" i="112"/>
  <c r="K13" i="112"/>
  <c r="AL12" i="112"/>
  <c r="AJ53" i="112"/>
  <c r="E39" i="112"/>
  <c r="J38" i="112"/>
  <c r="F38" i="112"/>
  <c r="AZ38" i="112" s="1"/>
  <c r="BA29" i="94"/>
  <c r="AT29" i="94" s="1"/>
  <c r="BB29" i="94"/>
  <c r="BI37" i="94"/>
  <c r="BJ36" i="94"/>
  <c r="AQ37" i="94"/>
  <c r="AR36" i="94"/>
  <c r="AM113" i="94"/>
  <c r="Z71" i="94"/>
  <c r="W36" i="94"/>
  <c r="G37" i="94"/>
  <c r="H36" i="94"/>
  <c r="BK36" i="94" s="1"/>
  <c r="I36" i="94"/>
  <c r="BM63" i="109"/>
  <c r="AV18" i="109"/>
  <c r="AZ18" i="109" s="1"/>
  <c r="AX18" i="109" s="1"/>
  <c r="AW18" i="109" s="1"/>
  <c r="BH18" i="109" s="1"/>
  <c r="T55" i="110"/>
  <c r="H14" i="110"/>
  <c r="BM61" i="94"/>
  <c r="AV16" i="94"/>
  <c r="AZ16" i="94" s="1"/>
  <c r="AX16" i="94" s="1"/>
  <c r="AW16" i="94" s="1"/>
  <c r="BH16" i="94" s="1"/>
  <c r="AV14" i="103"/>
  <c r="AU14" i="103"/>
  <c r="AT14" i="103" s="1"/>
  <c r="AK55" i="103"/>
  <c r="AU33" i="94"/>
  <c r="AP32" i="94"/>
  <c r="AN71" i="94"/>
  <c r="I13" i="61"/>
  <c r="S43" i="61"/>
  <c r="R13" i="61"/>
  <c r="W58" i="100" l="1"/>
  <c r="L23" i="100"/>
  <c r="P23" i="100" s="1"/>
  <c r="N23" i="100" s="1"/>
  <c r="M23" i="100"/>
  <c r="S23" i="100" s="1"/>
  <c r="L26" i="105"/>
  <c r="P26" i="105" s="1"/>
  <c r="W61" i="105"/>
  <c r="G47" i="107"/>
  <c r="D47" i="107" s="1"/>
  <c r="C48" i="107" s="1"/>
  <c r="F47" i="107"/>
  <c r="E47" i="107"/>
  <c r="AO14" i="59"/>
  <c r="AQ14" i="59"/>
  <c r="BB14" i="59" s="1"/>
  <c r="AU20" i="100"/>
  <c r="AY20" i="100" s="1"/>
  <c r="AW20" i="100" s="1"/>
  <c r="AV20" i="100" s="1"/>
  <c r="BG20" i="100" s="1"/>
  <c r="BL65" i="100"/>
  <c r="AU26" i="106"/>
  <c r="AY26" i="106" s="1"/>
  <c r="BL71" i="106"/>
  <c r="W55" i="88"/>
  <c r="L20" i="88"/>
  <c r="P20" i="88" s="1"/>
  <c r="N20" i="88" s="1"/>
  <c r="AS14" i="88"/>
  <c r="AM53" i="88"/>
  <c r="AO14" i="88"/>
  <c r="AV14" i="88"/>
  <c r="BG14" i="88" s="1"/>
  <c r="AS15" i="91"/>
  <c r="AM54" i="91"/>
  <c r="AO15" i="91"/>
  <c r="V36" i="100"/>
  <c r="U37" i="100"/>
  <c r="AP44" i="75"/>
  <c r="AQ43" i="75"/>
  <c r="K18" i="91"/>
  <c r="BC109" i="59"/>
  <c r="AQ102" i="59"/>
  <c r="Q36" i="86"/>
  <c r="R36" i="86"/>
  <c r="W53" i="86"/>
  <c r="L18" i="86"/>
  <c r="P18" i="86" s="1"/>
  <c r="V38" i="75"/>
  <c r="U39" i="75"/>
  <c r="U38" i="86"/>
  <c r="V37" i="86"/>
  <c r="R35" i="100"/>
  <c r="Q35" i="100"/>
  <c r="J35" i="100" s="1"/>
  <c r="G38" i="88"/>
  <c r="H37" i="88"/>
  <c r="BJ37" i="88" s="1"/>
  <c r="E42" i="103"/>
  <c r="J41" i="103"/>
  <c r="F41" i="103"/>
  <c r="AZ41" i="103" s="1"/>
  <c r="AP39" i="88"/>
  <c r="AQ38" i="88"/>
  <c r="AZ29" i="100"/>
  <c r="AS29" i="100" s="1"/>
  <c r="BA29" i="100"/>
  <c r="AZ29" i="86"/>
  <c r="BA29" i="86"/>
  <c r="Y70" i="100"/>
  <c r="AL112" i="100"/>
  <c r="AL121" i="78"/>
  <c r="Y84" i="78"/>
  <c r="H38" i="105"/>
  <c r="BJ38" i="105" s="1"/>
  <c r="I38" i="105"/>
  <c r="G39" i="105"/>
  <c r="T39" i="78"/>
  <c r="U38" i="78"/>
  <c r="AT19" i="75"/>
  <c r="AV19" i="75" s="1"/>
  <c r="BG19" i="75" s="1"/>
  <c r="R37" i="75"/>
  <c r="Q37" i="75"/>
  <c r="I37" i="100"/>
  <c r="G38" i="100"/>
  <c r="K37" i="100"/>
  <c r="H37" i="100"/>
  <c r="BJ37" i="100" s="1"/>
  <c r="X68" i="105"/>
  <c r="J33" i="105"/>
  <c r="BK33" i="105"/>
  <c r="K34" i="105"/>
  <c r="AM76" i="106"/>
  <c r="AO37" i="106"/>
  <c r="BI36" i="100"/>
  <c r="BH37" i="100"/>
  <c r="BI36" i="86"/>
  <c r="BH37" i="86"/>
  <c r="AL119" i="105"/>
  <c r="Y77" i="105"/>
  <c r="BH39" i="88"/>
  <c r="BI38" i="88"/>
  <c r="P37" i="78"/>
  <c r="Q37" i="78"/>
  <c r="W59" i="75"/>
  <c r="L24" i="75"/>
  <c r="P24" i="75" s="1"/>
  <c r="N24" i="75" s="1"/>
  <c r="K24" i="75" s="1"/>
  <c r="D38" i="108"/>
  <c r="C39" i="108" s="1"/>
  <c r="AL113" i="88"/>
  <c r="Y71" i="88"/>
  <c r="H38" i="78"/>
  <c r="BH44" i="78" s="1"/>
  <c r="G39" i="78"/>
  <c r="X71" i="100"/>
  <c r="BK36" i="100"/>
  <c r="G40" i="86"/>
  <c r="H39" i="86"/>
  <c r="BJ39" i="86" s="1"/>
  <c r="AM76" i="100"/>
  <c r="AO37" i="100"/>
  <c r="N42" i="66"/>
  <c r="M42" i="66"/>
  <c r="L42" i="66"/>
  <c r="BK30" i="106"/>
  <c r="X65" i="106"/>
  <c r="J30" i="106"/>
  <c r="K31" i="106"/>
  <c r="AQ38" i="106"/>
  <c r="AT38" i="106"/>
  <c r="AP39" i="106"/>
  <c r="AZ29" i="106"/>
  <c r="AS29" i="106" s="1"/>
  <c r="BA29" i="106"/>
  <c r="M22" i="106"/>
  <c r="S22" i="106" s="1"/>
  <c r="AZ31" i="88"/>
  <c r="BA31" i="88"/>
  <c r="AU15" i="86"/>
  <c r="AY15" i="86" s="1"/>
  <c r="AW15" i="86" s="1"/>
  <c r="BL60" i="86"/>
  <c r="BL154" i="86" s="1"/>
  <c r="AL115" i="106"/>
  <c r="Y73" i="106"/>
  <c r="O15" i="59"/>
  <c r="P15" i="59"/>
  <c r="AV15" i="91"/>
  <c r="BG15" i="91" s="1"/>
  <c r="AI112" i="59"/>
  <c r="V82" i="59"/>
  <c r="AN61" i="78"/>
  <c r="AO22" i="78"/>
  <c r="AZ30" i="105"/>
  <c r="AS30" i="105" s="1"/>
  <c r="BA30" i="105"/>
  <c r="AT38" i="100"/>
  <c r="AP39" i="100"/>
  <c r="AQ38" i="100"/>
  <c r="BI36" i="106"/>
  <c r="BH37" i="106"/>
  <c r="AO36" i="105"/>
  <c r="AM75" i="105"/>
  <c r="AV23" i="78"/>
  <c r="E68" i="110"/>
  <c r="J67" i="110"/>
  <c r="F67" i="110"/>
  <c r="AZ67" i="110" s="1"/>
  <c r="BA31" i="75"/>
  <c r="AZ31" i="75"/>
  <c r="A56" i="107"/>
  <c r="B55" i="107"/>
  <c r="N15" i="59"/>
  <c r="L15" i="59" s="1"/>
  <c r="I15" i="59" s="1"/>
  <c r="BF15" i="59" s="1"/>
  <c r="AL115" i="91"/>
  <c r="Y73" i="91"/>
  <c r="BI37" i="105"/>
  <c r="BH38" i="105"/>
  <c r="U43" i="66"/>
  <c r="G43" i="66"/>
  <c r="F44" i="66"/>
  <c r="AA43" i="66"/>
  <c r="AS15" i="59"/>
  <c r="B52" i="108"/>
  <c r="A53" i="108"/>
  <c r="O17" i="66"/>
  <c r="BH40" i="91"/>
  <c r="BI39" i="91"/>
  <c r="W37" i="109"/>
  <c r="G38" i="109"/>
  <c r="H37" i="109"/>
  <c r="BK37" i="109" s="1"/>
  <c r="I37" i="109"/>
  <c r="G40" i="75"/>
  <c r="H39" i="75"/>
  <c r="BJ39" i="75" s="1"/>
  <c r="R35" i="105"/>
  <c r="Q35" i="105"/>
  <c r="BI38" i="75"/>
  <c r="BH39" i="75"/>
  <c r="Q18" i="66"/>
  <c r="H39" i="106"/>
  <c r="BJ39" i="106" s="1"/>
  <c r="G40" i="106"/>
  <c r="AQ60" i="78"/>
  <c r="AR59" i="78"/>
  <c r="V41" i="106"/>
  <c r="U42" i="106"/>
  <c r="AL112" i="86"/>
  <c r="Y70" i="86"/>
  <c r="AP40" i="91"/>
  <c r="AQ39" i="91"/>
  <c r="AU23" i="105"/>
  <c r="BL68" i="105"/>
  <c r="V40" i="88"/>
  <c r="U41" i="88"/>
  <c r="J22" i="78"/>
  <c r="BA32" i="91"/>
  <c r="AZ32" i="91"/>
  <c r="AP38" i="105"/>
  <c r="AQ37" i="105"/>
  <c r="AT37" i="105"/>
  <c r="Q40" i="91"/>
  <c r="R40" i="91"/>
  <c r="BG29" i="78"/>
  <c r="BJ68" i="78"/>
  <c r="AS23" i="78"/>
  <c r="V36" i="105"/>
  <c r="U37" i="105"/>
  <c r="R40" i="106"/>
  <c r="Q40" i="106"/>
  <c r="BF109" i="78"/>
  <c r="AT102" i="78"/>
  <c r="AP42" i="86"/>
  <c r="AQ41" i="86"/>
  <c r="H41" i="91"/>
  <c r="BJ41" i="91" s="1"/>
  <c r="G42" i="91"/>
  <c r="X52" i="86"/>
  <c r="J17" i="86"/>
  <c r="BK17" i="86"/>
  <c r="R39" i="88"/>
  <c r="Q39" i="88"/>
  <c r="AL115" i="75"/>
  <c r="Y73" i="75"/>
  <c r="O102" i="66"/>
  <c r="W103" i="66"/>
  <c r="BK19" i="88"/>
  <c r="X54" i="88"/>
  <c r="J19" i="88"/>
  <c r="V41" i="91"/>
  <c r="U42" i="91"/>
  <c r="BI37" i="109"/>
  <c r="BJ36" i="109"/>
  <c r="BB29" i="109"/>
  <c r="BA29" i="109"/>
  <c r="AJ54" i="110"/>
  <c r="AL13" i="110"/>
  <c r="R36" i="110"/>
  <c r="S35" i="110"/>
  <c r="V37" i="109"/>
  <c r="U38" i="109"/>
  <c r="R36" i="109"/>
  <c r="Q36" i="109"/>
  <c r="G13" i="111"/>
  <c r="K13" i="111" s="1"/>
  <c r="M14" i="111"/>
  <c r="J41" i="111"/>
  <c r="E42" i="111"/>
  <c r="F41" i="111"/>
  <c r="AZ41" i="111" s="1"/>
  <c r="AT13" i="111"/>
  <c r="AR13" i="111" s="1"/>
  <c r="AX39" i="111"/>
  <c r="X52" i="94"/>
  <c r="L17" i="94"/>
  <c r="P17" i="94" s="1"/>
  <c r="N17" i="94" s="1"/>
  <c r="U37" i="94"/>
  <c r="V36" i="94"/>
  <c r="Q35" i="94"/>
  <c r="R35" i="94"/>
  <c r="AM112" i="109"/>
  <c r="Z70" i="109"/>
  <c r="BB60" i="110"/>
  <c r="AI55" i="110"/>
  <c r="AK55" i="110" s="1"/>
  <c r="AP14" i="110"/>
  <c r="AY14" i="110"/>
  <c r="K18" i="109"/>
  <c r="X53" i="109"/>
  <c r="AU30" i="109"/>
  <c r="AP29" i="109"/>
  <c r="AN68" i="109"/>
  <c r="AT29" i="109"/>
  <c r="J39" i="112"/>
  <c r="E40" i="112"/>
  <c r="F39" i="112"/>
  <c r="AZ39" i="112" s="1"/>
  <c r="AX39" i="112"/>
  <c r="Q13" i="112"/>
  <c r="AM41" i="112"/>
  <c r="AN40" i="112"/>
  <c r="AI54" i="112"/>
  <c r="AP13" i="112"/>
  <c r="BB59" i="112"/>
  <c r="AY13" i="112"/>
  <c r="BB30" i="94"/>
  <c r="BA30" i="94"/>
  <c r="AT30" i="94" s="1"/>
  <c r="BI38" i="94"/>
  <c r="BJ37" i="94"/>
  <c r="G38" i="94"/>
  <c r="W37" i="94"/>
  <c r="H37" i="94"/>
  <c r="BK37" i="94" s="1"/>
  <c r="I37" i="94"/>
  <c r="AM114" i="94"/>
  <c r="Z72" i="94"/>
  <c r="AQ38" i="94"/>
  <c r="AR37" i="94"/>
  <c r="AV19" i="109"/>
  <c r="AZ19" i="109" s="1"/>
  <c r="AX19" i="109" s="1"/>
  <c r="AW19" i="109" s="1"/>
  <c r="BH19" i="109" s="1"/>
  <c r="BM64" i="109"/>
  <c r="I14" i="110"/>
  <c r="V55" i="110"/>
  <c r="U54" i="110"/>
  <c r="P14" i="110"/>
  <c r="O14" i="110"/>
  <c r="AR14" i="103"/>
  <c r="AO14" i="103" s="1"/>
  <c r="AQ14" i="103" s="1"/>
  <c r="AW14" i="103" s="1"/>
  <c r="AV17" i="94"/>
  <c r="AZ17" i="94" s="1"/>
  <c r="AX17" i="94" s="1"/>
  <c r="AW17" i="94" s="1"/>
  <c r="BH17" i="94" s="1"/>
  <c r="BM62" i="94"/>
  <c r="AP33" i="94"/>
  <c r="AU34" i="94"/>
  <c r="AN72" i="94"/>
  <c r="O13" i="61"/>
  <c r="N13" i="61"/>
  <c r="M13" i="61" s="1"/>
  <c r="K13" i="61" s="1"/>
  <c r="L24" i="100" l="1"/>
  <c r="P24" i="100" s="1"/>
  <c r="N24" i="100" s="1"/>
  <c r="M24" i="100"/>
  <c r="S24" i="100" s="1"/>
  <c r="W59" i="100"/>
  <c r="AV15" i="86"/>
  <c r="BG15" i="86" s="1"/>
  <c r="X59" i="75"/>
  <c r="J24" i="75"/>
  <c r="BK24" i="75"/>
  <c r="AU20" i="75"/>
  <c r="AY20" i="75" s="1"/>
  <c r="AW20" i="75" s="1"/>
  <c r="AT20" i="75" s="1"/>
  <c r="BL65" i="75"/>
  <c r="E48" i="107"/>
  <c r="G48" i="107"/>
  <c r="D48" i="107" s="1"/>
  <c r="C49" i="107" s="1"/>
  <c r="F48" i="107"/>
  <c r="AU21" i="100"/>
  <c r="AY21" i="100" s="1"/>
  <c r="AW21" i="100" s="1"/>
  <c r="BL66" i="100"/>
  <c r="AV21" i="100"/>
  <c r="BG21" i="100" s="1"/>
  <c r="Q41" i="106"/>
  <c r="R41" i="106"/>
  <c r="BA31" i="105"/>
  <c r="AZ31" i="105"/>
  <c r="AS31" i="105" s="1"/>
  <c r="H39" i="78"/>
  <c r="BH45" i="78" s="1"/>
  <c r="G40" i="78"/>
  <c r="X69" i="105"/>
  <c r="J34" i="105"/>
  <c r="BK34" i="105"/>
  <c r="K35" i="105"/>
  <c r="Y71" i="100"/>
  <c r="AL113" i="100"/>
  <c r="U40" i="75"/>
  <c r="V39" i="75"/>
  <c r="AT15" i="88"/>
  <c r="AU15" i="88"/>
  <c r="AY15" i="88" s="1"/>
  <c r="AW15" i="88" s="1"/>
  <c r="AV15" i="88" s="1"/>
  <c r="BG15" i="88" s="1"/>
  <c r="BL60" i="88"/>
  <c r="G40" i="105"/>
  <c r="H39" i="105"/>
  <c r="BJ39" i="105" s="1"/>
  <c r="I39" i="105"/>
  <c r="Q38" i="75"/>
  <c r="R38" i="75"/>
  <c r="BF110" i="78"/>
  <c r="AT103" i="78"/>
  <c r="AT23" i="78"/>
  <c r="AY23" i="78"/>
  <c r="BE23" i="78"/>
  <c r="AX23" i="78"/>
  <c r="AY23" i="105"/>
  <c r="AW23" i="105" s="1"/>
  <c r="AQ61" i="78"/>
  <c r="AR60" i="78"/>
  <c r="AZ32" i="75"/>
  <c r="BA32" i="75"/>
  <c r="W38" i="109"/>
  <c r="G39" i="109"/>
  <c r="H38" i="109"/>
  <c r="BK38" i="109" s="1"/>
  <c r="I38" i="109"/>
  <c r="BH38" i="106"/>
  <c r="BI37" i="106"/>
  <c r="K15" i="59"/>
  <c r="AT15" i="86"/>
  <c r="AL114" i="88"/>
  <c r="Y72" i="88"/>
  <c r="BA30" i="86"/>
  <c r="AZ30" i="86"/>
  <c r="AP40" i="88"/>
  <c r="AQ39" i="88"/>
  <c r="AQ44" i="75"/>
  <c r="AP45" i="75"/>
  <c r="AV26" i="106"/>
  <c r="BG26" i="106" s="1"/>
  <c r="H42" i="91"/>
  <c r="BJ42" i="91" s="1"/>
  <c r="G43" i="91"/>
  <c r="AZ30" i="106"/>
  <c r="AS30" i="106" s="1"/>
  <c r="BA30" i="106"/>
  <c r="M16" i="59"/>
  <c r="BH38" i="100"/>
  <c r="BI37" i="100"/>
  <c r="H38" i="88"/>
  <c r="BJ38" i="88" s="1"/>
  <c r="G39" i="88"/>
  <c r="N18" i="86"/>
  <c r="V37" i="100"/>
  <c r="U38" i="100"/>
  <c r="BI28" i="78"/>
  <c r="X62" i="78"/>
  <c r="L22" i="78"/>
  <c r="R22" i="78" s="1"/>
  <c r="AP41" i="91"/>
  <c r="AQ40" i="91"/>
  <c r="AZ33" i="91"/>
  <c r="BA33" i="91"/>
  <c r="F45" i="66"/>
  <c r="G44" i="66"/>
  <c r="AA44" i="66"/>
  <c r="U44" i="66"/>
  <c r="AL116" i="106"/>
  <c r="Y74" i="106"/>
  <c r="AP40" i="106"/>
  <c r="AT39" i="106"/>
  <c r="AQ39" i="106"/>
  <c r="E39" i="108"/>
  <c r="F39" i="108"/>
  <c r="G39" i="108"/>
  <c r="BA30" i="100"/>
  <c r="AZ30" i="100"/>
  <c r="AS30" i="100" s="1"/>
  <c r="AS19" i="75"/>
  <c r="AM58" i="75"/>
  <c r="AO19" i="75"/>
  <c r="BC110" i="59"/>
  <c r="AQ103" i="59"/>
  <c r="R36" i="100"/>
  <c r="Q36" i="100"/>
  <c r="J36" i="100" s="1"/>
  <c r="BI37" i="86"/>
  <c r="BH38" i="86"/>
  <c r="W104" i="66"/>
  <c r="O103" i="66"/>
  <c r="V37" i="105"/>
  <c r="U38" i="105"/>
  <c r="AM76" i="105"/>
  <c r="AO37" i="105"/>
  <c r="U42" i="88"/>
  <c r="V41" i="88"/>
  <c r="Y71" i="86"/>
  <c r="AL113" i="86"/>
  <c r="G41" i="106"/>
  <c r="H40" i="106"/>
  <c r="BJ40" i="106" s="1"/>
  <c r="BI40" i="91"/>
  <c r="BH41" i="91"/>
  <c r="M43" i="66"/>
  <c r="N43" i="66"/>
  <c r="L43" i="66"/>
  <c r="E69" i="110"/>
  <c r="F68" i="110"/>
  <c r="AZ68" i="110" s="1"/>
  <c r="AT39" i="100"/>
  <c r="AP40" i="100"/>
  <c r="AQ39" i="100"/>
  <c r="V83" i="59"/>
  <c r="AI113" i="59"/>
  <c r="AO38" i="106"/>
  <c r="AM77" i="106"/>
  <c r="AZ32" i="88"/>
  <c r="BA32" i="88"/>
  <c r="P38" i="78"/>
  <c r="Q38" i="78"/>
  <c r="AL122" i="78"/>
  <c r="Y85" i="78"/>
  <c r="E43" i="103"/>
  <c r="J42" i="103"/>
  <c r="F42" i="103"/>
  <c r="AZ42" i="103" s="1"/>
  <c r="AP15" i="59"/>
  <c r="BG60" i="59"/>
  <c r="BD15" i="59"/>
  <c r="N26" i="105"/>
  <c r="BH40" i="75"/>
  <c r="BI39" i="75"/>
  <c r="Y74" i="91"/>
  <c r="AL116" i="91"/>
  <c r="U43" i="91"/>
  <c r="V42" i="91"/>
  <c r="AP43" i="86"/>
  <c r="AQ42" i="86"/>
  <c r="Q36" i="105"/>
  <c r="R36" i="105"/>
  <c r="Q40" i="88"/>
  <c r="R40" i="88"/>
  <c r="V17" i="66"/>
  <c r="Z17" i="66"/>
  <c r="B56" i="107"/>
  <c r="A57" i="107"/>
  <c r="AM77" i="100"/>
  <c r="AO38" i="100"/>
  <c r="G41" i="86"/>
  <c r="H40" i="86"/>
  <c r="BJ40" i="86" s="1"/>
  <c r="M24" i="75"/>
  <c r="S24" i="75" s="1"/>
  <c r="BH40" i="88"/>
  <c r="BI39" i="88"/>
  <c r="X72" i="100"/>
  <c r="BK37" i="100"/>
  <c r="T40" i="78"/>
  <c r="U39" i="78"/>
  <c r="R37" i="86"/>
  <c r="Q37" i="86"/>
  <c r="X53" i="91"/>
  <c r="BK18" i="91"/>
  <c r="J18" i="91"/>
  <c r="K20" i="88"/>
  <c r="AJ53" i="59"/>
  <c r="AL14" i="59"/>
  <c r="R41" i="91"/>
  <c r="Q41" i="91"/>
  <c r="Y74" i="75"/>
  <c r="AL116" i="75"/>
  <c r="AW23" i="78"/>
  <c r="AU23" i="78" s="1"/>
  <c r="AR23" i="78" s="1"/>
  <c r="AP39" i="105"/>
  <c r="AT38" i="105"/>
  <c r="AQ38" i="105"/>
  <c r="V42" i="106"/>
  <c r="U43" i="106"/>
  <c r="G41" i="75"/>
  <c r="H40" i="75"/>
  <c r="BJ40" i="75" s="1"/>
  <c r="B53" i="108"/>
  <c r="A54" i="108"/>
  <c r="BI38" i="105"/>
  <c r="BH39" i="105"/>
  <c r="AT16" i="91"/>
  <c r="AU16" i="91"/>
  <c r="AY16" i="91" s="1"/>
  <c r="AW16" i="91" s="1"/>
  <c r="BL61" i="91"/>
  <c r="AV16" i="91"/>
  <c r="BG16" i="91" s="1"/>
  <c r="L23" i="106"/>
  <c r="P23" i="106" s="1"/>
  <c r="N23" i="106" s="1"/>
  <c r="W58" i="106"/>
  <c r="J31" i="106"/>
  <c r="BK31" i="106"/>
  <c r="X66" i="106"/>
  <c r="K32" i="106"/>
  <c r="AL120" i="105"/>
  <c r="Y78" i="105"/>
  <c r="G39" i="100"/>
  <c r="I38" i="100"/>
  <c r="K38" i="100"/>
  <c r="H38" i="100"/>
  <c r="BJ38" i="100" s="1"/>
  <c r="V38" i="86"/>
  <c r="U39" i="86"/>
  <c r="M18" i="91"/>
  <c r="S18" i="91" s="1"/>
  <c r="M26" i="105"/>
  <c r="S26" i="105" s="1"/>
  <c r="BA30" i="109"/>
  <c r="AT30" i="109" s="1"/>
  <c r="BB30" i="109"/>
  <c r="BJ37" i="109"/>
  <c r="BI38" i="109"/>
  <c r="R37" i="110"/>
  <c r="S36" i="110"/>
  <c r="V38" i="109"/>
  <c r="U39" i="109"/>
  <c r="Q37" i="109"/>
  <c r="R37" i="109"/>
  <c r="Q13" i="111"/>
  <c r="BA13" i="111"/>
  <c r="BC13" i="111"/>
  <c r="AO13" i="111"/>
  <c r="AQ13" i="111"/>
  <c r="E43" i="111"/>
  <c r="J42" i="111"/>
  <c r="F42" i="111"/>
  <c r="AZ42" i="111" s="1"/>
  <c r="AS14" i="111"/>
  <c r="AX40" i="111"/>
  <c r="K17" i="94"/>
  <c r="Q36" i="94"/>
  <c r="R36" i="94"/>
  <c r="U38" i="94"/>
  <c r="V37" i="94"/>
  <c r="AM113" i="109"/>
  <c r="Z71" i="109"/>
  <c r="AV14" i="110"/>
  <c r="AU14" i="110"/>
  <c r="BL18" i="109"/>
  <c r="J18" i="109"/>
  <c r="Y53" i="109"/>
  <c r="P18" i="109"/>
  <c r="N18" i="109" s="1"/>
  <c r="M18" i="109"/>
  <c r="S18" i="109" s="1"/>
  <c r="L19" i="109" s="1"/>
  <c r="AN69" i="109"/>
  <c r="AP30" i="109"/>
  <c r="AU31" i="109"/>
  <c r="T55" i="112"/>
  <c r="H14" i="112"/>
  <c r="S14" i="112"/>
  <c r="J40" i="112"/>
  <c r="E41" i="112"/>
  <c r="F40" i="112"/>
  <c r="AZ40" i="112" s="1"/>
  <c r="AM42" i="112"/>
  <c r="AN41" i="112"/>
  <c r="AV13" i="112"/>
  <c r="AU13" i="112"/>
  <c r="AT13" i="112" s="1"/>
  <c r="AK54" i="112"/>
  <c r="AX40" i="112"/>
  <c r="BA31" i="94"/>
  <c r="AT31" i="94" s="1"/>
  <c r="BB31" i="94"/>
  <c r="BJ38" i="94"/>
  <c r="BI39" i="94"/>
  <c r="Z73" i="94"/>
  <c r="AM115" i="94"/>
  <c r="W38" i="94"/>
  <c r="G39" i="94"/>
  <c r="H38" i="94"/>
  <c r="BK38" i="94" s="1"/>
  <c r="I38" i="94"/>
  <c r="AR38" i="94"/>
  <c r="AQ39" i="94"/>
  <c r="BM65" i="109"/>
  <c r="AV20" i="109"/>
  <c r="AZ20" i="109" s="1"/>
  <c r="AX20" i="109" s="1"/>
  <c r="AW20" i="109" s="1"/>
  <c r="BH20" i="109" s="1"/>
  <c r="N14" i="110"/>
  <c r="L14" i="110" s="1"/>
  <c r="BC14" i="103"/>
  <c r="AS15" i="103"/>
  <c r="BB61" i="103"/>
  <c r="AP15" i="103"/>
  <c r="AI56" i="103"/>
  <c r="AY15" i="103"/>
  <c r="BM63" i="94"/>
  <c r="AV18" i="94"/>
  <c r="AZ18" i="94" s="1"/>
  <c r="AX18" i="94" s="1"/>
  <c r="AW18" i="94" s="1"/>
  <c r="BH18" i="94" s="1"/>
  <c r="AP34" i="94"/>
  <c r="AU35" i="94"/>
  <c r="AN73" i="94"/>
  <c r="AL14" i="103"/>
  <c r="AJ55" i="103"/>
  <c r="H13" i="61"/>
  <c r="J13" i="61" s="1"/>
  <c r="L14" i="61"/>
  <c r="L25" i="100" l="1"/>
  <c r="W60" i="100"/>
  <c r="F49" i="107"/>
  <c r="E49" i="107"/>
  <c r="G49" i="107"/>
  <c r="D49" i="107" s="1"/>
  <c r="C50" i="107" s="1"/>
  <c r="AU17" i="91"/>
  <c r="AY17" i="91" s="1"/>
  <c r="AW17" i="91" s="1"/>
  <c r="BL62" i="91"/>
  <c r="AO20" i="75"/>
  <c r="AM59" i="75"/>
  <c r="AS20" i="75"/>
  <c r="AV20" i="75"/>
  <c r="BG20" i="75" s="1"/>
  <c r="AU22" i="100"/>
  <c r="AY22" i="100" s="1"/>
  <c r="AW22" i="100" s="1"/>
  <c r="AV22" i="100" s="1"/>
  <c r="BG22" i="100" s="1"/>
  <c r="BL67" i="100"/>
  <c r="AU16" i="88"/>
  <c r="AY16" i="88" s="1"/>
  <c r="AW16" i="88" s="1"/>
  <c r="AT16" i="88" s="1"/>
  <c r="BL61" i="88"/>
  <c r="E44" i="103"/>
  <c r="J43" i="103"/>
  <c r="F43" i="103"/>
  <c r="AZ43" i="103" s="1"/>
  <c r="AM78" i="100"/>
  <c r="AO39" i="100"/>
  <c r="U43" i="88"/>
  <c r="V42" i="88"/>
  <c r="W105" i="66"/>
  <c r="O104" i="66"/>
  <c r="BC111" i="59"/>
  <c r="AQ104" i="59"/>
  <c r="D39" i="108"/>
  <c r="C40" i="108" s="1"/>
  <c r="R37" i="100"/>
  <c r="Q37" i="100"/>
  <c r="J37" i="100" s="1"/>
  <c r="AU27" i="106"/>
  <c r="AY27" i="106" s="1"/>
  <c r="BL72" i="106"/>
  <c r="AQ62" i="78"/>
  <c r="AR61" i="78"/>
  <c r="R39" i="75"/>
  <c r="Q39" i="75"/>
  <c r="L27" i="105"/>
  <c r="P27" i="105" s="1"/>
  <c r="N27" i="105" s="1"/>
  <c r="M27" i="105"/>
  <c r="S27" i="105" s="1"/>
  <c r="W62" i="105"/>
  <c r="X73" i="100"/>
  <c r="BK38" i="100"/>
  <c r="G42" i="75"/>
  <c r="H41" i="75"/>
  <c r="BJ41" i="75" s="1"/>
  <c r="AL117" i="75"/>
  <c r="Y75" i="75"/>
  <c r="K18" i="66"/>
  <c r="J18" i="66"/>
  <c r="I18" i="66" s="1"/>
  <c r="X18" i="66"/>
  <c r="AL123" i="78"/>
  <c r="Y86" i="78"/>
  <c r="BH39" i="86"/>
  <c r="BI38" i="86"/>
  <c r="BA31" i="100"/>
  <c r="AZ31" i="100"/>
  <c r="AS31" i="100" s="1"/>
  <c r="AP46" i="75"/>
  <c r="AQ45" i="75"/>
  <c r="AL115" i="88"/>
  <c r="Y73" i="88"/>
  <c r="W39" i="109"/>
  <c r="G40" i="109"/>
  <c r="H39" i="109"/>
  <c r="BK39" i="109" s="1"/>
  <c r="I39" i="109"/>
  <c r="U41" i="75"/>
  <c r="V40" i="75"/>
  <c r="AO16" i="91"/>
  <c r="AM55" i="91"/>
  <c r="AS16" i="91"/>
  <c r="E70" i="110"/>
  <c r="J69" i="110"/>
  <c r="F69" i="110"/>
  <c r="AZ69" i="110" s="1"/>
  <c r="BA31" i="86"/>
  <c r="AZ31" i="86"/>
  <c r="K18" i="86"/>
  <c r="BH39" i="100"/>
  <c r="BI38" i="100"/>
  <c r="AV23" i="105"/>
  <c r="BG23" i="105" s="1"/>
  <c r="BF111" i="78"/>
  <c r="AT104" i="78"/>
  <c r="G41" i="105"/>
  <c r="H40" i="105"/>
  <c r="BJ40" i="105" s="1"/>
  <c r="I40" i="105"/>
  <c r="U44" i="106"/>
  <c r="V43" i="106"/>
  <c r="AZ33" i="88"/>
  <c r="BA33" i="88"/>
  <c r="G42" i="86"/>
  <c r="H41" i="86"/>
  <c r="BJ41" i="86" s="1"/>
  <c r="R42" i="91"/>
  <c r="Q42" i="91"/>
  <c r="AV15" i="59"/>
  <c r="AU15" i="59"/>
  <c r="W54" i="91"/>
  <c r="L19" i="91"/>
  <c r="P19" i="91" s="1"/>
  <c r="N19" i="91" s="1"/>
  <c r="K19" i="91" s="1"/>
  <c r="I39" i="100"/>
  <c r="K39" i="100"/>
  <c r="G40" i="100"/>
  <c r="H39" i="100"/>
  <c r="BJ39" i="100" s="1"/>
  <c r="BH40" i="105"/>
  <c r="BI39" i="105"/>
  <c r="R42" i="106"/>
  <c r="Q42" i="106"/>
  <c r="BH41" i="88"/>
  <c r="BI40" i="88"/>
  <c r="U44" i="91"/>
  <c r="V43" i="91"/>
  <c r="G42" i="106"/>
  <c r="H41" i="106"/>
  <c r="BJ41" i="106" s="1"/>
  <c r="AP42" i="91"/>
  <c r="AQ41" i="91"/>
  <c r="AM54" i="86"/>
  <c r="AS15" i="86"/>
  <c r="AO15" i="86"/>
  <c r="AV24" i="78"/>
  <c r="AL114" i="100"/>
  <c r="Y72" i="100"/>
  <c r="W60" i="75"/>
  <c r="L25" i="75"/>
  <c r="P25" i="75" s="1"/>
  <c r="N25" i="75" s="1"/>
  <c r="M25" i="75" s="1"/>
  <c r="S25" i="75" s="1"/>
  <c r="K25" i="75"/>
  <c r="L44" i="66"/>
  <c r="M44" i="66"/>
  <c r="N44" i="66"/>
  <c r="W63" i="78"/>
  <c r="K23" i="78"/>
  <c r="O23" i="78" s="1"/>
  <c r="M23" i="78" s="1"/>
  <c r="N24" i="78" s="1"/>
  <c r="AP41" i="88"/>
  <c r="AQ40" i="88"/>
  <c r="U62" i="59"/>
  <c r="Q15" i="59"/>
  <c r="BG30" i="78"/>
  <c r="BJ69" i="78"/>
  <c r="AS24" i="78"/>
  <c r="BK35" i="105"/>
  <c r="J35" i="105"/>
  <c r="X70" i="105"/>
  <c r="K36" i="105"/>
  <c r="U40" i="86"/>
  <c r="V39" i="86"/>
  <c r="AL121" i="105"/>
  <c r="Y79" i="105"/>
  <c r="V38" i="105"/>
  <c r="U39" i="105"/>
  <c r="M23" i="106"/>
  <c r="S23" i="106" s="1"/>
  <c r="A55" i="108"/>
  <c r="B54" i="108"/>
  <c r="AO38" i="105"/>
  <c r="AM77" i="105"/>
  <c r="Q39" i="78"/>
  <c r="P39" i="78"/>
  <c r="Y75" i="91"/>
  <c r="AL117" i="91"/>
  <c r="AT15" i="59"/>
  <c r="AR15" i="59" s="1"/>
  <c r="AO15" i="59" s="1"/>
  <c r="AI114" i="59"/>
  <c r="V84" i="59"/>
  <c r="R37" i="105"/>
  <c r="Q37" i="105"/>
  <c r="AO39" i="106"/>
  <c r="AM78" i="106"/>
  <c r="F46" i="66"/>
  <c r="AA45" i="66"/>
  <c r="G45" i="66"/>
  <c r="U45" i="66"/>
  <c r="BA31" i="106"/>
  <c r="AZ31" i="106"/>
  <c r="AS31" i="106" s="1"/>
  <c r="AZ32" i="105"/>
  <c r="AS32" i="105" s="1"/>
  <c r="BA32" i="105"/>
  <c r="Q38" i="86"/>
  <c r="R38" i="86"/>
  <c r="J32" i="106"/>
  <c r="X67" i="106"/>
  <c r="BK32" i="106"/>
  <c r="K33" i="106"/>
  <c r="AT39" i="105"/>
  <c r="AP40" i="105"/>
  <c r="AQ39" i="105"/>
  <c r="J20" i="88"/>
  <c r="X55" i="88"/>
  <c r="BK20" i="88"/>
  <c r="T41" i="78"/>
  <c r="U40" i="78"/>
  <c r="B57" i="107"/>
  <c r="A58" i="107"/>
  <c r="AZ33" i="75"/>
  <c r="BA33" i="75"/>
  <c r="BH42" i="91"/>
  <c r="BI41" i="91"/>
  <c r="AL114" i="86"/>
  <c r="Y72" i="86"/>
  <c r="AP41" i="106"/>
  <c r="AT40" i="106"/>
  <c r="AQ40" i="106"/>
  <c r="G44" i="91"/>
  <c r="H43" i="91"/>
  <c r="BJ43" i="91" s="1"/>
  <c r="BI38" i="106"/>
  <c r="BH39" i="106"/>
  <c r="G41" i="78"/>
  <c r="H40" i="78"/>
  <c r="BH46" i="78" s="1"/>
  <c r="M20" i="88"/>
  <c r="S20" i="88" s="1"/>
  <c r="AO23" i="78"/>
  <c r="AN62" i="78"/>
  <c r="AP44" i="86"/>
  <c r="AQ43" i="86"/>
  <c r="BI40" i="75"/>
  <c r="BH41" i="75"/>
  <c r="AP41" i="100"/>
  <c r="AT40" i="100"/>
  <c r="AQ40" i="100"/>
  <c r="AZ34" i="91"/>
  <c r="BA34" i="91"/>
  <c r="R41" i="88"/>
  <c r="Q41" i="88"/>
  <c r="Y75" i="106"/>
  <c r="AL117" i="106"/>
  <c r="V38" i="100"/>
  <c r="U39" i="100"/>
  <c r="H39" i="88"/>
  <c r="BJ39" i="88" s="1"/>
  <c r="G40" i="88"/>
  <c r="AS15" i="88"/>
  <c r="AM54" i="88"/>
  <c r="AO15" i="88"/>
  <c r="AU16" i="86"/>
  <c r="AY16" i="86" s="1"/>
  <c r="AW16" i="86" s="1"/>
  <c r="AT16" i="86" s="1"/>
  <c r="BL61" i="86"/>
  <c r="BB31" i="109"/>
  <c r="BA31" i="109"/>
  <c r="BJ38" i="109"/>
  <c r="BI39" i="109"/>
  <c r="R38" i="110"/>
  <c r="S37" i="110"/>
  <c r="V39" i="109"/>
  <c r="U40" i="109"/>
  <c r="R38" i="109"/>
  <c r="Q38" i="109"/>
  <c r="AW13" i="111"/>
  <c r="AI55" i="111" s="1"/>
  <c r="E44" i="111"/>
  <c r="J43" i="111"/>
  <c r="F43" i="111"/>
  <c r="AZ43" i="111" s="1"/>
  <c r="AL13" i="111"/>
  <c r="AJ54" i="111"/>
  <c r="H14" i="111"/>
  <c r="S14" i="111"/>
  <c r="T55" i="111"/>
  <c r="AX41" i="111"/>
  <c r="M17" i="94"/>
  <c r="S17" i="94" s="1"/>
  <c r="J17" i="94"/>
  <c r="BL17" i="94"/>
  <c r="Y52" i="94"/>
  <c r="Q37" i="94"/>
  <c r="R37" i="94"/>
  <c r="U39" i="94"/>
  <c r="V38" i="94"/>
  <c r="Z72" i="109"/>
  <c r="AM114" i="109"/>
  <c r="AT14" i="110"/>
  <c r="AR14" i="110" s="1"/>
  <c r="AS15" i="110" s="1"/>
  <c r="X54" i="109"/>
  <c r="AU32" i="109"/>
  <c r="AP31" i="109"/>
  <c r="AN70" i="109"/>
  <c r="AT31" i="109"/>
  <c r="AM43" i="112"/>
  <c r="AN42" i="112"/>
  <c r="E42" i="112"/>
  <c r="J41" i="112"/>
  <c r="F41" i="112"/>
  <c r="AZ41" i="112" s="1"/>
  <c r="I14" i="112"/>
  <c r="P14" i="112"/>
  <c r="O14" i="112"/>
  <c r="N14" i="112" s="1"/>
  <c r="L14" i="112" s="1"/>
  <c r="AX41" i="112"/>
  <c r="AR13" i="112"/>
  <c r="AS14" i="112" s="1"/>
  <c r="V55" i="112"/>
  <c r="U54" i="112"/>
  <c r="BI40" i="94"/>
  <c r="BJ39" i="94"/>
  <c r="BB32" i="94"/>
  <c r="BA32" i="94"/>
  <c r="AT32" i="94" s="1"/>
  <c r="AR39" i="94"/>
  <c r="AQ40" i="94"/>
  <c r="G40" i="94"/>
  <c r="W39" i="94"/>
  <c r="H39" i="94"/>
  <c r="BK39" i="94" s="1"/>
  <c r="I39" i="94"/>
  <c r="Z74" i="94"/>
  <c r="AM116" i="94"/>
  <c r="AV21" i="109"/>
  <c r="AZ21" i="109" s="1"/>
  <c r="AX21" i="109" s="1"/>
  <c r="AW21" i="109" s="1"/>
  <c r="BH21" i="109" s="1"/>
  <c r="BM66" i="109"/>
  <c r="G14" i="110"/>
  <c r="K14" i="110" s="1"/>
  <c r="Q14" i="110" s="1"/>
  <c r="M15" i="110"/>
  <c r="BM64" i="94"/>
  <c r="AV19" i="94"/>
  <c r="AZ19" i="94" s="1"/>
  <c r="AX19" i="94" s="1"/>
  <c r="AW19" i="94" s="1"/>
  <c r="BH19" i="94" s="1"/>
  <c r="AP35" i="94"/>
  <c r="AU36" i="94"/>
  <c r="AN74" i="94"/>
  <c r="AU15" i="103"/>
  <c r="AT15" i="103" s="1"/>
  <c r="AV15" i="103"/>
  <c r="AK56" i="103"/>
  <c r="P13" i="61"/>
  <c r="T43" i="61"/>
  <c r="P25" i="100" l="1"/>
  <c r="N25" i="100" s="1"/>
  <c r="M25" i="100"/>
  <c r="S25" i="100" s="1"/>
  <c r="J19" i="91"/>
  <c r="BK19" i="91"/>
  <c r="X54" i="91"/>
  <c r="AM55" i="88"/>
  <c r="AO16" i="88"/>
  <c r="AS16" i="88"/>
  <c r="AV17" i="91"/>
  <c r="BG17" i="91" s="1"/>
  <c r="L28" i="105"/>
  <c r="P28" i="105" s="1"/>
  <c r="N28" i="105" s="1"/>
  <c r="W63" i="105"/>
  <c r="E50" i="107"/>
  <c r="G50" i="107" s="1"/>
  <c r="D50" i="107" s="1"/>
  <c r="C51" i="107" s="1"/>
  <c r="F50" i="107"/>
  <c r="AM55" i="86"/>
  <c r="AS16" i="86"/>
  <c r="AO16" i="86"/>
  <c r="AV16" i="86"/>
  <c r="BG16" i="86" s="1"/>
  <c r="AU23" i="100"/>
  <c r="AY23" i="100" s="1"/>
  <c r="AW23" i="100" s="1"/>
  <c r="BL68" i="100"/>
  <c r="AV23" i="100"/>
  <c r="BG23" i="100" s="1"/>
  <c r="L26" i="75"/>
  <c r="P26" i="75" s="1"/>
  <c r="N26" i="75" s="1"/>
  <c r="K26" i="75" s="1"/>
  <c r="W61" i="75"/>
  <c r="BH42" i="75"/>
  <c r="BI41" i="75"/>
  <c r="BA32" i="106"/>
  <c r="AZ32" i="106"/>
  <c r="AS32" i="106" s="1"/>
  <c r="AO40" i="106"/>
  <c r="AM79" i="106"/>
  <c r="A56" i="108"/>
  <c r="B55" i="108"/>
  <c r="X71" i="105"/>
  <c r="BK36" i="105"/>
  <c r="J36" i="105"/>
  <c r="K37" i="105"/>
  <c r="T63" i="59"/>
  <c r="J16" i="59"/>
  <c r="S16" i="59"/>
  <c r="AQ42" i="91"/>
  <c r="AP43" i="91"/>
  <c r="V44" i="91"/>
  <c r="U45" i="91"/>
  <c r="BA32" i="100"/>
  <c r="AZ32" i="100"/>
  <c r="AS32" i="100" s="1"/>
  <c r="G43" i="75"/>
  <c r="H42" i="75"/>
  <c r="BJ42" i="75" s="1"/>
  <c r="G41" i="88"/>
  <c r="H40" i="88"/>
  <c r="BJ40" i="88" s="1"/>
  <c r="AZ34" i="75"/>
  <c r="BA34" i="75"/>
  <c r="AT41" i="106"/>
  <c r="AP42" i="106"/>
  <c r="AQ41" i="106"/>
  <c r="AL118" i="91"/>
  <c r="Y76" i="91"/>
  <c r="L24" i="106"/>
  <c r="P24" i="106" s="1"/>
  <c r="N24" i="106" s="1"/>
  <c r="M24" i="106"/>
  <c r="S24" i="106"/>
  <c r="W59" i="106"/>
  <c r="AL115" i="100"/>
  <c r="Y73" i="100"/>
  <c r="AZ34" i="88"/>
  <c r="BA34" i="88"/>
  <c r="G41" i="100"/>
  <c r="I40" i="100"/>
  <c r="K40" i="100"/>
  <c r="H40" i="100"/>
  <c r="BJ40" i="100" s="1"/>
  <c r="M19" i="91"/>
  <c r="S19" i="91" s="1"/>
  <c r="G42" i="105"/>
  <c r="I41" i="105"/>
  <c r="H41" i="105"/>
  <c r="BJ41" i="105" s="1"/>
  <c r="BH40" i="100"/>
  <c r="BI39" i="100"/>
  <c r="W40" i="109"/>
  <c r="G41" i="109"/>
  <c r="H40" i="109"/>
  <c r="BK40" i="109" s="1"/>
  <c r="I40" i="109"/>
  <c r="O105" i="66"/>
  <c r="W106" i="66"/>
  <c r="E45" i="103"/>
  <c r="J44" i="103"/>
  <c r="F44" i="103"/>
  <c r="AZ44" i="103" s="1"/>
  <c r="AL115" i="86"/>
  <c r="Y73" i="86"/>
  <c r="A59" i="107"/>
  <c r="B58" i="107"/>
  <c r="AT40" i="105"/>
  <c r="AP41" i="105"/>
  <c r="AQ40" i="105"/>
  <c r="U40" i="105"/>
  <c r="V39" i="105"/>
  <c r="BI41" i="88"/>
  <c r="BH42" i="88"/>
  <c r="AQ15" i="59"/>
  <c r="BB15" i="59" s="1"/>
  <c r="Q43" i="106"/>
  <c r="R43" i="106"/>
  <c r="X53" i="86"/>
  <c r="BK18" i="86"/>
  <c r="J18" i="86"/>
  <c r="E40" i="108"/>
  <c r="G40" i="108"/>
  <c r="D40" i="108" s="1"/>
  <c r="C41" i="108" s="1"/>
  <c r="F40" i="108"/>
  <c r="Q42" i="88"/>
  <c r="R42" i="88"/>
  <c r="U40" i="100"/>
  <c r="V39" i="100"/>
  <c r="AP45" i="86"/>
  <c r="AQ44" i="86"/>
  <c r="AO39" i="105"/>
  <c r="AM78" i="105"/>
  <c r="Q38" i="105"/>
  <c r="R38" i="105"/>
  <c r="AP42" i="88"/>
  <c r="AQ41" i="88"/>
  <c r="X74" i="100"/>
  <c r="BK39" i="100"/>
  <c r="U45" i="106"/>
  <c r="V44" i="106"/>
  <c r="M18" i="86"/>
  <c r="S18" i="86" s="1"/>
  <c r="E71" i="110"/>
  <c r="J70" i="110"/>
  <c r="F70" i="110"/>
  <c r="AZ70" i="110" s="1"/>
  <c r="Y74" i="88"/>
  <c r="AL116" i="88"/>
  <c r="BA32" i="86"/>
  <c r="AZ32" i="86"/>
  <c r="AQ63" i="78"/>
  <c r="AR62" i="78"/>
  <c r="V43" i="88"/>
  <c r="U44" i="88"/>
  <c r="AU21" i="75"/>
  <c r="AY21" i="75" s="1"/>
  <c r="AW21" i="75" s="1"/>
  <c r="AT21" i="75" s="1"/>
  <c r="BL66" i="75"/>
  <c r="AT17" i="91"/>
  <c r="R38" i="100"/>
  <c r="Q38" i="100"/>
  <c r="J38" i="100" s="1"/>
  <c r="AZ35" i="91"/>
  <c r="BA35" i="91"/>
  <c r="P40" i="78"/>
  <c r="Q40" i="78"/>
  <c r="J33" i="106"/>
  <c r="X68" i="106"/>
  <c r="BK33" i="106"/>
  <c r="K34" i="106"/>
  <c r="Y80" i="105"/>
  <c r="AL122" i="105"/>
  <c r="J23" i="78"/>
  <c r="L23" i="78" s="1"/>
  <c r="R23" i="78" s="1"/>
  <c r="AS16" i="59"/>
  <c r="BI39" i="86"/>
  <c r="BH40" i="86"/>
  <c r="Y76" i="75"/>
  <c r="AL118" i="75"/>
  <c r="AV16" i="88"/>
  <c r="BG16" i="88" s="1"/>
  <c r="BI42" i="91"/>
  <c r="BH43" i="91"/>
  <c r="U41" i="78"/>
  <c r="T42" i="78"/>
  <c r="L45" i="66"/>
  <c r="M45" i="66"/>
  <c r="N45" i="66"/>
  <c r="AI115" i="59"/>
  <c r="V85" i="59"/>
  <c r="G43" i="106"/>
  <c r="H42" i="106"/>
  <c r="BJ42" i="106" s="1"/>
  <c r="AZ33" i="105"/>
  <c r="AS33" i="105" s="1"/>
  <c r="BA33" i="105"/>
  <c r="G43" i="86"/>
  <c r="H42" i="86"/>
  <c r="BJ42" i="86" s="1"/>
  <c r="BF112" i="78"/>
  <c r="AT105" i="78"/>
  <c r="Q40" i="75"/>
  <c r="R40" i="75"/>
  <c r="Y87" i="78"/>
  <c r="AL124" i="78"/>
  <c r="AV27" i="106"/>
  <c r="BG27" i="106" s="1"/>
  <c r="AL118" i="106"/>
  <c r="Y76" i="106"/>
  <c r="AM79" i="100"/>
  <c r="AO40" i="100"/>
  <c r="AG33" i="88"/>
  <c r="AF33" i="88" s="1"/>
  <c r="W56" i="88"/>
  <c r="L21" i="88"/>
  <c r="P21" i="88" s="1"/>
  <c r="N21" i="88" s="1"/>
  <c r="G42" i="78"/>
  <c r="H41" i="78"/>
  <c r="BH47" i="78" s="1"/>
  <c r="G45" i="91"/>
  <c r="H44" i="91"/>
  <c r="BJ44" i="91" s="1"/>
  <c r="R39" i="86"/>
  <c r="Q39" i="86"/>
  <c r="J25" i="75"/>
  <c r="BK25" i="75"/>
  <c r="X60" i="75"/>
  <c r="BH41" i="105"/>
  <c r="BI40" i="105"/>
  <c r="AU24" i="105"/>
  <c r="BL69" i="105"/>
  <c r="U42" i="75"/>
  <c r="V41" i="75"/>
  <c r="AP47" i="75"/>
  <c r="AQ46" i="75"/>
  <c r="BC112" i="59"/>
  <c r="AQ105" i="59"/>
  <c r="AP42" i="100"/>
  <c r="AT41" i="100"/>
  <c r="AQ41" i="100"/>
  <c r="BI39" i="106"/>
  <c r="BH40" i="106"/>
  <c r="F47" i="66"/>
  <c r="AA46" i="66"/>
  <c r="U46" i="66"/>
  <c r="G46" i="66"/>
  <c r="AL15" i="59"/>
  <c r="AJ54" i="59"/>
  <c r="V40" i="86"/>
  <c r="U41" i="86"/>
  <c r="BE24" i="78"/>
  <c r="AX24" i="78"/>
  <c r="AT24" i="78"/>
  <c r="AY24" i="78"/>
  <c r="R43" i="91"/>
  <c r="Q43" i="91"/>
  <c r="T18" i="66"/>
  <c r="S18" i="66"/>
  <c r="BB32" i="109"/>
  <c r="BA32" i="109"/>
  <c r="AT32" i="109" s="1"/>
  <c r="BJ39" i="109"/>
  <c r="BI40" i="109"/>
  <c r="R39" i="110"/>
  <c r="S38" i="110"/>
  <c r="V40" i="109"/>
  <c r="U41" i="109"/>
  <c r="R39" i="109"/>
  <c r="Q39" i="109"/>
  <c r="V55" i="111"/>
  <c r="U54" i="111"/>
  <c r="J44" i="111"/>
  <c r="E45" i="111"/>
  <c r="F44" i="111"/>
  <c r="AZ44" i="111" s="1"/>
  <c r="P14" i="111"/>
  <c r="O14" i="111"/>
  <c r="N14" i="111" s="1"/>
  <c r="L14" i="111" s="1"/>
  <c r="G14" i="111" s="1"/>
  <c r="BA14" i="111" s="1"/>
  <c r="AP14" i="111"/>
  <c r="BB60" i="111"/>
  <c r="AY14" i="111"/>
  <c r="I14" i="111"/>
  <c r="AX42" i="111"/>
  <c r="X53" i="94"/>
  <c r="L18" i="94"/>
  <c r="Q38" i="94"/>
  <c r="R38" i="94"/>
  <c r="U40" i="94"/>
  <c r="V39" i="94"/>
  <c r="Z73" i="109"/>
  <c r="AM115" i="109"/>
  <c r="BC14" i="110"/>
  <c r="AO14" i="110"/>
  <c r="AQ14" i="110" s="1"/>
  <c r="AW14" i="110" s="1"/>
  <c r="P19" i="109"/>
  <c r="N19" i="109" s="1"/>
  <c r="K19" i="109"/>
  <c r="G14" i="112"/>
  <c r="BA14" i="112" s="1"/>
  <c r="AU33" i="109"/>
  <c r="AP32" i="109"/>
  <c r="AN71" i="109"/>
  <c r="AX42" i="112"/>
  <c r="E43" i="112"/>
  <c r="J42" i="112"/>
  <c r="F42" i="112"/>
  <c r="AZ42" i="112" s="1"/>
  <c r="AM44" i="112"/>
  <c r="AN43" i="112"/>
  <c r="BC13" i="112"/>
  <c r="AO13" i="112"/>
  <c r="AQ13" i="112" s="1"/>
  <c r="M15" i="112"/>
  <c r="BB33" i="94"/>
  <c r="BA33" i="94"/>
  <c r="AT33" i="94" s="1"/>
  <c r="BI41" i="94"/>
  <c r="BJ40" i="94"/>
  <c r="AR40" i="94"/>
  <c r="AQ41" i="94"/>
  <c r="Z75" i="94"/>
  <c r="AM117" i="94"/>
  <c r="W40" i="94"/>
  <c r="G41" i="94"/>
  <c r="H40" i="94"/>
  <c r="BK40" i="94" s="1"/>
  <c r="I40" i="94"/>
  <c r="AK55" i="111"/>
  <c r="H15" i="110"/>
  <c r="T56" i="110"/>
  <c r="V56" i="110" s="1"/>
  <c r="BM67" i="109"/>
  <c r="AV22" i="109"/>
  <c r="AZ22" i="109" s="1"/>
  <c r="AX22" i="109" s="1"/>
  <c r="AW22" i="109" s="1"/>
  <c r="BH22" i="109" s="1"/>
  <c r="BA14" i="110"/>
  <c r="AR15" i="103"/>
  <c r="AS16" i="103" s="1"/>
  <c r="BM65" i="94"/>
  <c r="AV20" i="94"/>
  <c r="AZ20" i="94" s="1"/>
  <c r="AX20" i="94" s="1"/>
  <c r="AW20" i="94" s="1"/>
  <c r="BH20" i="94" s="1"/>
  <c r="AN75" i="94"/>
  <c r="AP36" i="94"/>
  <c r="AU37" i="94"/>
  <c r="I14" i="61"/>
  <c r="S44" i="61"/>
  <c r="R14" i="61"/>
  <c r="W61" i="100" l="1"/>
  <c r="L26" i="100"/>
  <c r="K24" i="78"/>
  <c r="O24" i="78" s="1"/>
  <c r="M24" i="78" s="1"/>
  <c r="N25" i="78" s="1"/>
  <c r="W64" i="78"/>
  <c r="AS21" i="75"/>
  <c r="AM60" i="75"/>
  <c r="AO21" i="75"/>
  <c r="AV21" i="75"/>
  <c r="BG21" i="75" s="1"/>
  <c r="M26" i="75"/>
  <c r="S26" i="75" s="1"/>
  <c r="J26" i="75"/>
  <c r="X61" i="75"/>
  <c r="BK26" i="75"/>
  <c r="E41" i="108"/>
  <c r="F41" i="108"/>
  <c r="G41" i="108"/>
  <c r="AU24" i="100"/>
  <c r="AY24" i="100" s="1"/>
  <c r="AW24" i="100" s="1"/>
  <c r="AV24" i="100" s="1"/>
  <c r="BG24" i="100" s="1"/>
  <c r="BL69" i="100"/>
  <c r="E51" i="107"/>
  <c r="G51" i="107" s="1"/>
  <c r="D51" i="107" s="1"/>
  <c r="C52" i="107" s="1"/>
  <c r="F51" i="107"/>
  <c r="G44" i="75"/>
  <c r="H43" i="75"/>
  <c r="BJ43" i="75" s="1"/>
  <c r="G46" i="91"/>
  <c r="H45" i="91"/>
  <c r="BJ45" i="91" s="1"/>
  <c r="G43" i="78"/>
  <c r="H42" i="78"/>
  <c r="BH48" i="78" s="1"/>
  <c r="BH41" i="86"/>
  <c r="BI40" i="86"/>
  <c r="R44" i="106"/>
  <c r="Q44" i="106"/>
  <c r="V40" i="100"/>
  <c r="U41" i="100"/>
  <c r="Q39" i="105"/>
  <c r="R39" i="105"/>
  <c r="AL116" i="86"/>
  <c r="Y74" i="86"/>
  <c r="BI40" i="100"/>
  <c r="BH41" i="100"/>
  <c r="Y77" i="91"/>
  <c r="AL119" i="91"/>
  <c r="AQ43" i="91"/>
  <c r="AP44" i="91"/>
  <c r="BA33" i="86"/>
  <c r="AZ33" i="86"/>
  <c r="U45" i="88"/>
  <c r="V44" i="88"/>
  <c r="U46" i="106"/>
  <c r="V45" i="106"/>
  <c r="AU18" i="91"/>
  <c r="AY18" i="91" s="1"/>
  <c r="AW18" i="91" s="1"/>
  <c r="BL63" i="91"/>
  <c r="U42" i="86"/>
  <c r="V41" i="86"/>
  <c r="U47" i="66"/>
  <c r="AA47" i="66"/>
  <c r="F48" i="66"/>
  <c r="G47" i="66"/>
  <c r="K21" i="88"/>
  <c r="Y77" i="106"/>
  <c r="AL119" i="106"/>
  <c r="H43" i="86"/>
  <c r="BJ43" i="86" s="1"/>
  <c r="G44" i="86"/>
  <c r="P41" i="78"/>
  <c r="Q41" i="78"/>
  <c r="Q43" i="88"/>
  <c r="R43" i="88"/>
  <c r="AL117" i="88"/>
  <c r="Y75" i="88"/>
  <c r="R18" i="66"/>
  <c r="P18" i="66" s="1"/>
  <c r="X75" i="100"/>
  <c r="BK40" i="100"/>
  <c r="AL116" i="100"/>
  <c r="Y74" i="100"/>
  <c r="R40" i="86"/>
  <c r="Q40" i="86"/>
  <c r="BH41" i="106"/>
  <c r="BI40" i="106"/>
  <c r="BC113" i="59"/>
  <c r="AQ106" i="59"/>
  <c r="AY24" i="105"/>
  <c r="AW24" i="105" s="1"/>
  <c r="AV24" i="105" s="1"/>
  <c r="BG24" i="105" s="1"/>
  <c r="H43" i="106"/>
  <c r="BJ43" i="106" s="1"/>
  <c r="G44" i="106"/>
  <c r="BH44" i="91"/>
  <c r="BI43" i="91"/>
  <c r="X63" i="78"/>
  <c r="BI29" i="78"/>
  <c r="AM56" i="91"/>
  <c r="AS17" i="91"/>
  <c r="AO17" i="91"/>
  <c r="AP43" i="106"/>
  <c r="AT42" i="106"/>
  <c r="AQ42" i="106"/>
  <c r="P16" i="59"/>
  <c r="O16" i="59"/>
  <c r="BA33" i="106"/>
  <c r="AZ33" i="106"/>
  <c r="AS33" i="106" s="1"/>
  <c r="AZ34" i="105"/>
  <c r="AS34" i="105" s="1"/>
  <c r="BA34" i="105"/>
  <c r="AU28" i="106"/>
  <c r="AY28" i="106" s="1"/>
  <c r="BL73" i="106"/>
  <c r="AV28" i="106"/>
  <c r="BG28" i="106" s="1"/>
  <c r="AT106" i="78"/>
  <c r="BF113" i="78"/>
  <c r="V86" i="59"/>
  <c r="AI116" i="59"/>
  <c r="BA36" i="91"/>
  <c r="AZ36" i="91"/>
  <c r="AW24" i="78"/>
  <c r="AU24" i="78" s="1"/>
  <c r="AR24" i="78" s="1"/>
  <c r="AR63" i="78"/>
  <c r="AQ64" i="78"/>
  <c r="AP42" i="105"/>
  <c r="AQ41" i="105"/>
  <c r="AT41" i="105"/>
  <c r="E46" i="103"/>
  <c r="J45" i="103"/>
  <c r="F45" i="103"/>
  <c r="AZ45" i="103" s="1"/>
  <c r="AO41" i="106"/>
  <c r="AM80" i="106"/>
  <c r="B56" i="108"/>
  <c r="A57" i="108"/>
  <c r="BA35" i="75"/>
  <c r="AZ35" i="75"/>
  <c r="BG31" i="78"/>
  <c r="AS25" i="78"/>
  <c r="BJ70" i="78"/>
  <c r="T43" i="78"/>
  <c r="U42" i="78"/>
  <c r="V40" i="105"/>
  <c r="U41" i="105"/>
  <c r="AU17" i="88"/>
  <c r="AY17" i="88" s="1"/>
  <c r="AW17" i="88" s="1"/>
  <c r="AT17" i="88" s="1"/>
  <c r="BL62" i="88"/>
  <c r="AP16" i="59"/>
  <c r="BD16" i="59"/>
  <c r="BG61" i="59"/>
  <c r="AO40" i="105"/>
  <c r="AM79" i="105"/>
  <c r="G42" i="109"/>
  <c r="W41" i="109"/>
  <c r="H41" i="109"/>
  <c r="BK41" i="109" s="1"/>
  <c r="I41" i="109"/>
  <c r="G42" i="100"/>
  <c r="I41" i="100"/>
  <c r="K41" i="100"/>
  <c r="H41" i="100"/>
  <c r="BJ41" i="100" s="1"/>
  <c r="L25" i="106"/>
  <c r="P25" i="106" s="1"/>
  <c r="N25" i="106" s="1"/>
  <c r="W60" i="106"/>
  <c r="N16" i="59"/>
  <c r="L16" i="59" s="1"/>
  <c r="I16" i="59" s="1"/>
  <c r="BF16" i="59" s="1"/>
  <c r="BH43" i="75"/>
  <c r="BI42" i="75"/>
  <c r="AU17" i="86"/>
  <c r="AY17" i="86" s="1"/>
  <c r="AW17" i="86" s="1"/>
  <c r="AT17" i="86" s="1"/>
  <c r="BL62" i="86"/>
  <c r="AQ47" i="75"/>
  <c r="AP48" i="75"/>
  <c r="AM80" i="100"/>
  <c r="AO41" i="100"/>
  <c r="R41" i="75"/>
  <c r="Q41" i="75"/>
  <c r="AL125" i="78"/>
  <c r="Y88" i="78"/>
  <c r="Y81" i="105"/>
  <c r="AL123" i="105"/>
  <c r="E72" i="110"/>
  <c r="J71" i="110"/>
  <c r="F71" i="110"/>
  <c r="AZ71" i="110" s="1"/>
  <c r="AP46" i="86"/>
  <c r="AQ45" i="86"/>
  <c r="BI42" i="88"/>
  <c r="BH43" i="88"/>
  <c r="O106" i="66"/>
  <c r="W107" i="66"/>
  <c r="I42" i="105"/>
  <c r="G43" i="105"/>
  <c r="H42" i="105"/>
  <c r="BJ42" i="105" s="1"/>
  <c r="H41" i="88"/>
  <c r="BJ41" i="88" s="1"/>
  <c r="G42" i="88"/>
  <c r="U46" i="91"/>
  <c r="V45" i="91"/>
  <c r="BH42" i="105"/>
  <c r="BI41" i="105"/>
  <c r="M46" i="66"/>
  <c r="L46" i="66"/>
  <c r="N46" i="66"/>
  <c r="AT42" i="100"/>
  <c r="AP43" i="100"/>
  <c r="AQ42" i="100"/>
  <c r="V42" i="75"/>
  <c r="U43" i="75"/>
  <c r="Y77" i="75"/>
  <c r="AL119" i="75"/>
  <c r="X69" i="106"/>
  <c r="J34" i="106"/>
  <c r="BK34" i="106"/>
  <c r="K35" i="106"/>
  <c r="L19" i="86"/>
  <c r="P19" i="86" s="1"/>
  <c r="N19" i="86" s="1"/>
  <c r="W54" i="86"/>
  <c r="AQ42" i="88"/>
  <c r="AP43" i="88"/>
  <c r="R39" i="100"/>
  <c r="Q39" i="100"/>
  <c r="J39" i="100" s="1"/>
  <c r="AZ35" i="88"/>
  <c r="BA35" i="88"/>
  <c r="B59" i="107"/>
  <c r="A60" i="107"/>
  <c r="AZ33" i="100"/>
  <c r="AS33" i="100" s="1"/>
  <c r="BA33" i="100"/>
  <c r="L20" i="91"/>
  <c r="P20" i="91" s="1"/>
  <c r="N20" i="91" s="1"/>
  <c r="K20" i="91" s="1"/>
  <c r="W55" i="91"/>
  <c r="R44" i="91"/>
  <c r="Q44" i="91"/>
  <c r="BK37" i="105"/>
  <c r="X72" i="105"/>
  <c r="J37" i="105"/>
  <c r="K38" i="105"/>
  <c r="M28" i="105"/>
  <c r="S28" i="105" s="1"/>
  <c r="BJ40" i="109"/>
  <c r="BI41" i="109"/>
  <c r="BB33" i="109"/>
  <c r="BA33" i="109"/>
  <c r="R40" i="110"/>
  <c r="S39" i="110"/>
  <c r="V41" i="109"/>
  <c r="U42" i="109"/>
  <c r="R40" i="109"/>
  <c r="Q40" i="109"/>
  <c r="AU14" i="111"/>
  <c r="AV14" i="111"/>
  <c r="M15" i="111"/>
  <c r="AT14" i="111"/>
  <c r="AR14" i="111" s="1"/>
  <c r="K14" i="111"/>
  <c r="Q14" i="111" s="1"/>
  <c r="J45" i="111"/>
  <c r="E46" i="111"/>
  <c r="F45" i="111"/>
  <c r="AZ45" i="111" s="1"/>
  <c r="AX43" i="111"/>
  <c r="K18" i="94"/>
  <c r="P18" i="94"/>
  <c r="N18" i="94" s="1"/>
  <c r="R39" i="94"/>
  <c r="Q39" i="94"/>
  <c r="V40" i="94"/>
  <c r="U41" i="94"/>
  <c r="AM116" i="109"/>
  <c r="Z74" i="109"/>
  <c r="AY15" i="110"/>
  <c r="AP15" i="110"/>
  <c r="BB61" i="110"/>
  <c r="AI56" i="110"/>
  <c r="AK56" i="110" s="1"/>
  <c r="AL14" i="110"/>
  <c r="AJ55" i="110"/>
  <c r="J19" i="109"/>
  <c r="Y54" i="109"/>
  <c r="BL19" i="109"/>
  <c r="M19" i="109"/>
  <c r="S19" i="109" s="1"/>
  <c r="L20" i="109" s="1"/>
  <c r="K14" i="112"/>
  <c r="Q14" i="112" s="1"/>
  <c r="AN72" i="109"/>
  <c r="AP33" i="109"/>
  <c r="AU34" i="109"/>
  <c r="AT33" i="109"/>
  <c r="AW13" i="112"/>
  <c r="AM45" i="112"/>
  <c r="AN44" i="112"/>
  <c r="AL13" i="112"/>
  <c r="AJ54" i="112"/>
  <c r="E44" i="112"/>
  <c r="J43" i="112"/>
  <c r="F43" i="112"/>
  <c r="AZ43" i="112" s="1"/>
  <c r="AX43" i="112"/>
  <c r="BA34" i="94"/>
  <c r="AT34" i="94" s="1"/>
  <c r="BB34" i="94"/>
  <c r="BI42" i="94"/>
  <c r="BJ41" i="94"/>
  <c r="AR41" i="94"/>
  <c r="AQ42" i="94"/>
  <c r="Z76" i="94"/>
  <c r="AM118" i="94"/>
  <c r="G42" i="94"/>
  <c r="W41" i="94"/>
  <c r="H41" i="94"/>
  <c r="BK41" i="94" s="1"/>
  <c r="I41" i="94"/>
  <c r="AV23" i="109"/>
  <c r="AZ23" i="109" s="1"/>
  <c r="AX23" i="109" s="1"/>
  <c r="AW23" i="109" s="1"/>
  <c r="BH23" i="109" s="1"/>
  <c r="BM68" i="109"/>
  <c r="U55" i="110"/>
  <c r="P15" i="110"/>
  <c r="O15" i="110"/>
  <c r="I15" i="110"/>
  <c r="BC15" i="103"/>
  <c r="AO15" i="103"/>
  <c r="AL15" i="103" s="1"/>
  <c r="BM66" i="94"/>
  <c r="AV21" i="94"/>
  <c r="AZ21" i="94" s="1"/>
  <c r="AX21" i="94" s="1"/>
  <c r="AW21" i="94" s="1"/>
  <c r="BH21" i="94" s="1"/>
  <c r="AN76" i="94"/>
  <c r="AP37" i="94"/>
  <c r="AU38" i="94"/>
  <c r="O14" i="61"/>
  <c r="N14" i="61"/>
  <c r="M14" i="61" s="1"/>
  <c r="K14" i="61" s="1"/>
  <c r="P26" i="100" l="1"/>
  <c r="N26" i="100" s="1"/>
  <c r="M26" i="100"/>
  <c r="S26" i="100" s="1"/>
  <c r="AO17" i="88"/>
  <c r="AS17" i="88"/>
  <c r="AM56" i="88"/>
  <c r="G52" i="107"/>
  <c r="D52" i="107" s="1"/>
  <c r="C53" i="107" s="1"/>
  <c r="F52" i="107"/>
  <c r="E52" i="107"/>
  <c r="AV18" i="91"/>
  <c r="BG18" i="91" s="1"/>
  <c r="AU25" i="100"/>
  <c r="AY25" i="100" s="1"/>
  <c r="AW25" i="100" s="1"/>
  <c r="AV25" i="100" s="1"/>
  <c r="BG25" i="100" s="1"/>
  <c r="BL70" i="100"/>
  <c r="J20" i="91"/>
  <c r="BK20" i="91"/>
  <c r="X55" i="91"/>
  <c r="M20" i="91"/>
  <c r="S20" i="91" s="1"/>
  <c r="AU29" i="106"/>
  <c r="AY29" i="106" s="1"/>
  <c r="BL74" i="106"/>
  <c r="BG29" i="106"/>
  <c r="AV29" i="106"/>
  <c r="AM56" i="86"/>
  <c r="AO17" i="86"/>
  <c r="AS17" i="86"/>
  <c r="AV17" i="86"/>
  <c r="BG17" i="86" s="1"/>
  <c r="R45" i="91"/>
  <c r="Q45" i="91"/>
  <c r="BA36" i="75"/>
  <c r="AZ36" i="75"/>
  <c r="P42" i="78"/>
  <c r="Q42" i="78"/>
  <c r="AO24" i="78"/>
  <c r="AN63" i="78"/>
  <c r="M17" i="59"/>
  <c r="BI44" i="91"/>
  <c r="BH45" i="91"/>
  <c r="AL117" i="100"/>
  <c r="Y75" i="100"/>
  <c r="F49" i="66"/>
  <c r="G48" i="66"/>
  <c r="U48" i="66"/>
  <c r="AA48" i="66"/>
  <c r="BA34" i="100"/>
  <c r="AZ34" i="100"/>
  <c r="AS34" i="100" s="1"/>
  <c r="BK35" i="106"/>
  <c r="X70" i="106"/>
  <c r="J35" i="106"/>
  <c r="K36" i="106"/>
  <c r="L29" i="105"/>
  <c r="P29" i="105" s="1"/>
  <c r="N29" i="105" s="1"/>
  <c r="M29" i="105"/>
  <c r="S29" i="105" s="1"/>
  <c r="W64" i="105"/>
  <c r="B60" i="107"/>
  <c r="A61" i="107"/>
  <c r="AP44" i="88"/>
  <c r="AQ43" i="88"/>
  <c r="AT43" i="100"/>
  <c r="AP44" i="100"/>
  <c r="AQ43" i="100"/>
  <c r="V46" i="91"/>
  <c r="U47" i="91"/>
  <c r="BH44" i="88"/>
  <c r="BI43" i="88"/>
  <c r="Y82" i="105"/>
  <c r="AL124" i="105"/>
  <c r="AP49" i="75"/>
  <c r="AQ48" i="75"/>
  <c r="BH44" i="75"/>
  <c r="BI43" i="75"/>
  <c r="W42" i="109"/>
  <c r="G43" i="109"/>
  <c r="H42" i="109"/>
  <c r="BK42" i="109" s="1"/>
  <c r="I42" i="109"/>
  <c r="U43" i="78"/>
  <c r="T44" i="78"/>
  <c r="E47" i="103"/>
  <c r="J46" i="103"/>
  <c r="F46" i="103"/>
  <c r="AZ46" i="103" s="1"/>
  <c r="AT107" i="78"/>
  <c r="BF114" i="78"/>
  <c r="G45" i="86"/>
  <c r="H44" i="86"/>
  <c r="BJ44" i="86" s="1"/>
  <c r="AT18" i="91"/>
  <c r="Y75" i="86"/>
  <c r="AL117" i="86"/>
  <c r="BA34" i="86"/>
  <c r="AZ34" i="86"/>
  <c r="H46" i="91"/>
  <c r="BJ46" i="91" s="1"/>
  <c r="G47" i="91"/>
  <c r="X73" i="105"/>
  <c r="BK38" i="105"/>
  <c r="J38" i="105"/>
  <c r="K39" i="105"/>
  <c r="AM81" i="100"/>
  <c r="AO42" i="100"/>
  <c r="AZ36" i="88"/>
  <c r="BA36" i="88"/>
  <c r="AL126" i="78"/>
  <c r="Y89" i="78"/>
  <c r="Y119" i="78"/>
  <c r="Y120" i="78" s="1"/>
  <c r="Y121" i="78" s="1"/>
  <c r="Y122" i="78" s="1"/>
  <c r="Y123" i="78" s="1"/>
  <c r="Y124" i="78" s="1"/>
  <c r="Y125" i="78" s="1"/>
  <c r="Y126" i="78" s="1"/>
  <c r="Y127" i="78" s="1"/>
  <c r="Y128" i="78" s="1"/>
  <c r="Y129" i="78" s="1"/>
  <c r="Y130" i="78" s="1"/>
  <c r="Y131" i="78" s="1"/>
  <c r="Y132" i="78" s="1"/>
  <c r="Y133" i="78" s="1"/>
  <c r="Y134" i="78" s="1"/>
  <c r="Y135" i="78" s="1"/>
  <c r="Y136" i="78" s="1"/>
  <c r="Y137" i="78" s="1"/>
  <c r="Y138" i="78" s="1"/>
  <c r="Y139" i="78" s="1"/>
  <c r="Y140" i="78" s="1"/>
  <c r="Y141" i="78" s="1"/>
  <c r="Y142" i="78" s="1"/>
  <c r="Y143" i="78" s="1"/>
  <c r="Y144" i="78" s="1"/>
  <c r="Y145" i="78" s="1"/>
  <c r="Y146" i="78" s="1"/>
  <c r="Y147" i="78" s="1"/>
  <c r="Y148" i="78" s="1"/>
  <c r="A58" i="108"/>
  <c r="B57" i="108"/>
  <c r="AM80" i="105"/>
  <c r="AO41" i="105"/>
  <c r="K16" i="59"/>
  <c r="G45" i="106"/>
  <c r="H44" i="106"/>
  <c r="BJ44" i="106" s="1"/>
  <c r="BH42" i="86"/>
  <c r="BI41" i="86"/>
  <c r="AV25" i="78"/>
  <c r="K19" i="86"/>
  <c r="M19" i="86" s="1"/>
  <c r="S19" i="86" s="1"/>
  <c r="G44" i="105"/>
  <c r="H43" i="105"/>
  <c r="BJ43" i="105" s="1"/>
  <c r="I43" i="105"/>
  <c r="BK41" i="100"/>
  <c r="X76" i="100"/>
  <c r="AV17" i="88"/>
  <c r="BG17" i="88" s="1"/>
  <c r="AQ107" i="59"/>
  <c r="BC114" i="59"/>
  <c r="Q41" i="86"/>
  <c r="R41" i="86"/>
  <c r="R45" i="106"/>
  <c r="Q45" i="106"/>
  <c r="AP45" i="91"/>
  <c r="AQ44" i="91"/>
  <c r="G44" i="78"/>
  <c r="H43" i="78"/>
  <c r="BH49" i="78" s="1"/>
  <c r="AP47" i="86"/>
  <c r="AQ46" i="86"/>
  <c r="AW25" i="78"/>
  <c r="AU25" i="78" s="1"/>
  <c r="AR25" i="78" s="1"/>
  <c r="AT42" i="105"/>
  <c r="AQ42" i="105"/>
  <c r="AP43" i="105"/>
  <c r="AM81" i="106"/>
  <c r="AO42" i="106"/>
  <c r="AZ34" i="106"/>
  <c r="AS34" i="106" s="1"/>
  <c r="BA34" i="106"/>
  <c r="AL120" i="106"/>
  <c r="Y78" i="106"/>
  <c r="U43" i="86"/>
  <c r="V42" i="86"/>
  <c r="V46" i="106"/>
  <c r="U47" i="106"/>
  <c r="J24" i="78"/>
  <c r="BE25" i="78"/>
  <c r="AY25" i="78"/>
  <c r="AX25" i="78"/>
  <c r="AT25" i="78"/>
  <c r="AQ65" i="78"/>
  <c r="AR64" i="78"/>
  <c r="AT43" i="106"/>
  <c r="AQ43" i="106"/>
  <c r="AP44" i="106"/>
  <c r="BI41" i="106"/>
  <c r="BH42" i="106"/>
  <c r="H18" i="66"/>
  <c r="O18" i="66" s="1"/>
  <c r="X56" i="88"/>
  <c r="J21" i="88"/>
  <c r="BK21" i="88"/>
  <c r="Q19" i="66"/>
  <c r="Q44" i="88"/>
  <c r="R44" i="88"/>
  <c r="V41" i="100"/>
  <c r="U42" i="100"/>
  <c r="H44" i="75"/>
  <c r="BJ44" i="75" s="1"/>
  <c r="G45" i="75"/>
  <c r="W62" i="75"/>
  <c r="L27" i="75"/>
  <c r="P27" i="75" s="1"/>
  <c r="N27" i="75" s="1"/>
  <c r="AL120" i="75"/>
  <c r="Y78" i="75"/>
  <c r="G43" i="100"/>
  <c r="K42" i="100"/>
  <c r="I42" i="100"/>
  <c r="H42" i="100"/>
  <c r="BJ42" i="100" s="1"/>
  <c r="V43" i="75"/>
  <c r="U44" i="75"/>
  <c r="BA35" i="105"/>
  <c r="AZ35" i="105"/>
  <c r="AS35" i="105" s="1"/>
  <c r="G43" i="88"/>
  <c r="H42" i="88"/>
  <c r="BJ42" i="88" s="1"/>
  <c r="M25" i="106"/>
  <c r="S25" i="106" s="1"/>
  <c r="AU16" i="59"/>
  <c r="AT16" i="59" s="1"/>
  <c r="AR16" i="59" s="1"/>
  <c r="AV16" i="59"/>
  <c r="V41" i="105"/>
  <c r="U42" i="105"/>
  <c r="AI117" i="59"/>
  <c r="V87" i="59"/>
  <c r="U46" i="88"/>
  <c r="V45" i="88"/>
  <c r="Y78" i="91"/>
  <c r="AL120" i="91"/>
  <c r="R40" i="100"/>
  <c r="Q40" i="100"/>
  <c r="J40" i="100" s="1"/>
  <c r="D41" i="108"/>
  <c r="C42" i="108" s="1"/>
  <c r="M21" i="88"/>
  <c r="S21" i="88" s="1"/>
  <c r="Q42" i="75"/>
  <c r="R42" i="75"/>
  <c r="BI42" i="105"/>
  <c r="BH43" i="105"/>
  <c r="O107" i="66"/>
  <c r="W108" i="66"/>
  <c r="J72" i="110"/>
  <c r="E73" i="110"/>
  <c r="F72" i="110"/>
  <c r="AZ72" i="110" s="1"/>
  <c r="Q40" i="105"/>
  <c r="R40" i="105"/>
  <c r="BA37" i="91"/>
  <c r="AZ37" i="91"/>
  <c r="AU25" i="105"/>
  <c r="AY25" i="105" s="1"/>
  <c r="AW25" i="105" s="1"/>
  <c r="BL70" i="105"/>
  <c r="AV25" i="105"/>
  <c r="BG25" i="105" s="1"/>
  <c r="Y76" i="88"/>
  <c r="AL118" i="88"/>
  <c r="N47" i="66"/>
  <c r="L47" i="66"/>
  <c r="M47" i="66"/>
  <c r="BH42" i="100"/>
  <c r="BI41" i="100"/>
  <c r="AU22" i="75"/>
  <c r="BL67" i="75"/>
  <c r="L24" i="78"/>
  <c r="R24" i="78" s="1"/>
  <c r="BI42" i="109"/>
  <c r="BJ41" i="109"/>
  <c r="BB34" i="109"/>
  <c r="BA34" i="109"/>
  <c r="AT34" i="109" s="1"/>
  <c r="R41" i="110"/>
  <c r="S40" i="110"/>
  <c r="U43" i="109"/>
  <c r="V42" i="109"/>
  <c r="Q41" i="109"/>
  <c r="R41" i="109"/>
  <c r="E47" i="111"/>
  <c r="J46" i="111"/>
  <c r="F46" i="111"/>
  <c r="AZ46" i="111" s="1"/>
  <c r="H15" i="111"/>
  <c r="S15" i="111"/>
  <c r="T56" i="111"/>
  <c r="BC14" i="111"/>
  <c r="AO14" i="111"/>
  <c r="AL14" i="111" s="1"/>
  <c r="AS15" i="111"/>
  <c r="AX44" i="111"/>
  <c r="Y53" i="94"/>
  <c r="J18" i="94"/>
  <c r="BL18" i="94"/>
  <c r="M18" i="94"/>
  <c r="S18" i="94" s="1"/>
  <c r="U42" i="94"/>
  <c r="V41" i="94"/>
  <c r="Q40" i="94"/>
  <c r="R40" i="94"/>
  <c r="Z75" i="109"/>
  <c r="AM117" i="109"/>
  <c r="AV15" i="110"/>
  <c r="AU15" i="110"/>
  <c r="AT15" i="110" s="1"/>
  <c r="X55" i="109"/>
  <c r="P20" i="109"/>
  <c r="N20" i="109" s="1"/>
  <c r="T56" i="112"/>
  <c r="H15" i="112"/>
  <c r="S15" i="112"/>
  <c r="AU35" i="109"/>
  <c r="AN73" i="109"/>
  <c r="AP34" i="109"/>
  <c r="AX44" i="112"/>
  <c r="AM46" i="112"/>
  <c r="AN45" i="112"/>
  <c r="E45" i="112"/>
  <c r="F44" i="112"/>
  <c r="AZ44" i="112" s="1"/>
  <c r="AI55" i="112"/>
  <c r="AP14" i="112"/>
  <c r="BB60" i="112"/>
  <c r="AY14" i="112"/>
  <c r="BA35" i="94"/>
  <c r="AT35" i="94" s="1"/>
  <c r="BB35" i="94"/>
  <c r="BI43" i="94"/>
  <c r="BJ42" i="94"/>
  <c r="AQ43" i="94"/>
  <c r="AR42" i="94"/>
  <c r="Z77" i="94"/>
  <c r="AM119" i="94"/>
  <c r="W42" i="94"/>
  <c r="G43" i="94"/>
  <c r="H42" i="94"/>
  <c r="BK42" i="94" s="1"/>
  <c r="I42" i="94"/>
  <c r="AQ15" i="103"/>
  <c r="AW15" i="103" s="1"/>
  <c r="AP16" i="103" s="1"/>
  <c r="AJ56" i="103"/>
  <c r="AV24" i="109"/>
  <c r="AZ24" i="109" s="1"/>
  <c r="AX24" i="109" s="1"/>
  <c r="AW24" i="109" s="1"/>
  <c r="BH24" i="109" s="1"/>
  <c r="BM69" i="109"/>
  <c r="N15" i="110"/>
  <c r="L15" i="110" s="1"/>
  <c r="BM67" i="94"/>
  <c r="AV22" i="94"/>
  <c r="AZ22" i="94" s="1"/>
  <c r="AX22" i="94" s="1"/>
  <c r="AW22" i="94" s="1"/>
  <c r="BH22" i="94" s="1"/>
  <c r="AN77" i="94"/>
  <c r="AU39" i="94"/>
  <c r="AP38" i="94"/>
  <c r="H14" i="61"/>
  <c r="J14" i="61" s="1"/>
  <c r="L15" i="61"/>
  <c r="W62" i="100" l="1"/>
  <c r="L27" i="100"/>
  <c r="L30" i="105"/>
  <c r="P30" i="105" s="1"/>
  <c r="N30" i="105" s="1"/>
  <c r="W65" i="105"/>
  <c r="AU26" i="105"/>
  <c r="AY26" i="105" s="1"/>
  <c r="AW26" i="105" s="1"/>
  <c r="AV26" i="105" s="1"/>
  <c r="BG26" i="105" s="1"/>
  <c r="BL71" i="105"/>
  <c r="M27" i="75"/>
  <c r="S27" i="75" s="1"/>
  <c r="W55" i="86"/>
  <c r="L20" i="86"/>
  <c r="P20" i="86" s="1"/>
  <c r="N20" i="86" s="1"/>
  <c r="AO16" i="59"/>
  <c r="AQ16" i="59" s="1"/>
  <c r="BB16" i="59" s="1"/>
  <c r="E53" i="107"/>
  <c r="G53" i="107" s="1"/>
  <c r="D53" i="107" s="1"/>
  <c r="C54" i="107" s="1"/>
  <c r="F53" i="107"/>
  <c r="V18" i="66"/>
  <c r="Z18" i="66"/>
  <c r="AY22" i="75"/>
  <c r="AW22" i="75" s="1"/>
  <c r="BH44" i="105"/>
  <c r="BI43" i="105"/>
  <c r="R43" i="75"/>
  <c r="Q43" i="75"/>
  <c r="U43" i="100"/>
  <c r="V42" i="100"/>
  <c r="AQ66" i="78"/>
  <c r="AR65" i="78"/>
  <c r="Q42" i="86"/>
  <c r="R42" i="86"/>
  <c r="Q16" i="59"/>
  <c r="U63" i="59"/>
  <c r="X74" i="105"/>
  <c r="J39" i="105"/>
  <c r="BK39" i="105"/>
  <c r="K40" i="105"/>
  <c r="G48" i="91"/>
  <c r="H47" i="91"/>
  <c r="BJ47" i="91" s="1"/>
  <c r="AM57" i="91"/>
  <c r="AS18" i="91"/>
  <c r="AO18" i="91"/>
  <c r="P43" i="78"/>
  <c r="Q43" i="78"/>
  <c r="AP50" i="75"/>
  <c r="AQ49" i="75"/>
  <c r="AP45" i="100"/>
  <c r="AT44" i="100"/>
  <c r="AQ44" i="100"/>
  <c r="Y77" i="88"/>
  <c r="AL119" i="88"/>
  <c r="AZ35" i="100"/>
  <c r="AS35" i="100" s="1"/>
  <c r="BA35" i="100"/>
  <c r="AZ36" i="105"/>
  <c r="AS36" i="105" s="1"/>
  <c r="BA36" i="105"/>
  <c r="Y79" i="91"/>
  <c r="AL121" i="91"/>
  <c r="K27" i="75"/>
  <c r="R41" i="100"/>
  <c r="Q41" i="100"/>
  <c r="J41" i="100" s="1"/>
  <c r="U44" i="86"/>
  <c r="V43" i="86"/>
  <c r="AP48" i="86"/>
  <c r="AQ47" i="86"/>
  <c r="BA35" i="86"/>
  <c r="AZ35" i="86"/>
  <c r="AM82" i="100"/>
  <c r="AO43" i="100"/>
  <c r="BI45" i="91"/>
  <c r="BH46" i="91"/>
  <c r="AI118" i="59"/>
  <c r="V88" i="59"/>
  <c r="BH43" i="100"/>
  <c r="BI42" i="100"/>
  <c r="Q45" i="88"/>
  <c r="R45" i="88"/>
  <c r="G44" i="88"/>
  <c r="H43" i="88"/>
  <c r="BJ43" i="88" s="1"/>
  <c r="BH43" i="106"/>
  <c r="BI42" i="106"/>
  <c r="AV26" i="78"/>
  <c r="Y79" i="106"/>
  <c r="AL121" i="106"/>
  <c r="G45" i="78"/>
  <c r="H44" i="78"/>
  <c r="BH50" i="78" s="1"/>
  <c r="BH43" i="86"/>
  <c r="BI42" i="86"/>
  <c r="AT108" i="78"/>
  <c r="Y83" i="105"/>
  <c r="AL125" i="105"/>
  <c r="J36" i="106"/>
  <c r="X71" i="106"/>
  <c r="BK36" i="106"/>
  <c r="K37" i="106"/>
  <c r="AZ38" i="91"/>
  <c r="BA38" i="91"/>
  <c r="R41" i="105"/>
  <c r="Q41" i="105"/>
  <c r="U45" i="75"/>
  <c r="V44" i="75"/>
  <c r="Y79" i="75"/>
  <c r="AL121" i="75"/>
  <c r="AQ14" i="111"/>
  <c r="AW14" i="111" s="1"/>
  <c r="AI56" i="111" s="1"/>
  <c r="W65" i="78"/>
  <c r="K25" i="78"/>
  <c r="O25" i="78" s="1"/>
  <c r="M25" i="78" s="1"/>
  <c r="N26" i="78" s="1"/>
  <c r="J73" i="110"/>
  <c r="E74" i="110"/>
  <c r="F73" i="110"/>
  <c r="AZ73" i="110" s="1"/>
  <c r="V46" i="88"/>
  <c r="U47" i="88"/>
  <c r="AS17" i="59"/>
  <c r="BA35" i="106"/>
  <c r="AZ35" i="106"/>
  <c r="AS35" i="106" s="1"/>
  <c r="AQ108" i="59"/>
  <c r="G44" i="109"/>
  <c r="W43" i="109"/>
  <c r="H43" i="109"/>
  <c r="BK43" i="109" s="1"/>
  <c r="I43" i="109"/>
  <c r="AZ37" i="88"/>
  <c r="BA37" i="88"/>
  <c r="AP45" i="88"/>
  <c r="AQ44" i="88"/>
  <c r="M26" i="106"/>
  <c r="S26" i="106" s="1"/>
  <c r="L26" i="106"/>
  <c r="P26" i="106" s="1"/>
  <c r="N26" i="106" s="1"/>
  <c r="W61" i="106"/>
  <c r="AT44" i="106"/>
  <c r="AQ44" i="106"/>
  <c r="AP45" i="106"/>
  <c r="BG32" i="78"/>
  <c r="BJ71" i="78"/>
  <c r="AS26" i="78"/>
  <c r="AT43" i="105"/>
  <c r="AP44" i="105"/>
  <c r="AQ43" i="105"/>
  <c r="AP46" i="91"/>
  <c r="AQ45" i="91"/>
  <c r="BI44" i="88"/>
  <c r="BH45" i="88"/>
  <c r="B61" i="107"/>
  <c r="A62" i="107"/>
  <c r="AU30" i="106"/>
  <c r="AY30" i="106" s="1"/>
  <c r="BL75" i="106"/>
  <c r="AU26" i="100"/>
  <c r="AY26" i="100" s="1"/>
  <c r="AW26" i="100" s="1"/>
  <c r="AV26" i="100" s="1"/>
  <c r="BG26" i="100" s="1"/>
  <c r="BL71" i="100"/>
  <c r="G42" i="108"/>
  <c r="D42" i="108" s="1"/>
  <c r="C43" i="108" s="1"/>
  <c r="F42" i="108"/>
  <c r="E42" i="108"/>
  <c r="X77" i="100"/>
  <c r="BK42" i="100"/>
  <c r="BI30" i="78"/>
  <c r="X64" i="78"/>
  <c r="AU18" i="88"/>
  <c r="AY18" i="88" s="1"/>
  <c r="AW18" i="88" s="1"/>
  <c r="AT18" i="88" s="1"/>
  <c r="BL63" i="88"/>
  <c r="B58" i="108"/>
  <c r="A59" i="108"/>
  <c r="AZ37" i="75"/>
  <c r="BA37" i="75"/>
  <c r="V47" i="91"/>
  <c r="U48" i="91"/>
  <c r="M48" i="66"/>
  <c r="L48" i="66"/>
  <c r="N48" i="66"/>
  <c r="M22" i="88"/>
  <c r="S22" i="88" s="1"/>
  <c r="K22" i="88"/>
  <c r="W57" i="88"/>
  <c r="L22" i="88"/>
  <c r="P22" i="88" s="1"/>
  <c r="N22" i="88" s="1"/>
  <c r="W109" i="66"/>
  <c r="O108" i="66"/>
  <c r="V42" i="105"/>
  <c r="U43" i="105"/>
  <c r="K43" i="100"/>
  <c r="G44" i="100"/>
  <c r="I43" i="100"/>
  <c r="H43" i="100"/>
  <c r="BJ43" i="100" s="1"/>
  <c r="H45" i="75"/>
  <c r="BJ45" i="75" s="1"/>
  <c r="G46" i="75"/>
  <c r="AO43" i="106"/>
  <c r="AM82" i="106"/>
  <c r="U48" i="106"/>
  <c r="V47" i="106"/>
  <c r="AM81" i="105"/>
  <c r="AO42" i="105"/>
  <c r="G45" i="105"/>
  <c r="H44" i="105"/>
  <c r="BJ44" i="105" s="1"/>
  <c r="I44" i="105"/>
  <c r="G46" i="106"/>
  <c r="H45" i="106"/>
  <c r="BJ45" i="106" s="1"/>
  <c r="G46" i="86"/>
  <c r="H45" i="86"/>
  <c r="BJ45" i="86" s="1"/>
  <c r="E48" i="103"/>
  <c r="J47" i="103"/>
  <c r="F47" i="103"/>
  <c r="AZ47" i="103" s="1"/>
  <c r="BI44" i="75"/>
  <c r="BH45" i="75"/>
  <c r="Q46" i="91"/>
  <c r="R46" i="91"/>
  <c r="G49" i="66"/>
  <c r="U49" i="66"/>
  <c r="AA49" i="66"/>
  <c r="F50" i="66"/>
  <c r="Q46" i="106"/>
  <c r="R46" i="106"/>
  <c r="AN64" i="78"/>
  <c r="AO25" i="78"/>
  <c r="X54" i="86"/>
  <c r="J19" i="86"/>
  <c r="BK19" i="86"/>
  <c r="AL127" i="78"/>
  <c r="Y90" i="78"/>
  <c r="AL118" i="86"/>
  <c r="Y76" i="86"/>
  <c r="T45" i="78"/>
  <c r="U44" i="78"/>
  <c r="AL118" i="100"/>
  <c r="Y76" i="100"/>
  <c r="AU18" i="86"/>
  <c r="AY18" i="86" s="1"/>
  <c r="AW18" i="86" s="1"/>
  <c r="AT18" i="86" s="1"/>
  <c r="BL63" i="86"/>
  <c r="AG33" i="91"/>
  <c r="AF33" i="91" s="1"/>
  <c r="W56" i="91"/>
  <c r="L21" i="91"/>
  <c r="P21" i="91" s="1"/>
  <c r="N21" i="91" s="1"/>
  <c r="K21" i="91" s="1"/>
  <c r="AU19" i="91"/>
  <c r="AY19" i="91" s="1"/>
  <c r="AW19" i="91" s="1"/>
  <c r="AT19" i="91" s="1"/>
  <c r="BL64" i="91"/>
  <c r="BA35" i="109"/>
  <c r="BB35" i="109"/>
  <c r="BI43" i="109"/>
  <c r="BJ42" i="109"/>
  <c r="R42" i="110"/>
  <c r="S41" i="110"/>
  <c r="R42" i="109"/>
  <c r="Q42" i="109"/>
  <c r="V43" i="109"/>
  <c r="U44" i="109"/>
  <c r="V56" i="111"/>
  <c r="U55" i="111"/>
  <c r="E48" i="111"/>
  <c r="J47" i="111"/>
  <c r="F47" i="111"/>
  <c r="AZ47" i="111" s="1"/>
  <c r="O15" i="111"/>
  <c r="N15" i="111" s="1"/>
  <c r="L15" i="111" s="1"/>
  <c r="G15" i="111" s="1"/>
  <c r="BA15" i="111" s="1"/>
  <c r="P15" i="111"/>
  <c r="I15" i="111"/>
  <c r="AX45" i="111"/>
  <c r="L19" i="94"/>
  <c r="P19" i="94" s="1"/>
  <c r="N19" i="94" s="1"/>
  <c r="X54" i="94"/>
  <c r="Q41" i="94"/>
  <c r="R41" i="94"/>
  <c r="U43" i="94"/>
  <c r="V42" i="94"/>
  <c r="AR15" i="110"/>
  <c r="AO15" i="110" s="1"/>
  <c r="Z76" i="109"/>
  <c r="AM118" i="109"/>
  <c r="K20" i="109"/>
  <c r="M20" i="109" s="1"/>
  <c r="S20" i="109" s="1"/>
  <c r="L21" i="109" s="1"/>
  <c r="O15" i="112"/>
  <c r="N15" i="112" s="1"/>
  <c r="L15" i="112" s="1"/>
  <c r="P15" i="112"/>
  <c r="I15" i="112"/>
  <c r="V56" i="112"/>
  <c r="U55" i="112"/>
  <c r="AN74" i="109"/>
  <c r="AU36" i="109"/>
  <c r="AT35" i="109"/>
  <c r="AP35" i="109"/>
  <c r="AK55" i="112"/>
  <c r="J45" i="112"/>
  <c r="E46" i="112"/>
  <c r="F45" i="112"/>
  <c r="AZ45" i="112" s="1"/>
  <c r="AX45" i="112"/>
  <c r="AV14" i="112"/>
  <c r="AU14" i="112"/>
  <c r="AM47" i="112"/>
  <c r="AN46" i="112"/>
  <c r="BB36" i="94"/>
  <c r="BA36" i="94"/>
  <c r="AT36" i="94" s="1"/>
  <c r="BI44" i="94"/>
  <c r="BJ43" i="94"/>
  <c r="Z78" i="94"/>
  <c r="AM120" i="94"/>
  <c r="G44" i="94"/>
  <c r="W43" i="94"/>
  <c r="H43" i="94"/>
  <c r="BK43" i="94" s="1"/>
  <c r="I43" i="94"/>
  <c r="AR43" i="94"/>
  <c r="AQ44" i="94"/>
  <c r="AJ55" i="111"/>
  <c r="BB62" i="103"/>
  <c r="AY16" i="103"/>
  <c r="AU16" i="103" s="1"/>
  <c r="AI57" i="103"/>
  <c r="AK57" i="103" s="1"/>
  <c r="BM70" i="109"/>
  <c r="AV25" i="109"/>
  <c r="AZ25" i="109" s="1"/>
  <c r="AX25" i="109" s="1"/>
  <c r="AW25" i="109" s="1"/>
  <c r="BH25" i="109" s="1"/>
  <c r="G15" i="110"/>
  <c r="K15" i="110" s="1"/>
  <c r="Q15" i="110" s="1"/>
  <c r="M16" i="110"/>
  <c r="AV23" i="94"/>
  <c r="AZ23" i="94" s="1"/>
  <c r="AX23" i="94" s="1"/>
  <c r="AW23" i="94" s="1"/>
  <c r="BH23" i="94" s="1"/>
  <c r="BM68" i="94"/>
  <c r="AP39" i="94"/>
  <c r="AU40" i="94"/>
  <c r="AN78" i="94"/>
  <c r="P14" i="61"/>
  <c r="T44" i="61"/>
  <c r="P27" i="100" l="1"/>
  <c r="N27" i="100" s="1"/>
  <c r="M27" i="100"/>
  <c r="S27" i="100" s="1"/>
  <c r="AS19" i="91"/>
  <c r="AM58" i="91"/>
  <c r="AO19" i="91"/>
  <c r="AV19" i="91"/>
  <c r="BG19" i="91" s="1"/>
  <c r="AS18" i="88"/>
  <c r="AM57" i="88"/>
  <c r="AO18" i="88"/>
  <c r="AV18" i="88"/>
  <c r="BG18" i="88" s="1"/>
  <c r="BD17" i="59"/>
  <c r="AP17" i="59"/>
  <c r="BG62" i="59"/>
  <c r="AU27" i="100"/>
  <c r="AY27" i="100" s="1"/>
  <c r="AW27" i="100" s="1"/>
  <c r="BL72" i="100"/>
  <c r="AV27" i="100"/>
  <c r="BG27" i="100" s="1"/>
  <c r="BK21" i="91"/>
  <c r="X56" i="91"/>
  <c r="J21" i="91"/>
  <c r="W58" i="88"/>
  <c r="L23" i="88"/>
  <c r="P23" i="88" s="1"/>
  <c r="N23" i="88" s="1"/>
  <c r="L27" i="106"/>
  <c r="P27" i="106" s="1"/>
  <c r="N27" i="106" s="1"/>
  <c r="M27" i="106"/>
  <c r="S27" i="106" s="1"/>
  <c r="W62" i="106"/>
  <c r="AU27" i="105"/>
  <c r="AY27" i="105" s="1"/>
  <c r="AW27" i="105" s="1"/>
  <c r="BL72" i="105"/>
  <c r="AV27" i="105"/>
  <c r="BG27" i="105" s="1"/>
  <c r="AO18" i="86"/>
  <c r="AS18" i="86"/>
  <c r="AM57" i="86"/>
  <c r="AV18" i="86"/>
  <c r="BG18" i="86" s="1"/>
  <c r="G43" i="108"/>
  <c r="E43" i="108"/>
  <c r="F43" i="108"/>
  <c r="F54" i="107"/>
  <c r="E54" i="107"/>
  <c r="G54" i="107" s="1"/>
  <c r="D54" i="107" s="1"/>
  <c r="C55" i="107" s="1"/>
  <c r="Q47" i="91"/>
  <c r="R47" i="91"/>
  <c r="AZ38" i="88"/>
  <c r="BA38" i="88"/>
  <c r="AL119" i="100"/>
  <c r="Y77" i="100"/>
  <c r="AL119" i="86"/>
  <c r="Y77" i="86"/>
  <c r="BK43" i="100"/>
  <c r="X78" i="100"/>
  <c r="BK22" i="88"/>
  <c r="J22" i="88"/>
  <c r="X57" i="88"/>
  <c r="AT26" i="78"/>
  <c r="BE26" i="78"/>
  <c r="AX26" i="78"/>
  <c r="AY26" i="78"/>
  <c r="U46" i="75"/>
  <c r="V45" i="75"/>
  <c r="BA36" i="86"/>
  <c r="AZ36" i="86"/>
  <c r="BI43" i="100"/>
  <c r="BH44" i="100"/>
  <c r="U45" i="86"/>
  <c r="V44" i="86"/>
  <c r="X75" i="105"/>
  <c r="BK40" i="105"/>
  <c r="J40" i="105"/>
  <c r="K41" i="105"/>
  <c r="G46" i="105"/>
  <c r="I45" i="105"/>
  <c r="H45" i="105"/>
  <c r="BJ45" i="105" s="1"/>
  <c r="G45" i="100"/>
  <c r="I44" i="100"/>
  <c r="K44" i="100"/>
  <c r="H44" i="100"/>
  <c r="BJ44" i="100" s="1"/>
  <c r="M21" i="91"/>
  <c r="S21" i="91" s="1"/>
  <c r="H46" i="106"/>
  <c r="BJ46" i="106" s="1"/>
  <c r="G47" i="106"/>
  <c r="H46" i="75"/>
  <c r="BJ46" i="75" s="1"/>
  <c r="G47" i="75"/>
  <c r="U44" i="105"/>
  <c r="V43" i="105"/>
  <c r="AV30" i="106"/>
  <c r="BG30" i="106" s="1"/>
  <c r="AP47" i="91"/>
  <c r="AQ46" i="91"/>
  <c r="AP46" i="106"/>
  <c r="AQ45" i="106"/>
  <c r="AT45" i="106"/>
  <c r="AP46" i="88"/>
  <c r="AQ45" i="88"/>
  <c r="G45" i="109"/>
  <c r="H44" i="109"/>
  <c r="BK44" i="109" s="1"/>
  <c r="I44" i="109"/>
  <c r="J25" i="78"/>
  <c r="BI43" i="86"/>
  <c r="BH44" i="86"/>
  <c r="H45" i="78"/>
  <c r="BH51" i="78" s="1"/>
  <c r="G46" i="78"/>
  <c r="V89" i="59"/>
  <c r="AI119" i="59"/>
  <c r="AO44" i="100"/>
  <c r="AM83" i="100"/>
  <c r="AR66" i="78"/>
  <c r="AP67" i="78"/>
  <c r="AT22" i="75"/>
  <c r="AL16" i="59"/>
  <c r="AJ55" i="59"/>
  <c r="Q44" i="78"/>
  <c r="P44" i="78"/>
  <c r="AL128" i="78"/>
  <c r="Y91" i="78"/>
  <c r="BH46" i="75"/>
  <c r="BI45" i="75"/>
  <c r="R42" i="105"/>
  <c r="Q42" i="105"/>
  <c r="U48" i="88"/>
  <c r="V47" i="88"/>
  <c r="AP46" i="100"/>
  <c r="AT45" i="100"/>
  <c r="AQ45" i="100"/>
  <c r="R42" i="100"/>
  <c r="Q42" i="100"/>
  <c r="J42" i="100" s="1"/>
  <c r="K20" i="86"/>
  <c r="T46" i="78"/>
  <c r="U45" i="78"/>
  <c r="BA38" i="75"/>
  <c r="AZ38" i="75"/>
  <c r="Q47" i="106"/>
  <c r="R47" i="106"/>
  <c r="AT44" i="105"/>
  <c r="AP45" i="105"/>
  <c r="AQ44" i="105"/>
  <c r="AM83" i="106"/>
  <c r="AO44" i="106"/>
  <c r="Q46" i="88"/>
  <c r="R46" i="88"/>
  <c r="L25" i="78"/>
  <c r="R25" i="78" s="1"/>
  <c r="AL122" i="106"/>
  <c r="Y80" i="106"/>
  <c r="BK27" i="75"/>
  <c r="J27" i="75"/>
  <c r="X62" i="75"/>
  <c r="V43" i="100"/>
  <c r="U44" i="100"/>
  <c r="J19" i="66"/>
  <c r="I19" i="66" s="1"/>
  <c r="K19" i="66"/>
  <c r="X19" i="66"/>
  <c r="G50" i="66"/>
  <c r="U50" i="66"/>
  <c r="AA50" i="66"/>
  <c r="F51" i="66"/>
  <c r="G47" i="86"/>
  <c r="H46" i="86"/>
  <c r="BJ46" i="86" s="1"/>
  <c r="A60" i="108"/>
  <c r="B59" i="108"/>
  <c r="A63" i="107"/>
  <c r="B62" i="107"/>
  <c r="AM82" i="105"/>
  <c r="AO43" i="105"/>
  <c r="Y114" i="105"/>
  <c r="Y115" i="105" s="1"/>
  <c r="Y116" i="105" s="1"/>
  <c r="Y117" i="105" s="1"/>
  <c r="Y118" i="105" s="1"/>
  <c r="Y119" i="105" s="1"/>
  <c r="Y120" i="105" s="1"/>
  <c r="Y121" i="105" s="1"/>
  <c r="Y122" i="105" s="1"/>
  <c r="Y123" i="105" s="1"/>
  <c r="Y124" i="105" s="1"/>
  <c r="Y125" i="105" s="1"/>
  <c r="Y126" i="105" s="1"/>
  <c r="Y127" i="105" s="1"/>
  <c r="Y128" i="105" s="1"/>
  <c r="Y129" i="105" s="1"/>
  <c r="Y130" i="105" s="1"/>
  <c r="Y131" i="105" s="1"/>
  <c r="Y132" i="105" s="1"/>
  <c r="Y133" i="105" s="1"/>
  <c r="Y134" i="105" s="1"/>
  <c r="Y135" i="105" s="1"/>
  <c r="Y136" i="105" s="1"/>
  <c r="Y137" i="105" s="1"/>
  <c r="Y138" i="105" s="1"/>
  <c r="Y139" i="105" s="1"/>
  <c r="Y140" i="105" s="1"/>
  <c r="Y141" i="105" s="1"/>
  <c r="Y142" i="105" s="1"/>
  <c r="Y143" i="105" s="1"/>
  <c r="AL126" i="105"/>
  <c r="Y84" i="105"/>
  <c r="G45" i="88"/>
  <c r="H44" i="88"/>
  <c r="BJ44" i="88" s="1"/>
  <c r="BI46" i="91"/>
  <c r="BH47" i="91"/>
  <c r="AP51" i="75"/>
  <c r="AQ50" i="75"/>
  <c r="O109" i="66"/>
  <c r="W110" i="66"/>
  <c r="AW26" i="78"/>
  <c r="AU26" i="78" s="1"/>
  <c r="AR26" i="78" s="1"/>
  <c r="E75" i="110"/>
  <c r="J74" i="110"/>
  <c r="F74" i="110"/>
  <c r="AZ74" i="110" s="1"/>
  <c r="BA36" i="106"/>
  <c r="AZ36" i="106"/>
  <c r="AS36" i="106" s="1"/>
  <c r="AV45" i="91"/>
  <c r="AZ39" i="91"/>
  <c r="BA39" i="91"/>
  <c r="AL122" i="91"/>
  <c r="Y80" i="91"/>
  <c r="S17" i="59"/>
  <c r="T64" i="59"/>
  <c r="J17" i="59"/>
  <c r="M30" i="105"/>
  <c r="S30" i="105" s="1"/>
  <c r="U49" i="106"/>
  <c r="V48" i="106"/>
  <c r="E49" i="103"/>
  <c r="J48" i="103"/>
  <c r="F48" i="103"/>
  <c r="AZ48" i="103" s="1"/>
  <c r="U49" i="91"/>
  <c r="V48" i="91"/>
  <c r="BH46" i="88"/>
  <c r="BI45" i="88"/>
  <c r="AL122" i="75"/>
  <c r="Y80" i="75"/>
  <c r="BI43" i="106"/>
  <c r="BH44" i="106"/>
  <c r="AP49" i="86"/>
  <c r="AQ48" i="86"/>
  <c r="BA37" i="105"/>
  <c r="AZ37" i="105"/>
  <c r="AS37" i="105" s="1"/>
  <c r="L49" i="66"/>
  <c r="N49" i="66"/>
  <c r="M49" i="66"/>
  <c r="R44" i="75"/>
  <c r="Q44" i="75"/>
  <c r="BK37" i="106"/>
  <c r="X72" i="106"/>
  <c r="J37" i="106"/>
  <c r="K38" i="106"/>
  <c r="AZ36" i="100"/>
  <c r="AS36" i="100" s="1"/>
  <c r="BA36" i="100"/>
  <c r="Q43" i="86"/>
  <c r="R43" i="86"/>
  <c r="Y78" i="88"/>
  <c r="AL120" i="88"/>
  <c r="G49" i="91"/>
  <c r="H48" i="91"/>
  <c r="BJ48" i="91" s="1"/>
  <c r="BI44" i="105"/>
  <c r="BH45" i="105"/>
  <c r="W63" i="75"/>
  <c r="L28" i="75"/>
  <c r="P28" i="75" s="1"/>
  <c r="N28" i="75" s="1"/>
  <c r="K28" i="75" s="1"/>
  <c r="BJ43" i="109"/>
  <c r="BI44" i="109"/>
  <c r="BB36" i="109"/>
  <c r="BA36" i="109"/>
  <c r="AT36" i="109" s="1"/>
  <c r="R43" i="110"/>
  <c r="S42" i="110"/>
  <c r="V44" i="109"/>
  <c r="U45" i="109"/>
  <c r="R43" i="109"/>
  <c r="Q43" i="109"/>
  <c r="AS16" i="110"/>
  <c r="M16" i="111"/>
  <c r="J48" i="111"/>
  <c r="E49" i="111"/>
  <c r="F48" i="111"/>
  <c r="AZ48" i="111" s="1"/>
  <c r="K15" i="111"/>
  <c r="Q15" i="111" s="1"/>
  <c r="BB61" i="111"/>
  <c r="AP15" i="111"/>
  <c r="AY15" i="111"/>
  <c r="AX46" i="111"/>
  <c r="K19" i="94"/>
  <c r="R42" i="94"/>
  <c r="Q42" i="94"/>
  <c r="V43" i="94"/>
  <c r="U44" i="94"/>
  <c r="BL20" i="109"/>
  <c r="Y55" i="109"/>
  <c r="BC15" i="110"/>
  <c r="J20" i="109"/>
  <c r="Z77" i="109"/>
  <c r="AM119" i="109"/>
  <c r="AQ15" i="110"/>
  <c r="AW15" i="110" s="1"/>
  <c r="AL15" i="110"/>
  <c r="AJ56" i="110"/>
  <c r="P21" i="109"/>
  <c r="N21" i="109" s="1"/>
  <c r="X56" i="109"/>
  <c r="AH33" i="109"/>
  <c r="AG33" i="109" s="1"/>
  <c r="G15" i="112"/>
  <c r="BA15" i="112" s="1"/>
  <c r="M16" i="112"/>
  <c r="AN75" i="109"/>
  <c r="AP36" i="109"/>
  <c r="AU37" i="109"/>
  <c r="AM48" i="112"/>
  <c r="AN47" i="112"/>
  <c r="E47" i="112"/>
  <c r="J46" i="112"/>
  <c r="F46" i="112"/>
  <c r="AZ46" i="112" s="1"/>
  <c r="AX46" i="112"/>
  <c r="AT14" i="112"/>
  <c r="AR14" i="112" s="1"/>
  <c r="BB37" i="94"/>
  <c r="BA37" i="94"/>
  <c r="AT37" i="94" s="1"/>
  <c r="BJ44" i="94"/>
  <c r="BI45" i="94"/>
  <c r="AR44" i="94"/>
  <c r="AQ45" i="94"/>
  <c r="G45" i="94"/>
  <c r="H44" i="94"/>
  <c r="BK44" i="94" s="1"/>
  <c r="T44" i="94"/>
  <c r="W44" i="94"/>
  <c r="I44" i="94"/>
  <c r="Z79" i="94"/>
  <c r="AM121" i="94"/>
  <c r="AK56" i="111"/>
  <c r="AV16" i="103"/>
  <c r="BM71" i="109"/>
  <c r="AV26" i="109"/>
  <c r="AZ26" i="109" s="1"/>
  <c r="AX26" i="109" s="1"/>
  <c r="AW26" i="109" s="1"/>
  <c r="BH26" i="109" s="1"/>
  <c r="H16" i="110"/>
  <c r="T57" i="110"/>
  <c r="V57" i="110" s="1"/>
  <c r="BA15" i="110"/>
  <c r="AV24" i="94"/>
  <c r="AZ24" i="94" s="1"/>
  <c r="AX24" i="94" s="1"/>
  <c r="AW24" i="94" s="1"/>
  <c r="BH24" i="94" s="1"/>
  <c r="BM69" i="94"/>
  <c r="AT16" i="103"/>
  <c r="AU41" i="94"/>
  <c r="AP40" i="94"/>
  <c r="AN79" i="94"/>
  <c r="I15" i="61"/>
  <c r="S45" i="61"/>
  <c r="R15" i="61"/>
  <c r="L28" i="100" l="1"/>
  <c r="P28" i="100" s="1"/>
  <c r="N28" i="100" s="1"/>
  <c r="W63" i="100"/>
  <c r="AU28" i="100"/>
  <c r="AY28" i="100" s="1"/>
  <c r="AW28" i="100" s="1"/>
  <c r="AV28" i="100" s="1"/>
  <c r="BG28" i="100" s="1"/>
  <c r="BL73" i="100"/>
  <c r="L28" i="106"/>
  <c r="P28" i="106" s="1"/>
  <c r="N28" i="106" s="1"/>
  <c r="M28" i="106"/>
  <c r="S28" i="106"/>
  <c r="W63" i="106"/>
  <c r="E55" i="107"/>
  <c r="G55" i="107" s="1"/>
  <c r="D55" i="107" s="1"/>
  <c r="C56" i="107" s="1"/>
  <c r="F55" i="107"/>
  <c r="BK28" i="75"/>
  <c r="J28" i="75"/>
  <c r="X63" i="75"/>
  <c r="AU28" i="105"/>
  <c r="AY28" i="105" s="1"/>
  <c r="AW28" i="105" s="1"/>
  <c r="AV28" i="105" s="1"/>
  <c r="BG28" i="105" s="1"/>
  <c r="BL73" i="105"/>
  <c r="BH47" i="88"/>
  <c r="BI46" i="88"/>
  <c r="L31" i="105"/>
  <c r="P31" i="105" s="1"/>
  <c r="N31" i="105" s="1"/>
  <c r="W66" i="105"/>
  <c r="BH48" i="91"/>
  <c r="BI47" i="91"/>
  <c r="Y85" i="105"/>
  <c r="AL127" i="105"/>
  <c r="A64" i="107"/>
  <c r="B63" i="107"/>
  <c r="AM84" i="100"/>
  <c r="AO45" i="100"/>
  <c r="Y92" i="78"/>
  <c r="AL129" i="78"/>
  <c r="BH45" i="86"/>
  <c r="BI44" i="86"/>
  <c r="AM84" i="106"/>
  <c r="AO45" i="106"/>
  <c r="L22" i="91"/>
  <c r="P22" i="91" s="1"/>
  <c r="N22" i="91" s="1"/>
  <c r="W57" i="91"/>
  <c r="AU19" i="88"/>
  <c r="AY19" i="88" s="1"/>
  <c r="AW19" i="88" s="1"/>
  <c r="AT19" i="88" s="1"/>
  <c r="BL64" i="88"/>
  <c r="AL123" i="106"/>
  <c r="Y81" i="106"/>
  <c r="AT46" i="100"/>
  <c r="AP47" i="100"/>
  <c r="AQ46" i="100"/>
  <c r="BA37" i="86"/>
  <c r="AZ37" i="86"/>
  <c r="G50" i="91"/>
  <c r="H49" i="91"/>
  <c r="BJ49" i="91" s="1"/>
  <c r="AP50" i="86"/>
  <c r="AQ49" i="86"/>
  <c r="U50" i="91"/>
  <c r="V49" i="91"/>
  <c r="AO26" i="78"/>
  <c r="AN65" i="78"/>
  <c r="B60" i="108"/>
  <c r="A61" i="108"/>
  <c r="AT45" i="105"/>
  <c r="AP46" i="105"/>
  <c r="AQ45" i="105"/>
  <c r="P45" i="78"/>
  <c r="Q45" i="78"/>
  <c r="R47" i="88"/>
  <c r="Q47" i="88"/>
  <c r="X65" i="78"/>
  <c r="BI31" i="78"/>
  <c r="AT46" i="106"/>
  <c r="AP47" i="106"/>
  <c r="AQ46" i="106"/>
  <c r="U46" i="86"/>
  <c r="V45" i="86"/>
  <c r="U47" i="75"/>
  <c r="V46" i="75"/>
  <c r="BH46" i="105"/>
  <c r="BI45" i="105"/>
  <c r="X73" i="106"/>
  <c r="J38" i="106"/>
  <c r="BK38" i="106"/>
  <c r="K39" i="106"/>
  <c r="BH45" i="106"/>
  <c r="BI44" i="106"/>
  <c r="F52" i="66"/>
  <c r="G51" i="66"/>
  <c r="AA51" i="66"/>
  <c r="U51" i="66"/>
  <c r="L26" i="78"/>
  <c r="R26" i="78" s="1"/>
  <c r="W66" i="78"/>
  <c r="K26" i="78"/>
  <c r="O26" i="78" s="1"/>
  <c r="M26" i="78" s="1"/>
  <c r="N27" i="78" s="1"/>
  <c r="J26" i="78"/>
  <c r="AM83" i="105"/>
  <c r="AO44" i="105"/>
  <c r="U46" i="78"/>
  <c r="T47" i="78"/>
  <c r="V48" i="88"/>
  <c r="U49" i="88"/>
  <c r="BH45" i="100"/>
  <c r="BI44" i="100"/>
  <c r="Q48" i="91"/>
  <c r="R48" i="91"/>
  <c r="AZ38" i="105"/>
  <c r="AS38" i="105" s="1"/>
  <c r="BA38" i="105"/>
  <c r="AL121" i="88"/>
  <c r="Y79" i="88"/>
  <c r="AZ37" i="106"/>
  <c r="AS37" i="106" s="1"/>
  <c r="BA37" i="106"/>
  <c r="O17" i="59"/>
  <c r="N17" i="59" s="1"/>
  <c r="L17" i="59" s="1"/>
  <c r="P17" i="59"/>
  <c r="W111" i="66"/>
  <c r="O110" i="66"/>
  <c r="U45" i="100"/>
  <c r="V44" i="100"/>
  <c r="X55" i="86"/>
  <c r="BK20" i="86"/>
  <c r="J20" i="86"/>
  <c r="AQ47" i="91"/>
  <c r="AP48" i="91"/>
  <c r="X79" i="100"/>
  <c r="BK44" i="100"/>
  <c r="G47" i="105"/>
  <c r="H46" i="105"/>
  <c r="BJ46" i="105" s="1"/>
  <c r="I46" i="105"/>
  <c r="AZ37" i="100"/>
  <c r="AS37" i="100" s="1"/>
  <c r="BA37" i="100"/>
  <c r="AV27" i="78"/>
  <c r="AU20" i="91"/>
  <c r="AY20" i="91" s="1"/>
  <c r="AW20" i="91" s="1"/>
  <c r="BL65" i="91"/>
  <c r="M28" i="75"/>
  <c r="S28" i="75" s="1"/>
  <c r="E76" i="110"/>
  <c r="J75" i="110"/>
  <c r="F75" i="110"/>
  <c r="AZ75" i="110" s="1"/>
  <c r="Q44" i="86"/>
  <c r="R44" i="86"/>
  <c r="Y81" i="75"/>
  <c r="AL123" i="75"/>
  <c r="E50" i="103"/>
  <c r="J49" i="103"/>
  <c r="F49" i="103"/>
  <c r="AZ49" i="103" s="1"/>
  <c r="AL123" i="91"/>
  <c r="Y81" i="91"/>
  <c r="R43" i="100"/>
  <c r="Q43" i="100"/>
  <c r="J43" i="100" s="1"/>
  <c r="G46" i="109"/>
  <c r="T45" i="109"/>
  <c r="W45" i="109"/>
  <c r="H45" i="109"/>
  <c r="BK45" i="109" s="1"/>
  <c r="I45" i="109"/>
  <c r="AU31" i="106"/>
  <c r="AY31" i="106" s="1"/>
  <c r="BL76" i="106"/>
  <c r="H47" i="106"/>
  <c r="BJ47" i="106" s="1"/>
  <c r="G48" i="106"/>
  <c r="X76" i="105"/>
  <c r="BK41" i="105"/>
  <c r="J41" i="105"/>
  <c r="K42" i="105"/>
  <c r="BG33" i="78"/>
  <c r="BJ72" i="78"/>
  <c r="AS27" i="78"/>
  <c r="Y78" i="86"/>
  <c r="AL120" i="86"/>
  <c r="K23" i="88"/>
  <c r="BA40" i="91"/>
  <c r="AV46" i="91"/>
  <c r="AZ40" i="91"/>
  <c r="H47" i="86"/>
  <c r="BJ47" i="86" s="1"/>
  <c r="G48" i="86"/>
  <c r="G48" i="75"/>
  <c r="H47" i="75"/>
  <c r="BJ47" i="75" s="1"/>
  <c r="R45" i="75"/>
  <c r="Q45" i="75"/>
  <c r="Q48" i="106"/>
  <c r="R48" i="106"/>
  <c r="M50" i="66"/>
  <c r="N50" i="66"/>
  <c r="L50" i="66"/>
  <c r="AZ39" i="75"/>
  <c r="BA39" i="75"/>
  <c r="AM61" i="75"/>
  <c r="AS22" i="75"/>
  <c r="AO22" i="75"/>
  <c r="G47" i="78"/>
  <c r="H46" i="78"/>
  <c r="BH52" i="78" s="1"/>
  <c r="Q43" i="105"/>
  <c r="R43" i="105"/>
  <c r="K45" i="100"/>
  <c r="G46" i="100"/>
  <c r="I45" i="100"/>
  <c r="H45" i="100"/>
  <c r="BJ45" i="100" s="1"/>
  <c r="D43" i="108"/>
  <c r="C44" i="108" s="1"/>
  <c r="AV17" i="59"/>
  <c r="AU17" i="59"/>
  <c r="AP68" i="78"/>
  <c r="AQ67" i="78"/>
  <c r="BA39" i="88"/>
  <c r="AZ39" i="88"/>
  <c r="V49" i="106"/>
  <c r="U50" i="106"/>
  <c r="AQ51" i="75"/>
  <c r="AP52" i="75"/>
  <c r="G46" i="88"/>
  <c r="H45" i="88"/>
  <c r="BJ45" i="88" s="1"/>
  <c r="S19" i="66"/>
  <c r="T19" i="66"/>
  <c r="BH47" i="75"/>
  <c r="BI46" i="75"/>
  <c r="AV22" i="75"/>
  <c r="BG22" i="75" s="1"/>
  <c r="AI120" i="59"/>
  <c r="V90" i="59"/>
  <c r="AP47" i="88"/>
  <c r="AQ46" i="88"/>
  <c r="V44" i="105"/>
  <c r="U45" i="105"/>
  <c r="AL120" i="100"/>
  <c r="Y78" i="100"/>
  <c r="AU19" i="86"/>
  <c r="AY19" i="86" s="1"/>
  <c r="AW19" i="86" s="1"/>
  <c r="AT19" i="86" s="1"/>
  <c r="BL64" i="86"/>
  <c r="M20" i="86"/>
  <c r="S20" i="86" s="1"/>
  <c r="BJ44" i="109"/>
  <c r="BI45" i="109"/>
  <c r="BB37" i="109"/>
  <c r="BA37" i="109"/>
  <c r="AT37" i="109" s="1"/>
  <c r="R44" i="110"/>
  <c r="S43" i="110"/>
  <c r="V45" i="109"/>
  <c r="U46" i="109"/>
  <c r="R44" i="109"/>
  <c r="Q44" i="109"/>
  <c r="J49" i="111"/>
  <c r="E50" i="111"/>
  <c r="F49" i="111"/>
  <c r="AZ49" i="111" s="1"/>
  <c r="H16" i="111"/>
  <c r="S16" i="111"/>
  <c r="T57" i="111"/>
  <c r="AU15" i="111"/>
  <c r="AV15" i="111"/>
  <c r="AX47" i="111"/>
  <c r="M19" i="94"/>
  <c r="S19" i="94" s="1"/>
  <c r="Y54" i="94"/>
  <c r="J19" i="94"/>
  <c r="BL19" i="94"/>
  <c r="V44" i="94"/>
  <c r="U45" i="94"/>
  <c r="Q43" i="94"/>
  <c r="R43" i="94"/>
  <c r="K21" i="109"/>
  <c r="Y56" i="109" s="1"/>
  <c r="Z78" i="109"/>
  <c r="AM120" i="109"/>
  <c r="BB62" i="110"/>
  <c r="AI57" i="110"/>
  <c r="AK57" i="110" s="1"/>
  <c r="AY16" i="110"/>
  <c r="AP16" i="110"/>
  <c r="K15" i="112"/>
  <c r="Q15" i="112" s="1"/>
  <c r="AU38" i="109"/>
  <c r="AN76" i="109"/>
  <c r="AP37" i="109"/>
  <c r="J47" i="112"/>
  <c r="E48" i="112"/>
  <c r="F47" i="112"/>
  <c r="AZ47" i="112" s="1"/>
  <c r="BC14" i="112"/>
  <c r="AO14" i="112"/>
  <c r="AQ14" i="112" s="1"/>
  <c r="AW14" i="112" s="1"/>
  <c r="AM49" i="112"/>
  <c r="AN48" i="112"/>
  <c r="AX47" i="112"/>
  <c r="AS15" i="112"/>
  <c r="BI46" i="94"/>
  <c r="BJ45" i="94"/>
  <c r="BB38" i="94"/>
  <c r="BA38" i="94"/>
  <c r="AT38" i="94" s="1"/>
  <c r="AM122" i="94"/>
  <c r="Z80" i="94"/>
  <c r="G46" i="94"/>
  <c r="H45" i="94"/>
  <c r="BK45" i="94" s="1"/>
  <c r="T45" i="94"/>
  <c r="W45" i="94"/>
  <c r="I45" i="94"/>
  <c r="AR45" i="94"/>
  <c r="AQ46" i="94"/>
  <c r="AR16" i="103"/>
  <c r="AO16" i="103" s="1"/>
  <c r="AQ16" i="103" s="1"/>
  <c r="AW16" i="103" s="1"/>
  <c r="AV27" i="109"/>
  <c r="AZ27" i="109" s="1"/>
  <c r="AX27" i="109" s="1"/>
  <c r="AW27" i="109" s="1"/>
  <c r="BH27" i="109" s="1"/>
  <c r="BM72" i="109"/>
  <c r="I16" i="110"/>
  <c r="O16" i="110"/>
  <c r="N16" i="110" s="1"/>
  <c r="L16" i="110" s="1"/>
  <c r="G16" i="110" s="1"/>
  <c r="BA16" i="110" s="1"/>
  <c r="P16" i="110"/>
  <c r="U56" i="110"/>
  <c r="AV25" i="94"/>
  <c r="AZ25" i="94" s="1"/>
  <c r="AX25" i="94" s="1"/>
  <c r="AW25" i="94" s="1"/>
  <c r="BH25" i="94" s="1"/>
  <c r="BM70" i="94"/>
  <c r="AU42" i="94"/>
  <c r="AN80" i="94"/>
  <c r="AP41" i="94"/>
  <c r="N15" i="61"/>
  <c r="O15" i="61"/>
  <c r="M28" i="100" l="1"/>
  <c r="S28" i="100" s="1"/>
  <c r="AV20" i="91"/>
  <c r="BG20" i="91" s="1"/>
  <c r="E56" i="107"/>
  <c r="F56" i="107"/>
  <c r="G56" i="107" s="1"/>
  <c r="D56" i="107" s="1"/>
  <c r="C57" i="107" s="1"/>
  <c r="I17" i="59"/>
  <c r="BF17" i="59" s="1"/>
  <c r="AU29" i="105"/>
  <c r="AY29" i="105" s="1"/>
  <c r="AW29" i="105" s="1"/>
  <c r="AV29" i="105" s="1"/>
  <c r="BG29" i="105" s="1"/>
  <c r="BL74" i="105"/>
  <c r="AS19" i="86"/>
  <c r="AM58" i="86"/>
  <c r="AO19" i="86"/>
  <c r="AS19" i="88"/>
  <c r="AO19" i="88"/>
  <c r="AM58" i="88"/>
  <c r="AU29" i="100"/>
  <c r="AY29" i="100" s="1"/>
  <c r="AW29" i="100" s="1"/>
  <c r="AV29" i="100" s="1"/>
  <c r="BG29" i="100" s="1"/>
  <c r="BL74" i="100"/>
  <c r="K27" i="78"/>
  <c r="O27" i="78" s="1"/>
  <c r="M27" i="78" s="1"/>
  <c r="N28" i="78" s="1"/>
  <c r="W67" i="78"/>
  <c r="AP53" i="75"/>
  <c r="AQ52" i="75"/>
  <c r="AG33" i="86"/>
  <c r="AF33" i="86" s="1"/>
  <c r="K21" i="86"/>
  <c r="W56" i="86"/>
  <c r="L21" i="86"/>
  <c r="P21" i="86" s="1"/>
  <c r="N21" i="86" s="1"/>
  <c r="M21" i="86" s="1"/>
  <c r="S21" i="86" s="1"/>
  <c r="V45" i="105"/>
  <c r="U46" i="105"/>
  <c r="BH48" i="75"/>
  <c r="BI47" i="75"/>
  <c r="G47" i="88"/>
  <c r="H46" i="88"/>
  <c r="BJ46" i="88" s="1"/>
  <c r="G44" i="108"/>
  <c r="E44" i="108"/>
  <c r="F44" i="108"/>
  <c r="G48" i="78"/>
  <c r="H47" i="78"/>
  <c r="BH53" i="78" s="1"/>
  <c r="AL121" i="86"/>
  <c r="Y79" i="86"/>
  <c r="P46" i="78"/>
  <c r="Q46" i="78"/>
  <c r="U52" i="66"/>
  <c r="G52" i="66"/>
  <c r="F53" i="66"/>
  <c r="AA52" i="66"/>
  <c r="BA39" i="105"/>
  <c r="AZ39" i="105"/>
  <c r="AS39" i="105" s="1"/>
  <c r="AO46" i="106"/>
  <c r="AM85" i="106"/>
  <c r="V50" i="91"/>
  <c r="U51" i="91"/>
  <c r="H50" i="91"/>
  <c r="BJ50" i="91" s="1"/>
  <c r="G51" i="91"/>
  <c r="Y82" i="106"/>
  <c r="AL124" i="106"/>
  <c r="K22" i="91"/>
  <c r="M22" i="91" s="1"/>
  <c r="S22" i="91" s="1"/>
  <c r="BI45" i="86"/>
  <c r="BH46" i="86"/>
  <c r="BA40" i="88"/>
  <c r="AZ40" i="88"/>
  <c r="AV19" i="86"/>
  <c r="BG19" i="86" s="1"/>
  <c r="Q20" i="66"/>
  <c r="AP69" i="78"/>
  <c r="AQ68" i="78"/>
  <c r="G49" i="75"/>
  <c r="H48" i="75"/>
  <c r="BJ48" i="75" s="1"/>
  <c r="H48" i="106"/>
  <c r="BJ48" i="106" s="1"/>
  <c r="G49" i="106"/>
  <c r="AT20" i="91"/>
  <c r="W112" i="66"/>
  <c r="O111" i="66"/>
  <c r="BI45" i="106"/>
  <c r="BH46" i="106"/>
  <c r="Q46" i="75"/>
  <c r="R46" i="75"/>
  <c r="AO45" i="105"/>
  <c r="AM84" i="105"/>
  <c r="AP51" i="86"/>
  <c r="AQ50" i="86"/>
  <c r="Y93" i="78"/>
  <c r="AL130" i="78"/>
  <c r="AZ41" i="91"/>
  <c r="BA41" i="91"/>
  <c r="AV47" i="91"/>
  <c r="Y86" i="105"/>
  <c r="AL128" i="105"/>
  <c r="BI47" i="88"/>
  <c r="BH48" i="88"/>
  <c r="L29" i="106"/>
  <c r="P29" i="106" s="1"/>
  <c r="N29" i="106" s="1"/>
  <c r="W64" i="106"/>
  <c r="AP48" i="88"/>
  <c r="AQ47" i="88"/>
  <c r="V50" i="106"/>
  <c r="U51" i="106"/>
  <c r="Y80" i="88"/>
  <c r="AL122" i="88"/>
  <c r="BA38" i="100"/>
  <c r="AZ38" i="100"/>
  <c r="AS38" i="100" s="1"/>
  <c r="R19" i="66"/>
  <c r="P19" i="66" s="1"/>
  <c r="V47" i="75"/>
  <c r="U48" i="75"/>
  <c r="A62" i="108"/>
  <c r="B61" i="108"/>
  <c r="AV19" i="88"/>
  <c r="BG19" i="88" s="1"/>
  <c r="BI48" i="91"/>
  <c r="BH49" i="91"/>
  <c r="R44" i="105"/>
  <c r="Q44" i="105"/>
  <c r="V91" i="59"/>
  <c r="AI121" i="59"/>
  <c r="Q49" i="106"/>
  <c r="R49" i="106"/>
  <c r="AS18" i="59"/>
  <c r="AY27" i="78"/>
  <c r="BE27" i="78"/>
  <c r="AT27" i="78"/>
  <c r="AX27" i="78"/>
  <c r="E77" i="110"/>
  <c r="J76" i="110"/>
  <c r="F76" i="110"/>
  <c r="AZ76" i="110" s="1"/>
  <c r="BH46" i="100"/>
  <c r="BI45" i="100"/>
  <c r="BI32" i="78"/>
  <c r="X66" i="78"/>
  <c r="J39" i="106"/>
  <c r="BK39" i="106"/>
  <c r="X74" i="106"/>
  <c r="K40" i="106"/>
  <c r="R45" i="86"/>
  <c r="Q45" i="86"/>
  <c r="G47" i="100"/>
  <c r="I46" i="100"/>
  <c r="K46" i="100"/>
  <c r="H46" i="100"/>
  <c r="BJ46" i="100" s="1"/>
  <c r="AT17" i="59"/>
  <c r="AR17" i="59" s="1"/>
  <c r="BK42" i="105"/>
  <c r="J42" i="105"/>
  <c r="X77" i="105"/>
  <c r="K43" i="105"/>
  <c r="E51" i="103"/>
  <c r="J50" i="103"/>
  <c r="F50" i="103"/>
  <c r="AZ50" i="103" s="1"/>
  <c r="W64" i="75"/>
  <c r="L29" i="75"/>
  <c r="P29" i="75" s="1"/>
  <c r="N29" i="75" s="1"/>
  <c r="K29" i="75" s="1"/>
  <c r="G48" i="105"/>
  <c r="I47" i="105"/>
  <c r="H47" i="105"/>
  <c r="BJ47" i="105" s="1"/>
  <c r="U50" i="88"/>
  <c r="V49" i="88"/>
  <c r="U47" i="86"/>
  <c r="V46" i="86"/>
  <c r="AL124" i="91"/>
  <c r="Y82" i="91"/>
  <c r="AP49" i="91"/>
  <c r="AQ48" i="91"/>
  <c r="AP47" i="105"/>
  <c r="AQ46" i="105"/>
  <c r="AT46" i="105"/>
  <c r="AL121" i="100"/>
  <c r="Y79" i="100"/>
  <c r="AU23" i="75"/>
  <c r="BL68" i="75"/>
  <c r="BK45" i="100"/>
  <c r="X80" i="100"/>
  <c r="BK23" i="88"/>
  <c r="X58" i="88"/>
  <c r="J23" i="88"/>
  <c r="AV31" i="106"/>
  <c r="BG31" i="106" s="1"/>
  <c r="T46" i="109"/>
  <c r="G47" i="109"/>
  <c r="W46" i="109"/>
  <c r="H46" i="109"/>
  <c r="BK46" i="109" s="1"/>
  <c r="I46" i="109"/>
  <c r="Q44" i="100"/>
  <c r="J44" i="100" s="1"/>
  <c r="R44" i="100"/>
  <c r="M18" i="59"/>
  <c r="R48" i="88"/>
  <c r="Q48" i="88"/>
  <c r="AP48" i="100"/>
  <c r="AT47" i="100"/>
  <c r="AQ47" i="100"/>
  <c r="BA38" i="106"/>
  <c r="AZ38" i="106"/>
  <c r="AS38" i="106" s="1"/>
  <c r="BH47" i="105"/>
  <c r="BI46" i="105"/>
  <c r="BA40" i="75"/>
  <c r="AZ40" i="75"/>
  <c r="H48" i="86"/>
  <c r="BJ48" i="86" s="1"/>
  <c r="G49" i="86"/>
  <c r="AL124" i="75"/>
  <c r="Y82" i="75"/>
  <c r="U46" i="100"/>
  <c r="V45" i="100"/>
  <c r="U47" i="78"/>
  <c r="T48" i="78"/>
  <c r="M51" i="66"/>
  <c r="L51" i="66"/>
  <c r="N51" i="66"/>
  <c r="AQ47" i="106"/>
  <c r="AT47" i="106"/>
  <c r="AP48" i="106"/>
  <c r="Q49" i="91"/>
  <c r="R49" i="91"/>
  <c r="AM85" i="100"/>
  <c r="AO46" i="100"/>
  <c r="BA38" i="86"/>
  <c r="AZ38" i="86"/>
  <c r="B64" i="107"/>
  <c r="A65" i="107"/>
  <c r="M31" i="105"/>
  <c r="S31" i="105" s="1"/>
  <c r="M23" i="88"/>
  <c r="S23" i="88" s="1"/>
  <c r="BJ45" i="109"/>
  <c r="BI46" i="109"/>
  <c r="BB38" i="109"/>
  <c r="BA38" i="109"/>
  <c r="R45" i="110"/>
  <c r="S44" i="110"/>
  <c r="V46" i="109"/>
  <c r="U47" i="109"/>
  <c r="R45" i="109"/>
  <c r="Q45" i="109"/>
  <c r="J21" i="109"/>
  <c r="M21" i="109"/>
  <c r="S21" i="109" s="1"/>
  <c r="V57" i="111"/>
  <c r="U56" i="111"/>
  <c r="O16" i="111"/>
  <c r="P16" i="111"/>
  <c r="I16" i="111"/>
  <c r="E51" i="111"/>
  <c r="J50" i="111"/>
  <c r="F50" i="111"/>
  <c r="AZ50" i="111" s="1"/>
  <c r="AT15" i="111"/>
  <c r="AR15" i="111" s="1"/>
  <c r="AX48" i="111"/>
  <c r="X55" i="94"/>
  <c r="L20" i="94"/>
  <c r="P20" i="94" s="1"/>
  <c r="N20" i="94" s="1"/>
  <c r="BL21" i="109"/>
  <c r="V45" i="94"/>
  <c r="U46" i="94"/>
  <c r="R44" i="94"/>
  <c r="Q44" i="94"/>
  <c r="Z79" i="109"/>
  <c r="AM121" i="109"/>
  <c r="AU16" i="110"/>
  <c r="AV16" i="110"/>
  <c r="H16" i="112"/>
  <c r="T57" i="112"/>
  <c r="S16" i="112"/>
  <c r="AU39" i="109"/>
  <c r="AN77" i="109"/>
  <c r="AT38" i="109"/>
  <c r="AP38" i="109"/>
  <c r="AL14" i="112"/>
  <c r="AJ55" i="112"/>
  <c r="AI56" i="112"/>
  <c r="BB61" i="112"/>
  <c r="AP15" i="112"/>
  <c r="AY15" i="112"/>
  <c r="J48" i="112"/>
  <c r="E49" i="112"/>
  <c r="F48" i="112"/>
  <c r="AZ48" i="112" s="1"/>
  <c r="AM50" i="112"/>
  <c r="AN49" i="112"/>
  <c r="AX48" i="112"/>
  <c r="BA39" i="94"/>
  <c r="AT39" i="94" s="1"/>
  <c r="BB39" i="94"/>
  <c r="BJ46" i="94"/>
  <c r="BI47" i="94"/>
  <c r="AR46" i="94"/>
  <c r="AQ47" i="94"/>
  <c r="AM123" i="94"/>
  <c r="Z81" i="94"/>
  <c r="G47" i="94"/>
  <c r="H46" i="94"/>
  <c r="BK46" i="94" s="1"/>
  <c r="T46" i="94"/>
  <c r="W46" i="94"/>
  <c r="I46" i="94"/>
  <c r="AS17" i="103"/>
  <c r="BC16" i="103"/>
  <c r="AV28" i="109"/>
  <c r="AZ28" i="109" s="1"/>
  <c r="AX28" i="109" s="1"/>
  <c r="AW28" i="109" s="1"/>
  <c r="BH28" i="109" s="1"/>
  <c r="BM73" i="109"/>
  <c r="K16" i="110"/>
  <c r="Q16" i="110" s="1"/>
  <c r="M17" i="110"/>
  <c r="AV26" i="94"/>
  <c r="AZ26" i="94" s="1"/>
  <c r="AX26" i="94" s="1"/>
  <c r="AW26" i="94" s="1"/>
  <c r="BH26" i="94" s="1"/>
  <c r="BM71" i="94"/>
  <c r="AU43" i="94"/>
  <c r="AP42" i="94"/>
  <c r="AN81" i="94"/>
  <c r="AL16" i="103"/>
  <c r="AJ57" i="103"/>
  <c r="AI58" i="103"/>
  <c r="BB63" i="103"/>
  <c r="AP17" i="103"/>
  <c r="AY17" i="103"/>
  <c r="M15" i="61"/>
  <c r="K15" i="61" s="1"/>
  <c r="L29" i="100" l="1"/>
  <c r="P29" i="100" s="1"/>
  <c r="N29" i="100" s="1"/>
  <c r="W64" i="100"/>
  <c r="L22" i="86"/>
  <c r="P22" i="86" s="1"/>
  <c r="N22" i="86" s="1"/>
  <c r="W57" i="86"/>
  <c r="AU30" i="100"/>
  <c r="AY30" i="100" s="1"/>
  <c r="AW30" i="100" s="1"/>
  <c r="AV30" i="100" s="1"/>
  <c r="BG30" i="100" s="1"/>
  <c r="BL75" i="100"/>
  <c r="AU30" i="105"/>
  <c r="AY30" i="105" s="1"/>
  <c r="AW30" i="105" s="1"/>
  <c r="BL75" i="105"/>
  <c r="AV30" i="105"/>
  <c r="BG30" i="105"/>
  <c r="M29" i="75"/>
  <c r="S29" i="75" s="1"/>
  <c r="BK29" i="75"/>
  <c r="X64" i="75"/>
  <c r="J29" i="75"/>
  <c r="L23" i="91"/>
  <c r="P23" i="91" s="1"/>
  <c r="N23" i="91" s="1"/>
  <c r="W58" i="91"/>
  <c r="F57" i="107"/>
  <c r="E57" i="107"/>
  <c r="G57" i="107" s="1"/>
  <c r="D57" i="107" s="1"/>
  <c r="C58" i="107" s="1"/>
  <c r="AO46" i="105"/>
  <c r="AM85" i="105"/>
  <c r="W113" i="66"/>
  <c r="O112" i="66"/>
  <c r="B65" i="107"/>
  <c r="A66" i="107"/>
  <c r="V47" i="86"/>
  <c r="U48" i="86"/>
  <c r="G49" i="105"/>
  <c r="H48" i="105"/>
  <c r="BJ48" i="105" s="1"/>
  <c r="I48" i="105"/>
  <c r="A63" i="108"/>
  <c r="B62" i="108"/>
  <c r="AS20" i="91"/>
  <c r="AM59" i="91"/>
  <c r="AO20" i="91"/>
  <c r="AA53" i="66"/>
  <c r="G53" i="66"/>
  <c r="U53" i="66"/>
  <c r="F54" i="66"/>
  <c r="G48" i="88"/>
  <c r="H47" i="88"/>
  <c r="BJ47" i="88" s="1"/>
  <c r="AL125" i="91"/>
  <c r="Y83" i="91"/>
  <c r="BI47" i="105"/>
  <c r="BH48" i="105"/>
  <c r="Q46" i="86"/>
  <c r="R46" i="86"/>
  <c r="X81" i="100"/>
  <c r="BK46" i="100"/>
  <c r="AU32" i="106"/>
  <c r="AY32" i="106" s="1"/>
  <c r="BL77" i="106"/>
  <c r="AP48" i="105"/>
  <c r="AQ47" i="105"/>
  <c r="AT47" i="105"/>
  <c r="R49" i="88"/>
  <c r="Q49" i="88"/>
  <c r="G48" i="100"/>
  <c r="I47" i="100"/>
  <c r="K47" i="100"/>
  <c r="H47" i="100"/>
  <c r="BJ47" i="100" s="1"/>
  <c r="BG34" i="78"/>
  <c r="AS28" i="78"/>
  <c r="BJ73" i="78"/>
  <c r="V92" i="59"/>
  <c r="AI122" i="59"/>
  <c r="V48" i="75"/>
  <c r="U49" i="75"/>
  <c r="AL123" i="88"/>
  <c r="Y81" i="88"/>
  <c r="M29" i="106"/>
  <c r="S29" i="106" s="1"/>
  <c r="H49" i="106"/>
  <c r="BJ49" i="106" s="1"/>
  <c r="G50" i="106"/>
  <c r="H49" i="75"/>
  <c r="BJ49" i="75" s="1"/>
  <c r="G50" i="75"/>
  <c r="M52" i="66"/>
  <c r="L52" i="66"/>
  <c r="N52" i="66"/>
  <c r="BA41" i="75"/>
  <c r="AZ41" i="75"/>
  <c r="K17" i="59"/>
  <c r="G50" i="86"/>
  <c r="H49" i="86"/>
  <c r="BJ49" i="86" s="1"/>
  <c r="M32" i="105"/>
  <c r="S32" i="105" s="1"/>
  <c r="L32" i="105"/>
  <c r="P32" i="105" s="1"/>
  <c r="N32" i="105" s="1"/>
  <c r="W67" i="105"/>
  <c r="T49" i="78"/>
  <c r="U48" i="78"/>
  <c r="U51" i="88"/>
  <c r="V50" i="88"/>
  <c r="AZ39" i="100"/>
  <c r="AS39" i="100" s="1"/>
  <c r="BA39" i="100"/>
  <c r="R47" i="75"/>
  <c r="Q47" i="75"/>
  <c r="U52" i="106"/>
  <c r="V51" i="106"/>
  <c r="BI48" i="88"/>
  <c r="BH49" i="88"/>
  <c r="BH47" i="86"/>
  <c r="BI46" i="86"/>
  <c r="D44" i="108"/>
  <c r="C45" i="108" s="1"/>
  <c r="BI48" i="75"/>
  <c r="BH49" i="75"/>
  <c r="R45" i="100"/>
  <c r="Q45" i="100"/>
  <c r="J45" i="100" s="1"/>
  <c r="J40" i="106"/>
  <c r="BK40" i="106"/>
  <c r="X75" i="106"/>
  <c r="K41" i="106"/>
  <c r="P47" i="78"/>
  <c r="Q47" i="78"/>
  <c r="AY23" i="75"/>
  <c r="AW23" i="75" s="1"/>
  <c r="AP50" i="91"/>
  <c r="AQ49" i="91"/>
  <c r="AO17" i="59"/>
  <c r="AQ17" i="59" s="1"/>
  <c r="BI46" i="100"/>
  <c r="BH47" i="100"/>
  <c r="O19" i="66"/>
  <c r="H19" i="66"/>
  <c r="R50" i="106"/>
  <c r="Q50" i="106"/>
  <c r="AZ41" i="88"/>
  <c r="BA41" i="88"/>
  <c r="Y94" i="78"/>
  <c r="AL131" i="78"/>
  <c r="BH47" i="106"/>
  <c r="BI46" i="106"/>
  <c r="AQ69" i="78"/>
  <c r="AP70" i="78"/>
  <c r="AZ39" i="86"/>
  <c r="BA39" i="86"/>
  <c r="H51" i="91"/>
  <c r="BJ51" i="91" s="1"/>
  <c r="G52" i="91"/>
  <c r="U47" i="105"/>
  <c r="V46" i="105"/>
  <c r="AT48" i="106"/>
  <c r="AQ48" i="106"/>
  <c r="AP49" i="106"/>
  <c r="BH50" i="91"/>
  <c r="BI49" i="91"/>
  <c r="AZ39" i="106"/>
  <c r="AS39" i="106" s="1"/>
  <c r="BA39" i="106"/>
  <c r="BK22" i="91"/>
  <c r="J22" i="91"/>
  <c r="X57" i="91"/>
  <c r="R45" i="105"/>
  <c r="Q45" i="105"/>
  <c r="AQ53" i="75"/>
  <c r="AP54" i="75"/>
  <c r="AO47" i="106"/>
  <c r="AM86" i="106"/>
  <c r="U47" i="100"/>
  <c r="V46" i="100"/>
  <c r="AM86" i="100"/>
  <c r="AO47" i="100"/>
  <c r="Y80" i="100"/>
  <c r="AL122" i="100"/>
  <c r="AV48" i="91"/>
  <c r="AZ42" i="91"/>
  <c r="BA42" i="91"/>
  <c r="AP49" i="88"/>
  <c r="AQ48" i="88"/>
  <c r="AL129" i="105"/>
  <c r="Y87" i="105"/>
  <c r="AP52" i="86"/>
  <c r="AQ51" i="86"/>
  <c r="AU20" i="86"/>
  <c r="AY20" i="86" s="1"/>
  <c r="AW20" i="86" s="1"/>
  <c r="AT20" i="86"/>
  <c r="BL65" i="86"/>
  <c r="V51" i="91"/>
  <c r="U52" i="91"/>
  <c r="AL122" i="86"/>
  <c r="Y80" i="86"/>
  <c r="W59" i="88"/>
  <c r="L24" i="88"/>
  <c r="P24" i="88" s="1"/>
  <c r="N24" i="88" s="1"/>
  <c r="K24" i="88" s="1"/>
  <c r="AL125" i="75"/>
  <c r="Y83" i="75"/>
  <c r="AZ40" i="105"/>
  <c r="AS40" i="105" s="1"/>
  <c r="BA40" i="105"/>
  <c r="AP49" i="100"/>
  <c r="AT48" i="100"/>
  <c r="AQ48" i="100"/>
  <c r="E52" i="103"/>
  <c r="J51" i="103"/>
  <c r="F51" i="103"/>
  <c r="AZ51" i="103" s="1"/>
  <c r="J77" i="110"/>
  <c r="E78" i="110"/>
  <c r="F77" i="110"/>
  <c r="AZ77" i="110" s="1"/>
  <c r="AT20" i="88"/>
  <c r="AU20" i="88"/>
  <c r="AY20" i="88" s="1"/>
  <c r="AW20" i="88" s="1"/>
  <c r="AV20" i="88" s="1"/>
  <c r="BG20" i="88" s="1"/>
  <c r="BL65" i="88"/>
  <c r="AW27" i="78"/>
  <c r="AU27" i="78" s="1"/>
  <c r="AR27" i="78" s="1"/>
  <c r="Y83" i="106"/>
  <c r="AL125" i="106"/>
  <c r="Q50" i="91"/>
  <c r="R50" i="91"/>
  <c r="G49" i="78"/>
  <c r="H48" i="78"/>
  <c r="BH54" i="78" s="1"/>
  <c r="J27" i="78"/>
  <c r="L27" i="78" s="1"/>
  <c r="R27" i="78" s="1"/>
  <c r="T47" i="109"/>
  <c r="G48" i="109"/>
  <c r="W47" i="109"/>
  <c r="H47" i="109"/>
  <c r="BK47" i="109" s="1"/>
  <c r="I47" i="109"/>
  <c r="J43" i="105"/>
  <c r="BK43" i="105"/>
  <c r="X78" i="105"/>
  <c r="K44" i="105"/>
  <c r="X56" i="86"/>
  <c r="BK21" i="86"/>
  <c r="J21" i="86"/>
  <c r="AU21" i="91"/>
  <c r="AY21" i="91" s="1"/>
  <c r="AW21" i="91" s="1"/>
  <c r="AT21" i="91" s="1"/>
  <c r="BL66" i="91"/>
  <c r="BJ46" i="109"/>
  <c r="BI47" i="109"/>
  <c r="BB39" i="109"/>
  <c r="BA39" i="109"/>
  <c r="AT39" i="109" s="1"/>
  <c r="R46" i="110"/>
  <c r="S45" i="110"/>
  <c r="X57" i="109"/>
  <c r="L22" i="109"/>
  <c r="P22" i="109" s="1"/>
  <c r="N22" i="109" s="1"/>
  <c r="V47" i="109"/>
  <c r="U48" i="109"/>
  <c r="R46" i="109"/>
  <c r="Q46" i="109"/>
  <c r="E52" i="111"/>
  <c r="J51" i="111"/>
  <c r="F51" i="111"/>
  <c r="AZ51" i="111" s="1"/>
  <c r="N16" i="111"/>
  <c r="L16" i="111" s="1"/>
  <c r="M17" i="111" s="1"/>
  <c r="BC15" i="111"/>
  <c r="AO15" i="111"/>
  <c r="AL15" i="111" s="1"/>
  <c r="AS16" i="111"/>
  <c r="AX49" i="111"/>
  <c r="K20" i="94"/>
  <c r="M20" i="94" s="1"/>
  <c r="S20" i="94" s="1"/>
  <c r="U47" i="94"/>
  <c r="V46" i="94"/>
  <c r="Q45" i="94"/>
  <c r="R45" i="94"/>
  <c r="Z80" i="109"/>
  <c r="AM122" i="109"/>
  <c r="AT16" i="110"/>
  <c r="AR16" i="110" s="1"/>
  <c r="AS17" i="110" s="1"/>
  <c r="P16" i="112"/>
  <c r="O16" i="112"/>
  <c r="N16" i="112" s="1"/>
  <c r="L16" i="112" s="1"/>
  <c r="G16" i="112" s="1"/>
  <c r="BA16" i="112" s="1"/>
  <c r="V57" i="112"/>
  <c r="U56" i="112"/>
  <c r="I16" i="112"/>
  <c r="AU40" i="109"/>
  <c r="AP39" i="109"/>
  <c r="AN78" i="109"/>
  <c r="AV15" i="112"/>
  <c r="AU15" i="112"/>
  <c r="AT15" i="112" s="1"/>
  <c r="AM51" i="112"/>
  <c r="AN50" i="112"/>
  <c r="AK56" i="112"/>
  <c r="AX49" i="112"/>
  <c r="J49" i="112"/>
  <c r="E50" i="112"/>
  <c r="F49" i="112"/>
  <c r="AZ49" i="112" s="1"/>
  <c r="BI48" i="94"/>
  <c r="BJ47" i="94"/>
  <c r="BA40" i="94"/>
  <c r="AT40" i="94" s="1"/>
  <c r="BB40" i="94"/>
  <c r="Z82" i="94"/>
  <c r="AM124" i="94"/>
  <c r="AQ48" i="94"/>
  <c r="AR47" i="94"/>
  <c r="G48" i="94"/>
  <c r="H47" i="94"/>
  <c r="BK47" i="94" s="1"/>
  <c r="T47" i="94"/>
  <c r="W47" i="94"/>
  <c r="I47" i="94"/>
  <c r="BM74" i="109"/>
  <c r="AV29" i="109"/>
  <c r="AZ29" i="109" s="1"/>
  <c r="AX29" i="109" s="1"/>
  <c r="AW29" i="109" s="1"/>
  <c r="BH29" i="109" s="1"/>
  <c r="H17" i="110"/>
  <c r="T58" i="110"/>
  <c r="BM72" i="94"/>
  <c r="AV27" i="94"/>
  <c r="AZ27" i="94" s="1"/>
  <c r="AX27" i="94" s="1"/>
  <c r="AW27" i="94" s="1"/>
  <c r="BH27" i="94" s="1"/>
  <c r="AU44" i="94"/>
  <c r="AN82" i="94"/>
  <c r="AP43" i="94"/>
  <c r="AK58" i="103"/>
  <c r="AV17" i="103"/>
  <c r="AU17" i="103"/>
  <c r="AT17" i="103" s="1"/>
  <c r="H15" i="61"/>
  <c r="J15" i="61" s="1"/>
  <c r="L16" i="61"/>
  <c r="M29" i="100" l="1"/>
  <c r="S29" i="100" s="1"/>
  <c r="L30" i="100" s="1"/>
  <c r="F58" i="107"/>
  <c r="E58" i="107"/>
  <c r="G58" i="107" s="1"/>
  <c r="D58" i="107" s="1"/>
  <c r="C59" i="107" s="1"/>
  <c r="BB17" i="59"/>
  <c r="W68" i="78"/>
  <c r="K28" i="78"/>
  <c r="O28" i="78" s="1"/>
  <c r="M28" i="78" s="1"/>
  <c r="N29" i="78" s="1"/>
  <c r="X59" i="88"/>
  <c r="J24" i="88"/>
  <c r="BK24" i="88"/>
  <c r="AU21" i="88"/>
  <c r="AY21" i="88" s="1"/>
  <c r="AW21" i="88" s="1"/>
  <c r="AT21" i="88" s="1"/>
  <c r="BL66" i="88"/>
  <c r="AU31" i="100"/>
  <c r="AY31" i="100" s="1"/>
  <c r="AW31" i="100" s="1"/>
  <c r="AV31" i="100" s="1"/>
  <c r="BG31" i="100" s="1"/>
  <c r="BL76" i="100"/>
  <c r="AM60" i="91"/>
  <c r="AO21" i="91"/>
  <c r="AS21" i="91"/>
  <c r="L33" i="105"/>
  <c r="P33" i="105" s="1"/>
  <c r="N33" i="105" s="1"/>
  <c r="W68" i="105"/>
  <c r="AN66" i="78"/>
  <c r="AO27" i="78"/>
  <c r="AP50" i="88"/>
  <c r="AQ49" i="88"/>
  <c r="Q46" i="105"/>
  <c r="R46" i="105"/>
  <c r="AZ42" i="88"/>
  <c r="BA42" i="88"/>
  <c r="L30" i="106"/>
  <c r="P30" i="106" s="1"/>
  <c r="N30" i="106" s="1"/>
  <c r="W65" i="106"/>
  <c r="I48" i="100"/>
  <c r="G49" i="100"/>
  <c r="K48" i="100"/>
  <c r="H48" i="100"/>
  <c r="BJ48" i="100" s="1"/>
  <c r="AJ56" i="111"/>
  <c r="G49" i="109"/>
  <c r="T48" i="109"/>
  <c r="W48" i="109"/>
  <c r="H48" i="109"/>
  <c r="BK48" i="109" s="1"/>
  <c r="I48" i="109"/>
  <c r="M24" i="88"/>
  <c r="S24" i="88" s="1"/>
  <c r="AS20" i="86"/>
  <c r="AM59" i="86"/>
  <c r="AO20" i="86"/>
  <c r="V47" i="105"/>
  <c r="U48" i="105"/>
  <c r="AL132" i="78"/>
  <c r="Y95" i="78"/>
  <c r="V19" i="66"/>
  <c r="Z19" i="66"/>
  <c r="AT23" i="75"/>
  <c r="AV23" i="75" s="1"/>
  <c r="BG23" i="75" s="1"/>
  <c r="R51" i="106"/>
  <c r="Q51" i="106"/>
  <c r="R50" i="88"/>
  <c r="Q50" i="88"/>
  <c r="G51" i="75"/>
  <c r="H50" i="75"/>
  <c r="BJ50" i="75" s="1"/>
  <c r="Y82" i="88"/>
  <c r="AL124" i="88"/>
  <c r="BH49" i="105"/>
  <c r="BI48" i="105"/>
  <c r="J44" i="105"/>
  <c r="BK44" i="105"/>
  <c r="X79" i="105"/>
  <c r="K45" i="105"/>
  <c r="Y81" i="86"/>
  <c r="AL123" i="86"/>
  <c r="Q46" i="100"/>
  <c r="J46" i="100" s="1"/>
  <c r="R46" i="100"/>
  <c r="BI47" i="100"/>
  <c r="BH48" i="100"/>
  <c r="BI49" i="75"/>
  <c r="BH50" i="75"/>
  <c r="U53" i="106"/>
  <c r="V52" i="106"/>
  <c r="U52" i="88"/>
  <c r="V51" i="88"/>
  <c r="AT28" i="78"/>
  <c r="BE28" i="78"/>
  <c r="AX28" i="78"/>
  <c r="AY28" i="78"/>
  <c r="BA41" i="105"/>
  <c r="AZ41" i="105"/>
  <c r="AS41" i="105" s="1"/>
  <c r="G49" i="88"/>
  <c r="H48" i="88"/>
  <c r="BJ48" i="88" s="1"/>
  <c r="I49" i="105"/>
  <c r="G50" i="105"/>
  <c r="H49" i="105"/>
  <c r="BJ49" i="105" s="1"/>
  <c r="O113" i="66"/>
  <c r="W114" i="66"/>
  <c r="K23" i="91"/>
  <c r="W65" i="75"/>
  <c r="L30" i="75"/>
  <c r="P30" i="75" s="1"/>
  <c r="N30" i="75" s="1"/>
  <c r="K30" i="75" s="1"/>
  <c r="AQ15" i="111"/>
  <c r="AW15" i="111" s="1"/>
  <c r="AI57" i="111" s="1"/>
  <c r="AV21" i="91"/>
  <c r="BG21" i="91" s="1"/>
  <c r="X67" i="78"/>
  <c r="BI33" i="78"/>
  <c r="G50" i="78"/>
  <c r="H49" i="78"/>
  <c r="BH55" i="78" s="1"/>
  <c r="E53" i="103"/>
  <c r="J52" i="103"/>
  <c r="F52" i="103"/>
  <c r="AZ52" i="103" s="1"/>
  <c r="AL126" i="75"/>
  <c r="Y84" i="75"/>
  <c r="Y114" i="75"/>
  <c r="Y115" i="75" s="1"/>
  <c r="Y116" i="75" s="1"/>
  <c r="Y117" i="75" s="1"/>
  <c r="Y118" i="75" s="1"/>
  <c r="Y119" i="75" s="1"/>
  <c r="Y120" i="75" s="1"/>
  <c r="Y121" i="75" s="1"/>
  <c r="Y122" i="75" s="1"/>
  <c r="Y123" i="75" s="1"/>
  <c r="Y124" i="75" s="1"/>
  <c r="Y125" i="75" s="1"/>
  <c r="Y126" i="75" s="1"/>
  <c r="Y127" i="75" s="1"/>
  <c r="Y128" i="75" s="1"/>
  <c r="Y129" i="75" s="1"/>
  <c r="Y130" i="75" s="1"/>
  <c r="Y131" i="75" s="1"/>
  <c r="Y132" i="75" s="1"/>
  <c r="Y133" i="75" s="1"/>
  <c r="Y134" i="75" s="1"/>
  <c r="Y135" i="75" s="1"/>
  <c r="Y136" i="75" s="1"/>
  <c r="Y137" i="75" s="1"/>
  <c r="Y138" i="75" s="1"/>
  <c r="Y139" i="75" s="1"/>
  <c r="Y140" i="75" s="1"/>
  <c r="Y141" i="75" s="1"/>
  <c r="Y142" i="75" s="1"/>
  <c r="Y143" i="75" s="1"/>
  <c r="V47" i="100"/>
  <c r="U48" i="100"/>
  <c r="BA43" i="91"/>
  <c r="AZ43" i="91"/>
  <c r="AV49" i="91"/>
  <c r="AZ40" i="100"/>
  <c r="AS40" i="100" s="1"/>
  <c r="BA40" i="100"/>
  <c r="AZ42" i="75"/>
  <c r="BA42" i="75"/>
  <c r="P48" i="78"/>
  <c r="Q48" i="78"/>
  <c r="U50" i="75"/>
  <c r="V49" i="75"/>
  <c r="AO47" i="105"/>
  <c r="AM86" i="105"/>
  <c r="AV28" i="78"/>
  <c r="AL126" i="91"/>
  <c r="Y84" i="91"/>
  <c r="Y114" i="91"/>
  <c r="Y115" i="91" s="1"/>
  <c r="Y116" i="91" s="1"/>
  <c r="Y117" i="91" s="1"/>
  <c r="Y118" i="91" s="1"/>
  <c r="Y119" i="91" s="1"/>
  <c r="Y120" i="91" s="1"/>
  <c r="Y121" i="91" s="1"/>
  <c r="Y122" i="91" s="1"/>
  <c r="Y123" i="91" s="1"/>
  <c r="Y124" i="91" s="1"/>
  <c r="Y125" i="91" s="1"/>
  <c r="Y126" i="91" s="1"/>
  <c r="Y127" i="91" s="1"/>
  <c r="Y128" i="91" s="1"/>
  <c r="Y129" i="91" s="1"/>
  <c r="Y130" i="91" s="1"/>
  <c r="Y131" i="91" s="1"/>
  <c r="Y132" i="91" s="1"/>
  <c r="Y133" i="91" s="1"/>
  <c r="Y134" i="91" s="1"/>
  <c r="Y135" i="91" s="1"/>
  <c r="Y136" i="91" s="1"/>
  <c r="Y137" i="91" s="1"/>
  <c r="Y138" i="91" s="1"/>
  <c r="Y139" i="91" s="1"/>
  <c r="Y140" i="91" s="1"/>
  <c r="Y141" i="91" s="1"/>
  <c r="Y142" i="91" s="1"/>
  <c r="Y143" i="91" s="1"/>
  <c r="U49" i="86"/>
  <c r="V48" i="86"/>
  <c r="AU31" i="105"/>
  <c r="AY31" i="105" s="1"/>
  <c r="AW31" i="105" s="1"/>
  <c r="AV31" i="105" s="1"/>
  <c r="BG31" i="105" s="1"/>
  <c r="BL76" i="105"/>
  <c r="V52" i="91"/>
  <c r="U53" i="91"/>
  <c r="AP53" i="86"/>
  <c r="AQ52" i="86"/>
  <c r="BI50" i="91"/>
  <c r="BH51" i="91"/>
  <c r="AP71" i="78"/>
  <c r="AQ70" i="78"/>
  <c r="J41" i="106"/>
  <c r="X76" i="106"/>
  <c r="BK41" i="106"/>
  <c r="K42" i="106"/>
  <c r="G45" i="108"/>
  <c r="F45" i="108"/>
  <c r="E45" i="108"/>
  <c r="U49" i="78"/>
  <c r="T50" i="78"/>
  <c r="Q48" i="75"/>
  <c r="R48" i="75"/>
  <c r="U54" i="66"/>
  <c r="F55" i="66"/>
  <c r="AA54" i="66"/>
  <c r="G54" i="66"/>
  <c r="A64" i="108"/>
  <c r="B63" i="108"/>
  <c r="Q47" i="86"/>
  <c r="R47" i="86"/>
  <c r="AM59" i="88"/>
  <c r="AO20" i="88"/>
  <c r="AS20" i="88"/>
  <c r="AO48" i="100"/>
  <c r="AM87" i="100"/>
  <c r="R51" i="91"/>
  <c r="Q51" i="91"/>
  <c r="AL130" i="105"/>
  <c r="Y88" i="105"/>
  <c r="AT49" i="106"/>
  <c r="AQ49" i="106"/>
  <c r="AP50" i="106"/>
  <c r="AL17" i="59"/>
  <c r="AJ56" i="59"/>
  <c r="AZ40" i="86"/>
  <c r="BA40" i="86"/>
  <c r="G51" i="106"/>
  <c r="H50" i="106"/>
  <c r="BJ50" i="106" s="1"/>
  <c r="AP49" i="105"/>
  <c r="AT48" i="105"/>
  <c r="AQ48" i="105"/>
  <c r="K22" i="86"/>
  <c r="M22" i="86" s="1"/>
  <c r="S22" i="86" s="1"/>
  <c r="AT49" i="100"/>
  <c r="AP50" i="100"/>
  <c r="AQ49" i="100"/>
  <c r="AL123" i="100"/>
  <c r="Y81" i="100"/>
  <c r="G53" i="91"/>
  <c r="H52" i="91"/>
  <c r="BJ52" i="91" s="1"/>
  <c r="AZ40" i="106"/>
  <c r="AS40" i="106" s="1"/>
  <c r="BA40" i="106"/>
  <c r="BI47" i="86"/>
  <c r="BH48" i="86"/>
  <c r="G51" i="86"/>
  <c r="H50" i="86"/>
  <c r="BJ50" i="86" s="1"/>
  <c r="V93" i="59"/>
  <c r="AI123" i="59"/>
  <c r="X82" i="100"/>
  <c r="BK47" i="100"/>
  <c r="AV32" i="106"/>
  <c r="BG32" i="106" s="1"/>
  <c r="M53" i="66"/>
  <c r="L53" i="66"/>
  <c r="N53" i="66"/>
  <c r="A67" i="107"/>
  <c r="B66" i="107"/>
  <c r="Y84" i="106"/>
  <c r="Y114" i="106"/>
  <c r="Y115" i="106" s="1"/>
  <c r="Y116" i="106" s="1"/>
  <c r="Y117" i="106" s="1"/>
  <c r="Y118" i="106" s="1"/>
  <c r="Y119" i="106" s="1"/>
  <c r="Y120" i="106" s="1"/>
  <c r="Y121" i="106" s="1"/>
  <c r="Y122" i="106" s="1"/>
  <c r="Y123" i="106" s="1"/>
  <c r="Y124" i="106" s="1"/>
  <c r="Y125" i="106" s="1"/>
  <c r="Y126" i="106" s="1"/>
  <c r="Y127" i="106" s="1"/>
  <c r="Y128" i="106" s="1"/>
  <c r="Y129" i="106" s="1"/>
  <c r="Y130" i="106" s="1"/>
  <c r="Y131" i="106" s="1"/>
  <c r="Y132" i="106" s="1"/>
  <c r="Y133" i="106" s="1"/>
  <c r="Y134" i="106" s="1"/>
  <c r="Y135" i="106" s="1"/>
  <c r="Y136" i="106" s="1"/>
  <c r="Y137" i="106" s="1"/>
  <c r="Y138" i="106" s="1"/>
  <c r="Y139" i="106" s="1"/>
  <c r="Y140" i="106" s="1"/>
  <c r="Y141" i="106" s="1"/>
  <c r="Y142" i="106" s="1"/>
  <c r="Y143" i="106" s="1"/>
  <c r="AL126" i="106"/>
  <c r="E79" i="110"/>
  <c r="J78" i="110"/>
  <c r="F78" i="110"/>
  <c r="AZ78" i="110" s="1"/>
  <c r="AV20" i="86"/>
  <c r="BG20" i="86" s="1"/>
  <c r="AQ54" i="75"/>
  <c r="AP55" i="75"/>
  <c r="AO48" i="106"/>
  <c r="AM87" i="106"/>
  <c r="BI47" i="106"/>
  <c r="BH48" i="106"/>
  <c r="AP51" i="91"/>
  <c r="AQ50" i="91"/>
  <c r="BI49" i="88"/>
  <c r="BH50" i="88"/>
  <c r="Q17" i="59"/>
  <c r="U64" i="59"/>
  <c r="BI48" i="109"/>
  <c r="BJ47" i="109"/>
  <c r="BB40" i="109"/>
  <c r="BA40" i="109"/>
  <c r="AT40" i="109" s="1"/>
  <c r="K22" i="109"/>
  <c r="J22" i="109" s="1"/>
  <c r="R47" i="110"/>
  <c r="S46" i="110"/>
  <c r="U49" i="109"/>
  <c r="V48" i="109"/>
  <c r="R47" i="109"/>
  <c r="Q47" i="109"/>
  <c r="AP16" i="111"/>
  <c r="BB62" i="111"/>
  <c r="AY16" i="111"/>
  <c r="J52" i="111"/>
  <c r="E53" i="111"/>
  <c r="F52" i="111"/>
  <c r="AZ52" i="111" s="1"/>
  <c r="G16" i="111"/>
  <c r="K16" i="111"/>
  <c r="Q16" i="111" s="1"/>
  <c r="AX50" i="111"/>
  <c r="Y55" i="94"/>
  <c r="J20" i="94"/>
  <c r="BL20" i="94"/>
  <c r="L21" i="94"/>
  <c r="P21" i="94" s="1"/>
  <c r="N21" i="94" s="1"/>
  <c r="AH33" i="94"/>
  <c r="AG33" i="94" s="1"/>
  <c r="X56" i="94"/>
  <c r="Q46" i="94"/>
  <c r="R46" i="94"/>
  <c r="V47" i="94"/>
  <c r="U48" i="94"/>
  <c r="Z81" i="109"/>
  <c r="AM123" i="109"/>
  <c r="AO16" i="110"/>
  <c r="BC16" i="110"/>
  <c r="AR15" i="112"/>
  <c r="AS16" i="112" s="1"/>
  <c r="K16" i="112"/>
  <c r="Q16" i="112" s="1"/>
  <c r="M17" i="112"/>
  <c r="AN79" i="109"/>
  <c r="AU41" i="109"/>
  <c r="AP40" i="109"/>
  <c r="AX50" i="112"/>
  <c r="E51" i="112"/>
  <c r="J50" i="112"/>
  <c r="F50" i="112"/>
  <c r="AZ50" i="112" s="1"/>
  <c r="AM52" i="112"/>
  <c r="AN51" i="112"/>
  <c r="BB41" i="94"/>
  <c r="BA41" i="94"/>
  <c r="AT41" i="94" s="1"/>
  <c r="BJ48" i="94"/>
  <c r="BI49" i="94"/>
  <c r="AQ49" i="94"/>
  <c r="AR48" i="94"/>
  <c r="G49" i="94"/>
  <c r="H48" i="94"/>
  <c r="BK48" i="94" s="1"/>
  <c r="T48" i="94"/>
  <c r="W48" i="94"/>
  <c r="I48" i="94"/>
  <c r="Z83" i="94"/>
  <c r="AM125" i="94"/>
  <c r="AK57" i="111"/>
  <c r="AR17" i="103"/>
  <c r="AS18" i="103" s="1"/>
  <c r="BM75" i="109"/>
  <c r="AV30" i="109"/>
  <c r="AZ30" i="109" s="1"/>
  <c r="AX30" i="109" s="1"/>
  <c r="AW30" i="109" s="1"/>
  <c r="BH30" i="109" s="1"/>
  <c r="V58" i="110"/>
  <c r="U57" i="110"/>
  <c r="P17" i="110"/>
  <c r="O17" i="110"/>
  <c r="N17" i="110" s="1"/>
  <c r="L17" i="110" s="1"/>
  <c r="I17" i="110"/>
  <c r="BM73" i="94"/>
  <c r="AV28" i="94"/>
  <c r="AZ28" i="94" s="1"/>
  <c r="AX28" i="94" s="1"/>
  <c r="AW28" i="94" s="1"/>
  <c r="BH28" i="94" s="1"/>
  <c r="AN83" i="94"/>
  <c r="AU45" i="94"/>
  <c r="AP44" i="94"/>
  <c r="P15" i="61"/>
  <c r="T45" i="61"/>
  <c r="W65" i="100" l="1"/>
  <c r="P30" i="100"/>
  <c r="N30" i="100" s="1"/>
  <c r="M30" i="100"/>
  <c r="S30" i="100" s="1"/>
  <c r="AU32" i="105"/>
  <c r="AY32" i="105" s="1"/>
  <c r="AW32" i="105" s="1"/>
  <c r="BL77" i="105"/>
  <c r="AV32" i="105"/>
  <c r="BG32" i="105" s="1"/>
  <c r="X65" i="75"/>
  <c r="J30" i="75"/>
  <c r="BK30" i="75"/>
  <c r="AU32" i="100"/>
  <c r="AY32" i="100" s="1"/>
  <c r="AW32" i="100" s="1"/>
  <c r="AV32" i="100" s="1"/>
  <c r="BG32" i="100" s="1"/>
  <c r="BL77" i="100"/>
  <c r="F59" i="107"/>
  <c r="E59" i="107"/>
  <c r="G59" i="107" s="1"/>
  <c r="D59" i="107" s="1"/>
  <c r="C60" i="107" s="1"/>
  <c r="W58" i="86"/>
  <c r="L23" i="86"/>
  <c r="P23" i="86" s="1"/>
  <c r="N23" i="86" s="1"/>
  <c r="K23" i="86" s="1"/>
  <c r="AU24" i="75"/>
  <c r="BL69" i="75"/>
  <c r="AO21" i="88"/>
  <c r="AM60" i="88"/>
  <c r="AS21" i="88"/>
  <c r="J42" i="106"/>
  <c r="X77" i="106"/>
  <c r="BK42" i="106"/>
  <c r="K43" i="106"/>
  <c r="R48" i="86"/>
  <c r="Q48" i="86"/>
  <c r="G51" i="105"/>
  <c r="H50" i="105"/>
  <c r="BJ50" i="105" s="1"/>
  <c r="I50" i="105"/>
  <c r="G50" i="88"/>
  <c r="H49" i="88"/>
  <c r="BJ49" i="88" s="1"/>
  <c r="V53" i="106"/>
  <c r="U54" i="106"/>
  <c r="AL124" i="86"/>
  <c r="Y82" i="86"/>
  <c r="U49" i="105"/>
  <c r="V48" i="105"/>
  <c r="I49" i="100"/>
  <c r="K49" i="100"/>
  <c r="G50" i="100"/>
  <c r="H49" i="100"/>
  <c r="BJ49" i="100" s="1"/>
  <c r="AQ51" i="91"/>
  <c r="AP52" i="91"/>
  <c r="AU21" i="86"/>
  <c r="AY21" i="86" s="1"/>
  <c r="AW21" i="86" s="1"/>
  <c r="AT21" i="86" s="1"/>
  <c r="BL66" i="86"/>
  <c r="A68" i="107"/>
  <c r="B67" i="107"/>
  <c r="G52" i="86"/>
  <c r="H51" i="86"/>
  <c r="BJ51" i="86" s="1"/>
  <c r="AT50" i="100"/>
  <c r="AP51" i="100"/>
  <c r="AQ50" i="100"/>
  <c r="AP54" i="86"/>
  <c r="AQ53" i="86"/>
  <c r="V49" i="86"/>
  <c r="U50" i="86"/>
  <c r="Q49" i="75"/>
  <c r="R49" i="75"/>
  <c r="E54" i="103"/>
  <c r="J53" i="103"/>
  <c r="F53" i="103"/>
  <c r="AZ53" i="103" s="1"/>
  <c r="G51" i="78"/>
  <c r="H50" i="78"/>
  <c r="BH56" i="78" s="1"/>
  <c r="X58" i="91"/>
  <c r="BK23" i="91"/>
  <c r="J23" i="91"/>
  <c r="BI50" i="75"/>
  <c r="BH51" i="75"/>
  <c r="BK45" i="105"/>
  <c r="X80" i="105"/>
  <c r="J45" i="105"/>
  <c r="K46" i="105"/>
  <c r="AL125" i="88"/>
  <c r="Y83" i="88"/>
  <c r="Q47" i="105"/>
  <c r="R47" i="105"/>
  <c r="M23" i="91"/>
  <c r="S23" i="91" s="1"/>
  <c r="V94" i="59"/>
  <c r="AI124" i="59"/>
  <c r="BI48" i="86"/>
  <c r="BH49" i="86"/>
  <c r="AM88" i="100"/>
  <c r="AO49" i="100"/>
  <c r="AP51" i="106"/>
  <c r="AQ50" i="106"/>
  <c r="AT50" i="106"/>
  <c r="B64" i="108"/>
  <c r="A65" i="108"/>
  <c r="T51" i="78"/>
  <c r="U50" i="78"/>
  <c r="U54" i="91"/>
  <c r="V53" i="91"/>
  <c r="V50" i="75"/>
  <c r="U51" i="75"/>
  <c r="U49" i="100"/>
  <c r="V48" i="100"/>
  <c r="AZ43" i="75"/>
  <c r="BA43" i="75"/>
  <c r="AO23" i="75"/>
  <c r="AS23" i="75"/>
  <c r="AM62" i="75"/>
  <c r="W49" i="109"/>
  <c r="G50" i="109"/>
  <c r="T49" i="109"/>
  <c r="H49" i="109"/>
  <c r="BK49" i="109" s="1"/>
  <c r="I49" i="109"/>
  <c r="AP18" i="59"/>
  <c r="BG63" i="59"/>
  <c r="BD18" i="59"/>
  <c r="BI48" i="106"/>
  <c r="BH49" i="106"/>
  <c r="Y57" i="109"/>
  <c r="BA41" i="106"/>
  <c r="AZ41" i="106"/>
  <c r="AS41" i="106" s="1"/>
  <c r="BA41" i="86"/>
  <c r="AZ41" i="86"/>
  <c r="BK22" i="86"/>
  <c r="X57" i="86"/>
  <c r="J22" i="86"/>
  <c r="G52" i="106"/>
  <c r="H51" i="106"/>
  <c r="BJ51" i="106" s="1"/>
  <c r="Q49" i="78"/>
  <c r="P49" i="78"/>
  <c r="R52" i="91"/>
  <c r="Q52" i="91"/>
  <c r="Y85" i="91"/>
  <c r="AL127" i="91"/>
  <c r="Q47" i="100"/>
  <c r="J47" i="100" s="1"/>
  <c r="R47" i="100"/>
  <c r="W115" i="66"/>
  <c r="O114" i="66"/>
  <c r="BG35" i="78"/>
  <c r="BJ74" i="78"/>
  <c r="AS29" i="78"/>
  <c r="BH49" i="100"/>
  <c r="BI48" i="100"/>
  <c r="M30" i="106"/>
  <c r="S30" i="106" s="1"/>
  <c r="M33" i="105"/>
  <c r="S33" i="105" s="1"/>
  <c r="E80" i="110"/>
  <c r="J79" i="110"/>
  <c r="F79" i="110"/>
  <c r="AZ79" i="110" s="1"/>
  <c r="AO49" i="106"/>
  <c r="AM88" i="106"/>
  <c r="L54" i="66"/>
  <c r="N54" i="66"/>
  <c r="M54" i="66"/>
  <c r="AT22" i="91"/>
  <c r="AU22" i="91"/>
  <c r="AY22" i="91" s="1"/>
  <c r="AW22" i="91" s="1"/>
  <c r="BL67" i="91"/>
  <c r="AV22" i="91"/>
  <c r="BG22" i="91" s="1"/>
  <c r="BA41" i="100"/>
  <c r="AZ41" i="100"/>
  <c r="AS41" i="100" s="1"/>
  <c r="G52" i="75"/>
  <c r="H51" i="75"/>
  <c r="BJ51" i="75" s="1"/>
  <c r="S18" i="59"/>
  <c r="T65" i="59"/>
  <c r="J18" i="59"/>
  <c r="AU33" i="106"/>
  <c r="AY33" i="106" s="1"/>
  <c r="BL78" i="106"/>
  <c r="AV33" i="106"/>
  <c r="BG33" i="106" s="1"/>
  <c r="G54" i="91"/>
  <c r="H53" i="91"/>
  <c r="BJ53" i="91" s="1"/>
  <c r="AM87" i="105"/>
  <c r="AO48" i="105"/>
  <c r="Y89" i="105"/>
  <c r="AL131" i="105"/>
  <c r="AP72" i="78"/>
  <c r="AQ71" i="78"/>
  <c r="Y85" i="75"/>
  <c r="AL127" i="75"/>
  <c r="Q51" i="88"/>
  <c r="R51" i="88"/>
  <c r="BA42" i="105"/>
  <c r="AZ42" i="105"/>
  <c r="AS42" i="105" s="1"/>
  <c r="J20" i="66"/>
  <c r="I20" i="66" s="1"/>
  <c r="K20" i="66"/>
  <c r="X20" i="66"/>
  <c r="W60" i="88"/>
  <c r="L25" i="88"/>
  <c r="P25" i="88" s="1"/>
  <c r="N25" i="88" s="1"/>
  <c r="AP51" i="88"/>
  <c r="AQ50" i="88"/>
  <c r="AV21" i="88"/>
  <c r="BG21" i="88" s="1"/>
  <c r="BI50" i="88"/>
  <c r="BH51" i="88"/>
  <c r="Y82" i="100"/>
  <c r="AL124" i="100"/>
  <c r="AP50" i="105"/>
  <c r="AT49" i="105"/>
  <c r="AQ49" i="105"/>
  <c r="AA55" i="66"/>
  <c r="G55" i="66"/>
  <c r="F56" i="66"/>
  <c r="U55" i="66"/>
  <c r="D45" i="108"/>
  <c r="C46" i="108" s="1"/>
  <c r="BI51" i="91"/>
  <c r="BH52" i="91"/>
  <c r="V52" i="88"/>
  <c r="U53" i="88"/>
  <c r="BH50" i="105"/>
  <c r="BI49" i="105"/>
  <c r="AL133" i="78"/>
  <c r="Y96" i="78"/>
  <c r="J28" i="78"/>
  <c r="BA43" i="88"/>
  <c r="AZ43" i="88"/>
  <c r="AP56" i="75"/>
  <c r="AQ55" i="75"/>
  <c r="AL127" i="106"/>
  <c r="Y85" i="106"/>
  <c r="BA44" i="91"/>
  <c r="AV50" i="91"/>
  <c r="AZ44" i="91"/>
  <c r="M30" i="75"/>
  <c r="S30" i="75" s="1"/>
  <c r="Q52" i="106"/>
  <c r="R52" i="106"/>
  <c r="AW28" i="78"/>
  <c r="AU28" i="78" s="1"/>
  <c r="AR28" i="78" s="1"/>
  <c r="BK48" i="100"/>
  <c r="X83" i="100"/>
  <c r="M22" i="109"/>
  <c r="S22" i="109" s="1"/>
  <c r="L23" i="109" s="1"/>
  <c r="P23" i="109" s="1"/>
  <c r="N23" i="109" s="1"/>
  <c r="BL22" i="109"/>
  <c r="BB41" i="109"/>
  <c r="BA41" i="109"/>
  <c r="BI49" i="109"/>
  <c r="BJ48" i="109"/>
  <c r="R48" i="110"/>
  <c r="S47" i="110"/>
  <c r="R48" i="109"/>
  <c r="Q48" i="109"/>
  <c r="V49" i="109"/>
  <c r="U50" i="109"/>
  <c r="BC15" i="112"/>
  <c r="AO15" i="112"/>
  <c r="AL15" i="112" s="1"/>
  <c r="J53" i="111"/>
  <c r="E54" i="111"/>
  <c r="F53" i="111"/>
  <c r="AZ53" i="111" s="1"/>
  <c r="AU16" i="111"/>
  <c r="AT16" i="111" s="1"/>
  <c r="AR16" i="111" s="1"/>
  <c r="AV16" i="111"/>
  <c r="H17" i="111"/>
  <c r="S17" i="111"/>
  <c r="T58" i="111"/>
  <c r="V58" i="111" s="1"/>
  <c r="BA16" i="111"/>
  <c r="AX51" i="111"/>
  <c r="K21" i="94"/>
  <c r="V48" i="94"/>
  <c r="U49" i="94"/>
  <c r="R47" i="94"/>
  <c r="Q47" i="94"/>
  <c r="X58" i="109"/>
  <c r="Z82" i="109"/>
  <c r="AM124" i="109"/>
  <c r="AQ16" i="110"/>
  <c r="AW16" i="110" s="1"/>
  <c r="AL16" i="110"/>
  <c r="AJ57" i="110"/>
  <c r="T58" i="112"/>
  <c r="H17" i="112"/>
  <c r="S17" i="112"/>
  <c r="AU42" i="109"/>
  <c r="AN80" i="109"/>
  <c r="AT41" i="109"/>
  <c r="AP41" i="109"/>
  <c r="AJ56" i="112"/>
  <c r="E52" i="112"/>
  <c r="J51" i="112"/>
  <c r="F51" i="112"/>
  <c r="AZ51" i="112" s="1"/>
  <c r="AX51" i="112"/>
  <c r="AM53" i="112"/>
  <c r="AN52" i="112"/>
  <c r="BJ49" i="94"/>
  <c r="BI50" i="94"/>
  <c r="BA42" i="94"/>
  <c r="AT42" i="94" s="1"/>
  <c r="BB42" i="94"/>
  <c r="AR49" i="94"/>
  <c r="AQ50" i="94"/>
  <c r="AM126" i="94"/>
  <c r="Z84" i="94"/>
  <c r="Z114" i="94"/>
  <c r="Z115" i="94" s="1"/>
  <c r="Z116" i="94" s="1"/>
  <c r="Z117" i="94" s="1"/>
  <c r="Z118" i="94" s="1"/>
  <c r="Z119" i="94" s="1"/>
  <c r="Z120" i="94" s="1"/>
  <c r="Z121" i="94" s="1"/>
  <c r="Z122" i="94" s="1"/>
  <c r="Z123" i="94" s="1"/>
  <c r="Z124" i="94" s="1"/>
  <c r="Z125" i="94" s="1"/>
  <c r="Z126" i="94" s="1"/>
  <c r="Z127" i="94" s="1"/>
  <c r="Z128" i="94" s="1"/>
  <c r="Z129" i="94" s="1"/>
  <c r="Z130" i="94" s="1"/>
  <c r="Z131" i="94" s="1"/>
  <c r="Z132" i="94" s="1"/>
  <c r="Z133" i="94" s="1"/>
  <c r="Z134" i="94" s="1"/>
  <c r="Z135" i="94" s="1"/>
  <c r="Z136" i="94" s="1"/>
  <c r="Z137" i="94" s="1"/>
  <c r="Z138" i="94" s="1"/>
  <c r="Z139" i="94" s="1"/>
  <c r="Z140" i="94" s="1"/>
  <c r="Z141" i="94" s="1"/>
  <c r="Z142" i="94" s="1"/>
  <c r="Z143" i="94" s="1"/>
  <c r="W49" i="94"/>
  <c r="G50" i="94"/>
  <c r="T49" i="94"/>
  <c r="H49" i="94"/>
  <c r="BK49" i="94" s="1"/>
  <c r="I49" i="94"/>
  <c r="BC17" i="103"/>
  <c r="AO17" i="103"/>
  <c r="AQ17" i="103" s="1"/>
  <c r="AW17" i="103" s="1"/>
  <c r="G17" i="110"/>
  <c r="BA17" i="110" s="1"/>
  <c r="AV31" i="109"/>
  <c r="AZ31" i="109" s="1"/>
  <c r="AX31" i="109" s="1"/>
  <c r="AW31" i="109" s="1"/>
  <c r="BH31" i="109" s="1"/>
  <c r="BM76" i="109"/>
  <c r="M18" i="110"/>
  <c r="BM74" i="94"/>
  <c r="AV29" i="94"/>
  <c r="AZ29" i="94" s="1"/>
  <c r="AX29" i="94" s="1"/>
  <c r="AW29" i="94" s="1"/>
  <c r="BH29" i="94" s="1"/>
  <c r="AP45" i="94"/>
  <c r="AN84" i="94"/>
  <c r="AU46" i="94"/>
  <c r="S46" i="61"/>
  <c r="I16" i="61"/>
  <c r="R16" i="61"/>
  <c r="L31" i="100" l="1"/>
  <c r="W66" i="100"/>
  <c r="AU33" i="100"/>
  <c r="AY33" i="100" s="1"/>
  <c r="AW33" i="100" s="1"/>
  <c r="AV33" i="100" s="1"/>
  <c r="BG33" i="100" s="1"/>
  <c r="BL78" i="100"/>
  <c r="AU34" i="106"/>
  <c r="AY34" i="106" s="1"/>
  <c r="BL79" i="106"/>
  <c r="AV34" i="106"/>
  <c r="BG34" i="106" s="1"/>
  <c r="BK23" i="86"/>
  <c r="J23" i="86"/>
  <c r="X58" i="86"/>
  <c r="AU23" i="91"/>
  <c r="AY23" i="91" s="1"/>
  <c r="AW23" i="91" s="1"/>
  <c r="AT23" i="91" s="1"/>
  <c r="BL68" i="91"/>
  <c r="AU33" i="105"/>
  <c r="AY33" i="105" s="1"/>
  <c r="AW33" i="105" s="1"/>
  <c r="BL78" i="105"/>
  <c r="BG33" i="105"/>
  <c r="AV33" i="105"/>
  <c r="F60" i="107"/>
  <c r="E60" i="107"/>
  <c r="G60" i="107" s="1"/>
  <c r="D60" i="107" s="1"/>
  <c r="C61" i="107" s="1"/>
  <c r="AS21" i="86"/>
  <c r="AM60" i="86"/>
  <c r="AO21" i="86"/>
  <c r="BI34" i="78"/>
  <c r="X68" i="78"/>
  <c r="R48" i="100"/>
  <c r="Q48" i="100"/>
  <c r="J48" i="100" s="1"/>
  <c r="AU22" i="88"/>
  <c r="AY22" i="88" s="1"/>
  <c r="AW22" i="88" s="1"/>
  <c r="AV22" i="88" s="1"/>
  <c r="BG22" i="88" s="1"/>
  <c r="AT22" i="88"/>
  <c r="BL67" i="88"/>
  <c r="S20" i="66"/>
  <c r="T20" i="66"/>
  <c r="AL132" i="105"/>
  <c r="Y90" i="105"/>
  <c r="M34" i="105"/>
  <c r="S34" i="105" s="1"/>
  <c r="L34" i="105"/>
  <c r="P34" i="105" s="1"/>
  <c r="N34" i="105" s="1"/>
  <c r="W69" i="105"/>
  <c r="AV29" i="78"/>
  <c r="T52" i="78"/>
  <c r="U51" i="78"/>
  <c r="Y114" i="88"/>
  <c r="Y115" i="88" s="1"/>
  <c r="Y116" i="88" s="1"/>
  <c r="Y117" i="88" s="1"/>
  <c r="Y118" i="88" s="1"/>
  <c r="Y119" i="88" s="1"/>
  <c r="Y120" i="88" s="1"/>
  <c r="Y121" i="88" s="1"/>
  <c r="Y122" i="88" s="1"/>
  <c r="Y123" i="88" s="1"/>
  <c r="Y124" i="88" s="1"/>
  <c r="Y125" i="88" s="1"/>
  <c r="Y126" i="88" s="1"/>
  <c r="Y127" i="88" s="1"/>
  <c r="Y128" i="88" s="1"/>
  <c r="Y129" i="88" s="1"/>
  <c r="Y130" i="88" s="1"/>
  <c r="Y131" i="88" s="1"/>
  <c r="Y132" i="88" s="1"/>
  <c r="Y133" i="88" s="1"/>
  <c r="Y134" i="88" s="1"/>
  <c r="Y135" i="88" s="1"/>
  <c r="Y136" i="88" s="1"/>
  <c r="Y137" i="88" s="1"/>
  <c r="Y138" i="88" s="1"/>
  <c r="Y139" i="88" s="1"/>
  <c r="Y140" i="88" s="1"/>
  <c r="Y141" i="88" s="1"/>
  <c r="Y142" i="88" s="1"/>
  <c r="Y143" i="88" s="1"/>
  <c r="AL126" i="88"/>
  <c r="Y84" i="88"/>
  <c r="U51" i="86"/>
  <c r="V50" i="86"/>
  <c r="AV21" i="86"/>
  <c r="BG21" i="86" s="1"/>
  <c r="K50" i="100"/>
  <c r="G51" i="100"/>
  <c r="I50" i="100"/>
  <c r="H50" i="100"/>
  <c r="BJ50" i="100" s="1"/>
  <c r="U55" i="106"/>
  <c r="V54" i="106"/>
  <c r="X78" i="106"/>
  <c r="J43" i="106"/>
  <c r="BK43" i="106"/>
  <c r="K44" i="106"/>
  <c r="M23" i="86"/>
  <c r="S23" i="86" s="1"/>
  <c r="BI49" i="86"/>
  <c r="BH50" i="86"/>
  <c r="Q49" i="86"/>
  <c r="R49" i="86"/>
  <c r="R53" i="106"/>
  <c r="Q53" i="106"/>
  <c r="AL134" i="78"/>
  <c r="Y97" i="78"/>
  <c r="AV51" i="91"/>
  <c r="AZ45" i="91"/>
  <c r="BA45" i="91"/>
  <c r="AO49" i="105"/>
  <c r="AM88" i="105"/>
  <c r="AP52" i="88"/>
  <c r="AQ51" i="88"/>
  <c r="AZ42" i="100"/>
  <c r="AS42" i="100" s="1"/>
  <c r="BA42" i="100"/>
  <c r="O115" i="66"/>
  <c r="W116" i="66"/>
  <c r="V49" i="100"/>
  <c r="U50" i="100"/>
  <c r="AZ42" i="86"/>
  <c r="BA42" i="86"/>
  <c r="X81" i="105"/>
  <c r="J46" i="105"/>
  <c r="BK46" i="105"/>
  <c r="K47" i="105"/>
  <c r="H51" i="78"/>
  <c r="BH57" i="78" s="1"/>
  <c r="G52" i="78"/>
  <c r="BK49" i="100"/>
  <c r="X84" i="100"/>
  <c r="L31" i="106"/>
  <c r="P31" i="106" s="1"/>
  <c r="N31" i="106" s="1"/>
  <c r="M31" i="106"/>
  <c r="S31" i="106"/>
  <c r="W66" i="106"/>
  <c r="E46" i="108"/>
  <c r="F46" i="108"/>
  <c r="G46" i="108"/>
  <c r="D46" i="108" s="1"/>
  <c r="C47" i="108" s="1"/>
  <c r="AT50" i="105"/>
  <c r="AQ50" i="105"/>
  <c r="AP51" i="105"/>
  <c r="K25" i="88"/>
  <c r="BH50" i="100"/>
  <c r="BI49" i="100"/>
  <c r="V51" i="75"/>
  <c r="U52" i="75"/>
  <c r="AO50" i="106"/>
  <c r="AM89" i="106"/>
  <c r="AP55" i="86"/>
  <c r="AQ54" i="86"/>
  <c r="AY24" i="75"/>
  <c r="AW24" i="75" s="1"/>
  <c r="AO28" i="78"/>
  <c r="AM67" i="78"/>
  <c r="BH53" i="91"/>
  <c r="BI52" i="91"/>
  <c r="O18" i="59"/>
  <c r="P18" i="59"/>
  <c r="K18" i="59"/>
  <c r="U65" i="59" s="1"/>
  <c r="B65" i="108"/>
  <c r="A66" i="108"/>
  <c r="W66" i="75"/>
  <c r="L31" i="75"/>
  <c r="P31" i="75" s="1"/>
  <c r="N31" i="75" s="1"/>
  <c r="AQ56" i="75"/>
  <c r="AP57" i="75"/>
  <c r="BA43" i="105"/>
  <c r="AZ43" i="105"/>
  <c r="AS43" i="105" s="1"/>
  <c r="R20" i="66"/>
  <c r="P20" i="66" s="1"/>
  <c r="H20" i="66" s="1"/>
  <c r="Y86" i="75"/>
  <c r="AL128" i="75"/>
  <c r="G53" i="75"/>
  <c r="H52" i="75"/>
  <c r="BJ52" i="75" s="1"/>
  <c r="R50" i="75"/>
  <c r="Q50" i="75"/>
  <c r="AI125" i="59"/>
  <c r="V95" i="59"/>
  <c r="G53" i="86"/>
  <c r="H52" i="86"/>
  <c r="BJ52" i="86" s="1"/>
  <c r="AQ52" i="91"/>
  <c r="AP53" i="91"/>
  <c r="Q48" i="105"/>
  <c r="R48" i="105"/>
  <c r="Y86" i="106"/>
  <c r="AL128" i="106"/>
  <c r="K31" i="75"/>
  <c r="J31" i="75" s="1"/>
  <c r="L28" i="78"/>
  <c r="R28" i="78" s="1"/>
  <c r="BH51" i="105"/>
  <c r="BI50" i="105"/>
  <c r="Y83" i="100"/>
  <c r="AL125" i="100"/>
  <c r="AM61" i="91"/>
  <c r="AS22" i="91"/>
  <c r="AO22" i="91"/>
  <c r="BH50" i="106"/>
  <c r="BI49" i="106"/>
  <c r="Q53" i="91"/>
  <c r="R53" i="91"/>
  <c r="AP52" i="106"/>
  <c r="AQ51" i="106"/>
  <c r="AT51" i="106"/>
  <c r="L24" i="91"/>
  <c r="P24" i="91" s="1"/>
  <c r="N24" i="91" s="1"/>
  <c r="M24" i="91" s="1"/>
  <c r="S24" i="91" s="1"/>
  <c r="K24" i="91"/>
  <c r="W59" i="91"/>
  <c r="E55" i="103"/>
  <c r="J54" i="103"/>
  <c r="F54" i="103"/>
  <c r="AZ54" i="103" s="1"/>
  <c r="AP52" i="100"/>
  <c r="AT51" i="100"/>
  <c r="AQ51" i="100"/>
  <c r="U50" i="105"/>
  <c r="V49" i="105"/>
  <c r="H51" i="105"/>
  <c r="BJ51" i="105" s="1"/>
  <c r="I51" i="105"/>
  <c r="G52" i="105"/>
  <c r="G55" i="91"/>
  <c r="H54" i="91"/>
  <c r="BJ54" i="91" s="1"/>
  <c r="V53" i="88"/>
  <c r="U54" i="88"/>
  <c r="G56" i="66"/>
  <c r="U56" i="66"/>
  <c r="F57" i="66"/>
  <c r="AA56" i="66"/>
  <c r="BI51" i="88"/>
  <c r="BH52" i="88"/>
  <c r="AP73" i="78"/>
  <c r="AQ72" i="78"/>
  <c r="N18" i="59"/>
  <c r="L18" i="59" s="1"/>
  <c r="I18" i="59" s="1"/>
  <c r="BF18" i="59" s="1"/>
  <c r="AL128" i="91"/>
  <c r="Y86" i="91"/>
  <c r="BA42" i="106"/>
  <c r="AZ42" i="106"/>
  <c r="AS42" i="106" s="1"/>
  <c r="T50" i="109"/>
  <c r="W50" i="109"/>
  <c r="G51" i="109"/>
  <c r="H50" i="109"/>
  <c r="BK50" i="109" s="1"/>
  <c r="I50" i="109"/>
  <c r="U55" i="91"/>
  <c r="V54" i="91"/>
  <c r="BH52" i="75"/>
  <c r="BI51" i="75"/>
  <c r="AM89" i="100"/>
  <c r="AO50" i="100"/>
  <c r="A69" i="107"/>
  <c r="B68" i="107"/>
  <c r="AL125" i="86"/>
  <c r="Y83" i="86"/>
  <c r="R52" i="88"/>
  <c r="Q52" i="88"/>
  <c r="N55" i="66"/>
  <c r="L55" i="66"/>
  <c r="M55" i="66"/>
  <c r="BA44" i="88"/>
  <c r="AZ44" i="88"/>
  <c r="E81" i="110"/>
  <c r="J80" i="110"/>
  <c r="F80" i="110"/>
  <c r="AZ80" i="110" s="1"/>
  <c r="AT29" i="78"/>
  <c r="AX29" i="78"/>
  <c r="BE29" i="78"/>
  <c r="AY29" i="78"/>
  <c r="G53" i="106"/>
  <c r="H52" i="106"/>
  <c r="BJ52" i="106" s="1"/>
  <c r="AU18" i="59"/>
  <c r="AV18" i="59"/>
  <c r="P50" i="78"/>
  <c r="Q50" i="78"/>
  <c r="BA44" i="75"/>
  <c r="AZ44" i="75"/>
  <c r="H50" i="88"/>
  <c r="BJ50" i="88" s="1"/>
  <c r="G51" i="88"/>
  <c r="BI50" i="109"/>
  <c r="BJ49" i="109"/>
  <c r="BA42" i="109"/>
  <c r="BB42" i="109"/>
  <c r="AQ15" i="112"/>
  <c r="AW15" i="112" s="1"/>
  <c r="AP16" i="112" s="1"/>
  <c r="R49" i="110"/>
  <c r="S48" i="110"/>
  <c r="V50" i="109"/>
  <c r="U51" i="109"/>
  <c r="Q49" i="109"/>
  <c r="R49" i="109"/>
  <c r="X66" i="75"/>
  <c r="I17" i="111"/>
  <c r="E55" i="111"/>
  <c r="J54" i="111"/>
  <c r="F54" i="111"/>
  <c r="AZ54" i="111" s="1"/>
  <c r="AO16" i="111"/>
  <c r="AL16" i="111" s="1"/>
  <c r="BC16" i="111"/>
  <c r="P17" i="111"/>
  <c r="O17" i="111"/>
  <c r="N17" i="111" s="1"/>
  <c r="L17" i="111" s="1"/>
  <c r="U57" i="111"/>
  <c r="AS17" i="111"/>
  <c r="AX52" i="111"/>
  <c r="BL21" i="94"/>
  <c r="Y56" i="94"/>
  <c r="J21" i="94"/>
  <c r="M21" i="94"/>
  <c r="S21" i="94" s="1"/>
  <c r="K23" i="109"/>
  <c r="Y58" i="109" s="1"/>
  <c r="U50" i="94"/>
  <c r="V49" i="94"/>
  <c r="R48" i="94"/>
  <c r="Q48" i="94"/>
  <c r="AM125" i="109"/>
  <c r="Z83" i="109"/>
  <c r="AY17" i="110"/>
  <c r="BB63" i="110"/>
  <c r="AI58" i="110"/>
  <c r="AP17" i="110"/>
  <c r="P17" i="112"/>
  <c r="O17" i="112"/>
  <c r="I17" i="112"/>
  <c r="V58" i="112"/>
  <c r="U57" i="112"/>
  <c r="AT42" i="109"/>
  <c r="AN81" i="109"/>
  <c r="AP42" i="109"/>
  <c r="AU43" i="109"/>
  <c r="AU44" i="109" s="1"/>
  <c r="AX52" i="112"/>
  <c r="AM54" i="112"/>
  <c r="AN53" i="112"/>
  <c r="E53" i="112"/>
  <c r="J52" i="112"/>
  <c r="F52" i="112"/>
  <c r="AZ52" i="112" s="1"/>
  <c r="AI57" i="112"/>
  <c r="BB62" i="112"/>
  <c r="AY16" i="112"/>
  <c r="BI51" i="94"/>
  <c r="BJ50" i="94"/>
  <c r="BB43" i="94"/>
  <c r="BA43" i="94"/>
  <c r="AT43" i="94" s="1"/>
  <c r="Z85" i="94"/>
  <c r="AM127" i="94"/>
  <c r="AR50" i="94"/>
  <c r="AQ51" i="94"/>
  <c r="G51" i="94"/>
  <c r="H50" i="94"/>
  <c r="BK50" i="94" s="1"/>
  <c r="T50" i="94"/>
  <c r="W50" i="94"/>
  <c r="I50" i="94"/>
  <c r="AJ57" i="111"/>
  <c r="AJ58" i="103"/>
  <c r="AL17" i="103"/>
  <c r="BM77" i="109"/>
  <c r="AV32" i="109"/>
  <c r="AZ32" i="109" s="1"/>
  <c r="AX32" i="109" s="1"/>
  <c r="AW32" i="109" s="1"/>
  <c r="BH32" i="109" s="1"/>
  <c r="K17" i="110"/>
  <c r="Q17" i="110" s="1"/>
  <c r="AV30" i="94"/>
  <c r="AZ30" i="94" s="1"/>
  <c r="AX30" i="94" s="1"/>
  <c r="AW30" i="94" s="1"/>
  <c r="BH30" i="94" s="1"/>
  <c r="BM75" i="94"/>
  <c r="AP46" i="94"/>
  <c r="AN85" i="94"/>
  <c r="AU47" i="94"/>
  <c r="BB64" i="103"/>
  <c r="AI59" i="103"/>
  <c r="AP18" i="103"/>
  <c r="AY18" i="103"/>
  <c r="N16" i="61"/>
  <c r="M16" i="61" s="1"/>
  <c r="K16" i="61" s="1"/>
  <c r="O16" i="61"/>
  <c r="P31" i="100" l="1"/>
  <c r="N31" i="100" s="1"/>
  <c r="M31" i="100"/>
  <c r="S31" i="100" s="1"/>
  <c r="E47" i="108"/>
  <c r="G47" i="108"/>
  <c r="F47" i="108"/>
  <c r="AU35" i="106"/>
  <c r="AY35" i="106" s="1"/>
  <c r="BL80" i="106"/>
  <c r="G61" i="107"/>
  <c r="D61" i="107" s="1"/>
  <c r="C62" i="107" s="1"/>
  <c r="F61" i="107"/>
  <c r="E61" i="107"/>
  <c r="L25" i="91"/>
  <c r="P25" i="91" s="1"/>
  <c r="N25" i="91" s="1"/>
  <c r="K25" i="91" s="1"/>
  <c r="W60" i="91"/>
  <c r="AU23" i="88"/>
  <c r="AY23" i="88" s="1"/>
  <c r="AW23" i="88" s="1"/>
  <c r="AT23" i="88" s="1"/>
  <c r="BL68" i="88"/>
  <c r="L35" i="105"/>
  <c r="P35" i="105" s="1"/>
  <c r="N35" i="105" s="1"/>
  <c r="M35" i="105"/>
  <c r="S35" i="105"/>
  <c r="W70" i="105"/>
  <c r="AU34" i="100"/>
  <c r="AY34" i="100" s="1"/>
  <c r="AW34" i="100" s="1"/>
  <c r="AV34" i="100" s="1"/>
  <c r="BG34" i="100" s="1"/>
  <c r="BL79" i="100"/>
  <c r="AS23" i="91"/>
  <c r="AO23" i="91"/>
  <c r="AM62" i="91"/>
  <c r="V50" i="105"/>
  <c r="U51" i="105"/>
  <c r="Y114" i="100"/>
  <c r="Y115" i="100" s="1"/>
  <c r="Y116" i="100" s="1"/>
  <c r="Y117" i="100" s="1"/>
  <c r="Y118" i="100" s="1"/>
  <c r="Y119" i="100" s="1"/>
  <c r="Y120" i="100" s="1"/>
  <c r="Y121" i="100" s="1"/>
  <c r="Y122" i="100" s="1"/>
  <c r="AL126" i="100"/>
  <c r="Y84" i="100"/>
  <c r="AL126" i="86"/>
  <c r="Y114" i="86"/>
  <c r="Y115" i="86" s="1"/>
  <c r="Y116" i="86" s="1"/>
  <c r="Y117" i="86" s="1"/>
  <c r="Y118" i="86" s="1"/>
  <c r="Y119" i="86" s="1"/>
  <c r="Y120" i="86" s="1"/>
  <c r="Y121" i="86" s="1"/>
  <c r="Y122" i="86" s="1"/>
  <c r="Y123" i="86" s="1"/>
  <c r="Y124" i="86" s="1"/>
  <c r="Y125" i="86" s="1"/>
  <c r="Y126" i="86" s="1"/>
  <c r="Y127" i="86" s="1"/>
  <c r="Y128" i="86" s="1"/>
  <c r="Y129" i="86" s="1"/>
  <c r="Y130" i="86" s="1"/>
  <c r="Y131" i="86" s="1"/>
  <c r="Y132" i="86" s="1"/>
  <c r="Y133" i="86" s="1"/>
  <c r="Y134" i="86" s="1"/>
  <c r="Y135" i="86" s="1"/>
  <c r="Y136" i="86" s="1"/>
  <c r="Y137" i="86" s="1"/>
  <c r="Y138" i="86" s="1"/>
  <c r="Y139" i="86" s="1"/>
  <c r="Y140" i="86" s="1"/>
  <c r="Y141" i="86" s="1"/>
  <c r="Y142" i="86" s="1"/>
  <c r="Y143" i="86" s="1"/>
  <c r="Y84" i="86"/>
  <c r="BI52" i="75"/>
  <c r="BH53" i="75"/>
  <c r="M56" i="66"/>
  <c r="L56" i="66"/>
  <c r="N56" i="66"/>
  <c r="R49" i="105"/>
  <c r="Q49" i="105"/>
  <c r="G54" i="75"/>
  <c r="H53" i="75"/>
  <c r="BJ53" i="75" s="1"/>
  <c r="U53" i="75"/>
  <c r="V52" i="75"/>
  <c r="W59" i="86"/>
  <c r="K24" i="86"/>
  <c r="L24" i="86"/>
  <c r="P24" i="86" s="1"/>
  <c r="N24" i="86" s="1"/>
  <c r="M24" i="86" s="1"/>
  <c r="S24" i="86" s="1"/>
  <c r="AL127" i="88"/>
  <c r="Y85" i="88"/>
  <c r="AV23" i="91"/>
  <c r="BG23" i="91" s="1"/>
  <c r="AP74" i="78"/>
  <c r="AQ73" i="78"/>
  <c r="V55" i="91"/>
  <c r="U56" i="91"/>
  <c r="BH53" i="88"/>
  <c r="BI52" i="88"/>
  <c r="R53" i="88"/>
  <c r="Q53" i="88"/>
  <c r="BA43" i="106"/>
  <c r="AZ43" i="106"/>
  <c r="AS43" i="106" s="1"/>
  <c r="AZ44" i="105"/>
  <c r="AS44" i="105" s="1"/>
  <c r="BA44" i="105"/>
  <c r="AQ53" i="91"/>
  <c r="AP54" i="91"/>
  <c r="V126" i="59"/>
  <c r="V127" i="59" s="1"/>
  <c r="V128" i="59" s="1"/>
  <c r="V129" i="59" s="1"/>
  <c r="V130" i="59" s="1"/>
  <c r="V131" i="59" s="1"/>
  <c r="V132" i="59" s="1"/>
  <c r="V133" i="59" s="1"/>
  <c r="V134" i="59" s="1"/>
  <c r="V135" i="59" s="1"/>
  <c r="V136" i="59" s="1"/>
  <c r="V137" i="59" s="1"/>
  <c r="V138" i="59" s="1"/>
  <c r="V139" i="59" s="1"/>
  <c r="V140" i="59" s="1"/>
  <c r="V141" i="59" s="1"/>
  <c r="V142" i="59" s="1"/>
  <c r="V143" i="59" s="1"/>
  <c r="V144" i="59" s="1"/>
  <c r="V145" i="59" s="1"/>
  <c r="V146" i="59" s="1"/>
  <c r="V147" i="59" s="1"/>
  <c r="V148" i="59" s="1"/>
  <c r="V149" i="59" s="1"/>
  <c r="V150" i="59" s="1"/>
  <c r="V151" i="59" s="1"/>
  <c r="V152" i="59" s="1"/>
  <c r="V153" i="59" s="1"/>
  <c r="V154" i="59" s="1"/>
  <c r="V155" i="59" s="1"/>
  <c r="AI126" i="59"/>
  <c r="V96" i="59"/>
  <c r="Y87" i="75"/>
  <c r="AL129" i="75"/>
  <c r="AP58" i="75"/>
  <c r="AQ57" i="75"/>
  <c r="AT24" i="75"/>
  <c r="AV24" i="75" s="1"/>
  <c r="BG24" i="75" s="1"/>
  <c r="BA43" i="100"/>
  <c r="AZ43" i="100"/>
  <c r="AS43" i="100" s="1"/>
  <c r="AL133" i="105"/>
  <c r="Y91" i="105"/>
  <c r="G53" i="78"/>
  <c r="H52" i="78"/>
  <c r="BH58" i="78" s="1"/>
  <c r="A70" i="107"/>
  <c r="B69" i="107"/>
  <c r="BA45" i="88"/>
  <c r="AZ45" i="88"/>
  <c r="M31" i="75"/>
  <c r="S31" i="75" s="1"/>
  <c r="AO51" i="100"/>
  <c r="AM90" i="100"/>
  <c r="BI50" i="106"/>
  <c r="BH51" i="106"/>
  <c r="BH52" i="105"/>
  <c r="BI51" i="105"/>
  <c r="M19" i="59"/>
  <c r="BH51" i="100"/>
  <c r="BI50" i="100"/>
  <c r="X82" i="105"/>
  <c r="BK47" i="105"/>
  <c r="J47" i="105"/>
  <c r="K48" i="105"/>
  <c r="V50" i="100"/>
  <c r="U51" i="100"/>
  <c r="BH51" i="86"/>
  <c r="BI50" i="86"/>
  <c r="K51" i="100"/>
  <c r="G52" i="100"/>
  <c r="I51" i="100"/>
  <c r="H51" i="100"/>
  <c r="BJ51" i="100" s="1"/>
  <c r="P51" i="78"/>
  <c r="Q51" i="78"/>
  <c r="U55" i="88"/>
  <c r="V54" i="88"/>
  <c r="Y87" i="91"/>
  <c r="AL129" i="91"/>
  <c r="H52" i="105"/>
  <c r="BJ52" i="105" s="1"/>
  <c r="G53" i="105"/>
  <c r="I52" i="105"/>
  <c r="AT52" i="100"/>
  <c r="AP53" i="100"/>
  <c r="AQ52" i="100"/>
  <c r="AW29" i="78"/>
  <c r="AU29" i="78" s="1"/>
  <c r="AR29" i="78" s="1"/>
  <c r="K29" i="78"/>
  <c r="O29" i="78" s="1"/>
  <c r="M29" i="78" s="1"/>
  <c r="N30" i="78" s="1"/>
  <c r="J29" i="78"/>
  <c r="L29" i="78" s="1"/>
  <c r="R29" i="78" s="1"/>
  <c r="W69" i="78"/>
  <c r="Q18" i="59"/>
  <c r="AP56" i="86"/>
  <c r="AQ55" i="86"/>
  <c r="X60" i="88"/>
  <c r="BK25" i="88"/>
  <c r="J25" i="88"/>
  <c r="R49" i="100"/>
  <c r="Q49" i="100"/>
  <c r="J49" i="100" s="1"/>
  <c r="AZ43" i="86"/>
  <c r="BA43" i="86"/>
  <c r="X85" i="100"/>
  <c r="BK50" i="100"/>
  <c r="T53" i="78"/>
  <c r="U52" i="78"/>
  <c r="AU34" i="105"/>
  <c r="AY34" i="105" s="1"/>
  <c r="AW34" i="105" s="1"/>
  <c r="AV34" i="105" s="1"/>
  <c r="BG34" i="105" s="1"/>
  <c r="BL79" i="105"/>
  <c r="BG36" i="78"/>
  <c r="AS30" i="78"/>
  <c r="BJ75" i="78"/>
  <c r="Q54" i="91"/>
  <c r="R54" i="91"/>
  <c r="H55" i="91"/>
  <c r="BJ55" i="91" s="1"/>
  <c r="G56" i="91"/>
  <c r="H53" i="86"/>
  <c r="BJ53" i="86" s="1"/>
  <c r="G54" i="86"/>
  <c r="BK44" i="106"/>
  <c r="X79" i="106"/>
  <c r="J44" i="106"/>
  <c r="K45" i="106"/>
  <c r="AM90" i="106"/>
  <c r="AO51" i="106"/>
  <c r="O20" i="66"/>
  <c r="BA46" i="91"/>
  <c r="AV52" i="91"/>
  <c r="AZ46" i="91"/>
  <c r="AQ51" i="105"/>
  <c r="AP52" i="105"/>
  <c r="AT51" i="105"/>
  <c r="L32" i="106"/>
  <c r="P32" i="106" s="1"/>
  <c r="N32" i="106" s="1"/>
  <c r="W67" i="106"/>
  <c r="AP53" i="88"/>
  <c r="AQ52" i="88"/>
  <c r="AL135" i="78"/>
  <c r="Y98" i="78"/>
  <c r="R54" i="106"/>
  <c r="Q54" i="106"/>
  <c r="AU22" i="86"/>
  <c r="AY22" i="86" s="1"/>
  <c r="AW22" i="86" s="1"/>
  <c r="AT22" i="86" s="1"/>
  <c r="BL67" i="86"/>
  <c r="Q21" i="66"/>
  <c r="BK24" i="91"/>
  <c r="J24" i="91"/>
  <c r="X59" i="91"/>
  <c r="R51" i="75"/>
  <c r="Q51" i="75"/>
  <c r="AO22" i="88"/>
  <c r="AM61" i="88"/>
  <c r="AS22" i="88"/>
  <c r="G52" i="109"/>
  <c r="T51" i="109"/>
  <c r="W51" i="109"/>
  <c r="H51" i="109"/>
  <c r="BK51" i="109" s="1"/>
  <c r="I51" i="109"/>
  <c r="E82" i="110"/>
  <c r="J81" i="110"/>
  <c r="F81" i="110"/>
  <c r="AZ81" i="110" s="1"/>
  <c r="U57" i="66"/>
  <c r="G57" i="66"/>
  <c r="AA57" i="66"/>
  <c r="F58" i="66"/>
  <c r="A67" i="108"/>
  <c r="B66" i="108"/>
  <c r="BI53" i="91"/>
  <c r="BH54" i="91"/>
  <c r="W117" i="66"/>
  <c r="O116" i="66"/>
  <c r="U56" i="106"/>
  <c r="V55" i="106"/>
  <c r="Q50" i="86"/>
  <c r="R50" i="86"/>
  <c r="BK31" i="75"/>
  <c r="H51" i="88"/>
  <c r="BJ51" i="88" s="1"/>
  <c r="G52" i="88"/>
  <c r="G54" i="106"/>
  <c r="H53" i="106"/>
  <c r="BJ53" i="106" s="1"/>
  <c r="BA45" i="75"/>
  <c r="AZ45" i="75"/>
  <c r="E56" i="103"/>
  <c r="J55" i="103"/>
  <c r="F55" i="103"/>
  <c r="AZ55" i="103" s="1"/>
  <c r="AT52" i="106"/>
  <c r="AQ52" i="106"/>
  <c r="AP53" i="106"/>
  <c r="AL129" i="106"/>
  <c r="Y87" i="106"/>
  <c r="AO50" i="105"/>
  <c r="AM89" i="105"/>
  <c r="AT18" i="59"/>
  <c r="AR18" i="59" s="1"/>
  <c r="V51" i="86"/>
  <c r="U52" i="86"/>
  <c r="M25" i="88"/>
  <c r="S25" i="88" s="1"/>
  <c r="BA43" i="109"/>
  <c r="AT43" i="109" s="1"/>
  <c r="BB43" i="109"/>
  <c r="BI51" i="109"/>
  <c r="BJ50" i="109"/>
  <c r="R50" i="110"/>
  <c r="S49" i="110"/>
  <c r="U52" i="109"/>
  <c r="V51" i="109"/>
  <c r="Q50" i="109"/>
  <c r="R50" i="109"/>
  <c r="G17" i="111"/>
  <c r="K17" i="111" s="1"/>
  <c r="Q17" i="111" s="1"/>
  <c r="M18" i="111"/>
  <c r="E56" i="111"/>
  <c r="J55" i="111"/>
  <c r="F55" i="111"/>
  <c r="AZ55" i="111" s="1"/>
  <c r="AQ16" i="111"/>
  <c r="AW16" i="111" s="1"/>
  <c r="AI58" i="111" s="1"/>
  <c r="AX53" i="111"/>
  <c r="L22" i="94"/>
  <c r="P22" i="94" s="1"/>
  <c r="N22" i="94" s="1"/>
  <c r="X57" i="94"/>
  <c r="J23" i="109"/>
  <c r="BL23" i="109"/>
  <c r="M23" i="109"/>
  <c r="S23" i="109" s="1"/>
  <c r="L24" i="109" s="1"/>
  <c r="R49" i="94"/>
  <c r="Q49" i="94"/>
  <c r="V50" i="94"/>
  <c r="U51" i="94"/>
  <c r="Z114" i="109"/>
  <c r="Z115" i="109" s="1"/>
  <c r="Z116" i="109" s="1"/>
  <c r="Z117" i="109" s="1"/>
  <c r="Z118" i="109" s="1"/>
  <c r="Z119" i="109" s="1"/>
  <c r="Z120" i="109" s="1"/>
  <c r="Z121" i="109" s="1"/>
  <c r="Z122" i="109" s="1"/>
  <c r="Z123" i="109" s="1"/>
  <c r="Z124" i="109" s="1"/>
  <c r="Z125" i="109" s="1"/>
  <c r="Z126" i="109" s="1"/>
  <c r="Z127" i="109" s="1"/>
  <c r="Z128" i="109" s="1"/>
  <c r="Z129" i="109" s="1"/>
  <c r="Z130" i="109" s="1"/>
  <c r="Z131" i="109" s="1"/>
  <c r="Z132" i="109" s="1"/>
  <c r="Z133" i="109" s="1"/>
  <c r="Z134" i="109" s="1"/>
  <c r="Z135" i="109" s="1"/>
  <c r="Z136" i="109" s="1"/>
  <c r="Z137" i="109" s="1"/>
  <c r="Z138" i="109" s="1"/>
  <c r="Z139" i="109" s="1"/>
  <c r="Z140" i="109" s="1"/>
  <c r="Z141" i="109" s="1"/>
  <c r="Z142" i="109" s="1"/>
  <c r="Z143" i="109" s="1"/>
  <c r="Z84" i="109"/>
  <c r="AM126" i="109"/>
  <c r="AK58" i="110"/>
  <c r="AU17" i="110"/>
  <c r="AV17" i="110"/>
  <c r="N17" i="112"/>
  <c r="L17" i="112" s="1"/>
  <c r="AN82" i="109"/>
  <c r="AP43" i="109"/>
  <c r="E54" i="112"/>
  <c r="J53" i="112"/>
  <c r="F53" i="112"/>
  <c r="AZ53" i="112" s="1"/>
  <c r="AM55" i="112"/>
  <c r="AN54" i="112"/>
  <c r="AV16" i="112"/>
  <c r="AU16" i="112"/>
  <c r="AK57" i="112"/>
  <c r="AX53" i="112"/>
  <c r="BA44" i="94"/>
  <c r="AT44" i="94" s="1"/>
  <c r="BB44" i="94"/>
  <c r="BJ51" i="94"/>
  <c r="BI52" i="94"/>
  <c r="AQ52" i="94"/>
  <c r="AR51" i="94"/>
  <c r="G52" i="94"/>
  <c r="H51" i="94"/>
  <c r="BK51" i="94" s="1"/>
  <c r="T51" i="94"/>
  <c r="W51" i="94"/>
  <c r="I51" i="94"/>
  <c r="Z86" i="94"/>
  <c r="AM128" i="94"/>
  <c r="AV33" i="109"/>
  <c r="AZ33" i="109" s="1"/>
  <c r="AX33" i="109" s="1"/>
  <c r="AW33" i="109" s="1"/>
  <c r="BH33" i="109" s="1"/>
  <c r="BM78" i="109"/>
  <c r="T59" i="110"/>
  <c r="H18" i="110"/>
  <c r="AP47" i="94"/>
  <c r="AU48" i="94"/>
  <c r="AN86" i="94"/>
  <c r="AV18" i="103"/>
  <c r="AU18" i="103"/>
  <c r="BM76" i="94"/>
  <c r="AV31" i="94"/>
  <c r="AZ31" i="94" s="1"/>
  <c r="AX31" i="94" s="1"/>
  <c r="AW31" i="94" s="1"/>
  <c r="BH31" i="94" s="1"/>
  <c r="AK59" i="103"/>
  <c r="H16" i="61"/>
  <c r="J16" i="61" s="1"/>
  <c r="L17" i="61"/>
  <c r="L32" i="100" l="1"/>
  <c r="P32" i="100" s="1"/>
  <c r="N32" i="100" s="1"/>
  <c r="W67" i="100"/>
  <c r="AU25" i="75"/>
  <c r="BL70" i="75"/>
  <c r="AU35" i="105"/>
  <c r="AY35" i="105" s="1"/>
  <c r="AW35" i="105" s="1"/>
  <c r="AV35" i="105" s="1"/>
  <c r="BG35" i="105" s="1"/>
  <c r="BL80" i="105"/>
  <c r="W70" i="78"/>
  <c r="K30" i="78"/>
  <c r="O30" i="78" s="1"/>
  <c r="M30" i="78" s="1"/>
  <c r="N31" i="78" s="1"/>
  <c r="W60" i="86"/>
  <c r="L25" i="86"/>
  <c r="P25" i="86" s="1"/>
  <c r="N25" i="86" s="1"/>
  <c r="M25" i="86" s="1"/>
  <c r="S25" i="86" s="1"/>
  <c r="K25" i="86"/>
  <c r="AM61" i="86"/>
  <c r="AO22" i="86"/>
  <c r="AS22" i="86"/>
  <c r="F62" i="107"/>
  <c r="E62" i="107"/>
  <c r="G62" i="107" s="1"/>
  <c r="D62" i="107" s="1"/>
  <c r="C63" i="107" s="1"/>
  <c r="AM62" i="88"/>
  <c r="AO23" i="88"/>
  <c r="AS23" i="88"/>
  <c r="AV23" i="88"/>
  <c r="BG23" i="88" s="1"/>
  <c r="BK25" i="91"/>
  <c r="X60" i="91"/>
  <c r="J25" i="91"/>
  <c r="M25" i="91"/>
  <c r="S25" i="91" s="1"/>
  <c r="AW30" i="78"/>
  <c r="AU30" i="78" s="1"/>
  <c r="AR30" i="78" s="1"/>
  <c r="W61" i="88"/>
  <c r="L26" i="88"/>
  <c r="P26" i="88" s="1"/>
  <c r="N26" i="88" s="1"/>
  <c r="BA47" i="91"/>
  <c r="AZ47" i="91"/>
  <c r="AV53" i="91"/>
  <c r="AL136" i="78"/>
  <c r="Y99" i="78"/>
  <c r="AO51" i="105"/>
  <c r="AM90" i="105"/>
  <c r="AY30" i="78"/>
  <c r="AT30" i="78"/>
  <c r="AX30" i="78"/>
  <c r="BE30" i="78"/>
  <c r="R54" i="88"/>
  <c r="Q54" i="88"/>
  <c r="G53" i="100"/>
  <c r="I52" i="100"/>
  <c r="K52" i="100"/>
  <c r="H52" i="100"/>
  <c r="BJ52" i="100" s="1"/>
  <c r="AZ44" i="106"/>
  <c r="AS44" i="106" s="1"/>
  <c r="BA44" i="106"/>
  <c r="V97" i="59"/>
  <c r="AI127" i="59"/>
  <c r="BI53" i="88"/>
  <c r="BH54" i="88"/>
  <c r="Y86" i="88"/>
  <c r="AL128" i="88"/>
  <c r="V53" i="75"/>
  <c r="U54" i="75"/>
  <c r="Y123" i="100"/>
  <c r="Y124" i="100" s="1"/>
  <c r="Y125" i="100" s="1"/>
  <c r="Y126" i="100" s="1"/>
  <c r="Y127" i="100" s="1"/>
  <c r="Y128" i="100" s="1"/>
  <c r="Y129" i="100" s="1"/>
  <c r="Y130" i="100" s="1"/>
  <c r="Y131" i="100" s="1"/>
  <c r="Y132" i="100" s="1"/>
  <c r="Y133" i="100" s="1"/>
  <c r="Y134" i="100" s="1"/>
  <c r="Y135" i="100" s="1"/>
  <c r="Y136" i="100" s="1"/>
  <c r="Y137" i="100" s="1"/>
  <c r="Y138" i="100" s="1"/>
  <c r="Y139" i="100" s="1"/>
  <c r="Y140" i="100" s="1"/>
  <c r="Y141" i="100" s="1"/>
  <c r="Y142" i="100" s="1"/>
  <c r="Y143" i="100" s="1"/>
  <c r="G55" i="106"/>
  <c r="H54" i="106"/>
  <c r="BJ54" i="106" s="1"/>
  <c r="BI54" i="91"/>
  <c r="BH55" i="91"/>
  <c r="V52" i="86"/>
  <c r="U53" i="86"/>
  <c r="AP54" i="106"/>
  <c r="AQ53" i="106"/>
  <c r="AT53" i="106"/>
  <c r="AP53" i="105"/>
  <c r="AT52" i="105"/>
  <c r="AQ52" i="105"/>
  <c r="G57" i="91"/>
  <c r="H56" i="91"/>
  <c r="BJ56" i="91" s="1"/>
  <c r="V55" i="88"/>
  <c r="U56" i="88"/>
  <c r="BK51" i="100"/>
  <c r="X86" i="100"/>
  <c r="U57" i="91"/>
  <c r="V56" i="91"/>
  <c r="BI53" i="75"/>
  <c r="BH54" i="75"/>
  <c r="U52" i="105"/>
  <c r="V51" i="105"/>
  <c r="AV35" i="106"/>
  <c r="BG35" i="106" s="1"/>
  <c r="R51" i="86"/>
  <c r="Q51" i="86"/>
  <c r="Q55" i="106"/>
  <c r="R55" i="106"/>
  <c r="B67" i="108"/>
  <c r="A68" i="108"/>
  <c r="E83" i="110"/>
  <c r="J82" i="110"/>
  <c r="F82" i="110"/>
  <c r="AZ82" i="110" s="1"/>
  <c r="AV22" i="86"/>
  <c r="BG22" i="86" s="1"/>
  <c r="AZ44" i="86"/>
  <c r="BA44" i="86"/>
  <c r="AZ44" i="100"/>
  <c r="AS44" i="100" s="1"/>
  <c r="BA44" i="100"/>
  <c r="B70" i="107"/>
  <c r="A71" i="107"/>
  <c r="G54" i="78"/>
  <c r="H53" i="78"/>
  <c r="BI59" i="78" s="1"/>
  <c r="AO24" i="75"/>
  <c r="AM63" i="75"/>
  <c r="AS24" i="75"/>
  <c r="Q55" i="91"/>
  <c r="R55" i="91"/>
  <c r="BA46" i="75"/>
  <c r="AZ46" i="75"/>
  <c r="Q50" i="105"/>
  <c r="R50" i="105"/>
  <c r="AM91" i="106"/>
  <c r="AO52" i="106"/>
  <c r="U57" i="106"/>
  <c r="V56" i="106"/>
  <c r="AP54" i="88"/>
  <c r="AQ53" i="88"/>
  <c r="X80" i="106"/>
  <c r="J45" i="106"/>
  <c r="BK45" i="106"/>
  <c r="K46" i="106"/>
  <c r="G55" i="86"/>
  <c r="H54" i="86"/>
  <c r="BJ54" i="86" s="1"/>
  <c r="AO29" i="78"/>
  <c r="AM68" i="78"/>
  <c r="G54" i="105"/>
  <c r="I53" i="105"/>
  <c r="H53" i="105"/>
  <c r="BJ53" i="105" s="1"/>
  <c r="BI51" i="86"/>
  <c r="BH52" i="86"/>
  <c r="BH52" i="100"/>
  <c r="BI51" i="100"/>
  <c r="AL134" i="105"/>
  <c r="Y92" i="105"/>
  <c r="AP55" i="91"/>
  <c r="AQ54" i="91"/>
  <c r="AV30" i="78"/>
  <c r="J24" i="86"/>
  <c r="BK24" i="86"/>
  <c r="X59" i="86"/>
  <c r="G55" i="75"/>
  <c r="H54" i="75"/>
  <c r="BJ54" i="75" s="1"/>
  <c r="Y85" i="86"/>
  <c r="AL127" i="86"/>
  <c r="AU35" i="100"/>
  <c r="AY35" i="100" s="1"/>
  <c r="AW35" i="100" s="1"/>
  <c r="AV35" i="100" s="1"/>
  <c r="BG35" i="100" s="1"/>
  <c r="BL80" i="100"/>
  <c r="AO18" i="59"/>
  <c r="AQ18" i="59" s="1"/>
  <c r="H52" i="88"/>
  <c r="BJ52" i="88" s="1"/>
  <c r="G53" i="88"/>
  <c r="AP57" i="86"/>
  <c r="AQ56" i="86"/>
  <c r="U52" i="100"/>
  <c r="V51" i="100"/>
  <c r="W67" i="75"/>
  <c r="L32" i="75"/>
  <c r="P32" i="75" s="1"/>
  <c r="N32" i="75" s="1"/>
  <c r="K32" i="75" s="1"/>
  <c r="J32" i="75" s="1"/>
  <c r="AS19" i="59"/>
  <c r="M32" i="106"/>
  <c r="S32" i="106" s="1"/>
  <c r="Q52" i="78"/>
  <c r="P52" i="78"/>
  <c r="T66" i="59"/>
  <c r="J19" i="59"/>
  <c r="S19" i="59"/>
  <c r="AT53" i="100"/>
  <c r="AP54" i="100"/>
  <c r="AQ53" i="100"/>
  <c r="Q50" i="100"/>
  <c r="J50" i="100" s="1"/>
  <c r="R50" i="100"/>
  <c r="BA45" i="105"/>
  <c r="AZ45" i="105"/>
  <c r="AS45" i="105" s="1"/>
  <c r="AP59" i="75"/>
  <c r="AQ58" i="75"/>
  <c r="U58" i="66"/>
  <c r="AA58" i="66"/>
  <c r="G58" i="66"/>
  <c r="F59" i="66"/>
  <c r="E57" i="103"/>
  <c r="F56" i="103"/>
  <c r="AZ56" i="103" s="1"/>
  <c r="O117" i="66"/>
  <c r="W118" i="66"/>
  <c r="N57" i="66"/>
  <c r="M57" i="66"/>
  <c r="L57" i="66"/>
  <c r="T54" i="78"/>
  <c r="U53" i="78"/>
  <c r="AM91" i="100"/>
  <c r="AO52" i="100"/>
  <c r="AL130" i="91"/>
  <c r="Y88" i="91"/>
  <c r="X83" i="105"/>
  <c r="J48" i="105"/>
  <c r="BK48" i="105"/>
  <c r="K49" i="105"/>
  <c r="BH53" i="105"/>
  <c r="BI52" i="105"/>
  <c r="AP75" i="78"/>
  <c r="AQ74" i="78"/>
  <c r="AL127" i="100"/>
  <c r="Y85" i="100"/>
  <c r="D47" i="108"/>
  <c r="C48" i="108" s="1"/>
  <c r="Y88" i="106"/>
  <c r="AL130" i="106"/>
  <c r="G53" i="109"/>
  <c r="W52" i="109"/>
  <c r="T52" i="109"/>
  <c r="H52" i="109"/>
  <c r="BK52" i="109" s="1"/>
  <c r="I52" i="109"/>
  <c r="V20" i="66"/>
  <c r="Z20" i="66"/>
  <c r="X69" i="78"/>
  <c r="BI35" i="78"/>
  <c r="BI51" i="106"/>
  <c r="BH52" i="106"/>
  <c r="Y88" i="75"/>
  <c r="AL130" i="75"/>
  <c r="BA46" i="88"/>
  <c r="AZ46" i="88"/>
  <c r="AU24" i="91"/>
  <c r="AY24" i="91" s="1"/>
  <c r="AW24" i="91" s="1"/>
  <c r="AT24" i="91" s="1"/>
  <c r="BL69" i="91"/>
  <c r="R52" i="75"/>
  <c r="Q52" i="75"/>
  <c r="L36" i="105"/>
  <c r="P36" i="105" s="1"/>
  <c r="N36" i="105" s="1"/>
  <c r="M36" i="105"/>
  <c r="S36" i="105"/>
  <c r="W71" i="105"/>
  <c r="BA44" i="109"/>
  <c r="BB44" i="109"/>
  <c r="BJ51" i="109"/>
  <c r="BI52" i="109"/>
  <c r="R51" i="110"/>
  <c r="S50" i="110"/>
  <c r="R51" i="109"/>
  <c r="Q51" i="109"/>
  <c r="U53" i="109"/>
  <c r="V52" i="109"/>
  <c r="H18" i="111"/>
  <c r="S18" i="111"/>
  <c r="T59" i="111"/>
  <c r="V59" i="111" s="1"/>
  <c r="AP17" i="111"/>
  <c r="BB63" i="111"/>
  <c r="AY17" i="111"/>
  <c r="E57" i="111"/>
  <c r="F56" i="111"/>
  <c r="AZ56" i="111" s="1"/>
  <c r="BA17" i="111"/>
  <c r="U58" i="111"/>
  <c r="AX54" i="111"/>
  <c r="K22" i="94"/>
  <c r="BL22" i="94" s="1"/>
  <c r="X59" i="109"/>
  <c r="R50" i="94"/>
  <c r="Q50" i="94"/>
  <c r="V51" i="94"/>
  <c r="U52" i="94"/>
  <c r="Z85" i="109"/>
  <c r="AM127" i="109"/>
  <c r="AT17" i="110"/>
  <c r="AR17" i="110" s="1"/>
  <c r="AS18" i="110" s="1"/>
  <c r="G17" i="112"/>
  <c r="K17" i="112" s="1"/>
  <c r="Q17" i="112" s="1"/>
  <c r="M18" i="112"/>
  <c r="AT44" i="109"/>
  <c r="AU45" i="109"/>
  <c r="AN83" i="109"/>
  <c r="AP44" i="109"/>
  <c r="J54" i="112"/>
  <c r="E55" i="112"/>
  <c r="F54" i="112"/>
  <c r="AZ54" i="112" s="1"/>
  <c r="AX54" i="112"/>
  <c r="AM56" i="112"/>
  <c r="AN55" i="112"/>
  <c r="AT16" i="112"/>
  <c r="AR16" i="112" s="1"/>
  <c r="BJ52" i="94"/>
  <c r="BI53" i="94"/>
  <c r="BA45" i="94"/>
  <c r="AT45" i="94" s="1"/>
  <c r="BB45" i="94"/>
  <c r="AQ53" i="94"/>
  <c r="AR52" i="94"/>
  <c r="Z87" i="94"/>
  <c r="AM129" i="94"/>
  <c r="G53" i="94"/>
  <c r="H52" i="94"/>
  <c r="BK52" i="94" s="1"/>
  <c r="T52" i="94"/>
  <c r="W52" i="94"/>
  <c r="I52" i="94"/>
  <c r="AK58" i="111"/>
  <c r="BM79" i="109"/>
  <c r="AV34" i="109"/>
  <c r="AZ34" i="109" s="1"/>
  <c r="AX34" i="109" s="1"/>
  <c r="AW34" i="109" s="1"/>
  <c r="BH34" i="109" s="1"/>
  <c r="V59" i="110"/>
  <c r="U58" i="110"/>
  <c r="I18" i="110"/>
  <c r="O18" i="110"/>
  <c r="P18" i="110"/>
  <c r="BM77" i="94"/>
  <c r="AV32" i="94"/>
  <c r="AZ32" i="94" s="1"/>
  <c r="AX32" i="94" s="1"/>
  <c r="AW32" i="94" s="1"/>
  <c r="BH32" i="94" s="1"/>
  <c r="AU49" i="94"/>
  <c r="AN87" i="94"/>
  <c r="AP48" i="94"/>
  <c r="AT18" i="103"/>
  <c r="AR18" i="103" s="1"/>
  <c r="AS19" i="103" s="1"/>
  <c r="P16" i="61"/>
  <c r="T46" i="61"/>
  <c r="M32" i="100" l="1"/>
  <c r="S32" i="100" s="1"/>
  <c r="L33" i="100" s="1"/>
  <c r="W68" i="100"/>
  <c r="BB18" i="59"/>
  <c r="W61" i="86"/>
  <c r="L26" i="86"/>
  <c r="P26" i="86" s="1"/>
  <c r="N26" i="86" s="1"/>
  <c r="M26" i="86" s="1"/>
  <c r="S26" i="86" s="1"/>
  <c r="K26" i="86"/>
  <c r="AS24" i="91"/>
  <c r="AO24" i="91"/>
  <c r="AM63" i="91"/>
  <c r="AV24" i="91"/>
  <c r="BG24" i="91" s="1"/>
  <c r="E63" i="107"/>
  <c r="F63" i="107"/>
  <c r="G63" i="107"/>
  <c r="D63" i="107" s="1"/>
  <c r="C64" i="107" s="1"/>
  <c r="AU36" i="105"/>
  <c r="AY36" i="105" s="1"/>
  <c r="AW36" i="105" s="1"/>
  <c r="AV36" i="105" s="1"/>
  <c r="BG36" i="105" s="1"/>
  <c r="BL81" i="105"/>
  <c r="Y57" i="94"/>
  <c r="X67" i="75"/>
  <c r="BA45" i="106"/>
  <c r="AZ45" i="106"/>
  <c r="AS45" i="106" s="1"/>
  <c r="AP76" i="78"/>
  <c r="AQ75" i="78"/>
  <c r="L58" i="66"/>
  <c r="N58" i="66"/>
  <c r="M58" i="66"/>
  <c r="Q51" i="100"/>
  <c r="J51" i="100" s="1"/>
  <c r="R51" i="100"/>
  <c r="H53" i="88"/>
  <c r="BJ53" i="88" s="1"/>
  <c r="G54" i="88"/>
  <c r="BA45" i="86"/>
  <c r="AZ45" i="86"/>
  <c r="J46" i="106"/>
  <c r="X81" i="106"/>
  <c r="BK46" i="106"/>
  <c r="K47" i="106"/>
  <c r="AZ47" i="75"/>
  <c r="BA47" i="75"/>
  <c r="AT53" i="105"/>
  <c r="AP54" i="105"/>
  <c r="AQ53" i="105"/>
  <c r="R53" i="75"/>
  <c r="Q53" i="75"/>
  <c r="G54" i="100"/>
  <c r="K53" i="100"/>
  <c r="I53" i="100"/>
  <c r="H53" i="100"/>
  <c r="BJ53" i="100" s="1"/>
  <c r="BK32" i="75"/>
  <c r="G54" i="109"/>
  <c r="W53" i="109"/>
  <c r="T53" i="109"/>
  <c r="H53" i="109"/>
  <c r="BK53" i="109" s="1"/>
  <c r="I53" i="109"/>
  <c r="BA46" i="105"/>
  <c r="AZ46" i="105"/>
  <c r="AS46" i="105" s="1"/>
  <c r="V52" i="100"/>
  <c r="U53" i="100"/>
  <c r="Y86" i="86"/>
  <c r="AL128" i="86"/>
  <c r="AU23" i="86"/>
  <c r="AY23" i="86" s="1"/>
  <c r="AW23" i="86" s="1"/>
  <c r="BL68" i="86"/>
  <c r="R56" i="91"/>
  <c r="Q56" i="91"/>
  <c r="AO53" i="106"/>
  <c r="AM92" i="106"/>
  <c r="J22" i="94"/>
  <c r="M22" i="94"/>
  <c r="S22" i="94" s="1"/>
  <c r="BI53" i="105"/>
  <c r="BH54" i="105"/>
  <c r="O118" i="66"/>
  <c r="W119" i="66"/>
  <c r="AP56" i="91"/>
  <c r="AQ55" i="91"/>
  <c r="V57" i="91"/>
  <c r="U58" i="91"/>
  <c r="AL129" i="88"/>
  <c r="Y87" i="88"/>
  <c r="Y100" i="78"/>
  <c r="AL137" i="78"/>
  <c r="K26" i="88"/>
  <c r="AU24" i="88"/>
  <c r="AY24" i="88" s="1"/>
  <c r="AW24" i="88" s="1"/>
  <c r="AT24" i="88" s="1"/>
  <c r="BL69" i="88"/>
  <c r="J30" i="78"/>
  <c r="Y89" i="106"/>
  <c r="AL131" i="106"/>
  <c r="J49" i="105"/>
  <c r="BK49" i="105"/>
  <c r="X84" i="105"/>
  <c r="K50" i="105"/>
  <c r="AP58" i="86"/>
  <c r="AQ57" i="86"/>
  <c r="AL18" i="59"/>
  <c r="AJ57" i="59"/>
  <c r="AL135" i="105"/>
  <c r="Y93" i="105"/>
  <c r="AU36" i="106"/>
  <c r="AY36" i="106" s="1"/>
  <c r="BL81" i="106"/>
  <c r="AV36" i="106"/>
  <c r="BG36" i="106" s="1"/>
  <c r="AP55" i="106"/>
  <c r="AQ54" i="106"/>
  <c r="AT54" i="106"/>
  <c r="BI54" i="88"/>
  <c r="BH55" i="88"/>
  <c r="BG37" i="78"/>
  <c r="AS31" i="78"/>
  <c r="BJ76" i="78"/>
  <c r="J21" i="66"/>
  <c r="I21" i="66" s="1"/>
  <c r="K21" i="66"/>
  <c r="X21" i="66"/>
  <c r="G48" i="108"/>
  <c r="E48" i="108"/>
  <c r="F48" i="108"/>
  <c r="Q53" i="78"/>
  <c r="P53" i="78"/>
  <c r="AQ59" i="75"/>
  <c r="AP60" i="75"/>
  <c r="AT54" i="100"/>
  <c r="AP55" i="100"/>
  <c r="AQ54" i="100"/>
  <c r="L33" i="106"/>
  <c r="P33" i="106" s="1"/>
  <c r="N33" i="106" s="1"/>
  <c r="W68" i="106"/>
  <c r="G56" i="75"/>
  <c r="H55" i="75"/>
  <c r="BJ55" i="75" s="1"/>
  <c r="E84" i="110"/>
  <c r="J83" i="110"/>
  <c r="F83" i="110"/>
  <c r="AZ83" i="110" s="1"/>
  <c r="V53" i="86"/>
  <c r="U54" i="86"/>
  <c r="G56" i="106"/>
  <c r="H55" i="106"/>
  <c r="BJ55" i="106" s="1"/>
  <c r="BA47" i="88"/>
  <c r="AZ47" i="88"/>
  <c r="BK52" i="100"/>
  <c r="X87" i="100"/>
  <c r="AV31" i="78"/>
  <c r="AL128" i="100"/>
  <c r="Y86" i="100"/>
  <c r="U54" i="78"/>
  <c r="T55" i="78"/>
  <c r="E58" i="103"/>
  <c r="J57" i="103"/>
  <c r="F57" i="103"/>
  <c r="AZ57" i="103" s="1"/>
  <c r="AM92" i="100"/>
  <c r="AO53" i="100"/>
  <c r="AU36" i="100"/>
  <c r="AY36" i="100" s="1"/>
  <c r="AW36" i="100" s="1"/>
  <c r="AV36" i="100" s="1"/>
  <c r="BG36" i="100" s="1"/>
  <c r="BL81" i="100"/>
  <c r="BA45" i="100"/>
  <c r="AZ45" i="100"/>
  <c r="AS45" i="100" s="1"/>
  <c r="AP55" i="88"/>
  <c r="AQ54" i="88"/>
  <c r="A69" i="108"/>
  <c r="B68" i="108"/>
  <c r="Q51" i="105"/>
  <c r="R51" i="105"/>
  <c r="G58" i="91"/>
  <c r="H57" i="91"/>
  <c r="BJ57" i="91" s="1"/>
  <c r="Q52" i="86"/>
  <c r="R52" i="86"/>
  <c r="AO30" i="78"/>
  <c r="AM69" i="78"/>
  <c r="X60" i="86"/>
  <c r="J25" i="86"/>
  <c r="BK25" i="86"/>
  <c r="P19" i="59"/>
  <c r="K19" i="59"/>
  <c r="U66" i="59" s="1"/>
  <c r="Q19" i="59"/>
  <c r="O19" i="59"/>
  <c r="BH53" i="100"/>
  <c r="BI52" i="100"/>
  <c r="Q56" i="106"/>
  <c r="R56" i="106"/>
  <c r="G55" i="78"/>
  <c r="H54" i="78"/>
  <c r="BI60" i="78" s="1"/>
  <c r="U53" i="105"/>
  <c r="V52" i="105"/>
  <c r="U57" i="88"/>
  <c r="V56" i="88"/>
  <c r="BH56" i="91"/>
  <c r="BI55" i="91"/>
  <c r="V98" i="59"/>
  <c r="AI128" i="59"/>
  <c r="M26" i="91"/>
  <c r="S26" i="91"/>
  <c r="W61" i="91"/>
  <c r="L26" i="91"/>
  <c r="P26" i="91" s="1"/>
  <c r="N26" i="91" s="1"/>
  <c r="K26" i="91"/>
  <c r="L30" i="78"/>
  <c r="R30" i="78" s="1"/>
  <c r="M37" i="105"/>
  <c r="L37" i="105"/>
  <c r="P37" i="105" s="1"/>
  <c r="N37" i="105" s="1"/>
  <c r="S37" i="105"/>
  <c r="W72" i="105"/>
  <c r="Y89" i="75"/>
  <c r="AL131" i="75"/>
  <c r="M32" i="75"/>
  <c r="S32" i="75" s="1"/>
  <c r="BH53" i="106"/>
  <c r="BI52" i="106"/>
  <c r="AL131" i="91"/>
  <c r="Y89" i="91"/>
  <c r="G59" i="66"/>
  <c r="AA59" i="66"/>
  <c r="F60" i="66"/>
  <c r="U59" i="66"/>
  <c r="N19" i="59"/>
  <c r="L19" i="59" s="1"/>
  <c r="I19" i="59" s="1"/>
  <c r="BF25" i="59" s="1"/>
  <c r="BH53" i="86"/>
  <c r="BI52" i="86"/>
  <c r="I54" i="105"/>
  <c r="H54" i="105"/>
  <c r="BJ54" i="105" s="1"/>
  <c r="G55" i="105"/>
  <c r="G56" i="86"/>
  <c r="H55" i="86"/>
  <c r="BJ55" i="86" s="1"/>
  <c r="U58" i="106"/>
  <c r="V57" i="106"/>
  <c r="B71" i="107"/>
  <c r="A72" i="107"/>
  <c r="BI54" i="75"/>
  <c r="BH55" i="75"/>
  <c r="R55" i="88"/>
  <c r="Q55" i="88"/>
  <c r="AM91" i="105"/>
  <c r="AO52" i="105"/>
  <c r="BA48" i="91"/>
  <c r="AV54" i="91"/>
  <c r="AZ48" i="91"/>
  <c r="U55" i="75"/>
  <c r="V54" i="75"/>
  <c r="AY25" i="75"/>
  <c r="AW25" i="75" s="1"/>
  <c r="BJ52" i="109"/>
  <c r="BI53" i="109"/>
  <c r="BB45" i="109"/>
  <c r="BA45" i="109"/>
  <c r="AT45" i="109" s="1"/>
  <c r="R52" i="110"/>
  <c r="S51" i="110"/>
  <c r="R52" i="109"/>
  <c r="Q52" i="109"/>
  <c r="U54" i="109"/>
  <c r="V53" i="109"/>
  <c r="W68" i="75"/>
  <c r="L33" i="75"/>
  <c r="P33" i="75" s="1"/>
  <c r="N33" i="75" s="1"/>
  <c r="AU17" i="111"/>
  <c r="AV17" i="111"/>
  <c r="P18" i="111"/>
  <c r="O18" i="111"/>
  <c r="I18" i="111"/>
  <c r="J57" i="111"/>
  <c r="E58" i="111"/>
  <c r="F57" i="111"/>
  <c r="AZ57" i="111" s="1"/>
  <c r="AT17" i="111"/>
  <c r="AR17" i="111" s="1"/>
  <c r="AX55" i="111"/>
  <c r="L23" i="94"/>
  <c r="P23" i="94" s="1"/>
  <c r="N23" i="94" s="1"/>
  <c r="X58" i="94"/>
  <c r="P24" i="109"/>
  <c r="N24" i="109" s="1"/>
  <c r="K24" i="109"/>
  <c r="U53" i="94"/>
  <c r="V52" i="94"/>
  <c r="R51" i="94"/>
  <c r="Q51" i="94"/>
  <c r="Z86" i="109"/>
  <c r="AM128" i="109"/>
  <c r="BC17" i="110"/>
  <c r="AO17" i="110"/>
  <c r="H18" i="112"/>
  <c r="S18" i="112"/>
  <c r="T59" i="112"/>
  <c r="V59" i="112" s="1"/>
  <c r="BA17" i="112"/>
  <c r="AN84" i="109"/>
  <c r="AP45" i="109"/>
  <c r="AU46" i="109"/>
  <c r="AM57" i="112"/>
  <c r="AN56" i="112"/>
  <c r="AX55" i="112"/>
  <c r="E56" i="112"/>
  <c r="J55" i="112"/>
  <c r="F55" i="112"/>
  <c r="AZ55" i="112" s="1"/>
  <c r="AO16" i="112"/>
  <c r="AQ16" i="112" s="1"/>
  <c r="AW16" i="112" s="1"/>
  <c r="BC16" i="112"/>
  <c r="AS17" i="112"/>
  <c r="BJ53" i="94"/>
  <c r="BI54" i="94"/>
  <c r="BB46" i="94"/>
  <c r="BA46" i="94"/>
  <c r="AT46" i="94" s="1"/>
  <c r="G54" i="94"/>
  <c r="H53" i="94"/>
  <c r="BK53" i="94" s="1"/>
  <c r="T53" i="94"/>
  <c r="W53" i="94"/>
  <c r="I53" i="94"/>
  <c r="AR53" i="94"/>
  <c r="AQ54" i="94"/>
  <c r="Z88" i="94"/>
  <c r="AM130" i="94"/>
  <c r="BM80" i="109"/>
  <c r="AV35" i="109"/>
  <c r="AZ35" i="109" s="1"/>
  <c r="AX35" i="109" s="1"/>
  <c r="AW35" i="109" s="1"/>
  <c r="BH35" i="109" s="1"/>
  <c r="N18" i="110"/>
  <c r="L18" i="110" s="1"/>
  <c r="BM78" i="94"/>
  <c r="AV33" i="94"/>
  <c r="AZ33" i="94" s="1"/>
  <c r="AX33" i="94" s="1"/>
  <c r="AW33" i="94" s="1"/>
  <c r="BH33" i="94" s="1"/>
  <c r="AN88" i="94"/>
  <c r="AP49" i="94"/>
  <c r="AU50" i="94"/>
  <c r="BC18" i="103"/>
  <c r="AO18" i="103"/>
  <c r="AQ18" i="103" s="1"/>
  <c r="AW18" i="103" s="1"/>
  <c r="I17" i="61"/>
  <c r="S47" i="61"/>
  <c r="R17" i="61"/>
  <c r="P33" i="100" l="1"/>
  <c r="N33" i="100" s="1"/>
  <c r="M33" i="100"/>
  <c r="S33" i="100" s="1"/>
  <c r="AU37" i="100"/>
  <c r="AY37" i="100" s="1"/>
  <c r="AW37" i="100" s="1"/>
  <c r="AV37" i="100" s="1"/>
  <c r="BG37" i="100" s="1"/>
  <c r="BL82" i="100"/>
  <c r="AU37" i="106"/>
  <c r="AY37" i="106" s="1"/>
  <c r="BL82" i="106"/>
  <c r="AV37" i="106"/>
  <c r="BG37" i="106" s="1"/>
  <c r="AS24" i="88"/>
  <c r="AM63" i="88"/>
  <c r="AO24" i="88"/>
  <c r="AU37" i="105"/>
  <c r="AY37" i="105" s="1"/>
  <c r="AW37" i="105" s="1"/>
  <c r="BL82" i="105"/>
  <c r="BG37" i="105"/>
  <c r="AV37" i="105"/>
  <c r="F64" i="107"/>
  <c r="E64" i="107"/>
  <c r="C65" i="107"/>
  <c r="G64" i="107"/>
  <c r="D64" i="107" s="1"/>
  <c r="L27" i="86"/>
  <c r="P27" i="86" s="1"/>
  <c r="N27" i="86" s="1"/>
  <c r="K27" i="86" s="1"/>
  <c r="W62" i="86"/>
  <c r="B72" i="107"/>
  <c r="A73" i="107"/>
  <c r="AZ46" i="86"/>
  <c r="BA46" i="86"/>
  <c r="V57" i="88"/>
  <c r="U58" i="88"/>
  <c r="X82" i="106"/>
  <c r="BK47" i="106"/>
  <c r="J47" i="106"/>
  <c r="K48" i="106"/>
  <c r="AZ48" i="75"/>
  <c r="BA48" i="75"/>
  <c r="AL132" i="75"/>
  <c r="Y90" i="75"/>
  <c r="Q56" i="88"/>
  <c r="R56" i="88"/>
  <c r="M20" i="59"/>
  <c r="E59" i="103"/>
  <c r="J58" i="103"/>
  <c r="F58" i="103"/>
  <c r="AZ58" i="103" s="1"/>
  <c r="M33" i="106"/>
  <c r="S33" i="106" s="1"/>
  <c r="AM93" i="106"/>
  <c r="AO54" i="106"/>
  <c r="T54" i="109"/>
  <c r="W54" i="109"/>
  <c r="G55" i="109"/>
  <c r="H54" i="109"/>
  <c r="BK54" i="109" s="1"/>
  <c r="I54" i="109"/>
  <c r="J26" i="88"/>
  <c r="X61" i="88"/>
  <c r="BK26" i="88"/>
  <c r="AP57" i="91"/>
  <c r="AQ56" i="91"/>
  <c r="Y90" i="91"/>
  <c r="AL132" i="91"/>
  <c r="G59" i="91"/>
  <c r="H58" i="91"/>
  <c r="BJ58" i="91" s="1"/>
  <c r="AP56" i="88"/>
  <c r="AQ55" i="88"/>
  <c r="P54" i="78"/>
  <c r="Q54" i="78"/>
  <c r="V54" i="86"/>
  <c r="U55" i="86"/>
  <c r="E85" i="110"/>
  <c r="J84" i="110"/>
  <c r="F84" i="110"/>
  <c r="AZ84" i="110" s="1"/>
  <c r="AT55" i="106"/>
  <c r="AP56" i="106"/>
  <c r="AQ55" i="106"/>
  <c r="Y90" i="106"/>
  <c r="AL132" i="106"/>
  <c r="X61" i="86"/>
  <c r="BK26" i="86"/>
  <c r="J26" i="86"/>
  <c r="AT25" i="75"/>
  <c r="AV25" i="75"/>
  <c r="BG25" i="75" s="1"/>
  <c r="Q57" i="106"/>
  <c r="R57" i="106"/>
  <c r="V53" i="105"/>
  <c r="U54" i="105"/>
  <c r="G56" i="78"/>
  <c r="H55" i="78"/>
  <c r="BI61" i="78" s="1"/>
  <c r="AL129" i="100"/>
  <c r="Y87" i="100"/>
  <c r="Q53" i="86"/>
  <c r="R53" i="86"/>
  <c r="AT55" i="100"/>
  <c r="AP56" i="100"/>
  <c r="AQ55" i="100"/>
  <c r="AW31" i="78"/>
  <c r="AU31" i="78" s="1"/>
  <c r="AR31" i="78" s="1"/>
  <c r="BI36" i="78"/>
  <c r="X70" i="78"/>
  <c r="AL138" i="78"/>
  <c r="Y101" i="78"/>
  <c r="AT23" i="86"/>
  <c r="AP55" i="105"/>
  <c r="AT54" i="105"/>
  <c r="AQ54" i="105"/>
  <c r="R54" i="75"/>
  <c r="Q54" i="75"/>
  <c r="U59" i="106"/>
  <c r="V58" i="106"/>
  <c r="I55" i="105"/>
  <c r="G56" i="105"/>
  <c r="H55" i="105"/>
  <c r="BJ55" i="105" s="1"/>
  <c r="AZ46" i="106"/>
  <c r="AS46" i="106" s="1"/>
  <c r="BA46" i="106"/>
  <c r="V99" i="59"/>
  <c r="AI129" i="59"/>
  <c r="AM93" i="100"/>
  <c r="AO54" i="100"/>
  <c r="D48" i="108"/>
  <c r="C49" i="108" s="1"/>
  <c r="AP59" i="86"/>
  <c r="AQ58" i="86"/>
  <c r="AL130" i="88"/>
  <c r="Y88" i="88"/>
  <c r="O119" i="66"/>
  <c r="W120" i="66"/>
  <c r="AO53" i="105"/>
  <c r="AM92" i="105"/>
  <c r="M26" i="88"/>
  <c r="S26" i="88" s="1"/>
  <c r="M59" i="66"/>
  <c r="N59" i="66"/>
  <c r="L59" i="66"/>
  <c r="L27" i="91"/>
  <c r="P27" i="91" s="1"/>
  <c r="N27" i="91" s="1"/>
  <c r="W62" i="91"/>
  <c r="G57" i="86"/>
  <c r="H56" i="86"/>
  <c r="BJ56" i="86" s="1"/>
  <c r="BI53" i="86"/>
  <c r="BH54" i="86"/>
  <c r="M38" i="105"/>
  <c r="S38" i="105" s="1"/>
  <c r="L38" i="105"/>
  <c r="P38" i="105" s="1"/>
  <c r="N38" i="105" s="1"/>
  <c r="W73" i="105"/>
  <c r="R52" i="105"/>
  <c r="Q52" i="105"/>
  <c r="U56" i="75"/>
  <c r="V55" i="75"/>
  <c r="BI53" i="106"/>
  <c r="BH54" i="106"/>
  <c r="W71" i="78"/>
  <c r="K31" i="78"/>
  <c r="O31" i="78" s="1"/>
  <c r="M31" i="78" s="1"/>
  <c r="N32" i="78" s="1"/>
  <c r="H56" i="75"/>
  <c r="BJ56" i="75" s="1"/>
  <c r="G57" i="75"/>
  <c r="AP61" i="75"/>
  <c r="AQ60" i="75"/>
  <c r="T21" i="66"/>
  <c r="S21" i="66"/>
  <c r="AY31" i="78"/>
  <c r="BE31" i="78"/>
  <c r="AX31" i="78"/>
  <c r="AT31" i="78"/>
  <c r="J50" i="105"/>
  <c r="BK50" i="105"/>
  <c r="X85" i="105"/>
  <c r="K51" i="105"/>
  <c r="AV24" i="88"/>
  <c r="BG24" i="88" s="1"/>
  <c r="AL129" i="86"/>
  <c r="Y87" i="86"/>
  <c r="G55" i="88"/>
  <c r="H54" i="88"/>
  <c r="BJ54" i="88" s="1"/>
  <c r="AP77" i="78"/>
  <c r="AQ76" i="78"/>
  <c r="AU25" i="91"/>
  <c r="AY25" i="91" s="1"/>
  <c r="AW25" i="91" s="1"/>
  <c r="AT25" i="91" s="1"/>
  <c r="BL70" i="91"/>
  <c r="J20" i="59"/>
  <c r="T67" i="59"/>
  <c r="S20" i="59"/>
  <c r="X61" i="91"/>
  <c r="BK26" i="91"/>
  <c r="J26" i="91"/>
  <c r="BA49" i="91"/>
  <c r="AZ49" i="91"/>
  <c r="AV55" i="91"/>
  <c r="AZ46" i="100"/>
  <c r="AS46" i="100" s="1"/>
  <c r="BA46" i="100"/>
  <c r="A70" i="108"/>
  <c r="B69" i="108"/>
  <c r="BI55" i="88"/>
  <c r="BH56" i="88"/>
  <c r="V58" i="91"/>
  <c r="U59" i="91"/>
  <c r="BI54" i="105"/>
  <c r="BH55" i="105"/>
  <c r="U54" i="100"/>
  <c r="V53" i="100"/>
  <c r="X88" i="100"/>
  <c r="BK53" i="100"/>
  <c r="BG64" i="59"/>
  <c r="AP19" i="59"/>
  <c r="BD25" i="59"/>
  <c r="U55" i="78"/>
  <c r="T56" i="78"/>
  <c r="G57" i="106"/>
  <c r="H56" i="106"/>
  <c r="BJ56" i="106" s="1"/>
  <c r="R21" i="66"/>
  <c r="P21" i="66" s="1"/>
  <c r="H21" i="66"/>
  <c r="BH56" i="75"/>
  <c r="BI55" i="75"/>
  <c r="AA60" i="66"/>
  <c r="U60" i="66"/>
  <c r="G60" i="66"/>
  <c r="F61" i="66"/>
  <c r="BI56" i="91"/>
  <c r="BH57" i="91"/>
  <c r="BI53" i="100"/>
  <c r="BH54" i="100"/>
  <c r="AZ48" i="88"/>
  <c r="BA48" i="88"/>
  <c r="AL136" i="105"/>
  <c r="Y94" i="105"/>
  <c r="R57" i="91"/>
  <c r="Q57" i="91"/>
  <c r="BA47" i="105"/>
  <c r="AZ47" i="105"/>
  <c r="AS47" i="105" s="1"/>
  <c r="Q52" i="100"/>
  <c r="J52" i="100" s="1"/>
  <c r="R52" i="100"/>
  <c r="I54" i="100"/>
  <c r="G55" i="100"/>
  <c r="K54" i="100"/>
  <c r="H54" i="100"/>
  <c r="BJ54" i="100" s="1"/>
  <c r="BJ53" i="109"/>
  <c r="BI54" i="109"/>
  <c r="BB46" i="109"/>
  <c r="BA46" i="109"/>
  <c r="AT46" i="109" s="1"/>
  <c r="R53" i="110"/>
  <c r="S52" i="110"/>
  <c r="V54" i="109"/>
  <c r="U55" i="109"/>
  <c r="R53" i="109"/>
  <c r="Q53" i="109"/>
  <c r="M33" i="75"/>
  <c r="S33" i="75" s="1"/>
  <c r="K33" i="75"/>
  <c r="AS18" i="111"/>
  <c r="AO17" i="111"/>
  <c r="AL17" i="111" s="1"/>
  <c r="BC17" i="111"/>
  <c r="E59" i="111"/>
  <c r="J58" i="111"/>
  <c r="F58" i="111"/>
  <c r="AZ58" i="111" s="1"/>
  <c r="N18" i="111"/>
  <c r="L18" i="111" s="1"/>
  <c r="AQ17" i="111"/>
  <c r="AW17" i="111" s="1"/>
  <c r="K23" i="94"/>
  <c r="M23" i="94" s="1"/>
  <c r="S23" i="94" s="1"/>
  <c r="AX56" i="111"/>
  <c r="M24" i="109"/>
  <c r="S24" i="109" s="1"/>
  <c r="L25" i="109" s="1"/>
  <c r="Y59" i="109"/>
  <c r="BL24" i="109"/>
  <c r="J24" i="109"/>
  <c r="Q52" i="94"/>
  <c r="R52" i="94"/>
  <c r="U54" i="94"/>
  <c r="V53" i="94"/>
  <c r="Z87" i="109"/>
  <c r="AM129" i="109"/>
  <c r="AQ17" i="110"/>
  <c r="AW17" i="110" s="1"/>
  <c r="AL17" i="110"/>
  <c r="AJ58" i="110"/>
  <c r="U58" i="112"/>
  <c r="O18" i="112"/>
  <c r="N18" i="112" s="1"/>
  <c r="L18" i="112" s="1"/>
  <c r="P18" i="112"/>
  <c r="I18" i="112"/>
  <c r="AP46" i="109"/>
  <c r="AU47" i="109"/>
  <c r="AN85" i="109"/>
  <c r="E57" i="112"/>
  <c r="J56" i="112"/>
  <c r="F56" i="112"/>
  <c r="AZ56" i="112" s="1"/>
  <c r="AX56" i="112"/>
  <c r="AI58" i="112"/>
  <c r="AP17" i="112"/>
  <c r="AY17" i="112"/>
  <c r="BB63" i="112"/>
  <c r="AL16" i="112"/>
  <c r="AJ57" i="112"/>
  <c r="AM58" i="112"/>
  <c r="AN57" i="112"/>
  <c r="BI55" i="94"/>
  <c r="BJ54" i="94"/>
  <c r="BA47" i="94"/>
  <c r="AT47" i="94" s="1"/>
  <c r="BB47" i="94"/>
  <c r="W54" i="94"/>
  <c r="G55" i="94"/>
  <c r="T54" i="94"/>
  <c r="H54" i="94"/>
  <c r="BK54" i="94" s="1"/>
  <c r="I54" i="94"/>
  <c r="Z89" i="94"/>
  <c r="AM131" i="94"/>
  <c r="AR54" i="94"/>
  <c r="AQ55" i="94"/>
  <c r="AV36" i="109"/>
  <c r="AZ36" i="109" s="1"/>
  <c r="AX36" i="109" s="1"/>
  <c r="AW36" i="109" s="1"/>
  <c r="BH36" i="109" s="1"/>
  <c r="BM81" i="109"/>
  <c r="G18" i="110"/>
  <c r="K18" i="110" s="1"/>
  <c r="Q18" i="110" s="1"/>
  <c r="M19" i="110"/>
  <c r="BB65" i="103"/>
  <c r="AP19" i="103"/>
  <c r="AI60" i="103"/>
  <c r="AY19" i="103"/>
  <c r="BM79" i="94"/>
  <c r="AV34" i="94"/>
  <c r="AZ34" i="94" s="1"/>
  <c r="AX34" i="94" s="1"/>
  <c r="AW34" i="94" s="1"/>
  <c r="BH34" i="94" s="1"/>
  <c r="AN89" i="94"/>
  <c r="AU51" i="94"/>
  <c r="AP50" i="94"/>
  <c r="AL18" i="103"/>
  <c r="AJ59" i="103"/>
  <c r="N17" i="61"/>
  <c r="O17" i="61"/>
  <c r="L34" i="100" l="1"/>
  <c r="W69" i="100"/>
  <c r="AU38" i="106"/>
  <c r="AY38" i="106" s="1"/>
  <c r="BL83" i="106"/>
  <c r="AV38" i="106"/>
  <c r="BG38" i="106" s="1"/>
  <c r="AM64" i="91"/>
  <c r="AS25" i="91"/>
  <c r="AO25" i="91"/>
  <c r="L39" i="105"/>
  <c r="P39" i="105" s="1"/>
  <c r="N39" i="105" s="1"/>
  <c r="W74" i="105"/>
  <c r="J27" i="86"/>
  <c r="X62" i="86"/>
  <c r="BK27" i="86"/>
  <c r="AZ50" i="91"/>
  <c r="AV56" i="91"/>
  <c r="BA50" i="91"/>
  <c r="T57" i="78"/>
  <c r="U56" i="78"/>
  <c r="AZ49" i="88"/>
  <c r="BA49" i="88"/>
  <c r="AP78" i="78"/>
  <c r="AQ77" i="78"/>
  <c r="BG38" i="78"/>
  <c r="BJ77" i="78"/>
  <c r="AS32" i="78"/>
  <c r="AZ47" i="106"/>
  <c r="AS47" i="106" s="1"/>
  <c r="BA47" i="106"/>
  <c r="G58" i="86"/>
  <c r="H57" i="86"/>
  <c r="BJ57" i="86" s="1"/>
  <c r="Y89" i="88"/>
  <c r="AL131" i="88"/>
  <c r="H56" i="78"/>
  <c r="BI62" i="78" s="1"/>
  <c r="G57" i="78"/>
  <c r="AP57" i="88"/>
  <c r="AQ56" i="88"/>
  <c r="Y91" i="91"/>
  <c r="AL133" i="91"/>
  <c r="G56" i="109"/>
  <c r="T55" i="109"/>
  <c r="W55" i="109"/>
  <c r="H55" i="109"/>
  <c r="BK55" i="109" s="1"/>
  <c r="I55" i="109"/>
  <c r="Q57" i="88"/>
  <c r="R57" i="88"/>
  <c r="N20" i="59"/>
  <c r="L20" i="59" s="1"/>
  <c r="I20" i="59" s="1"/>
  <c r="BF26" i="59" s="1"/>
  <c r="AU38" i="105"/>
  <c r="AY38" i="105" s="1"/>
  <c r="AW38" i="105" s="1"/>
  <c r="AV38" i="105" s="1"/>
  <c r="BG38" i="105" s="1"/>
  <c r="BL83" i="105"/>
  <c r="AA61" i="66"/>
  <c r="F62" i="66"/>
  <c r="U61" i="66"/>
  <c r="G61" i="66"/>
  <c r="O21" i="66"/>
  <c r="AV19" i="59"/>
  <c r="AU19" i="59"/>
  <c r="U55" i="100"/>
  <c r="V54" i="100"/>
  <c r="A71" i="108"/>
  <c r="B70" i="108"/>
  <c r="BK51" i="105"/>
  <c r="J51" i="105"/>
  <c r="X86" i="105"/>
  <c r="K52" i="105"/>
  <c r="Q22" i="66"/>
  <c r="J31" i="78"/>
  <c r="V56" i="75"/>
  <c r="U57" i="75"/>
  <c r="AZ47" i="86"/>
  <c r="BA47" i="86"/>
  <c r="K27" i="91"/>
  <c r="M27" i="91" s="1"/>
  <c r="S27" i="91" s="1"/>
  <c r="I56" i="105"/>
  <c r="H56" i="105"/>
  <c r="BJ56" i="105" s="1"/>
  <c r="G57" i="105"/>
  <c r="AO54" i="105"/>
  <c r="AM93" i="105"/>
  <c r="R53" i="105"/>
  <c r="Q53" i="105"/>
  <c r="E86" i="110"/>
  <c r="J85" i="110"/>
  <c r="F85" i="110"/>
  <c r="AZ85" i="110" s="1"/>
  <c r="AP58" i="91"/>
  <c r="AQ57" i="91"/>
  <c r="M27" i="86"/>
  <c r="S27" i="86" s="1"/>
  <c r="AI130" i="59"/>
  <c r="V100" i="59"/>
  <c r="X89" i="100"/>
  <c r="BK54" i="100"/>
  <c r="L60" i="66"/>
  <c r="N60" i="66"/>
  <c r="M60" i="66"/>
  <c r="AT19" i="59"/>
  <c r="AR19" i="59" s="1"/>
  <c r="AO19" i="59" s="1"/>
  <c r="BI55" i="105"/>
  <c r="BH56" i="105"/>
  <c r="AV25" i="91"/>
  <c r="BG25" i="91" s="1"/>
  <c r="AP60" i="86"/>
  <c r="AQ59" i="86"/>
  <c r="AT55" i="105"/>
  <c r="AP56" i="105"/>
  <c r="AQ55" i="105"/>
  <c r="AP57" i="100"/>
  <c r="AT56" i="100"/>
  <c r="AQ56" i="100"/>
  <c r="V55" i="86"/>
  <c r="U56" i="86"/>
  <c r="X83" i="106"/>
  <c r="J48" i="106"/>
  <c r="BK48" i="106"/>
  <c r="K49" i="106"/>
  <c r="AU38" i="100"/>
  <c r="AY38" i="100" s="1"/>
  <c r="AW38" i="100" s="1"/>
  <c r="AV38" i="100" s="1"/>
  <c r="BG38" i="100" s="1"/>
  <c r="BL83" i="100"/>
  <c r="BI54" i="86"/>
  <c r="BH55" i="86"/>
  <c r="AM70" i="78"/>
  <c r="AO31" i="78"/>
  <c r="U55" i="105"/>
  <c r="V54" i="105"/>
  <c r="I55" i="100"/>
  <c r="G56" i="100"/>
  <c r="K55" i="100"/>
  <c r="H55" i="100"/>
  <c r="BJ55" i="100" s="1"/>
  <c r="AZ48" i="105"/>
  <c r="AS48" i="105" s="1"/>
  <c r="BA48" i="105"/>
  <c r="F49" i="108"/>
  <c r="E49" i="108"/>
  <c r="G49" i="108"/>
  <c r="Q58" i="106"/>
  <c r="R58" i="106"/>
  <c r="AM62" i="86"/>
  <c r="AS23" i="86"/>
  <c r="AO23" i="86"/>
  <c r="AO55" i="100"/>
  <c r="AM94" i="100"/>
  <c r="Y91" i="106"/>
  <c r="AL133" i="106"/>
  <c r="Q54" i="86"/>
  <c r="R54" i="86"/>
  <c r="Q53" i="100"/>
  <c r="J53" i="100" s="1"/>
  <c r="R53" i="100"/>
  <c r="AU25" i="88"/>
  <c r="AY25" i="88" s="1"/>
  <c r="AW25" i="88" s="1"/>
  <c r="AT25" i="88" s="1"/>
  <c r="BL70" i="88"/>
  <c r="R55" i="75"/>
  <c r="Q55" i="75"/>
  <c r="W62" i="88"/>
  <c r="L27" i="88"/>
  <c r="P27" i="88" s="1"/>
  <c r="N27" i="88" s="1"/>
  <c r="BI54" i="100"/>
  <c r="BH55" i="100"/>
  <c r="V59" i="91"/>
  <c r="U60" i="91"/>
  <c r="AQ61" i="75"/>
  <c r="AP62" i="75"/>
  <c r="V59" i="106"/>
  <c r="U60" i="106"/>
  <c r="AL139" i="78"/>
  <c r="Y102" i="78"/>
  <c r="AU26" i="75"/>
  <c r="BL71" i="75"/>
  <c r="AL133" i="75"/>
  <c r="Y91" i="75"/>
  <c r="A74" i="107"/>
  <c r="B73" i="107"/>
  <c r="E65" i="107"/>
  <c r="F65" i="107"/>
  <c r="G65" i="107"/>
  <c r="D65" i="107" s="1"/>
  <c r="C66" i="107" s="1"/>
  <c r="E60" i="103"/>
  <c r="J59" i="103"/>
  <c r="F59" i="103"/>
  <c r="AZ59" i="103" s="1"/>
  <c r="AL137" i="105"/>
  <c r="Y95" i="105"/>
  <c r="BA47" i="100"/>
  <c r="AZ47" i="100"/>
  <c r="AS47" i="100" s="1"/>
  <c r="BA49" i="75"/>
  <c r="AZ49" i="75"/>
  <c r="R58" i="91"/>
  <c r="Q58" i="91"/>
  <c r="G56" i="88"/>
  <c r="H55" i="88"/>
  <c r="BJ55" i="88" s="1"/>
  <c r="L31" i="78"/>
  <c r="R31" i="78" s="1"/>
  <c r="W121" i="66"/>
  <c r="O120" i="66"/>
  <c r="AO25" i="75"/>
  <c r="AS25" i="75"/>
  <c r="AM64" i="75"/>
  <c r="AQ56" i="106"/>
  <c r="AP57" i="106"/>
  <c r="AT56" i="106"/>
  <c r="G60" i="91"/>
  <c r="H59" i="91"/>
  <c r="BJ59" i="91" s="1"/>
  <c r="L34" i="106"/>
  <c r="P34" i="106" s="1"/>
  <c r="N34" i="106" s="1"/>
  <c r="W69" i="106"/>
  <c r="Q55" i="78"/>
  <c r="P55" i="78"/>
  <c r="BH58" i="91"/>
  <c r="BI57" i="91"/>
  <c r="BI56" i="75"/>
  <c r="BH57" i="75"/>
  <c r="H57" i="106"/>
  <c r="BJ57" i="106" s="1"/>
  <c r="G58" i="106"/>
  <c r="BH57" i="88"/>
  <c r="BI56" i="88"/>
  <c r="P20" i="59"/>
  <c r="O20" i="59"/>
  <c r="AL130" i="86"/>
  <c r="Y88" i="86"/>
  <c r="AV32" i="78"/>
  <c r="G58" i="75"/>
  <c r="H57" i="75"/>
  <c r="BJ57" i="75" s="1"/>
  <c r="BH55" i="106"/>
  <c r="BI54" i="106"/>
  <c r="Y88" i="100"/>
  <c r="AL130" i="100"/>
  <c r="AM94" i="106"/>
  <c r="AO55" i="106"/>
  <c r="U59" i="88"/>
  <c r="V58" i="88"/>
  <c r="AV23" i="86"/>
  <c r="BG23" i="86" s="1"/>
  <c r="BI55" i="109"/>
  <c r="BJ54" i="109"/>
  <c r="BB47" i="109"/>
  <c r="BA47" i="109"/>
  <c r="AT47" i="109" s="1"/>
  <c r="R54" i="110"/>
  <c r="S53" i="110"/>
  <c r="U56" i="109"/>
  <c r="V55" i="109"/>
  <c r="R54" i="109"/>
  <c r="Q54" i="109"/>
  <c r="X68" i="75"/>
  <c r="J33" i="75"/>
  <c r="BK33" i="75"/>
  <c r="W69" i="75"/>
  <c r="L34" i="75"/>
  <c r="P34" i="75" s="1"/>
  <c r="N34" i="75" s="1"/>
  <c r="G18" i="111"/>
  <c r="K18" i="111" s="1"/>
  <c r="Q18" i="111" s="1"/>
  <c r="E60" i="111"/>
  <c r="J59" i="111"/>
  <c r="F59" i="111"/>
  <c r="AZ59" i="111" s="1"/>
  <c r="J23" i="94"/>
  <c r="BB64" i="111"/>
  <c r="AP18" i="111"/>
  <c r="AY18" i="111"/>
  <c r="M19" i="111"/>
  <c r="L24" i="94"/>
  <c r="P24" i="94" s="1"/>
  <c r="N24" i="94" s="1"/>
  <c r="X59" i="94"/>
  <c r="BL23" i="94"/>
  <c r="AX57" i="111"/>
  <c r="Y58" i="94"/>
  <c r="P25" i="109"/>
  <c r="N25" i="109" s="1"/>
  <c r="X60" i="109"/>
  <c r="R53" i="94"/>
  <c r="Q53" i="94"/>
  <c r="U55" i="94"/>
  <c r="V54" i="94"/>
  <c r="AM130" i="109"/>
  <c r="Z88" i="109"/>
  <c r="AP18" i="110"/>
  <c r="AI59" i="110"/>
  <c r="AY18" i="110"/>
  <c r="BB64" i="110"/>
  <c r="M19" i="112"/>
  <c r="G18" i="112"/>
  <c r="AN86" i="109"/>
  <c r="AU48" i="109"/>
  <c r="AP47" i="109"/>
  <c r="AK58" i="112"/>
  <c r="AV17" i="112"/>
  <c r="AU17" i="112"/>
  <c r="AT17" i="112" s="1"/>
  <c r="J57" i="112"/>
  <c r="E58" i="112"/>
  <c r="F57" i="112"/>
  <c r="AZ57" i="112" s="1"/>
  <c r="AM59" i="112"/>
  <c r="AN58" i="112"/>
  <c r="AX57" i="112"/>
  <c r="BB48" i="94"/>
  <c r="BA48" i="94"/>
  <c r="AT48" i="94" s="1"/>
  <c r="BI56" i="94"/>
  <c r="BJ55" i="94"/>
  <c r="Z90" i="94"/>
  <c r="AM132" i="94"/>
  <c r="G56" i="94"/>
  <c r="H55" i="94"/>
  <c r="BK55" i="94" s="1"/>
  <c r="T55" i="94"/>
  <c r="W55" i="94"/>
  <c r="I55" i="94"/>
  <c r="AQ56" i="94"/>
  <c r="AR55" i="94"/>
  <c r="AI59" i="111"/>
  <c r="AJ58" i="111"/>
  <c r="T60" i="110"/>
  <c r="V60" i="110" s="1"/>
  <c r="H19" i="110"/>
  <c r="AV37" i="109"/>
  <c r="AZ37" i="109" s="1"/>
  <c r="AX37" i="109" s="1"/>
  <c r="AW37" i="109" s="1"/>
  <c r="BH37" i="109" s="1"/>
  <c r="BM82" i="109"/>
  <c r="BA18" i="110"/>
  <c r="AU19" i="103"/>
  <c r="AT19" i="103" s="1"/>
  <c r="AV19" i="103"/>
  <c r="AN90" i="94"/>
  <c r="AP51" i="94"/>
  <c r="AU52" i="94"/>
  <c r="AK60" i="103"/>
  <c r="AV35" i="94"/>
  <c r="AZ35" i="94" s="1"/>
  <c r="AX35" i="94" s="1"/>
  <c r="AW35" i="94" s="1"/>
  <c r="BH35" i="94" s="1"/>
  <c r="BM80" i="94"/>
  <c r="M17" i="61"/>
  <c r="K17" i="61" s="1"/>
  <c r="P34" i="100" l="1"/>
  <c r="N34" i="100" s="1"/>
  <c r="M34" i="100"/>
  <c r="S34" i="100" s="1"/>
  <c r="AU39" i="105"/>
  <c r="AY39" i="105" s="1"/>
  <c r="AW39" i="105" s="1"/>
  <c r="BL84" i="105"/>
  <c r="AV39" i="105"/>
  <c r="BG39" i="105" s="1"/>
  <c r="K28" i="91"/>
  <c r="W63" i="91"/>
  <c r="L28" i="91"/>
  <c r="P28" i="91" s="1"/>
  <c r="N28" i="91" s="1"/>
  <c r="M28" i="91" s="1"/>
  <c r="S28" i="91" s="1"/>
  <c r="AU39" i="100"/>
  <c r="AY39" i="100" s="1"/>
  <c r="AW39" i="100" s="1"/>
  <c r="AV39" i="100" s="1"/>
  <c r="BG39" i="100" s="1"/>
  <c r="BL84" i="100"/>
  <c r="AU39" i="106"/>
  <c r="AY39" i="106" s="1"/>
  <c r="BL84" i="106"/>
  <c r="AV39" i="106"/>
  <c r="BG39" i="106" s="1"/>
  <c r="E66" i="107"/>
  <c r="G66" i="107" s="1"/>
  <c r="D66" i="107" s="1"/>
  <c r="C67" i="107" s="1"/>
  <c r="F66" i="107"/>
  <c r="AM64" i="88"/>
  <c r="AS25" i="88"/>
  <c r="AO25" i="88"/>
  <c r="G59" i="75"/>
  <c r="H58" i="75"/>
  <c r="BJ58" i="75" s="1"/>
  <c r="BA50" i="88"/>
  <c r="AZ50" i="88"/>
  <c r="AZ50" i="75"/>
  <c r="BA50" i="75"/>
  <c r="AO56" i="106"/>
  <c r="AM95" i="106"/>
  <c r="J60" i="103"/>
  <c r="E61" i="103"/>
  <c r="F60" i="103"/>
  <c r="AZ60" i="103" s="1"/>
  <c r="V60" i="106"/>
  <c r="U61" i="106"/>
  <c r="K27" i="88"/>
  <c r="AV25" i="88"/>
  <c r="BG25" i="88" s="1"/>
  <c r="R54" i="105"/>
  <c r="Q54" i="105"/>
  <c r="AU26" i="91"/>
  <c r="AY26" i="91" s="1"/>
  <c r="AW26" i="91" s="1"/>
  <c r="AT26" i="91" s="1"/>
  <c r="BL71" i="91"/>
  <c r="AQ19" i="59"/>
  <c r="G57" i="109"/>
  <c r="T56" i="109"/>
  <c r="W56" i="109"/>
  <c r="H56" i="109"/>
  <c r="BK56" i="109" s="1"/>
  <c r="I56" i="109"/>
  <c r="AZ51" i="91"/>
  <c r="BA51" i="91"/>
  <c r="AV57" i="91"/>
  <c r="AP58" i="106"/>
  <c r="AT57" i="106"/>
  <c r="AQ57" i="106"/>
  <c r="AU24" i="86"/>
  <c r="AY24" i="86" s="1"/>
  <c r="AW24" i="86" s="1"/>
  <c r="AT24" i="86" s="1"/>
  <c r="BL69" i="86"/>
  <c r="AL131" i="86"/>
  <c r="Y89" i="86"/>
  <c r="BI58" i="91"/>
  <c r="BH59" i="91"/>
  <c r="AQ62" i="75"/>
  <c r="AP63" i="75"/>
  <c r="D49" i="108"/>
  <c r="C50" i="108" s="1"/>
  <c r="BK49" i="106"/>
  <c r="X84" i="106"/>
  <c r="J49" i="106"/>
  <c r="K50" i="106"/>
  <c r="AP58" i="100"/>
  <c r="AT57" i="100"/>
  <c r="AQ57" i="100"/>
  <c r="AZ49" i="105"/>
  <c r="AS49" i="105" s="1"/>
  <c r="BA49" i="105"/>
  <c r="AI131" i="59"/>
  <c r="V101" i="59"/>
  <c r="V57" i="75"/>
  <c r="U58" i="75"/>
  <c r="V21" i="66"/>
  <c r="Z21" i="66"/>
  <c r="Y92" i="91"/>
  <c r="AL134" i="91"/>
  <c r="AO56" i="100"/>
  <c r="AM95" i="100"/>
  <c r="R58" i="88"/>
  <c r="Q58" i="88"/>
  <c r="AL131" i="100"/>
  <c r="Y89" i="100"/>
  <c r="K32" i="78"/>
  <c r="O32" i="78" s="1"/>
  <c r="M32" i="78" s="1"/>
  <c r="N33" i="78" s="1"/>
  <c r="W72" i="78"/>
  <c r="AL19" i="59"/>
  <c r="AJ58" i="59"/>
  <c r="Q56" i="75"/>
  <c r="R56" i="75"/>
  <c r="B71" i="108"/>
  <c r="A72" i="108"/>
  <c r="G58" i="78"/>
  <c r="H57" i="78"/>
  <c r="BI63" i="78" s="1"/>
  <c r="Q56" i="78"/>
  <c r="P56" i="78"/>
  <c r="BH58" i="88"/>
  <c r="BI57" i="88"/>
  <c r="O121" i="66"/>
  <c r="W122" i="66"/>
  <c r="U60" i="88"/>
  <c r="V59" i="88"/>
  <c r="AZ48" i="106"/>
  <c r="AS48" i="106" s="1"/>
  <c r="BA48" i="106"/>
  <c r="AL138" i="105"/>
  <c r="Y96" i="105"/>
  <c r="U61" i="91"/>
  <c r="V60" i="91"/>
  <c r="BK55" i="100"/>
  <c r="X90" i="100"/>
  <c r="BH56" i="86"/>
  <c r="BI55" i="86"/>
  <c r="AP57" i="105"/>
  <c r="AT56" i="105"/>
  <c r="AQ56" i="105"/>
  <c r="L28" i="86"/>
  <c r="P28" i="86" s="1"/>
  <c r="N28" i="86" s="1"/>
  <c r="W63" i="86"/>
  <c r="X71" i="78"/>
  <c r="BI37" i="78"/>
  <c r="Q54" i="100"/>
  <c r="J54" i="100" s="1"/>
  <c r="R54" i="100"/>
  <c r="L61" i="66"/>
  <c r="N61" i="66"/>
  <c r="M61" i="66"/>
  <c r="AP58" i="88"/>
  <c r="AQ57" i="88"/>
  <c r="G59" i="86"/>
  <c r="H58" i="86"/>
  <c r="BJ58" i="86" s="1"/>
  <c r="AT32" i="78"/>
  <c r="BE32" i="78"/>
  <c r="AX32" i="78"/>
  <c r="AY32" i="78"/>
  <c r="U57" i="78"/>
  <c r="T58" i="78"/>
  <c r="V55" i="105"/>
  <c r="U56" i="105"/>
  <c r="BI55" i="106"/>
  <c r="BH56" i="106"/>
  <c r="G59" i="106"/>
  <c r="H58" i="106"/>
  <c r="BJ58" i="106" s="1"/>
  <c r="AY26" i="75"/>
  <c r="AW26" i="75" s="1"/>
  <c r="R59" i="91"/>
  <c r="Q59" i="91"/>
  <c r="G57" i="100"/>
  <c r="K56" i="100"/>
  <c r="I56" i="100"/>
  <c r="H56" i="100"/>
  <c r="BJ56" i="100" s="1"/>
  <c r="BA48" i="86"/>
  <c r="AZ48" i="86"/>
  <c r="AO55" i="105"/>
  <c r="AM94" i="105"/>
  <c r="X62" i="91"/>
  <c r="BK27" i="91"/>
  <c r="J27" i="91"/>
  <c r="U56" i="100"/>
  <c r="V55" i="100"/>
  <c r="M39" i="105"/>
  <c r="S39" i="105" s="1"/>
  <c r="G57" i="88"/>
  <c r="H56" i="88"/>
  <c r="BJ56" i="88" s="1"/>
  <c r="Q59" i="106"/>
  <c r="R59" i="106"/>
  <c r="BI56" i="105"/>
  <c r="BH57" i="105"/>
  <c r="E87" i="110"/>
  <c r="J86" i="110"/>
  <c r="F86" i="110"/>
  <c r="AZ86" i="110" s="1"/>
  <c r="G61" i="91"/>
  <c r="H60" i="91"/>
  <c r="BJ60" i="91" s="1"/>
  <c r="B74" i="107"/>
  <c r="A75" i="107"/>
  <c r="AL140" i="78"/>
  <c r="Y103" i="78"/>
  <c r="BH56" i="100"/>
  <c r="BI55" i="100"/>
  <c r="V56" i="86"/>
  <c r="U57" i="86"/>
  <c r="AQ58" i="91"/>
  <c r="AP59" i="91"/>
  <c r="X87" i="105"/>
  <c r="J52" i="105"/>
  <c r="BK52" i="105"/>
  <c r="K53" i="105"/>
  <c r="AS20" i="59"/>
  <c r="AA62" i="66"/>
  <c r="U62" i="66"/>
  <c r="G62" i="66"/>
  <c r="F63" i="66"/>
  <c r="AL132" i="88"/>
  <c r="Y90" i="88"/>
  <c r="AP79" i="78"/>
  <c r="AQ78" i="78"/>
  <c r="Y92" i="106"/>
  <c r="AL134" i="106"/>
  <c r="M21" i="59"/>
  <c r="K20" i="59"/>
  <c r="BI57" i="75"/>
  <c r="BH58" i="75"/>
  <c r="M34" i="106"/>
  <c r="S34" i="106" s="1"/>
  <c r="Y92" i="75"/>
  <c r="AL134" i="75"/>
  <c r="BA48" i="100"/>
  <c r="AZ48" i="100"/>
  <c r="AS48" i="100" s="1"/>
  <c r="Q55" i="86"/>
  <c r="R55" i="86"/>
  <c r="AP61" i="86"/>
  <c r="AQ60" i="86"/>
  <c r="G58" i="105"/>
  <c r="I57" i="105"/>
  <c r="H57" i="105"/>
  <c r="BJ57" i="105" s="1"/>
  <c r="BA48" i="109"/>
  <c r="BB48" i="109"/>
  <c r="BJ55" i="109"/>
  <c r="BI56" i="109"/>
  <c r="R55" i="110"/>
  <c r="S54" i="110"/>
  <c r="R55" i="109"/>
  <c r="Q55" i="109"/>
  <c r="U57" i="109"/>
  <c r="V56" i="109"/>
  <c r="K34" i="75"/>
  <c r="H19" i="111"/>
  <c r="S19" i="111"/>
  <c r="T60" i="111"/>
  <c r="V60" i="111" s="1"/>
  <c r="AT18" i="111"/>
  <c r="J60" i="111"/>
  <c r="E61" i="111"/>
  <c r="F60" i="111"/>
  <c r="AZ60" i="111" s="1"/>
  <c r="AU18" i="111"/>
  <c r="AV18" i="111"/>
  <c r="BA18" i="111"/>
  <c r="K24" i="94"/>
  <c r="AX58" i="111"/>
  <c r="K25" i="109"/>
  <c r="M25" i="109" s="1"/>
  <c r="S25" i="109" s="1"/>
  <c r="L26" i="109" s="1"/>
  <c r="R54" i="94"/>
  <c r="Q54" i="94"/>
  <c r="U56" i="94"/>
  <c r="V55" i="94"/>
  <c r="AM131" i="109"/>
  <c r="Z89" i="109"/>
  <c r="AV18" i="110"/>
  <c r="AU18" i="110"/>
  <c r="AK59" i="110"/>
  <c r="K18" i="112"/>
  <c r="Q18" i="112" s="1"/>
  <c r="BA18" i="112"/>
  <c r="U59" i="110"/>
  <c r="AP48" i="109"/>
  <c r="AU49" i="109"/>
  <c r="AT48" i="109"/>
  <c r="AN87" i="109"/>
  <c r="AM60" i="112"/>
  <c r="AN59" i="112"/>
  <c r="AR17" i="112"/>
  <c r="AS18" i="112" s="1"/>
  <c r="AX58" i="112"/>
  <c r="J58" i="112"/>
  <c r="E59" i="112"/>
  <c r="F58" i="112"/>
  <c r="AZ58" i="112" s="1"/>
  <c r="BB49" i="94"/>
  <c r="BA49" i="94"/>
  <c r="AT49" i="94" s="1"/>
  <c r="BI57" i="94"/>
  <c r="BJ56" i="94"/>
  <c r="Z91" i="94"/>
  <c r="AM133" i="94"/>
  <c r="AQ57" i="94"/>
  <c r="AR56" i="94"/>
  <c r="G57" i="94"/>
  <c r="H56" i="94"/>
  <c r="BK56" i="94" s="1"/>
  <c r="I56" i="94"/>
  <c r="AK59" i="111"/>
  <c r="AV38" i="109"/>
  <c r="AZ38" i="109" s="1"/>
  <c r="AX38" i="109" s="1"/>
  <c r="AW38" i="109" s="1"/>
  <c r="BH38" i="109" s="1"/>
  <c r="BM83" i="109"/>
  <c r="O19" i="110"/>
  <c r="N19" i="110" s="1"/>
  <c r="L19" i="110" s="1"/>
  <c r="P19" i="110"/>
  <c r="I19" i="110"/>
  <c r="AR19" i="103"/>
  <c r="BC19" i="103" s="1"/>
  <c r="AV36" i="94"/>
  <c r="AZ36" i="94" s="1"/>
  <c r="AX36" i="94" s="1"/>
  <c r="AW36" i="94" s="1"/>
  <c r="BH36" i="94" s="1"/>
  <c r="BM81" i="94"/>
  <c r="AU53" i="94"/>
  <c r="AP52" i="94"/>
  <c r="AN91" i="94"/>
  <c r="H17" i="61"/>
  <c r="J17" i="61" s="1"/>
  <c r="L18" i="61"/>
  <c r="W70" i="100" l="1"/>
  <c r="L35" i="100"/>
  <c r="AO24" i="86"/>
  <c r="AM63" i="86"/>
  <c r="AS24" i="86"/>
  <c r="AV24" i="86"/>
  <c r="BG24" i="86" s="1"/>
  <c r="AU40" i="100"/>
  <c r="AY40" i="100" s="1"/>
  <c r="AW40" i="100" s="1"/>
  <c r="AV40" i="100" s="1"/>
  <c r="BG40" i="100" s="1"/>
  <c r="BL85" i="100"/>
  <c r="W64" i="91"/>
  <c r="L29" i="91"/>
  <c r="P29" i="91" s="1"/>
  <c r="N29" i="91" s="1"/>
  <c r="G67" i="107"/>
  <c r="D67" i="107" s="1"/>
  <c r="C68" i="107" s="1"/>
  <c r="E67" i="107"/>
  <c r="F67" i="107"/>
  <c r="AU40" i="106"/>
  <c r="AY40" i="106" s="1"/>
  <c r="BL85" i="106"/>
  <c r="AV40" i="106"/>
  <c r="BG40" i="106"/>
  <c r="AU40" i="105"/>
  <c r="AY40" i="105" s="1"/>
  <c r="AW40" i="105" s="1"/>
  <c r="AV40" i="105" s="1"/>
  <c r="BG40" i="105" s="1"/>
  <c r="BL85" i="105"/>
  <c r="AS26" i="91"/>
  <c r="AO26" i="91"/>
  <c r="AM65" i="91"/>
  <c r="AL135" i="106"/>
  <c r="Y93" i="106"/>
  <c r="A76" i="107"/>
  <c r="B75" i="107"/>
  <c r="G60" i="106"/>
  <c r="H59" i="106"/>
  <c r="BJ59" i="106" s="1"/>
  <c r="AV33" i="78"/>
  <c r="G60" i="86"/>
  <c r="H59" i="86"/>
  <c r="BJ59" i="86" s="1"/>
  <c r="AM95" i="105"/>
  <c r="AO56" i="105"/>
  <c r="V61" i="91"/>
  <c r="U62" i="91"/>
  <c r="K22" i="66"/>
  <c r="J22" i="66"/>
  <c r="I22" i="66" s="1"/>
  <c r="X22" i="66"/>
  <c r="G50" i="108"/>
  <c r="E50" i="108"/>
  <c r="F50" i="108"/>
  <c r="T57" i="109"/>
  <c r="W57" i="109"/>
  <c r="G58" i="109"/>
  <c r="H57" i="109"/>
  <c r="BK57" i="109" s="1"/>
  <c r="I57" i="109"/>
  <c r="AQ61" i="86"/>
  <c r="AP62" i="86"/>
  <c r="Y93" i="75"/>
  <c r="AL135" i="75"/>
  <c r="BI56" i="106"/>
  <c r="BH57" i="106"/>
  <c r="BH39" i="78"/>
  <c r="BJ78" i="78"/>
  <c r="AS33" i="78"/>
  <c r="AP58" i="105"/>
  <c r="AT57" i="105"/>
  <c r="AQ57" i="105"/>
  <c r="Y97" i="105"/>
  <c r="AL139" i="105"/>
  <c r="R59" i="88"/>
  <c r="Q59" i="88"/>
  <c r="H58" i="78"/>
  <c r="BI64" i="78" s="1"/>
  <c r="G59" i="78"/>
  <c r="J32" i="78"/>
  <c r="V58" i="75"/>
  <c r="U59" i="75"/>
  <c r="AP64" i="75"/>
  <c r="AQ63" i="75"/>
  <c r="BB19" i="59"/>
  <c r="AU26" i="88"/>
  <c r="AY26" i="88" s="1"/>
  <c r="AW26" i="88" s="1"/>
  <c r="AV26" i="88" s="1"/>
  <c r="BG26" i="88" s="1"/>
  <c r="AT26" i="88"/>
  <c r="BL71" i="88"/>
  <c r="G59" i="105"/>
  <c r="H58" i="105"/>
  <c r="BJ58" i="105" s="1"/>
  <c r="I58" i="105"/>
  <c r="AR18" i="111"/>
  <c r="L35" i="106"/>
  <c r="P35" i="106" s="1"/>
  <c r="N35" i="106" s="1"/>
  <c r="M35" i="106"/>
  <c r="S35" i="106" s="1"/>
  <c r="W70" i="106"/>
  <c r="AP80" i="78"/>
  <c r="AQ79" i="78"/>
  <c r="V57" i="86"/>
  <c r="U58" i="86"/>
  <c r="E88" i="110"/>
  <c r="J87" i="110"/>
  <c r="F87" i="110"/>
  <c r="AZ87" i="110" s="1"/>
  <c r="BA49" i="106"/>
  <c r="AZ49" i="106"/>
  <c r="AS49" i="106" s="1"/>
  <c r="AP59" i="88"/>
  <c r="AQ58" i="88"/>
  <c r="BA49" i="86"/>
  <c r="AZ49" i="86"/>
  <c r="V60" i="88"/>
  <c r="U61" i="88"/>
  <c r="B72" i="108"/>
  <c r="A73" i="108"/>
  <c r="R57" i="75"/>
  <c r="Q57" i="75"/>
  <c r="AM96" i="100"/>
  <c r="AO57" i="100"/>
  <c r="AV26" i="91"/>
  <c r="BG26" i="91" s="1"/>
  <c r="BK27" i="88"/>
  <c r="X62" i="88"/>
  <c r="J27" i="88"/>
  <c r="BI58" i="75"/>
  <c r="BH59" i="75"/>
  <c r="AL133" i="88"/>
  <c r="Y91" i="88"/>
  <c r="X88" i="105"/>
  <c r="BK53" i="105"/>
  <c r="J53" i="105"/>
  <c r="K54" i="105"/>
  <c r="Q56" i="86"/>
  <c r="R56" i="86"/>
  <c r="BH58" i="105"/>
  <c r="BI57" i="105"/>
  <c r="AT26" i="75"/>
  <c r="AV26" i="75" s="1"/>
  <c r="BG26" i="75" s="1"/>
  <c r="U57" i="105"/>
  <c r="V56" i="105"/>
  <c r="K28" i="86"/>
  <c r="BI56" i="86"/>
  <c r="BH57" i="86"/>
  <c r="AI132" i="59"/>
  <c r="V102" i="59"/>
  <c r="AP59" i="100"/>
  <c r="AT58" i="100"/>
  <c r="AQ58" i="100"/>
  <c r="BH60" i="91"/>
  <c r="BI59" i="91"/>
  <c r="U62" i="106"/>
  <c r="V61" i="106"/>
  <c r="AZ51" i="75"/>
  <c r="BA51" i="75"/>
  <c r="G58" i="88"/>
  <c r="H57" i="88"/>
  <c r="BJ57" i="88" s="1"/>
  <c r="X91" i="100"/>
  <c r="BK56" i="100"/>
  <c r="O122" i="66"/>
  <c r="W123" i="66"/>
  <c r="X85" i="106"/>
  <c r="J50" i="106"/>
  <c r="BK50" i="106"/>
  <c r="K51" i="106"/>
  <c r="AZ52" i="91"/>
  <c r="BA52" i="91"/>
  <c r="AV58" i="91"/>
  <c r="AW32" i="78"/>
  <c r="AU32" i="78" s="1"/>
  <c r="AR32" i="78" s="1"/>
  <c r="Q60" i="106"/>
  <c r="R60" i="106"/>
  <c r="BA49" i="100"/>
  <c r="AZ49" i="100"/>
  <c r="AS49" i="100" s="1"/>
  <c r="Q20" i="59"/>
  <c r="U67" i="59"/>
  <c r="BH57" i="100"/>
  <c r="BI56" i="100"/>
  <c r="M40" i="105"/>
  <c r="L40" i="105"/>
  <c r="P40" i="105" s="1"/>
  <c r="N40" i="105" s="1"/>
  <c r="S40" i="105"/>
  <c r="W75" i="105"/>
  <c r="G58" i="100"/>
  <c r="K57" i="100"/>
  <c r="I57" i="100"/>
  <c r="H57" i="100"/>
  <c r="BJ57" i="100" s="1"/>
  <c r="T59" i="78"/>
  <c r="U58" i="78"/>
  <c r="AL132" i="86"/>
  <c r="Y90" i="86"/>
  <c r="H59" i="75"/>
  <c r="BJ59" i="75" s="1"/>
  <c r="G60" i="75"/>
  <c r="BA50" i="105"/>
  <c r="AZ50" i="105"/>
  <c r="AS50" i="105" s="1"/>
  <c r="R55" i="105"/>
  <c r="Q55" i="105"/>
  <c r="AA63" i="66"/>
  <c r="U63" i="66"/>
  <c r="F64" i="66"/>
  <c r="G63" i="66"/>
  <c r="Y104" i="78"/>
  <c r="AL141" i="78"/>
  <c r="R55" i="100"/>
  <c r="Q55" i="100"/>
  <c r="J55" i="100" s="1"/>
  <c r="P57" i="78"/>
  <c r="Q57" i="78"/>
  <c r="AZ51" i="88"/>
  <c r="BA51" i="88"/>
  <c r="Y90" i="100"/>
  <c r="AL132" i="100"/>
  <c r="AL135" i="91"/>
  <c r="Y93" i="91"/>
  <c r="AM96" i="106"/>
  <c r="AO57" i="106"/>
  <c r="E62" i="103"/>
  <c r="J61" i="103"/>
  <c r="F61" i="103"/>
  <c r="AZ61" i="103" s="1"/>
  <c r="M27" i="88"/>
  <c r="S27" i="88" s="1"/>
  <c r="N62" i="66"/>
  <c r="M62" i="66"/>
  <c r="L62" i="66"/>
  <c r="AQ59" i="91"/>
  <c r="AP60" i="91"/>
  <c r="G62" i="91"/>
  <c r="H61" i="91"/>
  <c r="BJ61" i="91" s="1"/>
  <c r="V56" i="100"/>
  <c r="U57" i="100"/>
  <c r="Q60" i="91"/>
  <c r="R60" i="91"/>
  <c r="BI58" i="88"/>
  <c r="BH59" i="88"/>
  <c r="AP59" i="106"/>
  <c r="AQ58" i="106"/>
  <c r="AT58" i="106"/>
  <c r="BK28" i="91"/>
  <c r="J28" i="91"/>
  <c r="X63" i="91"/>
  <c r="BA49" i="109"/>
  <c r="AT49" i="109" s="1"/>
  <c r="BB49" i="109"/>
  <c r="BJ56" i="109"/>
  <c r="BI57" i="109"/>
  <c r="R56" i="110"/>
  <c r="S55" i="110"/>
  <c r="U58" i="109"/>
  <c r="V57" i="109"/>
  <c r="Q56" i="109"/>
  <c r="R56" i="109"/>
  <c r="Y60" i="109"/>
  <c r="J25" i="109"/>
  <c r="BK34" i="75"/>
  <c r="X69" i="75"/>
  <c r="J34" i="75"/>
  <c r="M34" i="75"/>
  <c r="S34" i="75" s="1"/>
  <c r="J61" i="111"/>
  <c r="E62" i="111"/>
  <c r="F61" i="111"/>
  <c r="AZ61" i="111" s="1"/>
  <c r="U59" i="111"/>
  <c r="AS19" i="111"/>
  <c r="O19" i="111"/>
  <c r="P19" i="111"/>
  <c r="BC18" i="111"/>
  <c r="AO18" i="111"/>
  <c r="N19" i="111"/>
  <c r="L19" i="111" s="1"/>
  <c r="G19" i="111" s="1"/>
  <c r="BA19" i="111" s="1"/>
  <c r="I19" i="111"/>
  <c r="M24" i="94"/>
  <c r="S24" i="94" s="1"/>
  <c r="J24" i="94"/>
  <c r="Y59" i="94"/>
  <c r="BL24" i="94"/>
  <c r="AX59" i="111"/>
  <c r="X61" i="109"/>
  <c r="K26" i="109"/>
  <c r="BL25" i="109"/>
  <c r="R55" i="94"/>
  <c r="Q55" i="94"/>
  <c r="U57" i="94"/>
  <c r="V56" i="94"/>
  <c r="Z90" i="109"/>
  <c r="AM132" i="109"/>
  <c r="AT18" i="110"/>
  <c r="AR18" i="110" s="1"/>
  <c r="AS19" i="110" s="1"/>
  <c r="H19" i="112"/>
  <c r="T60" i="112"/>
  <c r="S19" i="112"/>
  <c r="AU50" i="109"/>
  <c r="AP49" i="109"/>
  <c r="AN88" i="109"/>
  <c r="AX59" i="112"/>
  <c r="AM61" i="112"/>
  <c r="AN60" i="112"/>
  <c r="AO17" i="112"/>
  <c r="AQ17" i="112" s="1"/>
  <c r="AW17" i="112" s="1"/>
  <c r="BC17" i="112"/>
  <c r="J59" i="112"/>
  <c r="E60" i="112"/>
  <c r="F59" i="112"/>
  <c r="AZ59" i="112" s="1"/>
  <c r="BA50" i="94"/>
  <c r="AT50" i="94" s="1"/>
  <c r="BB50" i="94"/>
  <c r="BI58" i="94"/>
  <c r="BJ57" i="94"/>
  <c r="W57" i="94"/>
  <c r="G58" i="94"/>
  <c r="T57" i="94"/>
  <c r="H57" i="94"/>
  <c r="BK57" i="94" s="1"/>
  <c r="I57" i="94"/>
  <c r="AR57" i="94"/>
  <c r="AQ58" i="94"/>
  <c r="Z92" i="94"/>
  <c r="AM134" i="94"/>
  <c r="AS20" i="103"/>
  <c r="AO19" i="103"/>
  <c r="AJ60" i="103" s="1"/>
  <c r="G19" i="110"/>
  <c r="K19" i="110" s="1"/>
  <c r="Q19" i="110" s="1"/>
  <c r="AV39" i="109"/>
  <c r="AZ39" i="109" s="1"/>
  <c r="AX39" i="109" s="1"/>
  <c r="AW39" i="109" s="1"/>
  <c r="BH39" i="109" s="1"/>
  <c r="BM84" i="109"/>
  <c r="M20" i="110"/>
  <c r="AV37" i="94"/>
  <c r="AZ37" i="94" s="1"/>
  <c r="AX37" i="94" s="1"/>
  <c r="AW37" i="94" s="1"/>
  <c r="BH37" i="94" s="1"/>
  <c r="BM82" i="94"/>
  <c r="AN92" i="94"/>
  <c r="AU54" i="94"/>
  <c r="AP53" i="94"/>
  <c r="P17" i="61"/>
  <c r="T47" i="61"/>
  <c r="P35" i="100" l="1"/>
  <c r="N35" i="100" s="1"/>
  <c r="M35" i="100"/>
  <c r="S35" i="100" s="1"/>
  <c r="AU27" i="75"/>
  <c r="AY27" i="75" s="1"/>
  <c r="AW27" i="75" s="1"/>
  <c r="AT27" i="75" s="1"/>
  <c r="BL72" i="75"/>
  <c r="AU41" i="105"/>
  <c r="AY41" i="105" s="1"/>
  <c r="AW41" i="105" s="1"/>
  <c r="BL86" i="105"/>
  <c r="AV41" i="105"/>
  <c r="BG41" i="105" s="1"/>
  <c r="AU41" i="100"/>
  <c r="AY41" i="100" s="1"/>
  <c r="AW41" i="100" s="1"/>
  <c r="AV41" i="100" s="1"/>
  <c r="BG41" i="100" s="1"/>
  <c r="BL86" i="100"/>
  <c r="M36" i="106"/>
  <c r="S36" i="106" s="1"/>
  <c r="L36" i="106"/>
  <c r="P36" i="106" s="1"/>
  <c r="N36" i="106" s="1"/>
  <c r="W71" i="106"/>
  <c r="AU27" i="88"/>
  <c r="AY27" i="88" s="1"/>
  <c r="AW27" i="88" s="1"/>
  <c r="AT27" i="88" s="1"/>
  <c r="BL72" i="88"/>
  <c r="E68" i="107"/>
  <c r="G68" i="107" s="1"/>
  <c r="D68" i="107" s="1"/>
  <c r="C69" i="107" s="1"/>
  <c r="F68" i="107"/>
  <c r="AQ59" i="106"/>
  <c r="AT59" i="106"/>
  <c r="AP60" i="106"/>
  <c r="T68" i="59"/>
  <c r="S21" i="59"/>
  <c r="J21" i="59"/>
  <c r="R61" i="106"/>
  <c r="Q61" i="106"/>
  <c r="AU27" i="91"/>
  <c r="AY27" i="91" s="1"/>
  <c r="AW27" i="91" s="1"/>
  <c r="AT27" i="91" s="1"/>
  <c r="BL72" i="91"/>
  <c r="U62" i="88"/>
  <c r="V61" i="88"/>
  <c r="Q57" i="86"/>
  <c r="R57" i="86"/>
  <c r="R58" i="75"/>
  <c r="Q58" i="75"/>
  <c r="G60" i="78"/>
  <c r="H59" i="78"/>
  <c r="BI65" i="78" s="1"/>
  <c r="AT58" i="105"/>
  <c r="AQ58" i="105"/>
  <c r="AP59" i="105"/>
  <c r="Y94" i="75"/>
  <c r="AL136" i="75"/>
  <c r="T22" i="66"/>
  <c r="S22" i="66"/>
  <c r="H60" i="86"/>
  <c r="BJ60" i="86" s="1"/>
  <c r="G61" i="86"/>
  <c r="A77" i="107"/>
  <c r="B76" i="107"/>
  <c r="BH60" i="88"/>
  <c r="BI59" i="88"/>
  <c r="Y94" i="91"/>
  <c r="AL136" i="91"/>
  <c r="Q58" i="78"/>
  <c r="P58" i="78"/>
  <c r="BH58" i="86"/>
  <c r="BI57" i="86"/>
  <c r="AL136" i="106"/>
  <c r="Y94" i="106"/>
  <c r="F65" i="66"/>
  <c r="G64" i="66"/>
  <c r="AA64" i="66"/>
  <c r="U64" i="66"/>
  <c r="U59" i="78"/>
  <c r="T60" i="78"/>
  <c r="L41" i="105"/>
  <c r="P41" i="105" s="1"/>
  <c r="N41" i="105" s="1"/>
  <c r="M41" i="105"/>
  <c r="S41" i="105"/>
  <c r="W76" i="105"/>
  <c r="AZ53" i="91"/>
  <c r="AV59" i="91"/>
  <c r="BA53" i="91"/>
  <c r="BA50" i="86"/>
  <c r="AZ50" i="86"/>
  <c r="BH59" i="105"/>
  <c r="BI58" i="105"/>
  <c r="AP81" i="78"/>
  <c r="AQ80" i="78"/>
  <c r="R22" i="66"/>
  <c r="P22" i="66" s="1"/>
  <c r="H22" i="66"/>
  <c r="AU41" i="106"/>
  <c r="AY41" i="106" s="1"/>
  <c r="BL86" i="106"/>
  <c r="W124" i="66"/>
  <c r="O123" i="66"/>
  <c r="Q60" i="88"/>
  <c r="R60" i="88"/>
  <c r="G59" i="88"/>
  <c r="H58" i="88"/>
  <c r="BJ58" i="88" s="1"/>
  <c r="BI60" i="91"/>
  <c r="BH61" i="91"/>
  <c r="BK28" i="86"/>
  <c r="J28" i="86"/>
  <c r="X63" i="86"/>
  <c r="BH60" i="75"/>
  <c r="BI59" i="75"/>
  <c r="BD26" i="59"/>
  <c r="AP20" i="59"/>
  <c r="BG65" i="59"/>
  <c r="M28" i="86"/>
  <c r="S28" i="86" s="1"/>
  <c r="L63" i="66"/>
  <c r="N63" i="66"/>
  <c r="M63" i="66"/>
  <c r="AL134" i="88"/>
  <c r="Y92" i="88"/>
  <c r="AM65" i="88"/>
  <c r="AS26" i="88"/>
  <c r="AO26" i="88"/>
  <c r="W63" i="88"/>
  <c r="L28" i="88"/>
  <c r="P28" i="88" s="1"/>
  <c r="N28" i="88" s="1"/>
  <c r="K28" i="88" s="1"/>
  <c r="H60" i="75"/>
  <c r="BJ60" i="75" s="1"/>
  <c r="G61" i="75"/>
  <c r="X86" i="106"/>
  <c r="J51" i="106"/>
  <c r="BK51" i="106"/>
  <c r="K52" i="106"/>
  <c r="Q56" i="105"/>
  <c r="R56" i="105"/>
  <c r="BA52" i="75"/>
  <c r="AZ52" i="75"/>
  <c r="AT33" i="78"/>
  <c r="BE33" i="78"/>
  <c r="AY33" i="78"/>
  <c r="AX33" i="78"/>
  <c r="AW33" i="78" s="1"/>
  <c r="AU33" i="78" s="1"/>
  <c r="AR33" i="78" s="1"/>
  <c r="K29" i="91"/>
  <c r="M29" i="91" s="1"/>
  <c r="S29" i="91" s="1"/>
  <c r="AU25" i="86"/>
  <c r="AY25" i="86" s="1"/>
  <c r="AW25" i="86" s="1"/>
  <c r="AT25" i="86" s="1"/>
  <c r="BL70" i="86"/>
  <c r="V62" i="106"/>
  <c r="U63" i="106"/>
  <c r="AZ51" i="105"/>
  <c r="AS51" i="105" s="1"/>
  <c r="BA51" i="105"/>
  <c r="U58" i="100"/>
  <c r="V57" i="100"/>
  <c r="AP61" i="91"/>
  <c r="AQ60" i="91"/>
  <c r="J62" i="103"/>
  <c r="E63" i="103"/>
  <c r="F62" i="103"/>
  <c r="AZ62" i="103" s="1"/>
  <c r="AL133" i="100"/>
  <c r="Y91" i="100"/>
  <c r="BA50" i="100"/>
  <c r="AZ50" i="100"/>
  <c r="AS50" i="100" s="1"/>
  <c r="AM97" i="100"/>
  <c r="AO58" i="100"/>
  <c r="V57" i="105"/>
  <c r="U58" i="105"/>
  <c r="X89" i="105"/>
  <c r="J54" i="105"/>
  <c r="BK54" i="105"/>
  <c r="K55" i="105"/>
  <c r="H59" i="105"/>
  <c r="BJ59" i="105" s="1"/>
  <c r="G60" i="105"/>
  <c r="I59" i="105"/>
  <c r="AL140" i="105"/>
  <c r="Y98" i="105"/>
  <c r="BI57" i="106"/>
  <c r="BH58" i="106"/>
  <c r="X72" i="78"/>
  <c r="BI38" i="78"/>
  <c r="L32" i="78"/>
  <c r="R32" i="78" s="1"/>
  <c r="AP63" i="86"/>
  <c r="AQ62" i="86"/>
  <c r="BA52" i="88"/>
  <c r="AZ52" i="88"/>
  <c r="H62" i="91"/>
  <c r="BJ62" i="91" s="1"/>
  <c r="G63" i="91"/>
  <c r="AM97" i="106"/>
  <c r="AO58" i="106"/>
  <c r="R56" i="100"/>
  <c r="Q56" i="100"/>
  <c r="J56" i="100" s="1"/>
  <c r="Y91" i="86"/>
  <c r="AL133" i="86"/>
  <c r="X92" i="100"/>
  <c r="BK57" i="100"/>
  <c r="BI57" i="100"/>
  <c r="BH58" i="100"/>
  <c r="AP60" i="100"/>
  <c r="AT59" i="100"/>
  <c r="AQ59" i="100"/>
  <c r="B73" i="108"/>
  <c r="A74" i="108"/>
  <c r="E89" i="110"/>
  <c r="J88" i="110"/>
  <c r="F88" i="110"/>
  <c r="AZ88" i="110" s="1"/>
  <c r="AP65" i="75"/>
  <c r="AQ64" i="75"/>
  <c r="AZ50" i="106"/>
  <c r="AS50" i="106" s="1"/>
  <c r="BA50" i="106"/>
  <c r="D50" i="108"/>
  <c r="C51" i="108" s="1"/>
  <c r="U63" i="91"/>
  <c r="V62" i="91"/>
  <c r="H60" i="106"/>
  <c r="BJ60" i="106" s="1"/>
  <c r="G61" i="106"/>
  <c r="T58" i="109"/>
  <c r="W58" i="109"/>
  <c r="G59" i="109"/>
  <c r="H58" i="109"/>
  <c r="BK58" i="109" s="1"/>
  <c r="I58" i="109"/>
  <c r="AL142" i="78"/>
  <c r="Y105" i="78"/>
  <c r="I58" i="100"/>
  <c r="K58" i="100"/>
  <c r="G59" i="100"/>
  <c r="H58" i="100"/>
  <c r="BJ58" i="100" s="1"/>
  <c r="AM71" i="78"/>
  <c r="AO32" i="78"/>
  <c r="AI133" i="59"/>
  <c r="V103" i="59"/>
  <c r="AS26" i="75"/>
  <c r="AO26" i="75"/>
  <c r="AM65" i="75"/>
  <c r="AP60" i="88"/>
  <c r="AQ59" i="88"/>
  <c r="U59" i="86"/>
  <c r="V58" i="86"/>
  <c r="U60" i="75"/>
  <c r="V59" i="75"/>
  <c r="AM96" i="105"/>
  <c r="AO57" i="105"/>
  <c r="Q61" i="91"/>
  <c r="R61" i="91"/>
  <c r="BA50" i="109"/>
  <c r="BB50" i="109"/>
  <c r="BJ57" i="109"/>
  <c r="BI58" i="109"/>
  <c r="R57" i="110"/>
  <c r="S56" i="110"/>
  <c r="R57" i="109"/>
  <c r="Q57" i="109"/>
  <c r="U59" i="109"/>
  <c r="V58" i="109"/>
  <c r="P26" i="109"/>
  <c r="N26" i="109" s="1"/>
  <c r="L35" i="75"/>
  <c r="P35" i="75" s="1"/>
  <c r="N35" i="75" s="1"/>
  <c r="W70" i="75"/>
  <c r="K19" i="111"/>
  <c r="Q19" i="111" s="1"/>
  <c r="E63" i="111"/>
  <c r="J62" i="111"/>
  <c r="F62" i="111"/>
  <c r="AZ62" i="111" s="1"/>
  <c r="AL18" i="111"/>
  <c r="AQ18" i="111"/>
  <c r="AW18" i="111" s="1"/>
  <c r="M20" i="111"/>
  <c r="AX60" i="111"/>
  <c r="X60" i="94"/>
  <c r="L25" i="94"/>
  <c r="J26" i="109"/>
  <c r="Y61" i="109"/>
  <c r="BL26" i="109"/>
  <c r="M26" i="109"/>
  <c r="S26" i="109" s="1"/>
  <c r="L27" i="109" s="1"/>
  <c r="Q56" i="94"/>
  <c r="R56" i="94"/>
  <c r="U58" i="94"/>
  <c r="V57" i="94"/>
  <c r="Z91" i="109"/>
  <c r="AM133" i="109"/>
  <c r="AO18" i="110"/>
  <c r="BC18" i="110"/>
  <c r="P19" i="112"/>
  <c r="O19" i="112"/>
  <c r="N19" i="112" s="1"/>
  <c r="L19" i="112" s="1"/>
  <c r="G19" i="112" s="1"/>
  <c r="BA19" i="112" s="1"/>
  <c r="V60" i="112"/>
  <c r="U59" i="112"/>
  <c r="I19" i="112"/>
  <c r="AU51" i="109"/>
  <c r="AP50" i="109"/>
  <c r="AT50" i="109"/>
  <c r="AN89" i="109"/>
  <c r="AM62" i="112"/>
  <c r="AN61" i="112"/>
  <c r="AL17" i="112"/>
  <c r="AJ58" i="112"/>
  <c r="AX60" i="112"/>
  <c r="AI59" i="112"/>
  <c r="AY18" i="112"/>
  <c r="AP18" i="112"/>
  <c r="BB64" i="112"/>
  <c r="J60" i="112"/>
  <c r="E61" i="112"/>
  <c r="F60" i="112"/>
  <c r="AZ60" i="112" s="1"/>
  <c r="BB51" i="94"/>
  <c r="BA51" i="94"/>
  <c r="AT51" i="94" s="1"/>
  <c r="BJ58" i="94"/>
  <c r="BI59" i="94"/>
  <c r="AM135" i="94"/>
  <c r="Z93" i="94"/>
  <c r="G59" i="94"/>
  <c r="H58" i="94"/>
  <c r="BK58" i="94" s="1"/>
  <c r="T58" i="94"/>
  <c r="W58" i="94"/>
  <c r="I58" i="94"/>
  <c r="AR58" i="94"/>
  <c r="AQ59" i="94"/>
  <c r="AQ19" i="103"/>
  <c r="AW19" i="103" s="1"/>
  <c r="AI61" i="103" s="1"/>
  <c r="AL19" i="103"/>
  <c r="AV40" i="109"/>
  <c r="AZ40" i="109" s="1"/>
  <c r="AX40" i="109" s="1"/>
  <c r="AW40" i="109" s="1"/>
  <c r="BH40" i="109" s="1"/>
  <c r="BM85" i="109"/>
  <c r="H20" i="110"/>
  <c r="T61" i="110"/>
  <c r="V61" i="110" s="1"/>
  <c r="BA19" i="110"/>
  <c r="AV38" i="94"/>
  <c r="AZ38" i="94" s="1"/>
  <c r="AX38" i="94" s="1"/>
  <c r="AW38" i="94" s="1"/>
  <c r="BH38" i="94" s="1"/>
  <c r="BM83" i="94"/>
  <c r="AN93" i="94"/>
  <c r="AU55" i="94"/>
  <c r="AP54" i="94"/>
  <c r="I18" i="61"/>
  <c r="S48" i="61"/>
  <c r="R18" i="61"/>
  <c r="W71" i="100" l="1"/>
  <c r="L36" i="100"/>
  <c r="P36" i="100" s="1"/>
  <c r="N36" i="100" s="1"/>
  <c r="L30" i="91"/>
  <c r="P30" i="91" s="1"/>
  <c r="N30" i="91" s="1"/>
  <c r="W65" i="91"/>
  <c r="L37" i="106"/>
  <c r="P37" i="106" s="1"/>
  <c r="N37" i="106" s="1"/>
  <c r="W72" i="106"/>
  <c r="AO27" i="91"/>
  <c r="AS27" i="91"/>
  <c r="AM66" i="91"/>
  <c r="AV27" i="91"/>
  <c r="BG27" i="91" s="1"/>
  <c r="AU42" i="100"/>
  <c r="AY42" i="100" s="1"/>
  <c r="AW42" i="100" s="1"/>
  <c r="AV42" i="100" s="1"/>
  <c r="BG42" i="100" s="1"/>
  <c r="BL87" i="100"/>
  <c r="AO33" i="78"/>
  <c r="AM72" i="78"/>
  <c r="E69" i="107"/>
  <c r="F69" i="107"/>
  <c r="G69" i="107"/>
  <c r="D69" i="107" s="1"/>
  <c r="C70" i="107" s="1"/>
  <c r="AU42" i="105"/>
  <c r="AY42" i="105" s="1"/>
  <c r="AW42" i="105" s="1"/>
  <c r="AV42" i="105" s="1"/>
  <c r="BG42" i="105" s="1"/>
  <c r="BL87" i="105"/>
  <c r="AO27" i="88"/>
  <c r="AS27" i="88"/>
  <c r="AM66" i="88"/>
  <c r="BK28" i="88"/>
  <c r="X63" i="88"/>
  <c r="J28" i="88"/>
  <c r="AO25" i="86"/>
  <c r="AM64" i="86"/>
  <c r="AS25" i="86"/>
  <c r="AS27" i="75"/>
  <c r="AO27" i="75"/>
  <c r="AM66" i="75"/>
  <c r="Q58" i="86"/>
  <c r="R58" i="86"/>
  <c r="V104" i="59"/>
  <c r="AI134" i="59"/>
  <c r="Q62" i="91"/>
  <c r="R62" i="91"/>
  <c r="AP66" i="75"/>
  <c r="AQ65" i="75"/>
  <c r="AP61" i="100"/>
  <c r="AT60" i="100"/>
  <c r="AQ60" i="100"/>
  <c r="AP64" i="86"/>
  <c r="AQ63" i="86"/>
  <c r="U64" i="106"/>
  <c r="V63" i="106"/>
  <c r="M28" i="88"/>
  <c r="S28" i="88" s="1"/>
  <c r="BI60" i="75"/>
  <c r="BH61" i="75"/>
  <c r="Y95" i="106"/>
  <c r="AL137" i="106"/>
  <c r="BA53" i="88"/>
  <c r="AZ53" i="88"/>
  <c r="G62" i="86"/>
  <c r="H61" i="86"/>
  <c r="BJ61" i="86" s="1"/>
  <c r="AM97" i="105"/>
  <c r="AO58" i="105"/>
  <c r="G61" i="78"/>
  <c r="H60" i="78"/>
  <c r="BI66" i="78" s="1"/>
  <c r="BI60" i="88"/>
  <c r="BH61" i="88"/>
  <c r="AL143" i="78"/>
  <c r="Y106" i="78"/>
  <c r="G51" i="108"/>
  <c r="E51" i="108"/>
  <c r="F51" i="108"/>
  <c r="BA51" i="100"/>
  <c r="AZ51" i="100"/>
  <c r="AS51" i="100" s="1"/>
  <c r="V58" i="105"/>
  <c r="U59" i="105"/>
  <c r="R57" i="100"/>
  <c r="Q57" i="100"/>
  <c r="J57" i="100" s="1"/>
  <c r="W64" i="86"/>
  <c r="L29" i="86"/>
  <c r="P29" i="86" s="1"/>
  <c r="N29" i="86" s="1"/>
  <c r="K29" i="86"/>
  <c r="AP82" i="78"/>
  <c r="AQ81" i="78"/>
  <c r="Q59" i="78"/>
  <c r="P59" i="78"/>
  <c r="AV57" i="86"/>
  <c r="AZ51" i="86"/>
  <c r="BA51" i="86"/>
  <c r="Q23" i="66"/>
  <c r="AP61" i="106"/>
  <c r="AT60" i="106"/>
  <c r="AQ60" i="106"/>
  <c r="AP61" i="88"/>
  <c r="AQ60" i="88"/>
  <c r="E90" i="110"/>
  <c r="J89" i="110"/>
  <c r="F89" i="110"/>
  <c r="AZ89" i="110" s="1"/>
  <c r="I60" i="105"/>
  <c r="G61" i="105"/>
  <c r="H60" i="105"/>
  <c r="BJ60" i="105" s="1"/>
  <c r="Q57" i="105"/>
  <c r="R57" i="105"/>
  <c r="AL134" i="100"/>
  <c r="Y92" i="100"/>
  <c r="U59" i="100"/>
  <c r="V58" i="100"/>
  <c r="AV25" i="86"/>
  <c r="BG25" i="86" s="1"/>
  <c r="G62" i="75"/>
  <c r="H61" i="75"/>
  <c r="BJ61" i="75" s="1"/>
  <c r="G60" i="88"/>
  <c r="H59" i="88"/>
  <c r="BJ59" i="88" s="1"/>
  <c r="AV41" i="106"/>
  <c r="BG41" i="106" s="1"/>
  <c r="BA52" i="105"/>
  <c r="AZ52" i="105"/>
  <c r="AS52" i="105" s="1"/>
  <c r="BI58" i="86"/>
  <c r="BH59" i="86"/>
  <c r="A78" i="107"/>
  <c r="B77" i="107"/>
  <c r="AO59" i="106"/>
  <c r="AM98" i="106"/>
  <c r="AV27" i="88"/>
  <c r="BG27" i="88" s="1"/>
  <c r="AV27" i="75"/>
  <c r="BG27" i="75" s="1"/>
  <c r="AP62" i="91"/>
  <c r="AQ61" i="91"/>
  <c r="B74" i="108"/>
  <c r="A75" i="108"/>
  <c r="BH59" i="106"/>
  <c r="BI58" i="106"/>
  <c r="AV34" i="78"/>
  <c r="BH62" i="91"/>
  <c r="BI61" i="91"/>
  <c r="BI59" i="105"/>
  <c r="BH60" i="105"/>
  <c r="BI58" i="100"/>
  <c r="BH59" i="100"/>
  <c r="W125" i="66"/>
  <c r="O124" i="66"/>
  <c r="G60" i="100"/>
  <c r="K59" i="100"/>
  <c r="I59" i="100"/>
  <c r="H59" i="100"/>
  <c r="BJ59" i="100" s="1"/>
  <c r="G62" i="106"/>
  <c r="H61" i="106"/>
  <c r="BJ61" i="106" s="1"/>
  <c r="BA51" i="106"/>
  <c r="AZ51" i="106"/>
  <c r="AS51" i="106" s="1"/>
  <c r="Y93" i="88"/>
  <c r="AL135" i="88"/>
  <c r="AZ54" i="91"/>
  <c r="BA54" i="91"/>
  <c r="AV60" i="91"/>
  <c r="Y95" i="75"/>
  <c r="AL137" i="75"/>
  <c r="Q61" i="88"/>
  <c r="R61" i="88"/>
  <c r="K33" i="78"/>
  <c r="O33" i="78" s="1"/>
  <c r="M33" i="78" s="1"/>
  <c r="N34" i="78" s="1"/>
  <c r="W73" i="78"/>
  <c r="Q62" i="106"/>
  <c r="R62" i="106"/>
  <c r="U60" i="78"/>
  <c r="T61" i="78"/>
  <c r="AL141" i="105"/>
  <c r="Y99" i="105"/>
  <c r="X90" i="105"/>
  <c r="BK55" i="105"/>
  <c r="J55" i="105"/>
  <c r="K56" i="105"/>
  <c r="E64" i="103"/>
  <c r="J63" i="103"/>
  <c r="F63" i="103"/>
  <c r="AZ63" i="103" s="1"/>
  <c r="BH40" i="78"/>
  <c r="AS34" i="78"/>
  <c r="BJ79" i="78"/>
  <c r="BK52" i="106"/>
  <c r="J52" i="106"/>
  <c r="X87" i="106"/>
  <c r="K53" i="106"/>
  <c r="AV20" i="59"/>
  <c r="AU20" i="59"/>
  <c r="M42" i="105"/>
  <c r="L42" i="105"/>
  <c r="P42" i="105" s="1"/>
  <c r="N42" i="105" s="1"/>
  <c r="S42" i="105"/>
  <c r="W77" i="105"/>
  <c r="L64" i="66"/>
  <c r="N64" i="66"/>
  <c r="M64" i="66"/>
  <c r="AP60" i="105"/>
  <c r="AQ59" i="105"/>
  <c r="AT59" i="105"/>
  <c r="U63" i="88"/>
  <c r="V62" i="88"/>
  <c r="N21" i="59"/>
  <c r="L21" i="59" s="1"/>
  <c r="I21" i="59" s="1"/>
  <c r="BF27" i="59" s="1"/>
  <c r="V59" i="86"/>
  <c r="U60" i="86"/>
  <c r="V63" i="91"/>
  <c r="U64" i="91"/>
  <c r="H63" i="91"/>
  <c r="BJ63" i="91" s="1"/>
  <c r="G64" i="91"/>
  <c r="Q59" i="75"/>
  <c r="R59" i="75"/>
  <c r="X93" i="100"/>
  <c r="BK58" i="100"/>
  <c r="U61" i="75"/>
  <c r="V60" i="75"/>
  <c r="W59" i="109"/>
  <c r="G60" i="109"/>
  <c r="T59" i="109"/>
  <c r="H59" i="109"/>
  <c r="BK59" i="109" s="1"/>
  <c r="I59" i="109"/>
  <c r="AM98" i="100"/>
  <c r="AO59" i="100"/>
  <c r="AL134" i="86"/>
  <c r="Y92" i="86"/>
  <c r="J29" i="91"/>
  <c r="X64" i="91"/>
  <c r="BK29" i="91"/>
  <c r="BA53" i="75"/>
  <c r="AZ53" i="75"/>
  <c r="O22" i="66"/>
  <c r="G65" i="66"/>
  <c r="U65" i="66"/>
  <c r="F66" i="66"/>
  <c r="AA65" i="66"/>
  <c r="AL137" i="91"/>
  <c r="Y95" i="91"/>
  <c r="O21" i="59"/>
  <c r="P21" i="59"/>
  <c r="K21" i="59"/>
  <c r="Q21" i="59" s="1"/>
  <c r="BA51" i="109"/>
  <c r="BB51" i="109"/>
  <c r="BI59" i="109"/>
  <c r="BJ58" i="109"/>
  <c r="R58" i="110"/>
  <c r="S57" i="110"/>
  <c r="V59" i="109"/>
  <c r="U60" i="109"/>
  <c r="Q58" i="109"/>
  <c r="R58" i="109"/>
  <c r="K35" i="75"/>
  <c r="E64" i="111"/>
  <c r="J63" i="111"/>
  <c r="F63" i="111"/>
  <c r="AZ63" i="111" s="1"/>
  <c r="AP19" i="111"/>
  <c r="BB65" i="111"/>
  <c r="AY19" i="111"/>
  <c r="S20" i="111"/>
  <c r="H20" i="111"/>
  <c r="T61" i="111"/>
  <c r="P25" i="94"/>
  <c r="N25" i="94" s="1"/>
  <c r="K25" i="94"/>
  <c r="AX61" i="111"/>
  <c r="X62" i="109"/>
  <c r="P27" i="109"/>
  <c r="N27" i="109" s="1"/>
  <c r="R57" i="94"/>
  <c r="Q57" i="94"/>
  <c r="U59" i="94"/>
  <c r="V58" i="94"/>
  <c r="AM134" i="109"/>
  <c r="Z92" i="109"/>
  <c r="AQ18" i="110"/>
  <c r="AW18" i="110" s="1"/>
  <c r="AL18" i="110"/>
  <c r="AJ59" i="110"/>
  <c r="M20" i="112"/>
  <c r="K19" i="112"/>
  <c r="Q19" i="112" s="1"/>
  <c r="AN90" i="109"/>
  <c r="AP51" i="109"/>
  <c r="AU52" i="109"/>
  <c r="AT51" i="109"/>
  <c r="E62" i="112"/>
  <c r="J61" i="112"/>
  <c r="F61" i="112"/>
  <c r="AZ61" i="112" s="1"/>
  <c r="AV18" i="112"/>
  <c r="AU18" i="112"/>
  <c r="AX61" i="112"/>
  <c r="AM63" i="112"/>
  <c r="AN62" i="112"/>
  <c r="AK59" i="112"/>
  <c r="BI60" i="94"/>
  <c r="BJ59" i="94"/>
  <c r="BA52" i="94"/>
  <c r="AT52" i="94" s="1"/>
  <c r="BB52" i="94"/>
  <c r="AQ60" i="94"/>
  <c r="AR59" i="94"/>
  <c r="G60" i="94"/>
  <c r="W59" i="94"/>
  <c r="T59" i="94"/>
  <c r="H59" i="94"/>
  <c r="BK59" i="94" s="1"/>
  <c r="I59" i="94"/>
  <c r="Z94" i="94"/>
  <c r="AM136" i="94"/>
  <c r="AJ59" i="111"/>
  <c r="AP20" i="103"/>
  <c r="AY20" i="103"/>
  <c r="AU20" i="103" s="1"/>
  <c r="BB66" i="103"/>
  <c r="AV41" i="109"/>
  <c r="AZ41" i="109" s="1"/>
  <c r="AX41" i="109" s="1"/>
  <c r="AW41" i="109" s="1"/>
  <c r="BH41" i="109" s="1"/>
  <c r="BM86" i="109"/>
  <c r="P20" i="110"/>
  <c r="O20" i="110"/>
  <c r="I20" i="110"/>
  <c r="U60" i="110"/>
  <c r="AN94" i="94"/>
  <c r="AU56" i="94"/>
  <c r="AP55" i="94"/>
  <c r="AV39" i="94"/>
  <c r="AZ39" i="94" s="1"/>
  <c r="AX39" i="94" s="1"/>
  <c r="AW39" i="94" s="1"/>
  <c r="BH39" i="94" s="1"/>
  <c r="BM84" i="94"/>
  <c r="AK61" i="103"/>
  <c r="N18" i="61"/>
  <c r="M18" i="61" s="1"/>
  <c r="K18" i="61" s="1"/>
  <c r="O18" i="61"/>
  <c r="M36" i="100" l="1"/>
  <c r="S36" i="100" s="1"/>
  <c r="W72" i="100"/>
  <c r="L37" i="100"/>
  <c r="P37" i="100" s="1"/>
  <c r="N37" i="100" s="1"/>
  <c r="M37" i="100"/>
  <c r="S37" i="100" s="1"/>
  <c r="AU43" i="105"/>
  <c r="AY43" i="105" s="1"/>
  <c r="AW43" i="105" s="1"/>
  <c r="AV43" i="105" s="1"/>
  <c r="BG43" i="105" s="1"/>
  <c r="BL88" i="105"/>
  <c r="F70" i="107"/>
  <c r="E70" i="107"/>
  <c r="G70" i="107" s="1"/>
  <c r="D70" i="107" s="1"/>
  <c r="C71" i="107" s="1"/>
  <c r="S22" i="59"/>
  <c r="T69" i="59"/>
  <c r="J22" i="59"/>
  <c r="AU43" i="100"/>
  <c r="AY43" i="100" s="1"/>
  <c r="AW43" i="100" s="1"/>
  <c r="AV43" i="100" s="1"/>
  <c r="BG43" i="100" s="1"/>
  <c r="BL88" i="100"/>
  <c r="AL138" i="91"/>
  <c r="Y96" i="91"/>
  <c r="U61" i="86"/>
  <c r="V60" i="86"/>
  <c r="AP61" i="105"/>
  <c r="AQ60" i="105"/>
  <c r="AT60" i="105"/>
  <c r="H62" i="106"/>
  <c r="BJ62" i="106" s="1"/>
  <c r="G63" i="106"/>
  <c r="BA53" i="105"/>
  <c r="AZ53" i="105"/>
  <c r="AS53" i="105" s="1"/>
  <c r="AU42" i="106"/>
  <c r="AY42" i="106" s="1"/>
  <c r="BL87" i="106"/>
  <c r="AP83" i="78"/>
  <c r="AQ82" i="78"/>
  <c r="W64" i="88"/>
  <c r="L29" i="88"/>
  <c r="P29" i="88" s="1"/>
  <c r="N29" i="88" s="1"/>
  <c r="K29" i="88" s="1"/>
  <c r="M37" i="106"/>
  <c r="S37" i="106" s="1"/>
  <c r="BK29" i="86"/>
  <c r="X64" i="86"/>
  <c r="J29" i="86"/>
  <c r="V59" i="105"/>
  <c r="U60" i="105"/>
  <c r="Q63" i="106"/>
  <c r="R63" i="106"/>
  <c r="AP67" i="75"/>
  <c r="AQ66" i="75"/>
  <c r="V61" i="75"/>
  <c r="U62" i="75"/>
  <c r="U68" i="59"/>
  <c r="J33" i="78"/>
  <c r="BI62" i="91"/>
  <c r="BH63" i="91"/>
  <c r="AQ62" i="91"/>
  <c r="AP63" i="91"/>
  <c r="BH60" i="86"/>
  <c r="BI59" i="86"/>
  <c r="AU26" i="86"/>
  <c r="AY26" i="86" s="1"/>
  <c r="AW26" i="86" s="1"/>
  <c r="AT26" i="86" s="1"/>
  <c r="BL71" i="86"/>
  <c r="E91" i="110"/>
  <c r="J90" i="110"/>
  <c r="F90" i="110"/>
  <c r="AZ90" i="110" s="1"/>
  <c r="Q58" i="105"/>
  <c r="R58" i="105"/>
  <c r="D51" i="108"/>
  <c r="C52" i="108" s="1"/>
  <c r="V64" i="106"/>
  <c r="U65" i="106"/>
  <c r="BA55" i="91"/>
  <c r="AV61" i="91"/>
  <c r="AZ55" i="91"/>
  <c r="H62" i="75"/>
  <c r="BJ62" i="75" s="1"/>
  <c r="G63" i="75"/>
  <c r="AY34" i="78"/>
  <c r="AX34" i="78"/>
  <c r="BE34" i="78"/>
  <c r="AT34" i="78"/>
  <c r="Y100" i="105"/>
  <c r="AL142" i="105"/>
  <c r="BK59" i="100"/>
  <c r="X94" i="100"/>
  <c r="O125" i="66"/>
  <c r="W126" i="66"/>
  <c r="AT20" i="59"/>
  <c r="AR20" i="59" s="1"/>
  <c r="AT28" i="75"/>
  <c r="AU28" i="75"/>
  <c r="AY28" i="75" s="1"/>
  <c r="AW28" i="75" s="1"/>
  <c r="AV28" i="75" s="1"/>
  <c r="BG28" i="75" s="1"/>
  <c r="BL73" i="75"/>
  <c r="AZ52" i="86"/>
  <c r="BA52" i="86"/>
  <c r="AV58" i="86"/>
  <c r="Q58" i="100"/>
  <c r="J58" i="100" s="1"/>
  <c r="R58" i="100"/>
  <c r="Y107" i="78"/>
  <c r="AL144" i="78"/>
  <c r="AU28" i="91"/>
  <c r="AY28" i="91" s="1"/>
  <c r="AW28" i="91" s="1"/>
  <c r="AV28" i="91" s="1"/>
  <c r="BG28" i="91" s="1"/>
  <c r="AT28" i="91"/>
  <c r="BL73" i="91"/>
  <c r="F67" i="66"/>
  <c r="G66" i="66"/>
  <c r="AA66" i="66"/>
  <c r="U66" i="66"/>
  <c r="H64" i="91"/>
  <c r="BJ64" i="91" s="1"/>
  <c r="G65" i="91"/>
  <c r="Q62" i="88"/>
  <c r="R62" i="88"/>
  <c r="X88" i="106"/>
  <c r="BK53" i="106"/>
  <c r="J53" i="106"/>
  <c r="K54" i="106"/>
  <c r="I60" i="100"/>
  <c r="K60" i="100"/>
  <c r="G61" i="100"/>
  <c r="H60" i="100"/>
  <c r="BJ60" i="100" s="1"/>
  <c r="BI59" i="100"/>
  <c r="BH60" i="100"/>
  <c r="AU28" i="88"/>
  <c r="AY28" i="88" s="1"/>
  <c r="AW28" i="88" s="1"/>
  <c r="AT28" i="88" s="1"/>
  <c r="BL73" i="88"/>
  <c r="U60" i="100"/>
  <c r="V59" i="100"/>
  <c r="G62" i="105"/>
  <c r="H61" i="105"/>
  <c r="BJ61" i="105" s="1"/>
  <c r="I61" i="105"/>
  <c r="AP62" i="88"/>
  <c r="AQ61" i="88"/>
  <c r="AP65" i="86"/>
  <c r="AQ64" i="86"/>
  <c r="K30" i="91"/>
  <c r="L43" i="105"/>
  <c r="P43" i="105" s="1"/>
  <c r="N43" i="105" s="1"/>
  <c r="M43" i="105"/>
  <c r="S43" i="105" s="1"/>
  <c r="W78" i="105"/>
  <c r="U61" i="78"/>
  <c r="T62" i="78"/>
  <c r="AZ52" i="100"/>
  <c r="AS52" i="100" s="1"/>
  <c r="BA52" i="100"/>
  <c r="BA52" i="106"/>
  <c r="AZ52" i="106"/>
  <c r="AS52" i="106" s="1"/>
  <c r="M29" i="86"/>
  <c r="S29" i="86" s="1"/>
  <c r="BH62" i="88"/>
  <c r="BI61" i="88"/>
  <c r="AL138" i="106"/>
  <c r="Y96" i="106"/>
  <c r="V105" i="59"/>
  <c r="AI135" i="59"/>
  <c r="Q60" i="75"/>
  <c r="R60" i="75"/>
  <c r="R59" i="86"/>
  <c r="Q59" i="86"/>
  <c r="M65" i="66"/>
  <c r="L65" i="66"/>
  <c r="N65" i="66"/>
  <c r="V64" i="91"/>
  <c r="U65" i="91"/>
  <c r="AO59" i="105"/>
  <c r="AM98" i="105"/>
  <c r="J64" i="103"/>
  <c r="E65" i="103"/>
  <c r="F64" i="103"/>
  <c r="AZ64" i="103" s="1"/>
  <c r="Q60" i="78"/>
  <c r="P60" i="78"/>
  <c r="BI59" i="106"/>
  <c r="BH60" i="106"/>
  <c r="G61" i="88"/>
  <c r="H60" i="88"/>
  <c r="BJ60" i="88" s="1"/>
  <c r="AL135" i="100"/>
  <c r="Y93" i="100"/>
  <c r="AO60" i="106"/>
  <c r="AM99" i="106"/>
  <c r="L38" i="100"/>
  <c r="P38" i="100" s="1"/>
  <c r="N38" i="100" s="1"/>
  <c r="W73" i="100"/>
  <c r="BA54" i="88"/>
  <c r="AZ54" i="88"/>
  <c r="G62" i="78"/>
  <c r="H61" i="78"/>
  <c r="BH67" i="78" s="1"/>
  <c r="BI61" i="75"/>
  <c r="BH62" i="75"/>
  <c r="AM99" i="100"/>
  <c r="AO60" i="100"/>
  <c r="AW34" i="78"/>
  <c r="AU34" i="78" s="1"/>
  <c r="AR34" i="78" s="1"/>
  <c r="AL138" i="75"/>
  <c r="Y96" i="75"/>
  <c r="B78" i="107"/>
  <c r="A79" i="107"/>
  <c r="V63" i="88"/>
  <c r="U64" i="88"/>
  <c r="M22" i="59"/>
  <c r="V22" i="66"/>
  <c r="Z22" i="66"/>
  <c r="AL135" i="86"/>
  <c r="Y93" i="86"/>
  <c r="G61" i="109"/>
  <c r="T60" i="109"/>
  <c r="W60" i="109"/>
  <c r="H60" i="109"/>
  <c r="BK60" i="109" s="1"/>
  <c r="I60" i="109"/>
  <c r="Q63" i="91"/>
  <c r="R63" i="91"/>
  <c r="X91" i="105"/>
  <c r="J56" i="105"/>
  <c r="BK56" i="105"/>
  <c r="K57" i="105"/>
  <c r="AL136" i="88"/>
  <c r="Y94" i="88"/>
  <c r="BH61" i="105"/>
  <c r="BI60" i="105"/>
  <c r="A76" i="108"/>
  <c r="B75" i="108"/>
  <c r="AT61" i="106"/>
  <c r="AQ61" i="106"/>
  <c r="AP62" i="106"/>
  <c r="G63" i="86"/>
  <c r="H62" i="86"/>
  <c r="BJ62" i="86" s="1"/>
  <c r="BA54" i="75"/>
  <c r="AZ54" i="75"/>
  <c r="AP62" i="100"/>
  <c r="AT61" i="100"/>
  <c r="AQ61" i="100"/>
  <c r="BB52" i="109"/>
  <c r="BA52" i="109"/>
  <c r="BI60" i="109"/>
  <c r="BJ59" i="109"/>
  <c r="R59" i="110"/>
  <c r="S58" i="110"/>
  <c r="U61" i="109"/>
  <c r="V60" i="109"/>
  <c r="Q59" i="109"/>
  <c r="R59" i="109"/>
  <c r="K27" i="109"/>
  <c r="Y62" i="109" s="1"/>
  <c r="X70" i="75"/>
  <c r="BK35" i="75"/>
  <c r="J35" i="75"/>
  <c r="M35" i="75"/>
  <c r="S35" i="75" s="1"/>
  <c r="I20" i="111"/>
  <c r="V61" i="111"/>
  <c r="U60" i="111"/>
  <c r="AU19" i="111"/>
  <c r="AV19" i="111"/>
  <c r="J64" i="111"/>
  <c r="E65" i="111"/>
  <c r="F64" i="111"/>
  <c r="AZ64" i="111" s="1"/>
  <c r="O20" i="111"/>
  <c r="N20" i="111" s="1"/>
  <c r="L20" i="111" s="1"/>
  <c r="P20" i="111"/>
  <c r="AX62" i="111"/>
  <c r="J25" i="94"/>
  <c r="Y60" i="94"/>
  <c r="BL25" i="94"/>
  <c r="M25" i="94"/>
  <c r="S25" i="94" s="1"/>
  <c r="M27" i="109"/>
  <c r="S27" i="109" s="1"/>
  <c r="L28" i="109" s="1"/>
  <c r="V59" i="94"/>
  <c r="U60" i="94"/>
  <c r="R58" i="94"/>
  <c r="Q58" i="94"/>
  <c r="Z93" i="109"/>
  <c r="AM135" i="109"/>
  <c r="AI60" i="110"/>
  <c r="AY19" i="110"/>
  <c r="BB65" i="110"/>
  <c r="AP19" i="110"/>
  <c r="S20" i="112"/>
  <c r="T61" i="112"/>
  <c r="H20" i="112"/>
  <c r="I20" i="112" s="1"/>
  <c r="AT52" i="109"/>
  <c r="AP52" i="109"/>
  <c r="AU53" i="109"/>
  <c r="AN91" i="109"/>
  <c r="AX62" i="112"/>
  <c r="E63" i="112"/>
  <c r="J62" i="112"/>
  <c r="F62" i="112"/>
  <c r="AZ62" i="112" s="1"/>
  <c r="AM64" i="112"/>
  <c r="AN63" i="112"/>
  <c r="AT18" i="112"/>
  <c r="AR18" i="112" s="1"/>
  <c r="BA53" i="94"/>
  <c r="AT53" i="94" s="1"/>
  <c r="BB53" i="94"/>
  <c r="BJ60" i="94"/>
  <c r="BI61" i="94"/>
  <c r="AT20" i="103"/>
  <c r="AR20" i="103" s="1"/>
  <c r="BC20" i="103" s="1"/>
  <c r="Z95" i="94"/>
  <c r="AM137" i="94"/>
  <c r="AQ61" i="94"/>
  <c r="AR60" i="94"/>
  <c r="AV20" i="103"/>
  <c r="W60" i="94"/>
  <c r="G61" i="94"/>
  <c r="T60" i="94"/>
  <c r="H60" i="94"/>
  <c r="BK60" i="94" s="1"/>
  <c r="I60" i="94"/>
  <c r="AI60" i="111"/>
  <c r="AV42" i="109"/>
  <c r="AZ42" i="109" s="1"/>
  <c r="AX42" i="109" s="1"/>
  <c r="AW42" i="109" s="1"/>
  <c r="BH42" i="109" s="1"/>
  <c r="BM87" i="109"/>
  <c r="N20" i="110"/>
  <c r="L20" i="110" s="1"/>
  <c r="M21" i="110" s="1"/>
  <c r="AV40" i="94"/>
  <c r="AZ40" i="94" s="1"/>
  <c r="AX40" i="94" s="1"/>
  <c r="AW40" i="94" s="1"/>
  <c r="BH40" i="94" s="1"/>
  <c r="BM85" i="94"/>
  <c r="AU57" i="94"/>
  <c r="AP56" i="94"/>
  <c r="AN95" i="94"/>
  <c r="H18" i="61"/>
  <c r="J18" i="61" s="1"/>
  <c r="L19" i="61"/>
  <c r="AM65" i="86" l="1"/>
  <c r="AS26" i="86"/>
  <c r="AO26" i="86"/>
  <c r="L44" i="105"/>
  <c r="P44" i="105" s="1"/>
  <c r="N44" i="105" s="1"/>
  <c r="W79" i="105"/>
  <c r="AU29" i="91"/>
  <c r="AY29" i="91" s="1"/>
  <c r="AW29" i="91" s="1"/>
  <c r="AT29" i="91" s="1"/>
  <c r="BL74" i="91"/>
  <c r="F71" i="107"/>
  <c r="G71" i="107"/>
  <c r="D71" i="107" s="1"/>
  <c r="C72" i="107" s="1"/>
  <c r="E71" i="107"/>
  <c r="AU29" i="75"/>
  <c r="AY29" i="75" s="1"/>
  <c r="AW29" i="75" s="1"/>
  <c r="AT29" i="75" s="1"/>
  <c r="BL74" i="75"/>
  <c r="BK29" i="88"/>
  <c r="X64" i="88"/>
  <c r="J29" i="88"/>
  <c r="AU44" i="100"/>
  <c r="AY44" i="100" s="1"/>
  <c r="AW44" i="100" s="1"/>
  <c r="AV44" i="100" s="1"/>
  <c r="BG44" i="100" s="1"/>
  <c r="BL89" i="100"/>
  <c r="AO28" i="88"/>
  <c r="AM67" i="88"/>
  <c r="AS28" i="88"/>
  <c r="AV28" i="88"/>
  <c r="BG28" i="88" s="1"/>
  <c r="AU44" i="105"/>
  <c r="AY44" i="105" s="1"/>
  <c r="AW44" i="105" s="1"/>
  <c r="BL89" i="105"/>
  <c r="BG44" i="105"/>
  <c r="AV44" i="105"/>
  <c r="BK57" i="105"/>
  <c r="J57" i="105"/>
  <c r="X92" i="105"/>
  <c r="K58" i="105"/>
  <c r="U65" i="88"/>
  <c r="V64" i="88"/>
  <c r="AZ53" i="106"/>
  <c r="AS53" i="106" s="1"/>
  <c r="BA53" i="106"/>
  <c r="W65" i="86"/>
  <c r="L30" i="86"/>
  <c r="P30" i="86" s="1"/>
  <c r="N30" i="86" s="1"/>
  <c r="K30" i="86" s="1"/>
  <c r="X65" i="91"/>
  <c r="J30" i="91"/>
  <c r="BK30" i="91"/>
  <c r="X95" i="100"/>
  <c r="BK60" i="100"/>
  <c r="AV35" i="78"/>
  <c r="BH61" i="86"/>
  <c r="BI60" i="86"/>
  <c r="V62" i="75"/>
  <c r="U63" i="75"/>
  <c r="M29" i="88"/>
  <c r="S29" i="88" s="1"/>
  <c r="AM99" i="105"/>
  <c r="AO60" i="105"/>
  <c r="AM100" i="106"/>
  <c r="AO61" i="106"/>
  <c r="Q63" i="88"/>
  <c r="R63" i="88"/>
  <c r="U66" i="91"/>
  <c r="V65" i="91"/>
  <c r="M66" i="66"/>
  <c r="N66" i="66"/>
  <c r="L66" i="66"/>
  <c r="Y108" i="78"/>
  <c r="AL145" i="78"/>
  <c r="E92" i="110"/>
  <c r="J91" i="110"/>
  <c r="F91" i="110"/>
  <c r="AZ91" i="110" s="1"/>
  <c r="AP64" i="91"/>
  <c r="AQ63" i="91"/>
  <c r="R61" i="75"/>
  <c r="Q61" i="75"/>
  <c r="T61" i="109"/>
  <c r="W61" i="109"/>
  <c r="G62" i="109"/>
  <c r="H61" i="109"/>
  <c r="BK61" i="109" s="1"/>
  <c r="I61" i="109"/>
  <c r="B79" i="107"/>
  <c r="A80" i="107"/>
  <c r="BH63" i="75"/>
  <c r="BI62" i="75"/>
  <c r="Q64" i="91"/>
  <c r="R64" i="91"/>
  <c r="U62" i="78"/>
  <c r="T63" i="78"/>
  <c r="AP66" i="86"/>
  <c r="AQ65" i="86"/>
  <c r="I62" i="105"/>
  <c r="H62" i="105"/>
  <c r="BJ62" i="105" s="1"/>
  <c r="G63" i="105"/>
  <c r="BI60" i="100"/>
  <c r="BH61" i="100"/>
  <c r="BK54" i="106"/>
  <c r="X89" i="106"/>
  <c r="J54" i="106"/>
  <c r="K55" i="106"/>
  <c r="G67" i="66"/>
  <c r="U67" i="66"/>
  <c r="F68" i="66"/>
  <c r="AA67" i="66"/>
  <c r="V65" i="106"/>
  <c r="U66" i="106"/>
  <c r="AP84" i="78"/>
  <c r="AQ83" i="78"/>
  <c r="AT61" i="105"/>
  <c r="AP62" i="105"/>
  <c r="AQ61" i="105"/>
  <c r="AM100" i="100"/>
  <c r="AO61" i="100"/>
  <c r="B76" i="108"/>
  <c r="A77" i="108"/>
  <c r="Y94" i="86"/>
  <c r="AL136" i="86"/>
  <c r="BA55" i="75"/>
  <c r="AZ55" i="75"/>
  <c r="G63" i="78"/>
  <c r="H62" i="78"/>
  <c r="BH68" i="78" s="1"/>
  <c r="M38" i="100"/>
  <c r="S38" i="100" s="1"/>
  <c r="V106" i="59"/>
  <c r="AI136" i="59"/>
  <c r="Q61" i="78"/>
  <c r="P61" i="78"/>
  <c r="R59" i="100"/>
  <c r="Q59" i="100"/>
  <c r="J59" i="100" s="1"/>
  <c r="AZ53" i="100"/>
  <c r="AS53" i="100" s="1"/>
  <c r="BA53" i="100"/>
  <c r="R64" i="106"/>
  <c r="Q64" i="106"/>
  <c r="AV26" i="86"/>
  <c r="BG26" i="86" s="1"/>
  <c r="BH64" i="91"/>
  <c r="BI63" i="91"/>
  <c r="AQ67" i="75"/>
  <c r="AP68" i="75"/>
  <c r="L38" i="106"/>
  <c r="P38" i="106" s="1"/>
  <c r="N38" i="106" s="1"/>
  <c r="W73" i="106"/>
  <c r="AV42" i="106"/>
  <c r="BG42" i="106" s="1"/>
  <c r="H63" i="106"/>
  <c r="BJ63" i="106" s="1"/>
  <c r="G64" i="106"/>
  <c r="R60" i="86"/>
  <c r="Q60" i="86"/>
  <c r="AT62" i="100"/>
  <c r="AP63" i="100"/>
  <c r="AQ62" i="100"/>
  <c r="BA54" i="105"/>
  <c r="AZ54" i="105"/>
  <c r="AS54" i="105" s="1"/>
  <c r="AL139" i="75"/>
  <c r="Y97" i="75"/>
  <c r="E66" i="103"/>
  <c r="J65" i="103"/>
  <c r="F65" i="103"/>
  <c r="AZ65" i="103" s="1"/>
  <c r="AL139" i="106"/>
  <c r="Y97" i="106"/>
  <c r="AP63" i="88"/>
  <c r="AQ62" i="88"/>
  <c r="V60" i="100"/>
  <c r="U61" i="100"/>
  <c r="H65" i="91"/>
  <c r="BJ65" i="91" s="1"/>
  <c r="G66" i="91"/>
  <c r="AM67" i="75"/>
  <c r="AO28" i="75"/>
  <c r="AS28" i="75"/>
  <c r="G64" i="75"/>
  <c r="H63" i="75"/>
  <c r="BJ63" i="75" s="1"/>
  <c r="G52" i="108"/>
  <c r="F52" i="108"/>
  <c r="E52" i="108"/>
  <c r="AZ56" i="91"/>
  <c r="BA56" i="91"/>
  <c r="AV62" i="91"/>
  <c r="V61" i="86"/>
  <c r="U62" i="86"/>
  <c r="AO20" i="59"/>
  <c r="AL143" i="105"/>
  <c r="Y101" i="105"/>
  <c r="X73" i="78"/>
  <c r="BJ39" i="78"/>
  <c r="C26" i="78"/>
  <c r="L33" i="78"/>
  <c r="R33" i="78" s="1"/>
  <c r="Y97" i="91"/>
  <c r="AL139" i="91"/>
  <c r="N22" i="59"/>
  <c r="L22" i="59" s="1"/>
  <c r="I22" i="59" s="1"/>
  <c r="BF28" i="59" s="1"/>
  <c r="H63" i="86"/>
  <c r="BJ63" i="86" s="1"/>
  <c r="G64" i="86"/>
  <c r="Y95" i="88"/>
  <c r="AL137" i="88"/>
  <c r="K23" i="66"/>
  <c r="J23" i="66"/>
  <c r="I23" i="66" s="1"/>
  <c r="X23" i="66"/>
  <c r="AO34" i="78"/>
  <c r="AM73" i="78"/>
  <c r="G62" i="88"/>
  <c r="H61" i="88"/>
  <c r="BJ61" i="88" s="1"/>
  <c r="BA55" i="88"/>
  <c r="AZ55" i="88"/>
  <c r="G62" i="100"/>
  <c r="I61" i="100"/>
  <c r="K61" i="100"/>
  <c r="H61" i="100"/>
  <c r="BJ61" i="100" s="1"/>
  <c r="AO28" i="91"/>
  <c r="AM67" i="91"/>
  <c r="AS28" i="91"/>
  <c r="AS21" i="59"/>
  <c r="V60" i="105"/>
  <c r="U61" i="105"/>
  <c r="BI61" i="105"/>
  <c r="BH62" i="105"/>
  <c r="AP63" i="106"/>
  <c r="AT62" i="106"/>
  <c r="AQ62" i="106"/>
  <c r="Y94" i="100"/>
  <c r="AL136" i="100"/>
  <c r="BH61" i="106"/>
  <c r="BI60" i="106"/>
  <c r="BI62" i="88"/>
  <c r="BH63" i="88"/>
  <c r="O126" i="66"/>
  <c r="W127" i="66"/>
  <c r="BH41" i="78"/>
  <c r="BJ80" i="78"/>
  <c r="AS35" i="78"/>
  <c r="BA53" i="86"/>
  <c r="AZ53" i="86"/>
  <c r="AV59" i="86"/>
  <c r="R59" i="105"/>
  <c r="Q59" i="105"/>
  <c r="M30" i="91"/>
  <c r="S30" i="91" s="1"/>
  <c r="P22" i="59"/>
  <c r="O22" i="59"/>
  <c r="BI61" i="109"/>
  <c r="BJ60" i="109"/>
  <c r="BA53" i="109"/>
  <c r="BB53" i="109"/>
  <c r="R60" i="110"/>
  <c r="S59" i="110"/>
  <c r="Q60" i="109"/>
  <c r="R60" i="109"/>
  <c r="U62" i="109"/>
  <c r="V61" i="109"/>
  <c r="BL27" i="109"/>
  <c r="J27" i="109"/>
  <c r="L36" i="75"/>
  <c r="P36" i="75" s="1"/>
  <c r="N36" i="75" s="1"/>
  <c r="K36" i="75" s="1"/>
  <c r="W71" i="75"/>
  <c r="G20" i="111"/>
  <c r="BA20" i="111" s="1"/>
  <c r="J65" i="111"/>
  <c r="E66" i="111"/>
  <c r="F65" i="111"/>
  <c r="AZ65" i="111" s="1"/>
  <c r="M21" i="111"/>
  <c r="AT19" i="111"/>
  <c r="AR19" i="111" s="1"/>
  <c r="AX63" i="111"/>
  <c r="L26" i="94"/>
  <c r="X61" i="94"/>
  <c r="X63" i="109"/>
  <c r="K28" i="109"/>
  <c r="U61" i="94"/>
  <c r="V60" i="94"/>
  <c r="Q59" i="94"/>
  <c r="R59" i="94"/>
  <c r="Z94" i="109"/>
  <c r="AM136" i="109"/>
  <c r="AU19" i="110"/>
  <c r="AT19" i="110" s="1"/>
  <c r="AV19" i="110"/>
  <c r="AK60" i="110"/>
  <c r="V61" i="112"/>
  <c r="U60" i="112"/>
  <c r="P20" i="112"/>
  <c r="O20" i="112"/>
  <c r="AU54" i="109"/>
  <c r="AT53" i="109"/>
  <c r="AN92" i="109"/>
  <c r="AP53" i="109"/>
  <c r="AM65" i="112"/>
  <c r="AN64" i="112"/>
  <c r="AX63" i="112"/>
  <c r="BC18" i="112"/>
  <c r="AO18" i="112"/>
  <c r="AQ18" i="112" s="1"/>
  <c r="AW18" i="112" s="1"/>
  <c r="J63" i="112"/>
  <c r="E64" i="112"/>
  <c r="F63" i="112"/>
  <c r="AZ63" i="112" s="1"/>
  <c r="AS19" i="112"/>
  <c r="BJ61" i="94"/>
  <c r="BI62" i="94"/>
  <c r="BA54" i="94"/>
  <c r="AT54" i="94" s="1"/>
  <c r="BB54" i="94"/>
  <c r="AM138" i="94"/>
  <c r="Z96" i="94"/>
  <c r="G62" i="94"/>
  <c r="W61" i="94"/>
  <c r="H61" i="94"/>
  <c r="BK61" i="94" s="1"/>
  <c r="T61" i="94"/>
  <c r="I61" i="94"/>
  <c r="AR61" i="94"/>
  <c r="AQ62" i="94"/>
  <c r="AK60" i="111"/>
  <c r="BM88" i="109"/>
  <c r="AV43" i="109"/>
  <c r="AZ43" i="109" s="1"/>
  <c r="AX43" i="109" s="1"/>
  <c r="AW43" i="109" s="1"/>
  <c r="BH43" i="109" s="1"/>
  <c r="G20" i="110"/>
  <c r="K20" i="110" s="1"/>
  <c r="Q20" i="110" s="1"/>
  <c r="AO20" i="103"/>
  <c r="AQ20" i="103" s="1"/>
  <c r="AW20" i="103" s="1"/>
  <c r="AP21" i="103" s="1"/>
  <c r="AS21" i="103"/>
  <c r="AV41" i="94"/>
  <c r="AZ41" i="94" s="1"/>
  <c r="AX41" i="94" s="1"/>
  <c r="AW41" i="94" s="1"/>
  <c r="BH41" i="94" s="1"/>
  <c r="BM86" i="94"/>
  <c r="AN96" i="94"/>
  <c r="AU58" i="94"/>
  <c r="AP57" i="94"/>
  <c r="P18" i="61"/>
  <c r="T48" i="61"/>
  <c r="E72" i="107" l="1"/>
  <c r="F72" i="107"/>
  <c r="G72" i="107"/>
  <c r="D72" i="107" s="1"/>
  <c r="C73" i="107" s="1"/>
  <c r="AM68" i="91"/>
  <c r="AS29" i="91"/>
  <c r="AO29" i="91"/>
  <c r="J30" i="86"/>
  <c r="X65" i="86"/>
  <c r="BK30" i="86"/>
  <c r="M30" i="86"/>
  <c r="S30" i="86" s="1"/>
  <c r="AS29" i="75"/>
  <c r="AO29" i="75"/>
  <c r="AM68" i="75"/>
  <c r="AU45" i="100"/>
  <c r="AY45" i="100" s="1"/>
  <c r="AW45" i="100" s="1"/>
  <c r="AV45" i="100" s="1"/>
  <c r="BG45" i="100" s="1"/>
  <c r="BL90" i="100"/>
  <c r="BI62" i="105"/>
  <c r="BH63" i="105"/>
  <c r="W66" i="91"/>
  <c r="L31" i="91"/>
  <c r="P31" i="91" s="1"/>
  <c r="N31" i="91" s="1"/>
  <c r="K31" i="91" s="1"/>
  <c r="AZ54" i="106"/>
  <c r="AS54" i="106" s="1"/>
  <c r="BA54" i="106"/>
  <c r="BI61" i="106"/>
  <c r="BH62" i="106"/>
  <c r="V61" i="105"/>
  <c r="U62" i="105"/>
  <c r="T23" i="66"/>
  <c r="S23" i="66"/>
  <c r="AL140" i="91"/>
  <c r="Y98" i="91"/>
  <c r="AJ59" i="59"/>
  <c r="AL20" i="59"/>
  <c r="Q60" i="100"/>
  <c r="J60" i="100" s="1"/>
  <c r="R60" i="100"/>
  <c r="J66" i="103"/>
  <c r="E67" i="103"/>
  <c r="F66" i="103"/>
  <c r="AZ66" i="103" s="1"/>
  <c r="AT63" i="100"/>
  <c r="AP64" i="100"/>
  <c r="AQ63" i="100"/>
  <c r="AV63" i="91"/>
  <c r="BA57" i="91"/>
  <c r="AZ57" i="91"/>
  <c r="V66" i="106"/>
  <c r="U67" i="106"/>
  <c r="E93" i="110"/>
  <c r="F92" i="110"/>
  <c r="AZ92" i="110" s="1"/>
  <c r="BK58" i="105"/>
  <c r="X93" i="105"/>
  <c r="J58" i="105"/>
  <c r="K59" i="105"/>
  <c r="AU29" i="88"/>
  <c r="AY29" i="88" s="1"/>
  <c r="AW29" i="88" s="1"/>
  <c r="AT29" i="88" s="1"/>
  <c r="BL74" i="88"/>
  <c r="U63" i="86"/>
  <c r="V62" i="86"/>
  <c r="AM101" i="100"/>
  <c r="AO62" i="100"/>
  <c r="R65" i="106"/>
  <c r="Q65" i="106"/>
  <c r="L30" i="88"/>
  <c r="P30" i="88" s="1"/>
  <c r="N30" i="88" s="1"/>
  <c r="K30" i="88" s="1"/>
  <c r="W65" i="88"/>
  <c r="Y95" i="100"/>
  <c r="AL137" i="100"/>
  <c r="R23" i="66"/>
  <c r="P23" i="66" s="1"/>
  <c r="Q61" i="86"/>
  <c r="R61" i="86"/>
  <c r="D52" i="108"/>
  <c r="C53" i="108" s="1"/>
  <c r="AP64" i="88"/>
  <c r="AQ63" i="88"/>
  <c r="AU27" i="86"/>
  <c r="AY27" i="86" s="1"/>
  <c r="AW27" i="86" s="1"/>
  <c r="BL72" i="86"/>
  <c r="BH64" i="75"/>
  <c r="BI63" i="75"/>
  <c r="Y109" i="78"/>
  <c r="AL146" i="78"/>
  <c r="V63" i="75"/>
  <c r="U64" i="75"/>
  <c r="Q60" i="105"/>
  <c r="R60" i="105"/>
  <c r="AL140" i="75"/>
  <c r="Y98" i="75"/>
  <c r="AU43" i="106"/>
  <c r="AY43" i="106" s="1"/>
  <c r="BL88" i="106"/>
  <c r="AV43" i="106"/>
  <c r="BG43" i="106" s="1"/>
  <c r="BI64" i="91"/>
  <c r="BH65" i="91"/>
  <c r="AZ56" i="75"/>
  <c r="BA56" i="75"/>
  <c r="K22" i="59"/>
  <c r="W128" i="66"/>
  <c r="O127" i="66"/>
  <c r="G63" i="100"/>
  <c r="K62" i="100"/>
  <c r="I62" i="100"/>
  <c r="H62" i="100"/>
  <c r="BJ62" i="100" s="1"/>
  <c r="G65" i="86"/>
  <c r="H64" i="86"/>
  <c r="BJ64" i="86" s="1"/>
  <c r="AL140" i="106"/>
  <c r="Y98" i="106"/>
  <c r="M38" i="106"/>
  <c r="S38" i="106" s="1"/>
  <c r="BI61" i="100"/>
  <c r="BH62" i="100"/>
  <c r="A81" i="107"/>
  <c r="B80" i="107"/>
  <c r="Q62" i="75"/>
  <c r="R62" i="75"/>
  <c r="BK61" i="100"/>
  <c r="X96" i="100"/>
  <c r="W74" i="78"/>
  <c r="K34" i="78"/>
  <c r="O34" i="78" s="1"/>
  <c r="M34" i="78" s="1"/>
  <c r="N35" i="78" s="1"/>
  <c r="M23" i="59"/>
  <c r="AO62" i="106"/>
  <c r="AM101" i="106"/>
  <c r="H64" i="106"/>
  <c r="BJ64" i="106" s="1"/>
  <c r="G65" i="106"/>
  <c r="AT62" i="105"/>
  <c r="AQ62" i="105"/>
  <c r="AP63" i="105"/>
  <c r="U68" i="66"/>
  <c r="F69" i="66"/>
  <c r="AA68" i="66"/>
  <c r="G68" i="66"/>
  <c r="BA54" i="100"/>
  <c r="AZ54" i="100"/>
  <c r="AS54" i="100" s="1"/>
  <c r="AP67" i="86"/>
  <c r="AQ66" i="86"/>
  <c r="BA54" i="86"/>
  <c r="AZ54" i="86"/>
  <c r="AV60" i="86"/>
  <c r="AV29" i="75"/>
  <c r="BG29" i="75" s="1"/>
  <c r="AV29" i="91"/>
  <c r="BG29" i="91" s="1"/>
  <c r="M44" i="105"/>
  <c r="S44" i="105" s="1"/>
  <c r="AY35" i="78"/>
  <c r="AX35" i="78"/>
  <c r="AT35" i="78"/>
  <c r="BE35" i="78"/>
  <c r="BI63" i="88"/>
  <c r="BH64" i="88"/>
  <c r="AP64" i="106"/>
  <c r="AQ63" i="106"/>
  <c r="AT63" i="106"/>
  <c r="G63" i="88"/>
  <c r="H62" i="88"/>
  <c r="BJ62" i="88" s="1"/>
  <c r="AL144" i="105"/>
  <c r="Y102" i="105"/>
  <c r="H64" i="75"/>
  <c r="BJ64" i="75" s="1"/>
  <c r="G65" i="75"/>
  <c r="H66" i="91"/>
  <c r="BJ66" i="91" s="1"/>
  <c r="G67" i="91"/>
  <c r="Y95" i="86"/>
  <c r="AL137" i="86"/>
  <c r="AO61" i="105"/>
  <c r="AM100" i="105"/>
  <c r="T64" i="78"/>
  <c r="U63" i="78"/>
  <c r="AQ64" i="91"/>
  <c r="AP65" i="91"/>
  <c r="BI61" i="86"/>
  <c r="BH62" i="86"/>
  <c r="AU45" i="105"/>
  <c r="AY45" i="105" s="1"/>
  <c r="AW45" i="105" s="1"/>
  <c r="BL90" i="105"/>
  <c r="AV45" i="105"/>
  <c r="BG45" i="105" s="1"/>
  <c r="AL138" i="88"/>
  <c r="Y96" i="88"/>
  <c r="AP69" i="75"/>
  <c r="AQ68" i="75"/>
  <c r="V107" i="59"/>
  <c r="AI137" i="59"/>
  <c r="A78" i="108"/>
  <c r="B77" i="108"/>
  <c r="N67" i="66"/>
  <c r="L67" i="66"/>
  <c r="M67" i="66"/>
  <c r="G64" i="105"/>
  <c r="I63" i="105"/>
  <c r="H63" i="105"/>
  <c r="BJ63" i="105" s="1"/>
  <c r="Q62" i="78"/>
  <c r="P62" i="78"/>
  <c r="R65" i="91"/>
  <c r="Q65" i="91"/>
  <c r="Q64" i="88"/>
  <c r="R64" i="88"/>
  <c r="BA56" i="88"/>
  <c r="AZ56" i="88"/>
  <c r="BA55" i="105"/>
  <c r="AZ55" i="105"/>
  <c r="AS55" i="105" s="1"/>
  <c r="AQ20" i="59"/>
  <c r="BB20" i="59" s="1"/>
  <c r="U62" i="100"/>
  <c r="V61" i="100"/>
  <c r="L39" i="100"/>
  <c r="P39" i="100" s="1"/>
  <c r="N39" i="100" s="1"/>
  <c r="W74" i="100"/>
  <c r="G64" i="78"/>
  <c r="H63" i="78"/>
  <c r="BH69" i="78" s="1"/>
  <c r="AQ84" i="78"/>
  <c r="AP85" i="78"/>
  <c r="J55" i="106"/>
  <c r="X90" i="106"/>
  <c r="BK55" i="106"/>
  <c r="K56" i="106"/>
  <c r="G63" i="109"/>
  <c r="T62" i="109"/>
  <c r="W62" i="109"/>
  <c r="H62" i="109"/>
  <c r="BK62" i="109" s="1"/>
  <c r="I62" i="109"/>
  <c r="U67" i="91"/>
  <c r="V66" i="91"/>
  <c r="V65" i="88"/>
  <c r="U66" i="88"/>
  <c r="BA54" i="109"/>
  <c r="BB54" i="109"/>
  <c r="BJ61" i="109"/>
  <c r="BI62" i="109"/>
  <c r="R61" i="110"/>
  <c r="S60" i="110"/>
  <c r="Q61" i="109"/>
  <c r="R61" i="109"/>
  <c r="V62" i="109"/>
  <c r="U63" i="109"/>
  <c r="BK36" i="75"/>
  <c r="J36" i="75"/>
  <c r="X71" i="75"/>
  <c r="M36" i="75"/>
  <c r="S36" i="75" s="1"/>
  <c r="BC19" i="111"/>
  <c r="AO19" i="111"/>
  <c r="AL19" i="111" s="1"/>
  <c r="AQ19" i="111"/>
  <c r="AW19" i="111" s="1"/>
  <c r="AS20" i="111"/>
  <c r="E67" i="111"/>
  <c r="J66" i="111"/>
  <c r="F66" i="111"/>
  <c r="AZ66" i="111" s="1"/>
  <c r="K20" i="111"/>
  <c r="Q20" i="111" s="1"/>
  <c r="P26" i="94"/>
  <c r="N26" i="94" s="1"/>
  <c r="AX64" i="111"/>
  <c r="K26" i="94"/>
  <c r="M26" i="94" s="1"/>
  <c r="S26" i="94" s="1"/>
  <c r="J28" i="109"/>
  <c r="Y63" i="109"/>
  <c r="BL28" i="109"/>
  <c r="P28" i="109"/>
  <c r="N28" i="109" s="1"/>
  <c r="M28" i="109"/>
  <c r="S28" i="109" s="1"/>
  <c r="L29" i="109" s="1"/>
  <c r="R60" i="94"/>
  <c r="Q60" i="94"/>
  <c r="U62" i="94"/>
  <c r="V61" i="94"/>
  <c r="AR19" i="110"/>
  <c r="BC19" i="110" s="1"/>
  <c r="Z95" i="109"/>
  <c r="AM137" i="109"/>
  <c r="N20" i="112"/>
  <c r="L20" i="112" s="1"/>
  <c r="M21" i="112" s="1"/>
  <c r="AN93" i="109"/>
  <c r="AU55" i="109"/>
  <c r="AT54" i="109"/>
  <c r="AP54" i="109"/>
  <c r="J64" i="112"/>
  <c r="E65" i="112"/>
  <c r="F64" i="112"/>
  <c r="AZ64" i="112" s="1"/>
  <c r="AL18" i="112"/>
  <c r="AJ59" i="112"/>
  <c r="AY19" i="112"/>
  <c r="AI60" i="112"/>
  <c r="BB65" i="112"/>
  <c r="AP19" i="112"/>
  <c r="AM66" i="112"/>
  <c r="AN65" i="112"/>
  <c r="AX64" i="112"/>
  <c r="BJ62" i="94"/>
  <c r="BI63" i="94"/>
  <c r="BB55" i="94"/>
  <c r="BA55" i="94"/>
  <c r="AT55" i="94" s="1"/>
  <c r="AQ63" i="94"/>
  <c r="AR62" i="94"/>
  <c r="W62" i="94"/>
  <c r="G63" i="94"/>
  <c r="T62" i="94"/>
  <c r="H62" i="94"/>
  <c r="BK62" i="94" s="1"/>
  <c r="I62" i="94"/>
  <c r="Z97" i="94"/>
  <c r="AM139" i="94"/>
  <c r="BB67" i="103"/>
  <c r="AY21" i="103"/>
  <c r="AU21" i="103" s="1"/>
  <c r="AT21" i="103" s="1"/>
  <c r="AJ61" i="103"/>
  <c r="AI62" i="103"/>
  <c r="AK62" i="103" s="1"/>
  <c r="AL20" i="103"/>
  <c r="T62" i="110"/>
  <c r="V62" i="110" s="1"/>
  <c r="H21" i="110"/>
  <c r="AV44" i="109"/>
  <c r="AZ44" i="109" s="1"/>
  <c r="AX44" i="109" s="1"/>
  <c r="AW44" i="109" s="1"/>
  <c r="BH44" i="109" s="1"/>
  <c r="BM89" i="109"/>
  <c r="BA20" i="110"/>
  <c r="AV42" i="94"/>
  <c r="AZ42" i="94" s="1"/>
  <c r="AX42" i="94" s="1"/>
  <c r="AW42" i="94" s="1"/>
  <c r="BH42" i="94" s="1"/>
  <c r="BM87" i="94"/>
  <c r="AP58" i="94"/>
  <c r="AN97" i="94"/>
  <c r="AU59" i="94"/>
  <c r="S49" i="61"/>
  <c r="R19" i="61"/>
  <c r="I19" i="61"/>
  <c r="AU46" i="105" l="1"/>
  <c r="AY46" i="105" s="1"/>
  <c r="AW46" i="105" s="1"/>
  <c r="AV46" i="105" s="1"/>
  <c r="BG46" i="105" s="1"/>
  <c r="BL91" i="105"/>
  <c r="AU46" i="100"/>
  <c r="AY46" i="100" s="1"/>
  <c r="AW46" i="100" s="1"/>
  <c r="AV46" i="100" s="1"/>
  <c r="BG46" i="100" s="1"/>
  <c r="BL91" i="100"/>
  <c r="AU44" i="106"/>
  <c r="AY44" i="106" s="1"/>
  <c r="BL89" i="106"/>
  <c r="AS29" i="88"/>
  <c r="AO29" i="88"/>
  <c r="AM68" i="88"/>
  <c r="AV29" i="88"/>
  <c r="BG29" i="88" s="1"/>
  <c r="BK31" i="91"/>
  <c r="X66" i="91"/>
  <c r="J31" i="91"/>
  <c r="E73" i="107"/>
  <c r="G73" i="107" s="1"/>
  <c r="D73" i="107" s="1"/>
  <c r="C74" i="107" s="1"/>
  <c r="F73" i="107"/>
  <c r="BK30" i="88"/>
  <c r="J30" i="88"/>
  <c r="X65" i="88"/>
  <c r="M30" i="88"/>
  <c r="S30" i="88" s="1"/>
  <c r="AT64" i="106"/>
  <c r="AP65" i="106"/>
  <c r="AQ64" i="106"/>
  <c r="AT27" i="86"/>
  <c r="BH63" i="106"/>
  <c r="BI62" i="106"/>
  <c r="AU30" i="91"/>
  <c r="AY30" i="91" s="1"/>
  <c r="AW30" i="91" s="1"/>
  <c r="AT30" i="91" s="1"/>
  <c r="BL75" i="91"/>
  <c r="V66" i="88"/>
  <c r="U67" i="88"/>
  <c r="W63" i="109"/>
  <c r="G64" i="109"/>
  <c r="T63" i="109"/>
  <c r="H63" i="109"/>
  <c r="BK63" i="109" s="1"/>
  <c r="I63" i="109"/>
  <c r="AI138" i="59"/>
  <c r="V108" i="59"/>
  <c r="H67" i="91"/>
  <c r="BJ67" i="91" s="1"/>
  <c r="G68" i="91"/>
  <c r="BH65" i="88"/>
  <c r="BI64" i="88"/>
  <c r="AU30" i="75"/>
  <c r="AY30" i="75" s="1"/>
  <c r="AW30" i="75" s="1"/>
  <c r="AT30" i="75" s="1"/>
  <c r="BL75" i="75"/>
  <c r="AP64" i="105"/>
  <c r="AT63" i="105"/>
  <c r="AQ63" i="105"/>
  <c r="B81" i="107"/>
  <c r="A82" i="107"/>
  <c r="Y110" i="78"/>
  <c r="Y111" i="78" s="1"/>
  <c r="Y112" i="78" s="1"/>
  <c r="Y113" i="78" s="1"/>
  <c r="Y114" i="78" s="1"/>
  <c r="Y115" i="78" s="1"/>
  <c r="Y116" i="78" s="1"/>
  <c r="Y117" i="78" s="1"/>
  <c r="Y118" i="78" s="1"/>
  <c r="AL147" i="78"/>
  <c r="E94" i="110"/>
  <c r="J93" i="110"/>
  <c r="F93" i="110"/>
  <c r="AZ93" i="110" s="1"/>
  <c r="AP65" i="100"/>
  <c r="AT64" i="100"/>
  <c r="AQ64" i="100"/>
  <c r="AZ55" i="106"/>
  <c r="AS55" i="106" s="1"/>
  <c r="BA55" i="106"/>
  <c r="R65" i="88"/>
  <c r="Q65" i="88"/>
  <c r="BK56" i="106"/>
  <c r="J56" i="106"/>
  <c r="X91" i="106"/>
  <c r="K57" i="106"/>
  <c r="M39" i="100"/>
  <c r="S39" i="100" s="1"/>
  <c r="G65" i="105"/>
  <c r="H64" i="105"/>
  <c r="BJ64" i="105" s="1"/>
  <c r="I64" i="105"/>
  <c r="BH63" i="86"/>
  <c r="BI62" i="86"/>
  <c r="AZ57" i="88"/>
  <c r="BA57" i="88"/>
  <c r="BH63" i="100"/>
  <c r="BI62" i="100"/>
  <c r="X97" i="100"/>
  <c r="BK62" i="100"/>
  <c r="AL141" i="75"/>
  <c r="Y99" i="75"/>
  <c r="BA57" i="75"/>
  <c r="AZ57" i="75"/>
  <c r="AP65" i="88"/>
  <c r="AQ64" i="88"/>
  <c r="AL138" i="100"/>
  <c r="Y96" i="100"/>
  <c r="V67" i="106"/>
  <c r="U68" i="106"/>
  <c r="AO63" i="100"/>
  <c r="AM102" i="100"/>
  <c r="AL141" i="91"/>
  <c r="Y99" i="91"/>
  <c r="M31" i="91"/>
  <c r="S31" i="91" s="1"/>
  <c r="Q66" i="91"/>
  <c r="R66" i="91"/>
  <c r="AP70" i="75"/>
  <c r="AQ69" i="75"/>
  <c r="BA55" i="86"/>
  <c r="AV61" i="86"/>
  <c r="AZ55" i="86"/>
  <c r="BG42" i="78"/>
  <c r="BJ81" i="78"/>
  <c r="AS36" i="78"/>
  <c r="AM101" i="105"/>
  <c r="AO62" i="105"/>
  <c r="AZ55" i="100"/>
  <c r="AS55" i="100" s="1"/>
  <c r="BA55" i="100"/>
  <c r="K63" i="100"/>
  <c r="G64" i="100"/>
  <c r="I63" i="100"/>
  <c r="H63" i="100"/>
  <c r="BJ63" i="100" s="1"/>
  <c r="BH65" i="75"/>
  <c r="BI64" i="75"/>
  <c r="E53" i="108"/>
  <c r="G53" i="108"/>
  <c r="D53" i="108" s="1"/>
  <c r="C54" i="108" s="1"/>
  <c r="F53" i="108"/>
  <c r="Q66" i="106"/>
  <c r="R66" i="106"/>
  <c r="BI63" i="105"/>
  <c r="BH64" i="105"/>
  <c r="U68" i="91"/>
  <c r="V67" i="91"/>
  <c r="R61" i="100"/>
  <c r="Q61" i="100"/>
  <c r="J61" i="100" s="1"/>
  <c r="AL139" i="88"/>
  <c r="Y97" i="88"/>
  <c r="AQ65" i="91"/>
  <c r="AP66" i="91"/>
  <c r="Y96" i="86"/>
  <c r="AL138" i="86"/>
  <c r="G66" i="75"/>
  <c r="H65" i="75"/>
  <c r="BJ65" i="75" s="1"/>
  <c r="BH66" i="91"/>
  <c r="BI65" i="91"/>
  <c r="X94" i="105"/>
  <c r="BK59" i="105"/>
  <c r="J59" i="105"/>
  <c r="K60" i="105"/>
  <c r="E68" i="103"/>
  <c r="J67" i="103"/>
  <c r="F67" i="103"/>
  <c r="AZ67" i="103" s="1"/>
  <c r="Q24" i="66"/>
  <c r="AZ56" i="105"/>
  <c r="AS56" i="105" s="1"/>
  <c r="BA56" i="105"/>
  <c r="V62" i="100"/>
  <c r="U63" i="100"/>
  <c r="G64" i="88"/>
  <c r="H63" i="88"/>
  <c r="BJ63" i="88" s="1"/>
  <c r="M68" i="66"/>
  <c r="N68" i="66"/>
  <c r="L68" i="66"/>
  <c r="G66" i="106"/>
  <c r="H65" i="106"/>
  <c r="BJ65" i="106" s="1"/>
  <c r="J34" i="78"/>
  <c r="L39" i="106"/>
  <c r="P39" i="106" s="1"/>
  <c r="N39" i="106" s="1"/>
  <c r="M39" i="106"/>
  <c r="S39" i="106" s="1"/>
  <c r="W74" i="106"/>
  <c r="H65" i="86"/>
  <c r="BJ65" i="86" s="1"/>
  <c r="G66" i="86"/>
  <c r="AZ58" i="91"/>
  <c r="BA58" i="91"/>
  <c r="AV64" i="91"/>
  <c r="Q62" i="86"/>
  <c r="R62" i="86"/>
  <c r="AW35" i="78"/>
  <c r="AU35" i="78" s="1"/>
  <c r="AR35" i="78" s="1"/>
  <c r="L31" i="86"/>
  <c r="P31" i="86" s="1"/>
  <c r="N31" i="86" s="1"/>
  <c r="K31" i="86" s="1"/>
  <c r="W66" i="86"/>
  <c r="AQ85" i="78"/>
  <c r="AP86" i="78"/>
  <c r="BG66" i="59"/>
  <c r="AP21" i="59"/>
  <c r="BD27" i="59"/>
  <c r="Q63" i="78"/>
  <c r="P63" i="78"/>
  <c r="AL145" i="105"/>
  <c r="Y103" i="105"/>
  <c r="AM102" i="106"/>
  <c r="AO63" i="106"/>
  <c r="Y99" i="106"/>
  <c r="AL141" i="106"/>
  <c r="O128" i="66"/>
  <c r="W129" i="66"/>
  <c r="V64" i="75"/>
  <c r="U65" i="75"/>
  <c r="H23" i="66"/>
  <c r="O23" i="66" s="1"/>
  <c r="U64" i="86"/>
  <c r="V63" i="86"/>
  <c r="V62" i="105"/>
  <c r="U63" i="105"/>
  <c r="G65" i="78"/>
  <c r="H64" i="78"/>
  <c r="BH70" i="78" s="1"/>
  <c r="A79" i="108"/>
  <c r="B78" i="108"/>
  <c r="T65" i="78"/>
  <c r="U64" i="78"/>
  <c r="L45" i="105"/>
  <c r="P45" i="105" s="1"/>
  <c r="N45" i="105" s="1"/>
  <c r="W80" i="105"/>
  <c r="AP68" i="86"/>
  <c r="AQ67" i="86"/>
  <c r="F70" i="66"/>
  <c r="U69" i="66"/>
  <c r="AA69" i="66"/>
  <c r="G69" i="66"/>
  <c r="U69" i="59"/>
  <c r="Q22" i="59"/>
  <c r="Q63" i="75"/>
  <c r="R63" i="75"/>
  <c r="Q61" i="105"/>
  <c r="R61" i="105"/>
  <c r="BJ62" i="109"/>
  <c r="BI63" i="109"/>
  <c r="BB55" i="109"/>
  <c r="BA55" i="109"/>
  <c r="R62" i="110"/>
  <c r="S61" i="110"/>
  <c r="V63" i="109"/>
  <c r="U64" i="109"/>
  <c r="Q62" i="109"/>
  <c r="R62" i="109"/>
  <c r="W72" i="75"/>
  <c r="L37" i="75"/>
  <c r="P37" i="75" s="1"/>
  <c r="N37" i="75" s="1"/>
  <c r="K37" i="75" s="1"/>
  <c r="S21" i="111"/>
  <c r="H21" i="111"/>
  <c r="T62" i="111"/>
  <c r="E68" i="111"/>
  <c r="J67" i="111"/>
  <c r="F67" i="111"/>
  <c r="AZ67" i="111" s="1"/>
  <c r="AP20" i="111"/>
  <c r="BB66" i="111"/>
  <c r="AY20" i="111"/>
  <c r="X62" i="94"/>
  <c r="L27" i="94"/>
  <c r="P27" i="94" s="1"/>
  <c r="N27" i="94" s="1"/>
  <c r="AX65" i="111"/>
  <c r="Y61" i="94"/>
  <c r="BL26" i="94"/>
  <c r="J26" i="94"/>
  <c r="X64" i="109"/>
  <c r="AS20" i="110"/>
  <c r="AO19" i="110"/>
  <c r="AQ19" i="110" s="1"/>
  <c r="AW19" i="110" s="1"/>
  <c r="BB66" i="110" s="1"/>
  <c r="R61" i="94"/>
  <c r="Q61" i="94"/>
  <c r="V62" i="94"/>
  <c r="U63" i="94"/>
  <c r="Z96" i="109"/>
  <c r="AM138" i="109"/>
  <c r="G20" i="112"/>
  <c r="K20" i="112" s="1"/>
  <c r="Q20" i="112" s="1"/>
  <c r="AN94" i="109"/>
  <c r="AP55" i="109"/>
  <c r="AU56" i="109"/>
  <c r="AT55" i="109"/>
  <c r="AU19" i="112"/>
  <c r="AT19" i="112" s="1"/>
  <c r="AV19" i="112"/>
  <c r="E66" i="112"/>
  <c r="J65" i="112"/>
  <c r="F65" i="112"/>
  <c r="AZ65" i="112" s="1"/>
  <c r="AX65" i="112"/>
  <c r="AM67" i="112"/>
  <c r="AN66" i="112"/>
  <c r="AK60" i="112"/>
  <c r="BJ63" i="94"/>
  <c r="BI64" i="94"/>
  <c r="BB56" i="94"/>
  <c r="BA56" i="94"/>
  <c r="AT56" i="94" s="1"/>
  <c r="AQ64" i="94"/>
  <c r="AR63" i="94"/>
  <c r="AM140" i="94"/>
  <c r="Z98" i="94"/>
  <c r="G64" i="94"/>
  <c r="W63" i="94"/>
  <c r="T63" i="94"/>
  <c r="H63" i="94"/>
  <c r="BK63" i="94" s="1"/>
  <c r="I63" i="94"/>
  <c r="AV21" i="103"/>
  <c r="AR21" i="103" s="1"/>
  <c r="AO21" i="103" s="1"/>
  <c r="AL21" i="103" s="1"/>
  <c r="BM90" i="109"/>
  <c r="AV45" i="109"/>
  <c r="AZ45" i="109" s="1"/>
  <c r="AX45" i="109" s="1"/>
  <c r="AW45" i="109" s="1"/>
  <c r="BH45" i="109" s="1"/>
  <c r="I21" i="110"/>
  <c r="O21" i="110"/>
  <c r="N21" i="110" s="1"/>
  <c r="L21" i="110" s="1"/>
  <c r="G21" i="110" s="1"/>
  <c r="BA21" i="110" s="1"/>
  <c r="P21" i="110"/>
  <c r="U61" i="110"/>
  <c r="AV43" i="94"/>
  <c r="AZ43" i="94" s="1"/>
  <c r="AX43" i="94" s="1"/>
  <c r="AW43" i="94" s="1"/>
  <c r="BH43" i="94" s="1"/>
  <c r="BM88" i="94"/>
  <c r="AP59" i="94"/>
  <c r="AU60" i="94"/>
  <c r="AN98" i="94"/>
  <c r="N19" i="61"/>
  <c r="M19" i="61" s="1"/>
  <c r="K19" i="61" s="1"/>
  <c r="O19" i="61"/>
  <c r="F54" i="108" l="1"/>
  <c r="G54" i="108"/>
  <c r="E54" i="108"/>
  <c r="F74" i="107"/>
  <c r="E74" i="107"/>
  <c r="G74" i="107" s="1"/>
  <c r="D74" i="107" s="1"/>
  <c r="C75" i="107" s="1"/>
  <c r="V23" i="66"/>
  <c r="Z23" i="66"/>
  <c r="X66" i="86"/>
  <c r="BK31" i="86"/>
  <c r="J31" i="86"/>
  <c r="M31" i="86"/>
  <c r="S31" i="86" s="1"/>
  <c r="AU47" i="100"/>
  <c r="AY47" i="100" s="1"/>
  <c r="AW47" i="100" s="1"/>
  <c r="AV47" i="100" s="1"/>
  <c r="BG47" i="100" s="1"/>
  <c r="BL92" i="100"/>
  <c r="AM69" i="91"/>
  <c r="AS30" i="91"/>
  <c r="AO30" i="91"/>
  <c r="L40" i="106"/>
  <c r="P40" i="106" s="1"/>
  <c r="N40" i="106" s="1"/>
  <c r="M40" i="106"/>
  <c r="S40" i="106" s="1"/>
  <c r="W75" i="106"/>
  <c r="AS30" i="75"/>
  <c r="AO30" i="75"/>
  <c r="AM69" i="75"/>
  <c r="AU47" i="105"/>
  <c r="AY47" i="105" s="1"/>
  <c r="AW47" i="105" s="1"/>
  <c r="BL92" i="105"/>
  <c r="AV47" i="105"/>
  <c r="BG47" i="105" s="1"/>
  <c r="U65" i="86"/>
  <c r="V64" i="86"/>
  <c r="AL142" i="106"/>
  <c r="Y100" i="106"/>
  <c r="AU21" i="59"/>
  <c r="AV21" i="59"/>
  <c r="G67" i="106"/>
  <c r="H66" i="106"/>
  <c r="BJ66" i="106" s="1"/>
  <c r="AL139" i="86"/>
  <c r="Y97" i="86"/>
  <c r="R67" i="91"/>
  <c r="Q67" i="91"/>
  <c r="K64" i="100"/>
  <c r="G65" i="100"/>
  <c r="I64" i="100"/>
  <c r="H64" i="100"/>
  <c r="BJ64" i="100" s="1"/>
  <c r="I65" i="105"/>
  <c r="G66" i="105"/>
  <c r="H65" i="105"/>
  <c r="BJ65" i="105" s="1"/>
  <c r="AO63" i="105"/>
  <c r="AM102" i="105"/>
  <c r="BI65" i="88"/>
  <c r="BH66" i="88"/>
  <c r="AS27" i="86"/>
  <c r="AO27" i="86"/>
  <c r="AM66" i="86"/>
  <c r="Q64" i="78"/>
  <c r="P64" i="78"/>
  <c r="AT21" i="59"/>
  <c r="AR21" i="59" s="1"/>
  <c r="AO21" i="59" s="1"/>
  <c r="AQ66" i="91"/>
  <c r="AP67" i="91"/>
  <c r="V68" i="91"/>
  <c r="U69" i="91"/>
  <c r="X98" i="100"/>
  <c r="BK63" i="100"/>
  <c r="AP66" i="88"/>
  <c r="AQ65" i="88"/>
  <c r="BA56" i="86"/>
  <c r="AV62" i="86"/>
  <c r="AZ56" i="86"/>
  <c r="L40" i="100"/>
  <c r="P40" i="100" s="1"/>
  <c r="N40" i="100" s="1"/>
  <c r="W75" i="100"/>
  <c r="E95" i="110"/>
  <c r="J94" i="110"/>
  <c r="F94" i="110"/>
  <c r="AZ94" i="110" s="1"/>
  <c r="AP65" i="105"/>
  <c r="AT64" i="105"/>
  <c r="AQ64" i="105"/>
  <c r="AV30" i="91"/>
  <c r="BG30" i="91" s="1"/>
  <c r="AA70" i="66"/>
  <c r="G70" i="66"/>
  <c r="U70" i="66"/>
  <c r="F71" i="66"/>
  <c r="U65" i="78"/>
  <c r="T66" i="78"/>
  <c r="V65" i="75"/>
  <c r="U66" i="75"/>
  <c r="AZ59" i="91"/>
  <c r="AV65" i="91"/>
  <c r="BA59" i="91"/>
  <c r="BI64" i="105"/>
  <c r="BH65" i="105"/>
  <c r="AZ58" i="75"/>
  <c r="BA58" i="75"/>
  <c r="AP71" i="75"/>
  <c r="AQ70" i="75"/>
  <c r="BH64" i="86"/>
  <c r="BI63" i="86"/>
  <c r="X92" i="106"/>
  <c r="BK57" i="106"/>
  <c r="J57" i="106"/>
  <c r="K58" i="106"/>
  <c r="AQ65" i="106"/>
  <c r="AT65" i="106"/>
  <c r="AP66" i="106"/>
  <c r="R64" i="75"/>
  <c r="Q64" i="75"/>
  <c r="AM74" i="78"/>
  <c r="AO35" i="78"/>
  <c r="H64" i="88"/>
  <c r="BJ64" i="88" s="1"/>
  <c r="G65" i="88"/>
  <c r="BH67" i="91"/>
  <c r="BI66" i="91"/>
  <c r="Y98" i="88"/>
  <c r="AL140" i="88"/>
  <c r="BA57" i="105"/>
  <c r="AZ57" i="105"/>
  <c r="AS57" i="105" s="1"/>
  <c r="BH66" i="75"/>
  <c r="BI65" i="75"/>
  <c r="AZ56" i="100"/>
  <c r="AS56" i="100" s="1"/>
  <c r="BA56" i="100"/>
  <c r="AV30" i="75"/>
  <c r="BG30" i="75" s="1"/>
  <c r="AM103" i="106"/>
  <c r="AO64" i="106"/>
  <c r="S23" i="59"/>
  <c r="T70" i="59"/>
  <c r="J23" i="59"/>
  <c r="AP69" i="86"/>
  <c r="AQ68" i="86"/>
  <c r="B79" i="108"/>
  <c r="A80" i="108"/>
  <c r="G66" i="78"/>
  <c r="H65" i="78"/>
  <c r="BH71" i="78" s="1"/>
  <c r="AL146" i="105"/>
  <c r="Y104" i="105"/>
  <c r="AQ86" i="78"/>
  <c r="AP87" i="78"/>
  <c r="BJ40" i="78"/>
  <c r="X74" i="78"/>
  <c r="U64" i="100"/>
  <c r="V63" i="100"/>
  <c r="BE36" i="78"/>
  <c r="AX36" i="78"/>
  <c r="AY36" i="78"/>
  <c r="AT36" i="78"/>
  <c r="V68" i="106"/>
  <c r="U69" i="106"/>
  <c r="BI63" i="100"/>
  <c r="BH64" i="100"/>
  <c r="A83" i="107"/>
  <c r="B82" i="107"/>
  <c r="G65" i="109"/>
  <c r="T64" i="109"/>
  <c r="W64" i="109"/>
  <c r="H64" i="109"/>
  <c r="BK64" i="109" s="1"/>
  <c r="I64" i="109"/>
  <c r="K31" i="88"/>
  <c r="W66" i="88"/>
  <c r="L31" i="88"/>
  <c r="P31" i="88" s="1"/>
  <c r="N31" i="88" s="1"/>
  <c r="M31" i="88" s="1"/>
  <c r="S31" i="88" s="1"/>
  <c r="AV44" i="106"/>
  <c r="BG44" i="106" s="1"/>
  <c r="V63" i="105"/>
  <c r="U64" i="105"/>
  <c r="O129" i="66"/>
  <c r="W130" i="66"/>
  <c r="AV36" i="78"/>
  <c r="Q62" i="100"/>
  <c r="J62" i="100" s="1"/>
  <c r="R62" i="100"/>
  <c r="E69" i="103"/>
  <c r="J68" i="103"/>
  <c r="F68" i="103"/>
  <c r="AZ68" i="103" s="1"/>
  <c r="R67" i="106"/>
  <c r="Q67" i="106"/>
  <c r="AM103" i="100"/>
  <c r="AO64" i="100"/>
  <c r="G69" i="91"/>
  <c r="H68" i="91"/>
  <c r="BJ68" i="91" s="1"/>
  <c r="AZ56" i="106"/>
  <c r="AS56" i="106" s="1"/>
  <c r="BA56" i="106"/>
  <c r="M45" i="105"/>
  <c r="S45" i="105" s="1"/>
  <c r="Q62" i="105"/>
  <c r="R62" i="105"/>
  <c r="G67" i="86"/>
  <c r="H66" i="86"/>
  <c r="BJ66" i="86" s="1"/>
  <c r="X95" i="105"/>
  <c r="J60" i="105"/>
  <c r="BK60" i="105"/>
  <c r="K61" i="105"/>
  <c r="G67" i="75"/>
  <c r="H66" i="75"/>
  <c r="BJ66" i="75" s="1"/>
  <c r="W67" i="91"/>
  <c r="L32" i="91"/>
  <c r="P32" i="91" s="1"/>
  <c r="N32" i="91" s="1"/>
  <c r="K32" i="91" s="1"/>
  <c r="AL139" i="100"/>
  <c r="Y97" i="100"/>
  <c r="Y100" i="75"/>
  <c r="AL142" i="75"/>
  <c r="AP66" i="100"/>
  <c r="AT65" i="100"/>
  <c r="AQ65" i="100"/>
  <c r="L34" i="78"/>
  <c r="R34" i="78" s="1"/>
  <c r="V67" i="88"/>
  <c r="U68" i="88"/>
  <c r="BI63" i="106"/>
  <c r="BH64" i="106"/>
  <c r="M69" i="66"/>
  <c r="L69" i="66"/>
  <c r="N69" i="66"/>
  <c r="Q63" i="86"/>
  <c r="R63" i="86"/>
  <c r="Y100" i="91"/>
  <c r="AL142" i="91"/>
  <c r="BA58" i="88"/>
  <c r="AZ58" i="88"/>
  <c r="V109" i="59"/>
  <c r="AI139" i="59"/>
  <c r="R66" i="88"/>
  <c r="Q66" i="88"/>
  <c r="AU30" i="88"/>
  <c r="AY30" i="88" s="1"/>
  <c r="AW30" i="88" s="1"/>
  <c r="AT30" i="88"/>
  <c r="BL75" i="88"/>
  <c r="AV30" i="88"/>
  <c r="BG30" i="88" s="1"/>
  <c r="AV27" i="86"/>
  <c r="BG27" i="86" s="1"/>
  <c r="BI64" i="109"/>
  <c r="BJ63" i="109"/>
  <c r="BA56" i="109"/>
  <c r="BB56" i="109"/>
  <c r="R63" i="110"/>
  <c r="S62" i="110"/>
  <c r="AL19" i="110"/>
  <c r="AY20" i="110"/>
  <c r="AU20" i="110" s="1"/>
  <c r="AJ60" i="110"/>
  <c r="R63" i="109"/>
  <c r="Q63" i="109"/>
  <c r="V64" i="109"/>
  <c r="U65" i="109"/>
  <c r="X72" i="75"/>
  <c r="J37" i="75"/>
  <c r="BK37" i="75"/>
  <c r="M37" i="75"/>
  <c r="S37" i="75" s="1"/>
  <c r="V62" i="111"/>
  <c r="U61" i="111"/>
  <c r="AV20" i="111"/>
  <c r="AU20" i="111"/>
  <c r="J68" i="111"/>
  <c r="E69" i="111"/>
  <c r="F68" i="111"/>
  <c r="AZ68" i="111" s="1"/>
  <c r="I21" i="111"/>
  <c r="P21" i="111"/>
  <c r="O21" i="111"/>
  <c r="N21" i="111" s="1"/>
  <c r="L21" i="111" s="1"/>
  <c r="G21" i="111" s="1"/>
  <c r="BA21" i="111" s="1"/>
  <c r="K27" i="94"/>
  <c r="AX66" i="111"/>
  <c r="P29" i="109"/>
  <c r="N29" i="109" s="1"/>
  <c r="K29" i="109"/>
  <c r="AI61" i="110"/>
  <c r="AK61" i="110" s="1"/>
  <c r="AP20" i="110"/>
  <c r="V63" i="94"/>
  <c r="U64" i="94"/>
  <c r="Q62" i="94"/>
  <c r="R62" i="94"/>
  <c r="AM139" i="109"/>
  <c r="Z97" i="109"/>
  <c r="S21" i="112"/>
  <c r="T62" i="112"/>
  <c r="V62" i="112" s="1"/>
  <c r="H21" i="112"/>
  <c r="BA20" i="112"/>
  <c r="AN95" i="109"/>
  <c r="AT56" i="109"/>
  <c r="AP56" i="109"/>
  <c r="AU57" i="109"/>
  <c r="AR19" i="112"/>
  <c r="E67" i="112"/>
  <c r="J66" i="112"/>
  <c r="F66" i="112"/>
  <c r="AZ66" i="112" s="1"/>
  <c r="AX66" i="112"/>
  <c r="AM68" i="112"/>
  <c r="AN67" i="112"/>
  <c r="BJ64" i="94"/>
  <c r="BI65" i="94"/>
  <c r="BA57" i="94"/>
  <c r="AT57" i="94" s="1"/>
  <c r="BB57" i="94"/>
  <c r="W64" i="94"/>
  <c r="G65" i="94"/>
  <c r="H64" i="94"/>
  <c r="BK64" i="94" s="1"/>
  <c r="T64" i="94"/>
  <c r="I64" i="94"/>
  <c r="AR64" i="94"/>
  <c r="AQ65" i="94"/>
  <c r="AM141" i="94"/>
  <c r="Z99" i="94"/>
  <c r="AI61" i="111"/>
  <c r="AJ60" i="111"/>
  <c r="AS22" i="103"/>
  <c r="AQ21" i="103"/>
  <c r="AW21" i="103" s="1"/>
  <c r="AP22" i="103" s="1"/>
  <c r="AV46" i="109"/>
  <c r="AZ46" i="109" s="1"/>
  <c r="AX46" i="109" s="1"/>
  <c r="AW46" i="109" s="1"/>
  <c r="BH46" i="109" s="1"/>
  <c r="BM91" i="109"/>
  <c r="K21" i="110"/>
  <c r="Q21" i="110" s="1"/>
  <c r="M22" i="110"/>
  <c r="AJ62" i="103"/>
  <c r="AV44" i="94"/>
  <c r="AZ44" i="94" s="1"/>
  <c r="AX44" i="94" s="1"/>
  <c r="AW44" i="94" s="1"/>
  <c r="BH44" i="94" s="1"/>
  <c r="BM89" i="94"/>
  <c r="AN99" i="94"/>
  <c r="AU61" i="94"/>
  <c r="AP60" i="94"/>
  <c r="H19" i="61"/>
  <c r="J19" i="61" s="1"/>
  <c r="L20" i="61"/>
  <c r="M40" i="100" l="1"/>
  <c r="S40" i="100" s="1"/>
  <c r="AU31" i="88"/>
  <c r="AY31" i="88" s="1"/>
  <c r="AW31" i="88" s="1"/>
  <c r="AT31" i="88" s="1"/>
  <c r="BL76" i="88"/>
  <c r="E75" i="107"/>
  <c r="G75" i="107" s="1"/>
  <c r="D75" i="107" s="1"/>
  <c r="C76" i="107" s="1"/>
  <c r="F75" i="107"/>
  <c r="AU48" i="100"/>
  <c r="AY48" i="100" s="1"/>
  <c r="AW48" i="100" s="1"/>
  <c r="AV48" i="100" s="1"/>
  <c r="BG48" i="100" s="1"/>
  <c r="BL93" i="100"/>
  <c r="X67" i="91"/>
  <c r="J32" i="91"/>
  <c r="BK32" i="91"/>
  <c r="W67" i="88"/>
  <c r="L32" i="88"/>
  <c r="P32" i="88" s="1"/>
  <c r="N32" i="88" s="1"/>
  <c r="L41" i="100"/>
  <c r="P41" i="100" s="1"/>
  <c r="N41" i="100" s="1"/>
  <c r="M41" i="100"/>
  <c r="S41" i="100" s="1"/>
  <c r="W76" i="100"/>
  <c r="L41" i="106"/>
  <c r="P41" i="106" s="1"/>
  <c r="N41" i="106" s="1"/>
  <c r="W76" i="106"/>
  <c r="AU48" i="105"/>
  <c r="AY48" i="105" s="1"/>
  <c r="AW48" i="105" s="1"/>
  <c r="BL93" i="105"/>
  <c r="AV48" i="105"/>
  <c r="BG48" i="105" s="1"/>
  <c r="G68" i="86"/>
  <c r="H67" i="86"/>
  <c r="BJ67" i="86" s="1"/>
  <c r="AQ87" i="78"/>
  <c r="AP88" i="78"/>
  <c r="AQ66" i="106"/>
  <c r="AP67" i="106"/>
  <c r="AT66" i="106"/>
  <c r="BI64" i="86"/>
  <c r="BH65" i="86"/>
  <c r="BH66" i="105"/>
  <c r="BI65" i="105"/>
  <c r="R65" i="75"/>
  <c r="Q65" i="75"/>
  <c r="AT31" i="91"/>
  <c r="AU31" i="91"/>
  <c r="AY31" i="91" s="1"/>
  <c r="AW31" i="91" s="1"/>
  <c r="AV31" i="91" s="1"/>
  <c r="BG31" i="91" s="1"/>
  <c r="BL76" i="91"/>
  <c r="AQ66" i="88"/>
  <c r="AP67" i="88"/>
  <c r="AJ60" i="59"/>
  <c r="AL21" i="59"/>
  <c r="AM69" i="88"/>
  <c r="AS30" i="88"/>
  <c r="AO30" i="88"/>
  <c r="AT66" i="100"/>
  <c r="AP67" i="100"/>
  <c r="AQ66" i="100"/>
  <c r="X66" i="88"/>
  <c r="J31" i="88"/>
  <c r="BK31" i="88"/>
  <c r="AL147" i="105"/>
  <c r="Y105" i="105"/>
  <c r="Y106" i="105" s="1"/>
  <c r="Y107" i="105" s="1"/>
  <c r="Y108" i="105" s="1"/>
  <c r="Y109" i="105" s="1"/>
  <c r="Y110" i="105" s="1"/>
  <c r="Y111" i="105" s="1"/>
  <c r="Y112" i="105" s="1"/>
  <c r="Y113" i="105" s="1"/>
  <c r="P23" i="59"/>
  <c r="O23" i="59"/>
  <c r="H65" i="88"/>
  <c r="BJ65" i="88" s="1"/>
  <c r="G66" i="88"/>
  <c r="AQ71" i="75"/>
  <c r="AP72" i="75"/>
  <c r="Q65" i="78"/>
  <c r="P65" i="78"/>
  <c r="AM103" i="105"/>
  <c r="AO64" i="105"/>
  <c r="AS22" i="59"/>
  <c r="L32" i="86"/>
  <c r="P32" i="86" s="1"/>
  <c r="N32" i="86" s="1"/>
  <c r="W67" i="86"/>
  <c r="BH65" i="106"/>
  <c r="BI64" i="106"/>
  <c r="M32" i="91"/>
  <c r="S32" i="91" s="1"/>
  <c r="O130" i="66"/>
  <c r="W131" i="66"/>
  <c r="B83" i="107"/>
  <c r="A84" i="107"/>
  <c r="BG43" i="78"/>
  <c r="BJ82" i="78"/>
  <c r="AS37" i="78"/>
  <c r="G67" i="78"/>
  <c r="H66" i="78"/>
  <c r="BH72" i="78" s="1"/>
  <c r="Y99" i="88"/>
  <c r="AL141" i="88"/>
  <c r="BK58" i="106"/>
  <c r="J58" i="106"/>
  <c r="X93" i="106"/>
  <c r="K59" i="106"/>
  <c r="AW36" i="78"/>
  <c r="AU36" i="78" s="1"/>
  <c r="AR36" i="78" s="1"/>
  <c r="AT65" i="105"/>
  <c r="AP66" i="105"/>
  <c r="AQ65" i="105"/>
  <c r="AQ21" i="59"/>
  <c r="BB21" i="59" s="1"/>
  <c r="T65" i="109"/>
  <c r="G66" i="109"/>
  <c r="W65" i="109"/>
  <c r="H65" i="109"/>
  <c r="BK65" i="109" s="1"/>
  <c r="I65" i="109"/>
  <c r="AZ57" i="106"/>
  <c r="AS57" i="106" s="1"/>
  <c r="BA57" i="106"/>
  <c r="AL143" i="75"/>
  <c r="Y101" i="75"/>
  <c r="L46" i="105"/>
  <c r="P46" i="105" s="1"/>
  <c r="N46" i="105" s="1"/>
  <c r="W81" i="105"/>
  <c r="BI64" i="100"/>
  <c r="BH65" i="100"/>
  <c r="R63" i="100"/>
  <c r="Q63" i="100"/>
  <c r="J63" i="100" s="1"/>
  <c r="B80" i="108"/>
  <c r="A81" i="108"/>
  <c r="BA59" i="75"/>
  <c r="AZ59" i="75"/>
  <c r="BA60" i="91"/>
  <c r="AV66" i="91"/>
  <c r="AZ60" i="91"/>
  <c r="F72" i="66"/>
  <c r="AA71" i="66"/>
  <c r="G71" i="66"/>
  <c r="U71" i="66"/>
  <c r="V69" i="91"/>
  <c r="U70" i="91"/>
  <c r="Y101" i="106"/>
  <c r="AL143" i="106"/>
  <c r="T67" i="78"/>
  <c r="U66" i="78"/>
  <c r="Y101" i="91"/>
  <c r="AL143" i="91"/>
  <c r="V68" i="88"/>
  <c r="U69" i="88"/>
  <c r="AL140" i="100"/>
  <c r="Y98" i="100"/>
  <c r="V64" i="105"/>
  <c r="U65" i="105"/>
  <c r="BA57" i="100"/>
  <c r="AZ57" i="100"/>
  <c r="AS57" i="100" s="1"/>
  <c r="U65" i="100"/>
  <c r="V64" i="100"/>
  <c r="BH67" i="75"/>
  <c r="BI66" i="75"/>
  <c r="BH68" i="91"/>
  <c r="BI67" i="91"/>
  <c r="R68" i="91"/>
  <c r="Q68" i="91"/>
  <c r="G67" i="105"/>
  <c r="I66" i="105"/>
  <c r="H66" i="105"/>
  <c r="BJ66" i="105" s="1"/>
  <c r="I65" i="100"/>
  <c r="K65" i="100"/>
  <c r="G66" i="100"/>
  <c r="H65" i="100"/>
  <c r="BJ65" i="100" s="1"/>
  <c r="D54" i="108"/>
  <c r="C55" i="108" s="1"/>
  <c r="AM104" i="100"/>
  <c r="AO65" i="100"/>
  <c r="AT28" i="86"/>
  <c r="AU28" i="86"/>
  <c r="AY28" i="86" s="1"/>
  <c r="AW28" i="86" s="1"/>
  <c r="AV28" i="86" s="1"/>
  <c r="BG28" i="86" s="1"/>
  <c r="BL73" i="86"/>
  <c r="Q67" i="88"/>
  <c r="R67" i="88"/>
  <c r="H67" i="75"/>
  <c r="BJ67" i="75" s="1"/>
  <c r="G68" i="75"/>
  <c r="G70" i="91"/>
  <c r="H69" i="91"/>
  <c r="BJ69" i="91" s="1"/>
  <c r="E70" i="103"/>
  <c r="J69" i="103"/>
  <c r="F69" i="103"/>
  <c r="AZ69" i="103" s="1"/>
  <c r="Q63" i="105"/>
  <c r="R63" i="105"/>
  <c r="V69" i="106"/>
  <c r="U70" i="106"/>
  <c r="L70" i="66"/>
  <c r="N70" i="66"/>
  <c r="M70" i="66"/>
  <c r="E96" i="110"/>
  <c r="J95" i="110"/>
  <c r="F95" i="110"/>
  <c r="AZ95" i="110" s="1"/>
  <c r="AP68" i="91"/>
  <c r="AQ67" i="91"/>
  <c r="BH67" i="88"/>
  <c r="BI66" i="88"/>
  <c r="X99" i="100"/>
  <c r="BK64" i="100"/>
  <c r="Q64" i="86"/>
  <c r="R64" i="86"/>
  <c r="AO65" i="106"/>
  <c r="AM104" i="106"/>
  <c r="BA58" i="105"/>
  <c r="AZ58" i="105"/>
  <c r="AS58" i="105" s="1"/>
  <c r="AL140" i="86"/>
  <c r="Y98" i="86"/>
  <c r="V110" i="59"/>
  <c r="AI140" i="59"/>
  <c r="L35" i="78"/>
  <c r="R35" i="78"/>
  <c r="J35" i="78"/>
  <c r="K35" i="78"/>
  <c r="O35" i="78" s="1"/>
  <c r="M35" i="78" s="1"/>
  <c r="N36" i="78" s="1"/>
  <c r="W75" i="78"/>
  <c r="J61" i="105"/>
  <c r="X96" i="105"/>
  <c r="BK61" i="105"/>
  <c r="K62" i="105"/>
  <c r="AU45" i="106"/>
  <c r="AY45" i="106" s="1"/>
  <c r="BL90" i="106"/>
  <c r="R68" i="106"/>
  <c r="Q68" i="106"/>
  <c r="AP70" i="86"/>
  <c r="AQ69" i="86"/>
  <c r="AU31" i="75"/>
  <c r="AY31" i="75" s="1"/>
  <c r="AW31" i="75" s="1"/>
  <c r="AT31" i="75" s="1"/>
  <c r="BL76" i="75"/>
  <c r="AZ57" i="86"/>
  <c r="BA57" i="86"/>
  <c r="AV63" i="86"/>
  <c r="U67" i="75"/>
  <c r="V66" i="75"/>
  <c r="AZ59" i="88"/>
  <c r="BA59" i="88"/>
  <c r="G68" i="106"/>
  <c r="H67" i="106"/>
  <c r="BJ67" i="106" s="1"/>
  <c r="U66" i="86"/>
  <c r="V65" i="86"/>
  <c r="K24" i="66"/>
  <c r="J24" i="66"/>
  <c r="I24" i="66" s="1"/>
  <c r="X24" i="66"/>
  <c r="BB57" i="109"/>
  <c r="BA57" i="109"/>
  <c r="BI65" i="109"/>
  <c r="BJ64" i="109"/>
  <c r="AV20" i="110"/>
  <c r="R64" i="110"/>
  <c r="S63" i="110"/>
  <c r="AT20" i="110"/>
  <c r="V65" i="109"/>
  <c r="U66" i="109"/>
  <c r="R64" i="109"/>
  <c r="Q64" i="109"/>
  <c r="W73" i="75"/>
  <c r="L38" i="75"/>
  <c r="P38" i="75" s="1"/>
  <c r="N38" i="75" s="1"/>
  <c r="K38" i="75" s="1"/>
  <c r="K21" i="111"/>
  <c r="Q21" i="111" s="1"/>
  <c r="AT20" i="111"/>
  <c r="AR20" i="111" s="1"/>
  <c r="AS21" i="111" s="1"/>
  <c r="M22" i="111"/>
  <c r="J69" i="111"/>
  <c r="E70" i="111"/>
  <c r="F69" i="111"/>
  <c r="AZ69" i="111" s="1"/>
  <c r="AX67" i="111"/>
  <c r="M27" i="94"/>
  <c r="S27" i="94" s="1"/>
  <c r="J27" i="94"/>
  <c r="BL27" i="94"/>
  <c r="Y62" i="94"/>
  <c r="J29" i="109"/>
  <c r="BL29" i="109"/>
  <c r="M29" i="109"/>
  <c r="S29" i="109" s="1"/>
  <c r="L30" i="109" s="1"/>
  <c r="Y64" i="109"/>
  <c r="U65" i="94"/>
  <c r="V64" i="94"/>
  <c r="Q63" i="94"/>
  <c r="R63" i="94"/>
  <c r="Z98" i="109"/>
  <c r="AM140" i="109"/>
  <c r="I21" i="112"/>
  <c r="U61" i="112"/>
  <c r="P21" i="112"/>
  <c r="O21" i="112"/>
  <c r="N21" i="112" s="1"/>
  <c r="L21" i="112" s="1"/>
  <c r="G21" i="112" s="1"/>
  <c r="BA21" i="112" s="1"/>
  <c r="AT57" i="109"/>
  <c r="AU58" i="109"/>
  <c r="AP57" i="109"/>
  <c r="AN96" i="109"/>
  <c r="AM69" i="112"/>
  <c r="AN68" i="112"/>
  <c r="J67" i="112"/>
  <c r="E68" i="112"/>
  <c r="F67" i="112"/>
  <c r="AZ67" i="112" s="1"/>
  <c r="AO19" i="112"/>
  <c r="AQ19" i="112" s="1"/>
  <c r="AW19" i="112" s="1"/>
  <c r="BC19" i="112"/>
  <c r="AX67" i="112"/>
  <c r="AS20" i="112"/>
  <c r="BJ65" i="94"/>
  <c r="BI66" i="94"/>
  <c r="BB58" i="94"/>
  <c r="BA58" i="94"/>
  <c r="AT58" i="94" s="1"/>
  <c r="AR65" i="94"/>
  <c r="AQ66" i="94"/>
  <c r="G66" i="94"/>
  <c r="W65" i="94"/>
  <c r="T65" i="94"/>
  <c r="H65" i="94"/>
  <c r="BK65" i="94" s="1"/>
  <c r="I65" i="94"/>
  <c r="AM142" i="94"/>
  <c r="Z100" i="94"/>
  <c r="AK61" i="111"/>
  <c r="AI63" i="103"/>
  <c r="AK63" i="103" s="1"/>
  <c r="BB68" i="103"/>
  <c r="AY22" i="103"/>
  <c r="AU22" i="103" s="1"/>
  <c r="BM92" i="109"/>
  <c r="AV47" i="109"/>
  <c r="AZ47" i="109" s="1"/>
  <c r="AX47" i="109" s="1"/>
  <c r="AW47" i="109" s="1"/>
  <c r="BH47" i="109" s="1"/>
  <c r="T63" i="110"/>
  <c r="H22" i="110"/>
  <c r="AV45" i="94"/>
  <c r="AZ45" i="94" s="1"/>
  <c r="AX45" i="94" s="1"/>
  <c r="AW45" i="94" s="1"/>
  <c r="BH45" i="94" s="1"/>
  <c r="BM90" i="94"/>
  <c r="AP61" i="94"/>
  <c r="AN100" i="94"/>
  <c r="AU62" i="94"/>
  <c r="P19" i="61"/>
  <c r="T49" i="61"/>
  <c r="AU49" i="100" l="1"/>
  <c r="AY49" i="100" s="1"/>
  <c r="AW49" i="100" s="1"/>
  <c r="BL94" i="100"/>
  <c r="AV49" i="100"/>
  <c r="BG49" i="100" s="1"/>
  <c r="L42" i="100"/>
  <c r="P42" i="100" s="1"/>
  <c r="N42" i="100" s="1"/>
  <c r="W77" i="100"/>
  <c r="AU29" i="86"/>
  <c r="AY29" i="86" s="1"/>
  <c r="AW29" i="86" s="1"/>
  <c r="AT29" i="86" s="1"/>
  <c r="BL74" i="86"/>
  <c r="AU49" i="105"/>
  <c r="AY49" i="105" s="1"/>
  <c r="AW49" i="105" s="1"/>
  <c r="AV49" i="105" s="1"/>
  <c r="BG49" i="105" s="1"/>
  <c r="BL94" i="105"/>
  <c r="AU32" i="91"/>
  <c r="AY32" i="91" s="1"/>
  <c r="AW32" i="91" s="1"/>
  <c r="AT32" i="91" s="1"/>
  <c r="BL77" i="91"/>
  <c r="E76" i="107"/>
  <c r="F76" i="107"/>
  <c r="G76" i="107" s="1"/>
  <c r="D76" i="107" s="1"/>
  <c r="C77" i="107" s="1"/>
  <c r="AO31" i="75"/>
  <c r="AM70" i="75"/>
  <c r="AS31" i="75"/>
  <c r="AS31" i="88"/>
  <c r="AM70" i="88"/>
  <c r="AO31" i="88"/>
  <c r="K36" i="78"/>
  <c r="O36" i="78" s="1"/>
  <c r="M36" i="78" s="1"/>
  <c r="N37" i="78" s="1"/>
  <c r="W76" i="78"/>
  <c r="E97" i="110"/>
  <c r="J96" i="110"/>
  <c r="F96" i="110"/>
  <c r="AZ96" i="110" s="1"/>
  <c r="G71" i="91"/>
  <c r="H70" i="91"/>
  <c r="BJ70" i="91" s="1"/>
  <c r="K66" i="100"/>
  <c r="G67" i="100"/>
  <c r="I66" i="100"/>
  <c r="H66" i="100"/>
  <c r="BJ66" i="100" s="1"/>
  <c r="BH68" i="75"/>
  <c r="BI67" i="75"/>
  <c r="R64" i="105"/>
  <c r="Q64" i="105"/>
  <c r="U67" i="78"/>
  <c r="T68" i="78"/>
  <c r="B84" i="107"/>
  <c r="A85" i="107"/>
  <c r="BI65" i="86"/>
  <c r="BH66" i="86"/>
  <c r="G69" i="106"/>
  <c r="H68" i="106"/>
  <c r="BJ68" i="106" s="1"/>
  <c r="X97" i="105"/>
  <c r="J62" i="105"/>
  <c r="BK62" i="105"/>
  <c r="K63" i="105"/>
  <c r="Q64" i="100"/>
  <c r="J64" i="100" s="1"/>
  <c r="R64" i="100"/>
  <c r="Y99" i="100"/>
  <c r="AL141" i="100"/>
  <c r="U72" i="66"/>
  <c r="G72" i="66"/>
  <c r="AA72" i="66"/>
  <c r="F73" i="66"/>
  <c r="BD28" i="59"/>
  <c r="AP22" i="59"/>
  <c r="BG67" i="59"/>
  <c r="K32" i="86"/>
  <c r="G67" i="88"/>
  <c r="H66" i="88"/>
  <c r="BJ66" i="88" s="1"/>
  <c r="AV37" i="78"/>
  <c r="BA58" i="86"/>
  <c r="AZ58" i="86"/>
  <c r="AV64" i="86"/>
  <c r="AP71" i="86"/>
  <c r="AQ70" i="86"/>
  <c r="BA60" i="88"/>
  <c r="AZ60" i="88"/>
  <c r="E71" i="103"/>
  <c r="J70" i="103"/>
  <c r="F70" i="103"/>
  <c r="AZ70" i="103" s="1"/>
  <c r="G69" i="75"/>
  <c r="H68" i="75"/>
  <c r="BJ68" i="75" s="1"/>
  <c r="AO28" i="86"/>
  <c r="AM67" i="86"/>
  <c r="AS28" i="86"/>
  <c r="G68" i="105"/>
  <c r="H67" i="105"/>
  <c r="BJ67" i="105" s="1"/>
  <c r="I67" i="105"/>
  <c r="V65" i="100"/>
  <c r="U66" i="100"/>
  <c r="AL144" i="106"/>
  <c r="Y102" i="106"/>
  <c r="B81" i="108"/>
  <c r="A82" i="108"/>
  <c r="AO66" i="106"/>
  <c r="AM105" i="106"/>
  <c r="Q65" i="86"/>
  <c r="R65" i="86"/>
  <c r="AI141" i="59"/>
  <c r="V111" i="59"/>
  <c r="BI67" i="88"/>
  <c r="BH68" i="88"/>
  <c r="X100" i="100"/>
  <c r="BK65" i="100"/>
  <c r="U70" i="88"/>
  <c r="V69" i="88"/>
  <c r="V70" i="91"/>
  <c r="U71" i="91"/>
  <c r="M46" i="105"/>
  <c r="S46" i="105" s="1"/>
  <c r="AQ66" i="105"/>
  <c r="AP67" i="105"/>
  <c r="AT66" i="105"/>
  <c r="Y100" i="88"/>
  <c r="AL142" i="88"/>
  <c r="G68" i="78"/>
  <c r="H67" i="78"/>
  <c r="BH73" i="78" s="1"/>
  <c r="O131" i="66"/>
  <c r="W132" i="66"/>
  <c r="AP73" i="75"/>
  <c r="AQ72" i="75"/>
  <c r="AS31" i="91"/>
  <c r="AO31" i="91"/>
  <c r="AM70" i="91"/>
  <c r="AP68" i="106"/>
  <c r="AQ67" i="106"/>
  <c r="AT67" i="106"/>
  <c r="U67" i="86"/>
  <c r="V66" i="86"/>
  <c r="AV31" i="75"/>
  <c r="BG31" i="75" s="1"/>
  <c r="Y99" i="86"/>
  <c r="AL141" i="86"/>
  <c r="U71" i="106"/>
  <c r="V70" i="106"/>
  <c r="R68" i="88"/>
  <c r="Q68" i="88"/>
  <c r="Q69" i="91"/>
  <c r="R69" i="91"/>
  <c r="Y102" i="75"/>
  <c r="AL144" i="75"/>
  <c r="AM104" i="105"/>
  <c r="AO65" i="105"/>
  <c r="AP69" i="91"/>
  <c r="AQ68" i="91"/>
  <c r="R69" i="106"/>
  <c r="Q69" i="106"/>
  <c r="AZ61" i="91"/>
  <c r="BA61" i="91"/>
  <c r="AV67" i="91"/>
  <c r="AO36" i="78"/>
  <c r="AM75" i="78"/>
  <c r="W68" i="91"/>
  <c r="L33" i="91"/>
  <c r="P33" i="91" s="1"/>
  <c r="N33" i="91" s="1"/>
  <c r="K33" i="91" s="1"/>
  <c r="AP68" i="88"/>
  <c r="AQ67" i="88"/>
  <c r="K32" i="88"/>
  <c r="AV31" i="88"/>
  <c r="BG31" i="88" s="1"/>
  <c r="AR20" i="110"/>
  <c r="AS21" i="110" s="1"/>
  <c r="S24" i="66"/>
  <c r="T24" i="66"/>
  <c r="R66" i="75"/>
  <c r="Q66" i="75"/>
  <c r="AV45" i="106"/>
  <c r="BG45" i="106" s="1"/>
  <c r="G55" i="108"/>
  <c r="E55" i="108"/>
  <c r="F55" i="108"/>
  <c r="BH69" i="91"/>
  <c r="BI68" i="91"/>
  <c r="AL144" i="91"/>
  <c r="Y102" i="91"/>
  <c r="BH66" i="100"/>
  <c r="BI65" i="100"/>
  <c r="W66" i="109"/>
  <c r="G67" i="109"/>
  <c r="T66" i="109"/>
  <c r="H66" i="109"/>
  <c r="BK66" i="109" s="1"/>
  <c r="I66" i="109"/>
  <c r="X94" i="106"/>
  <c r="J59" i="106"/>
  <c r="BK59" i="106"/>
  <c r="K60" i="106"/>
  <c r="AZ58" i="106"/>
  <c r="AS58" i="106" s="1"/>
  <c r="BA58" i="106"/>
  <c r="AT67" i="100"/>
  <c r="AP68" i="100"/>
  <c r="AQ67" i="100"/>
  <c r="BA59" i="105"/>
  <c r="AZ59" i="105"/>
  <c r="AS59" i="105" s="1"/>
  <c r="N23" i="59"/>
  <c r="L23" i="59" s="1"/>
  <c r="G69" i="86"/>
  <c r="H68" i="86"/>
  <c r="BJ68" i="86" s="1"/>
  <c r="M41" i="106"/>
  <c r="S41" i="106" s="1"/>
  <c r="U68" i="75"/>
  <c r="V67" i="75"/>
  <c r="BJ41" i="78"/>
  <c r="X75" i="78"/>
  <c r="AZ60" i="75"/>
  <c r="BA60" i="75"/>
  <c r="U66" i="105"/>
  <c r="V65" i="105"/>
  <c r="P66" i="78"/>
  <c r="Q66" i="78"/>
  <c r="N71" i="66"/>
  <c r="M71" i="66"/>
  <c r="L71" i="66"/>
  <c r="AZ58" i="100"/>
  <c r="AS58" i="100" s="1"/>
  <c r="BA58" i="100"/>
  <c r="AY37" i="78"/>
  <c r="AT37" i="78"/>
  <c r="AX37" i="78"/>
  <c r="AW37" i="78" s="1"/>
  <c r="AU37" i="78" s="1"/>
  <c r="AR37" i="78" s="1"/>
  <c r="BE37" i="78"/>
  <c r="BH66" i="106"/>
  <c r="BI65" i="106"/>
  <c r="AO66" i="100"/>
  <c r="AM105" i="100"/>
  <c r="BI66" i="105"/>
  <c r="BH67" i="105"/>
  <c r="AP89" i="78"/>
  <c r="AQ88" i="78"/>
  <c r="BB58" i="109"/>
  <c r="BA58" i="109"/>
  <c r="BJ65" i="109"/>
  <c r="BI66" i="109"/>
  <c r="R65" i="110"/>
  <c r="S64" i="110"/>
  <c r="U67" i="109"/>
  <c r="V66" i="109"/>
  <c r="R65" i="109"/>
  <c r="Q65" i="109"/>
  <c r="J38" i="75"/>
  <c r="BK38" i="75"/>
  <c r="X73" i="75"/>
  <c r="M38" i="75"/>
  <c r="S38" i="75" s="1"/>
  <c r="S22" i="111"/>
  <c r="H22" i="111"/>
  <c r="T63" i="111"/>
  <c r="E71" i="111"/>
  <c r="J70" i="111"/>
  <c r="F70" i="111"/>
  <c r="AZ70" i="111" s="1"/>
  <c r="AO20" i="111"/>
  <c r="AL20" i="111" s="1"/>
  <c r="BC20" i="111"/>
  <c r="X63" i="94"/>
  <c r="L28" i="94"/>
  <c r="AX68" i="111"/>
  <c r="X65" i="109"/>
  <c r="R64" i="94"/>
  <c r="Q64" i="94"/>
  <c r="U66" i="94"/>
  <c r="V65" i="94"/>
  <c r="BC20" i="110"/>
  <c r="AO20" i="110"/>
  <c r="AQ20" i="110" s="1"/>
  <c r="AW20" i="110" s="1"/>
  <c r="Z99" i="109"/>
  <c r="AM141" i="109"/>
  <c r="K21" i="112"/>
  <c r="Q21" i="112" s="1"/>
  <c r="M22" i="112"/>
  <c r="AU59" i="109"/>
  <c r="AN97" i="109"/>
  <c r="AP58" i="109"/>
  <c r="AT58" i="109"/>
  <c r="AY20" i="112"/>
  <c r="AI61" i="112"/>
  <c r="BB66" i="112"/>
  <c r="AP20" i="112"/>
  <c r="E69" i="112"/>
  <c r="F68" i="112"/>
  <c r="AZ68" i="112" s="1"/>
  <c r="AL19" i="112"/>
  <c r="AJ60" i="112"/>
  <c r="AM70" i="112"/>
  <c r="AN69" i="112"/>
  <c r="AX68" i="112"/>
  <c r="BI67" i="94"/>
  <c r="BJ66" i="94"/>
  <c r="BB59" i="94"/>
  <c r="BA59" i="94"/>
  <c r="AT59" i="94" s="1"/>
  <c r="Z101" i="94"/>
  <c r="AM143" i="94"/>
  <c r="W66" i="94"/>
  <c r="G67" i="94"/>
  <c r="T66" i="94"/>
  <c r="H66" i="94"/>
  <c r="BK66" i="94" s="1"/>
  <c r="I66" i="94"/>
  <c r="AR66" i="94"/>
  <c r="AQ67" i="94"/>
  <c r="AV22" i="103"/>
  <c r="AV48" i="109"/>
  <c r="AZ48" i="109" s="1"/>
  <c r="AX48" i="109" s="1"/>
  <c r="AW48" i="109" s="1"/>
  <c r="BH48" i="109" s="1"/>
  <c r="BM93" i="109"/>
  <c r="O22" i="110"/>
  <c r="P22" i="110"/>
  <c r="I22" i="110"/>
  <c r="V63" i="110"/>
  <c r="U62" i="110"/>
  <c r="BM91" i="94"/>
  <c r="AV46" i="94"/>
  <c r="AZ46" i="94" s="1"/>
  <c r="AX46" i="94" s="1"/>
  <c r="AW46" i="94" s="1"/>
  <c r="BH46" i="94" s="1"/>
  <c r="AT22" i="103"/>
  <c r="AU63" i="94"/>
  <c r="AN101" i="94"/>
  <c r="AP62" i="94"/>
  <c r="I20" i="61"/>
  <c r="R20" i="61"/>
  <c r="S50" i="61"/>
  <c r="AO37" i="78" l="1"/>
  <c r="AM76" i="78"/>
  <c r="AU50" i="105"/>
  <c r="AY50" i="105" s="1"/>
  <c r="AW50" i="105" s="1"/>
  <c r="BL95" i="105"/>
  <c r="AV50" i="105"/>
  <c r="BG50" i="105" s="1"/>
  <c r="X68" i="91"/>
  <c r="J33" i="91"/>
  <c r="BK33" i="91"/>
  <c r="M33" i="91"/>
  <c r="S33" i="91" s="1"/>
  <c r="AS29" i="86"/>
  <c r="AM68" i="86"/>
  <c r="AO29" i="86"/>
  <c r="F77" i="107"/>
  <c r="E77" i="107"/>
  <c r="G77" i="107" s="1"/>
  <c r="D77" i="107" s="1"/>
  <c r="C78" i="107" s="1"/>
  <c r="AU50" i="100"/>
  <c r="AY50" i="100" s="1"/>
  <c r="AW50" i="100" s="1"/>
  <c r="AV50" i="100" s="1"/>
  <c r="BG50" i="100" s="1"/>
  <c r="BL95" i="100"/>
  <c r="AM71" i="91"/>
  <c r="AO32" i="91"/>
  <c r="AS32" i="91"/>
  <c r="AV32" i="91"/>
  <c r="BG32" i="91" s="1"/>
  <c r="W133" i="66"/>
  <c r="O132" i="66"/>
  <c r="BH70" i="91"/>
  <c r="BI69" i="91"/>
  <c r="AO67" i="106"/>
  <c r="AM106" i="106"/>
  <c r="L47" i="105"/>
  <c r="P47" i="105" s="1"/>
  <c r="N47" i="105" s="1"/>
  <c r="S47" i="105"/>
  <c r="M47" i="105"/>
  <c r="W82" i="105"/>
  <c r="BH67" i="86"/>
  <c r="BI66" i="86"/>
  <c r="AZ61" i="75"/>
  <c r="BA61" i="75"/>
  <c r="E98" i="110"/>
  <c r="J97" i="110"/>
  <c r="F97" i="110"/>
  <c r="AZ97" i="110" s="1"/>
  <c r="W67" i="109"/>
  <c r="T67" i="109"/>
  <c r="G68" i="109"/>
  <c r="H67" i="109"/>
  <c r="BK67" i="109" s="1"/>
  <c r="I67" i="109"/>
  <c r="N72" i="66"/>
  <c r="M72" i="66"/>
  <c r="L72" i="66"/>
  <c r="AV65" i="86"/>
  <c r="BA59" i="86"/>
  <c r="AZ59" i="86"/>
  <c r="Q65" i="105"/>
  <c r="R65" i="105"/>
  <c r="Q67" i="75"/>
  <c r="R67" i="75"/>
  <c r="J60" i="106"/>
  <c r="X95" i="106"/>
  <c r="BK60" i="106"/>
  <c r="K61" i="106"/>
  <c r="U72" i="106"/>
  <c r="V71" i="106"/>
  <c r="AT68" i="106"/>
  <c r="AQ68" i="106"/>
  <c r="AP69" i="106"/>
  <c r="G69" i="78"/>
  <c r="H68" i="78"/>
  <c r="BH74" i="78" s="1"/>
  <c r="R70" i="91"/>
  <c r="Q70" i="91"/>
  <c r="AZ61" i="88"/>
  <c r="BA61" i="88"/>
  <c r="A83" i="108"/>
  <c r="B82" i="108"/>
  <c r="A86" i="107"/>
  <c r="B85" i="107"/>
  <c r="AV29" i="86"/>
  <c r="BG29" i="86" s="1"/>
  <c r="M42" i="100"/>
  <c r="S42" i="100" s="1"/>
  <c r="Q25" i="66"/>
  <c r="Q70" i="106"/>
  <c r="R70" i="106"/>
  <c r="BH69" i="88"/>
  <c r="BI68" i="88"/>
  <c r="AZ59" i="106"/>
  <c r="AS59" i="106" s="1"/>
  <c r="BA59" i="106"/>
  <c r="V66" i="105"/>
  <c r="U67" i="105"/>
  <c r="V68" i="75"/>
  <c r="U69" i="75"/>
  <c r="AZ59" i="100"/>
  <c r="AS59" i="100" s="1"/>
  <c r="BA59" i="100"/>
  <c r="AU32" i="88"/>
  <c r="AY32" i="88" s="1"/>
  <c r="AW32" i="88" s="1"/>
  <c r="AT32" i="88" s="1"/>
  <c r="BL77" i="88"/>
  <c r="R69" i="88"/>
  <c r="Q69" i="88"/>
  <c r="V112" i="59"/>
  <c r="AI142" i="59"/>
  <c r="G70" i="75"/>
  <c r="H69" i="75"/>
  <c r="BJ69" i="75" s="1"/>
  <c r="J36" i="78"/>
  <c r="BH67" i="106"/>
  <c r="BI66" i="106"/>
  <c r="AP69" i="100"/>
  <c r="AT68" i="100"/>
  <c r="AQ68" i="100"/>
  <c r="BH67" i="100"/>
  <c r="BI66" i="100"/>
  <c r="D55" i="108"/>
  <c r="C56" i="108" s="1"/>
  <c r="J32" i="88"/>
  <c r="BK32" i="88"/>
  <c r="X67" i="88"/>
  <c r="AL145" i="75"/>
  <c r="Y103" i="75"/>
  <c r="Y100" i="86"/>
  <c r="AL142" i="86"/>
  <c r="Y101" i="88"/>
  <c r="AL143" i="88"/>
  <c r="U71" i="88"/>
  <c r="V70" i="88"/>
  <c r="AL145" i="106"/>
  <c r="Y103" i="106"/>
  <c r="AP72" i="86"/>
  <c r="AQ71" i="86"/>
  <c r="AT22" i="59"/>
  <c r="AR22" i="59" s="1"/>
  <c r="AO22" i="59" s="1"/>
  <c r="AL142" i="100"/>
  <c r="Y100" i="100"/>
  <c r="U68" i="78"/>
  <c r="T69" i="78"/>
  <c r="R24" i="66"/>
  <c r="P24" i="66" s="1"/>
  <c r="G70" i="86"/>
  <c r="H69" i="86"/>
  <c r="BJ69" i="86" s="1"/>
  <c r="AM106" i="100"/>
  <c r="AO67" i="100"/>
  <c r="AL145" i="91"/>
  <c r="Y103" i="91"/>
  <c r="AU46" i="106"/>
  <c r="AY46" i="106" s="1"/>
  <c r="BL91" i="106"/>
  <c r="AV46" i="106"/>
  <c r="BG46" i="106"/>
  <c r="AU32" i="75"/>
  <c r="AY32" i="75" s="1"/>
  <c r="AW32" i="75" s="1"/>
  <c r="AT32" i="75" s="1"/>
  <c r="BL77" i="75"/>
  <c r="AM105" i="105"/>
  <c r="AO66" i="105"/>
  <c r="I68" i="105"/>
  <c r="G69" i="105"/>
  <c r="H68" i="105"/>
  <c r="BJ68" i="105" s="1"/>
  <c r="AV22" i="59"/>
  <c r="AQ22" i="59"/>
  <c r="BB22" i="59" s="1"/>
  <c r="AU22" i="59"/>
  <c r="P67" i="78"/>
  <c r="Q67" i="78"/>
  <c r="K67" i="100"/>
  <c r="G68" i="100"/>
  <c r="I67" i="100"/>
  <c r="H67" i="100"/>
  <c r="BJ67" i="100" s="1"/>
  <c r="G72" i="91"/>
  <c r="H71" i="91"/>
  <c r="BJ71" i="91" s="1"/>
  <c r="L36" i="78"/>
  <c r="R36" i="78" s="1"/>
  <c r="M32" i="88"/>
  <c r="S32" i="88" s="1"/>
  <c r="U72" i="91"/>
  <c r="V71" i="91"/>
  <c r="X67" i="86"/>
  <c r="J32" i="86"/>
  <c r="BK32" i="86"/>
  <c r="BH69" i="75"/>
  <c r="BI68" i="75"/>
  <c r="AQ89" i="78"/>
  <c r="AP90" i="78"/>
  <c r="AP69" i="88"/>
  <c r="AQ68" i="88"/>
  <c r="AQ69" i="91"/>
  <c r="AP70" i="91"/>
  <c r="R66" i="86"/>
  <c r="Q66" i="86"/>
  <c r="AP68" i="105"/>
  <c r="AT67" i="105"/>
  <c r="AQ67" i="105"/>
  <c r="U67" i="100"/>
  <c r="V66" i="100"/>
  <c r="E72" i="103"/>
  <c r="J71" i="103"/>
  <c r="F71" i="103"/>
  <c r="AZ71" i="103" s="1"/>
  <c r="BG44" i="78"/>
  <c r="BJ83" i="78"/>
  <c r="AS38" i="78"/>
  <c r="BH68" i="105"/>
  <c r="BI67" i="105"/>
  <c r="AV38" i="78"/>
  <c r="I23" i="59"/>
  <c r="BF29" i="59" s="1"/>
  <c r="K23" i="59"/>
  <c r="AZ60" i="105"/>
  <c r="AS60" i="105" s="1"/>
  <c r="BA60" i="105"/>
  <c r="L42" i="106"/>
  <c r="P42" i="106" s="1"/>
  <c r="N42" i="106" s="1"/>
  <c r="W77" i="106"/>
  <c r="BA62" i="91"/>
  <c r="AV68" i="91"/>
  <c r="AZ62" i="91"/>
  <c r="M24" i="59"/>
  <c r="U68" i="86"/>
  <c r="V67" i="86"/>
  <c r="AP74" i="75"/>
  <c r="AQ73" i="75"/>
  <c r="R65" i="100"/>
  <c r="Q65" i="100"/>
  <c r="J65" i="100" s="1"/>
  <c r="G68" i="88"/>
  <c r="H67" i="88"/>
  <c r="BJ67" i="88" s="1"/>
  <c r="U73" i="66"/>
  <c r="F74" i="66"/>
  <c r="G73" i="66"/>
  <c r="AA73" i="66"/>
  <c r="BK63" i="105"/>
  <c r="X98" i="105"/>
  <c r="J63" i="105"/>
  <c r="K64" i="105"/>
  <c r="K69" i="106"/>
  <c r="H69" i="106"/>
  <c r="BJ69" i="106" s="1"/>
  <c r="G70" i="106"/>
  <c r="X101" i="100"/>
  <c r="BK66" i="100"/>
  <c r="M32" i="86"/>
  <c r="S32" i="86" s="1"/>
  <c r="BI67" i="109"/>
  <c r="BJ66" i="109"/>
  <c r="BB59" i="109"/>
  <c r="BA59" i="109"/>
  <c r="R66" i="110"/>
  <c r="S65" i="110"/>
  <c r="R66" i="109"/>
  <c r="Q66" i="109"/>
  <c r="U68" i="109"/>
  <c r="V67" i="109"/>
  <c r="L39" i="75"/>
  <c r="P39" i="75" s="1"/>
  <c r="N39" i="75" s="1"/>
  <c r="K39" i="75" s="1"/>
  <c r="W74" i="75"/>
  <c r="V63" i="111"/>
  <c r="U62" i="111"/>
  <c r="I22" i="111"/>
  <c r="E72" i="111"/>
  <c r="J71" i="111"/>
  <c r="F71" i="111"/>
  <c r="AZ71" i="111" s="1"/>
  <c r="AQ20" i="111"/>
  <c r="AW20" i="111" s="1"/>
  <c r="O22" i="111"/>
  <c r="N22" i="111" s="1"/>
  <c r="L22" i="111" s="1"/>
  <c r="P22" i="111"/>
  <c r="AX69" i="111"/>
  <c r="P28" i="94"/>
  <c r="N28" i="94" s="1"/>
  <c r="K28" i="94"/>
  <c r="M28" i="94" s="1"/>
  <c r="S28" i="94" s="1"/>
  <c r="AJ61" i="110"/>
  <c r="P30" i="109"/>
  <c r="N30" i="109" s="1"/>
  <c r="K30" i="109"/>
  <c r="R65" i="94"/>
  <c r="Q65" i="94"/>
  <c r="V66" i="94"/>
  <c r="U67" i="94"/>
  <c r="AR22" i="103"/>
  <c r="AL20" i="110"/>
  <c r="Z100" i="109"/>
  <c r="AM142" i="109"/>
  <c r="AY21" i="110"/>
  <c r="AP21" i="110"/>
  <c r="AI62" i="110"/>
  <c r="BB67" i="110"/>
  <c r="S22" i="112"/>
  <c r="H22" i="112"/>
  <c r="T63" i="112"/>
  <c r="AT59" i="109"/>
  <c r="AU60" i="109"/>
  <c r="AN98" i="109"/>
  <c r="AP59" i="109"/>
  <c r="AM71" i="112"/>
  <c r="AN70" i="112"/>
  <c r="AK61" i="112"/>
  <c r="AX69" i="112"/>
  <c r="AV20" i="112"/>
  <c r="AU20" i="112"/>
  <c r="AT20" i="112" s="1"/>
  <c r="J69" i="112"/>
  <c r="E70" i="112"/>
  <c r="F69" i="112"/>
  <c r="AZ69" i="112" s="1"/>
  <c r="BB60" i="94"/>
  <c r="BA60" i="94"/>
  <c r="AT60" i="94" s="1"/>
  <c r="BI68" i="94"/>
  <c r="BJ67" i="94"/>
  <c r="AR67" i="94"/>
  <c r="AQ68" i="94"/>
  <c r="G68" i="94"/>
  <c r="W67" i="94"/>
  <c r="H67" i="94"/>
  <c r="BK67" i="94" s="1"/>
  <c r="T67" i="94"/>
  <c r="I67" i="94"/>
  <c r="Z102" i="94"/>
  <c r="AM144" i="94"/>
  <c r="AV49" i="109"/>
  <c r="AZ49" i="109" s="1"/>
  <c r="AX49" i="109" s="1"/>
  <c r="AW49" i="109" s="1"/>
  <c r="BH49" i="109" s="1"/>
  <c r="BM94" i="109"/>
  <c r="N22" i="110"/>
  <c r="L22" i="110" s="1"/>
  <c r="AV47" i="94"/>
  <c r="AZ47" i="94" s="1"/>
  <c r="AX47" i="94" s="1"/>
  <c r="AW47" i="94" s="1"/>
  <c r="BH47" i="94" s="1"/>
  <c r="BM92" i="94"/>
  <c r="AU64" i="94"/>
  <c r="AN102" i="94"/>
  <c r="AP63" i="94"/>
  <c r="AO22" i="103"/>
  <c r="AQ22" i="103" s="1"/>
  <c r="AW22" i="103" s="1"/>
  <c r="AS23" i="103"/>
  <c r="O20" i="61"/>
  <c r="N20" i="61"/>
  <c r="AU51" i="105" l="1"/>
  <c r="AY51" i="105" s="1"/>
  <c r="AW51" i="105" s="1"/>
  <c r="BL96" i="105"/>
  <c r="AV51" i="105"/>
  <c r="BG51" i="105"/>
  <c r="F78" i="107"/>
  <c r="E78" i="107"/>
  <c r="G78" i="107" s="1"/>
  <c r="D78" i="107" s="1"/>
  <c r="C79" i="107" s="1"/>
  <c r="BD29" i="59"/>
  <c r="BG68" i="59"/>
  <c r="AP23" i="59"/>
  <c r="AM71" i="75"/>
  <c r="AO32" i="75"/>
  <c r="AS32" i="75"/>
  <c r="AV32" i="75"/>
  <c r="BG32" i="75" s="1"/>
  <c r="AO32" i="88"/>
  <c r="AM71" i="88"/>
  <c r="AS32" i="88"/>
  <c r="V67" i="105"/>
  <c r="U68" i="105"/>
  <c r="K70" i="106"/>
  <c r="G71" i="106"/>
  <c r="H70" i="106"/>
  <c r="BJ70" i="106" s="1"/>
  <c r="Q67" i="86"/>
  <c r="R67" i="86"/>
  <c r="M42" i="106"/>
  <c r="S42" i="106" s="1"/>
  <c r="BA62" i="75"/>
  <c r="AZ62" i="75"/>
  <c r="W77" i="78"/>
  <c r="K37" i="78"/>
  <c r="O37" i="78" s="1"/>
  <c r="M37" i="78" s="1"/>
  <c r="N38" i="78" s="1"/>
  <c r="O24" i="66"/>
  <c r="H24" i="66"/>
  <c r="AP73" i="86"/>
  <c r="AQ72" i="86"/>
  <c r="AL143" i="86"/>
  <c r="Y101" i="86"/>
  <c r="BH68" i="100"/>
  <c r="BI67" i="100"/>
  <c r="AV32" i="88"/>
  <c r="BG32" i="88" s="1"/>
  <c r="R68" i="75"/>
  <c r="Q68" i="75"/>
  <c r="BH70" i="88"/>
  <c r="BI69" i="88"/>
  <c r="B86" i="107"/>
  <c r="A87" i="107"/>
  <c r="H69" i="78"/>
  <c r="BH75" i="78" s="1"/>
  <c r="G70" i="78"/>
  <c r="AU47" i="106"/>
  <c r="AY47" i="106" s="1"/>
  <c r="BL92" i="106"/>
  <c r="AL146" i="106"/>
  <c r="Y104" i="106"/>
  <c r="AV66" i="86"/>
  <c r="AZ60" i="86"/>
  <c r="BA60" i="86"/>
  <c r="BA61" i="105"/>
  <c r="AZ61" i="105"/>
  <c r="AS61" i="105" s="1"/>
  <c r="E73" i="103"/>
  <c r="J72" i="103"/>
  <c r="F72" i="103"/>
  <c r="AZ72" i="103" s="1"/>
  <c r="AP71" i="91"/>
  <c r="AQ70" i="91"/>
  <c r="T70" i="78"/>
  <c r="U69" i="78"/>
  <c r="AM107" i="100"/>
  <c r="AO68" i="100"/>
  <c r="R66" i="105"/>
  <c r="Q66" i="105"/>
  <c r="B83" i="108"/>
  <c r="A84" i="108"/>
  <c r="BI67" i="86"/>
  <c r="BH68" i="86"/>
  <c r="BA63" i="91"/>
  <c r="AZ63" i="91"/>
  <c r="AV69" i="91"/>
  <c r="V68" i="86"/>
  <c r="U69" i="86"/>
  <c r="M73" i="66"/>
  <c r="L73" i="66"/>
  <c r="N73" i="66"/>
  <c r="G69" i="88"/>
  <c r="H68" i="88"/>
  <c r="BJ68" i="88" s="1"/>
  <c r="BI68" i="105"/>
  <c r="BH69" i="105"/>
  <c r="Q66" i="100"/>
  <c r="J66" i="100" s="1"/>
  <c r="R66" i="100"/>
  <c r="Q68" i="78"/>
  <c r="P68" i="78"/>
  <c r="Q70" i="88"/>
  <c r="R70" i="88"/>
  <c r="AP70" i="100"/>
  <c r="AT69" i="100"/>
  <c r="AQ69" i="100"/>
  <c r="AI143" i="59"/>
  <c r="V113" i="59"/>
  <c r="AO68" i="106"/>
  <c r="AM107" i="106"/>
  <c r="BI70" i="91"/>
  <c r="BH71" i="91"/>
  <c r="AP70" i="106"/>
  <c r="AQ69" i="106"/>
  <c r="AT69" i="106"/>
  <c r="W68" i="86"/>
  <c r="L33" i="86"/>
  <c r="P33" i="86" s="1"/>
  <c r="N33" i="86" s="1"/>
  <c r="X104" i="106"/>
  <c r="BK69" i="106"/>
  <c r="J69" i="106"/>
  <c r="AA74" i="66"/>
  <c r="U74" i="66"/>
  <c r="F75" i="66"/>
  <c r="G74" i="66"/>
  <c r="V67" i="100"/>
  <c r="U68" i="100"/>
  <c r="X102" i="100"/>
  <c r="BK67" i="100"/>
  <c r="Y101" i="100"/>
  <c r="AL143" i="100"/>
  <c r="U72" i="88"/>
  <c r="V71" i="88"/>
  <c r="AZ60" i="106"/>
  <c r="AS60" i="106" s="1"/>
  <c r="BA60" i="106"/>
  <c r="R71" i="106"/>
  <c r="Q71" i="106"/>
  <c r="E99" i="110"/>
  <c r="J98" i="110"/>
  <c r="F98" i="110"/>
  <c r="AZ98" i="110" s="1"/>
  <c r="AU51" i="100"/>
  <c r="AY51" i="100" s="1"/>
  <c r="AW51" i="100" s="1"/>
  <c r="BL96" i="100"/>
  <c r="AV51" i="100"/>
  <c r="BG51" i="100" s="1"/>
  <c r="G69" i="100"/>
  <c r="I68" i="100"/>
  <c r="K68" i="100"/>
  <c r="H68" i="100"/>
  <c r="BJ68" i="100" s="1"/>
  <c r="BK64" i="105"/>
  <c r="J64" i="105"/>
  <c r="X99" i="105"/>
  <c r="K65" i="105"/>
  <c r="AP70" i="88"/>
  <c r="AQ69" i="88"/>
  <c r="R71" i="91"/>
  <c r="Q71" i="91"/>
  <c r="AL146" i="91"/>
  <c r="Y104" i="91"/>
  <c r="BH68" i="106"/>
  <c r="BI67" i="106"/>
  <c r="L43" i="100"/>
  <c r="P43" i="100" s="1"/>
  <c r="N43" i="100" s="1"/>
  <c r="W78" i="100"/>
  <c r="U73" i="106"/>
  <c r="V72" i="106"/>
  <c r="L48" i="105"/>
  <c r="P48" i="105" s="1"/>
  <c r="N48" i="105" s="1"/>
  <c r="M48" i="105"/>
  <c r="S48" i="105" s="1"/>
  <c r="W83" i="105"/>
  <c r="AM106" i="105"/>
  <c r="AO67" i="105"/>
  <c r="AP91" i="78"/>
  <c r="AQ90" i="78"/>
  <c r="U73" i="91"/>
  <c r="V72" i="91"/>
  <c r="G73" i="91"/>
  <c r="H72" i="91"/>
  <c r="BJ72" i="91" s="1"/>
  <c r="G70" i="105"/>
  <c r="I69" i="105"/>
  <c r="H69" i="105"/>
  <c r="BJ69" i="105" s="1"/>
  <c r="AL22" i="59"/>
  <c r="AJ61" i="59"/>
  <c r="AL144" i="88"/>
  <c r="Y102" i="88"/>
  <c r="E56" i="108"/>
  <c r="G56" i="108"/>
  <c r="F56" i="108"/>
  <c r="X76" i="78"/>
  <c r="BI42" i="78"/>
  <c r="AT30" i="86"/>
  <c r="AU30" i="86"/>
  <c r="AY30" i="86" s="1"/>
  <c r="AW30" i="86" s="1"/>
  <c r="AV30" i="86" s="1"/>
  <c r="BG30" i="86" s="1"/>
  <c r="BL75" i="86"/>
  <c r="X96" i="106"/>
  <c r="BK61" i="106"/>
  <c r="J61" i="106"/>
  <c r="K62" i="106"/>
  <c r="O133" i="66"/>
  <c r="W134" i="66"/>
  <c r="L34" i="91"/>
  <c r="P34" i="91" s="1"/>
  <c r="N34" i="91" s="1"/>
  <c r="W69" i="91"/>
  <c r="BH70" i="75"/>
  <c r="BI69" i="75"/>
  <c r="AL146" i="75"/>
  <c r="Y104" i="75"/>
  <c r="H70" i="75"/>
  <c r="BJ70" i="75" s="1"/>
  <c r="G71" i="75"/>
  <c r="AP75" i="75"/>
  <c r="AQ74" i="75"/>
  <c r="Q23" i="59"/>
  <c r="U70" i="59"/>
  <c r="AX38" i="78"/>
  <c r="AW38" i="78" s="1"/>
  <c r="AU38" i="78" s="1"/>
  <c r="AR38" i="78" s="1"/>
  <c r="AT38" i="78"/>
  <c r="BE38" i="78"/>
  <c r="AY38" i="78"/>
  <c r="AP69" i="105"/>
  <c r="AQ68" i="105"/>
  <c r="AT68" i="105"/>
  <c r="L33" i="88"/>
  <c r="P33" i="88" s="1"/>
  <c r="N33" i="88" s="1"/>
  <c r="W68" i="88"/>
  <c r="AS23" i="59"/>
  <c r="H70" i="86"/>
  <c r="BJ70" i="86" s="1"/>
  <c r="G71" i="86"/>
  <c r="BA60" i="100"/>
  <c r="AZ60" i="100"/>
  <c r="AS60" i="100" s="1"/>
  <c r="V69" i="75"/>
  <c r="U70" i="75"/>
  <c r="BA62" i="88"/>
  <c r="AZ62" i="88"/>
  <c r="G69" i="109"/>
  <c r="H68" i="109"/>
  <c r="BK68" i="109" s="1"/>
  <c r="I68" i="109"/>
  <c r="AU33" i="91"/>
  <c r="AY33" i="91" s="1"/>
  <c r="AW33" i="91" s="1"/>
  <c r="AV33" i="91" s="1"/>
  <c r="BG33" i="91" s="1"/>
  <c r="AT33" i="91"/>
  <c r="BL78" i="91"/>
  <c r="BB60" i="109"/>
  <c r="BA60" i="109"/>
  <c r="BJ67" i="109"/>
  <c r="BI68" i="109"/>
  <c r="R67" i="110"/>
  <c r="S66" i="110"/>
  <c r="V68" i="109"/>
  <c r="U69" i="109"/>
  <c r="R67" i="109"/>
  <c r="Q67" i="109"/>
  <c r="J39" i="75"/>
  <c r="X74" i="75"/>
  <c r="BK39" i="75"/>
  <c r="M39" i="75"/>
  <c r="S39" i="75" s="1"/>
  <c r="G22" i="111"/>
  <c r="BA22" i="111" s="1"/>
  <c r="AP21" i="111"/>
  <c r="BB67" i="111"/>
  <c r="AY21" i="111"/>
  <c r="M23" i="111"/>
  <c r="J72" i="111"/>
  <c r="E73" i="111"/>
  <c r="F72" i="111"/>
  <c r="AZ72" i="111" s="1"/>
  <c r="L29" i="94"/>
  <c r="X64" i="94"/>
  <c r="BL28" i="94"/>
  <c r="Y63" i="94"/>
  <c r="J28" i="94"/>
  <c r="AX70" i="111"/>
  <c r="M30" i="109"/>
  <c r="S30" i="109" s="1"/>
  <c r="L31" i="109" s="1"/>
  <c r="Y65" i="109"/>
  <c r="BL30" i="109"/>
  <c r="J30" i="109"/>
  <c r="V67" i="94"/>
  <c r="U68" i="94"/>
  <c r="Q66" i="94"/>
  <c r="R66" i="94"/>
  <c r="AM143" i="109"/>
  <c r="Z101" i="109"/>
  <c r="AK62" i="110"/>
  <c r="AV21" i="110"/>
  <c r="AU21" i="110"/>
  <c r="V63" i="112"/>
  <c r="U62" i="112"/>
  <c r="AR20" i="112"/>
  <c r="AS21" i="112" s="1"/>
  <c r="I22" i="112"/>
  <c r="P22" i="112"/>
  <c r="O22" i="112"/>
  <c r="AP60" i="109"/>
  <c r="AN99" i="109"/>
  <c r="AU61" i="109"/>
  <c r="AT60" i="109"/>
  <c r="E71" i="112"/>
  <c r="J70" i="112"/>
  <c r="F70" i="112"/>
  <c r="AZ70" i="112" s="1"/>
  <c r="AM72" i="112"/>
  <c r="AN71" i="112"/>
  <c r="AX70" i="112"/>
  <c r="BB61" i="94"/>
  <c r="BA61" i="94"/>
  <c r="AT61" i="94" s="1"/>
  <c r="BI69" i="94"/>
  <c r="BJ68" i="94"/>
  <c r="Z103" i="94"/>
  <c r="AM145" i="94"/>
  <c r="AQ69" i="94"/>
  <c r="AR68" i="94"/>
  <c r="G69" i="94"/>
  <c r="H68" i="94"/>
  <c r="BK68" i="94" s="1"/>
  <c r="T68" i="94"/>
  <c r="W68" i="94"/>
  <c r="I68" i="94"/>
  <c r="AI62" i="111"/>
  <c r="AJ61" i="111"/>
  <c r="AV50" i="109"/>
  <c r="AZ50" i="109" s="1"/>
  <c r="AX50" i="109" s="1"/>
  <c r="AW50" i="109" s="1"/>
  <c r="BH50" i="109" s="1"/>
  <c r="BM95" i="109"/>
  <c r="G22" i="110"/>
  <c r="K22" i="110" s="1"/>
  <c r="Q22" i="110" s="1"/>
  <c r="M23" i="110"/>
  <c r="BB69" i="103"/>
  <c r="AP23" i="103"/>
  <c r="AI64" i="103"/>
  <c r="AY23" i="103"/>
  <c r="AV48" i="94"/>
  <c r="AZ48" i="94" s="1"/>
  <c r="AX48" i="94" s="1"/>
  <c r="AW48" i="94" s="1"/>
  <c r="BH48" i="94" s="1"/>
  <c r="BM93" i="94"/>
  <c r="AU65" i="94"/>
  <c r="AP64" i="94"/>
  <c r="AN103" i="94"/>
  <c r="AL22" i="103"/>
  <c r="AJ63" i="103"/>
  <c r="M20" i="61"/>
  <c r="K20" i="61" s="1"/>
  <c r="F79" i="107" l="1"/>
  <c r="E79" i="107"/>
  <c r="G79" i="107" s="1"/>
  <c r="D79" i="107" s="1"/>
  <c r="C80" i="107" s="1"/>
  <c r="AO38" i="78"/>
  <c r="AM77" i="78"/>
  <c r="AU34" i="91"/>
  <c r="AY34" i="91" s="1"/>
  <c r="AW34" i="91" s="1"/>
  <c r="AT34" i="91" s="1"/>
  <c r="BL79" i="91"/>
  <c r="L49" i="105"/>
  <c r="P49" i="105" s="1"/>
  <c r="N49" i="105" s="1"/>
  <c r="W84" i="105"/>
  <c r="AU31" i="86"/>
  <c r="AY31" i="86" s="1"/>
  <c r="AW31" i="86" s="1"/>
  <c r="AT31" i="86" s="1"/>
  <c r="BL76" i="86"/>
  <c r="AU52" i="100"/>
  <c r="AY52" i="100" s="1"/>
  <c r="AW52" i="100" s="1"/>
  <c r="BL97" i="100"/>
  <c r="AV52" i="100"/>
  <c r="BG52" i="100" s="1"/>
  <c r="AQ75" i="75"/>
  <c r="AP76" i="75"/>
  <c r="I70" i="105"/>
  <c r="H70" i="105"/>
  <c r="BJ70" i="105" s="1"/>
  <c r="G71" i="105"/>
  <c r="W69" i="109"/>
  <c r="T69" i="109"/>
  <c r="G70" i="109"/>
  <c r="H69" i="109"/>
  <c r="BK69" i="109" s="1"/>
  <c r="I69" i="109"/>
  <c r="BH71" i="75"/>
  <c r="BI70" i="75"/>
  <c r="Y103" i="88"/>
  <c r="AL145" i="88"/>
  <c r="G74" i="91"/>
  <c r="H73" i="91"/>
  <c r="BJ73" i="91" s="1"/>
  <c r="X103" i="100"/>
  <c r="BK68" i="100"/>
  <c r="AM108" i="106"/>
  <c r="AO69" i="106"/>
  <c r="V114" i="59"/>
  <c r="AI144" i="59"/>
  <c r="AU33" i="75"/>
  <c r="AY33" i="75" s="1"/>
  <c r="AW33" i="75" s="1"/>
  <c r="AT33" i="75" s="1"/>
  <c r="BL78" i="75"/>
  <c r="Q72" i="91"/>
  <c r="R72" i="91"/>
  <c r="AP71" i="88"/>
  <c r="AQ70" i="88"/>
  <c r="V68" i="100"/>
  <c r="U69" i="100"/>
  <c r="AP72" i="91"/>
  <c r="AQ71" i="91"/>
  <c r="G71" i="78"/>
  <c r="H70" i="78"/>
  <c r="BH76" i="78" s="1"/>
  <c r="K33" i="88"/>
  <c r="K34" i="91"/>
  <c r="M34" i="91" s="1"/>
  <c r="S34" i="91" s="1"/>
  <c r="U74" i="91"/>
  <c r="V73" i="91"/>
  <c r="AZ61" i="106"/>
  <c r="AS61" i="106" s="1"/>
  <c r="BA61" i="106"/>
  <c r="Q71" i="88"/>
  <c r="R71" i="88"/>
  <c r="R67" i="100"/>
  <c r="Q67" i="100"/>
  <c r="J67" i="100" s="1"/>
  <c r="AP71" i="106"/>
  <c r="AQ70" i="106"/>
  <c r="AT70" i="106"/>
  <c r="G70" i="88"/>
  <c r="H69" i="88"/>
  <c r="BJ69" i="88" s="1"/>
  <c r="AZ61" i="100"/>
  <c r="AS61" i="100" s="1"/>
  <c r="BA61" i="100"/>
  <c r="J70" i="106"/>
  <c r="BK70" i="106"/>
  <c r="X105" i="106"/>
  <c r="AT69" i="105"/>
  <c r="AP70" i="105"/>
  <c r="AQ69" i="105"/>
  <c r="J62" i="106"/>
  <c r="X97" i="106"/>
  <c r="BK62" i="106"/>
  <c r="K63" i="106"/>
  <c r="V24" i="66"/>
  <c r="Z24" i="66"/>
  <c r="K71" i="106"/>
  <c r="G72" i="106"/>
  <c r="H71" i="106"/>
  <c r="BJ71" i="106" s="1"/>
  <c r="BG45" i="78"/>
  <c r="BJ84" i="78"/>
  <c r="AT39" i="78"/>
  <c r="H71" i="75"/>
  <c r="BJ71" i="75" s="1"/>
  <c r="G72" i="75"/>
  <c r="BH69" i="106"/>
  <c r="BI68" i="106"/>
  <c r="BK65" i="105"/>
  <c r="J65" i="105"/>
  <c r="X100" i="105"/>
  <c r="K66" i="105"/>
  <c r="I69" i="100"/>
  <c r="G70" i="100"/>
  <c r="K69" i="100"/>
  <c r="H69" i="100"/>
  <c r="BJ69" i="100" s="1"/>
  <c r="J99" i="110"/>
  <c r="E100" i="110"/>
  <c r="F99" i="110"/>
  <c r="AZ99" i="110" s="1"/>
  <c r="V72" i="88"/>
  <c r="U73" i="88"/>
  <c r="K33" i="86"/>
  <c r="M33" i="86" s="1"/>
  <c r="S33" i="86" s="1"/>
  <c r="BI71" i="91"/>
  <c r="BH72" i="91"/>
  <c r="AM108" i="100"/>
  <c r="AO69" i="100"/>
  <c r="BI69" i="105"/>
  <c r="BH70" i="105"/>
  <c r="B87" i="107"/>
  <c r="A88" i="107"/>
  <c r="BH69" i="100"/>
  <c r="BI68" i="100"/>
  <c r="M43" i="106"/>
  <c r="S43" i="106" s="1"/>
  <c r="L43" i="106"/>
  <c r="P43" i="106" s="1"/>
  <c r="N43" i="106" s="1"/>
  <c r="W78" i="106"/>
  <c r="V68" i="105"/>
  <c r="U69" i="105"/>
  <c r="AM72" i="91"/>
  <c r="AS33" i="91"/>
  <c r="AO33" i="91"/>
  <c r="AP92" i="78"/>
  <c r="AQ91" i="78"/>
  <c r="R72" i="106"/>
  <c r="Q72" i="106"/>
  <c r="Y105" i="91"/>
  <c r="Y106" i="91" s="1"/>
  <c r="Y107" i="91" s="1"/>
  <c r="Y108" i="91" s="1"/>
  <c r="Y109" i="91" s="1"/>
  <c r="Y110" i="91" s="1"/>
  <c r="Y111" i="91" s="1"/>
  <c r="Y112" i="91" s="1"/>
  <c r="Y113" i="91" s="1"/>
  <c r="AL147" i="91"/>
  <c r="L74" i="66"/>
  <c r="N74" i="66"/>
  <c r="M74" i="66"/>
  <c r="AV70" i="91"/>
  <c r="BA64" i="91"/>
  <c r="AZ64" i="91"/>
  <c r="AT70" i="100"/>
  <c r="AP71" i="100"/>
  <c r="AQ70" i="100"/>
  <c r="AZ62" i="105"/>
  <c r="AS62" i="105" s="1"/>
  <c r="BA62" i="105"/>
  <c r="BI68" i="86"/>
  <c r="BH69" i="86"/>
  <c r="E74" i="103"/>
  <c r="J73" i="103"/>
  <c r="F73" i="103"/>
  <c r="AZ73" i="103" s="1"/>
  <c r="AL144" i="86"/>
  <c r="Y102" i="86"/>
  <c r="J37" i="78"/>
  <c r="R67" i="105"/>
  <c r="Q67" i="105"/>
  <c r="AU52" i="105"/>
  <c r="AY52" i="105" s="1"/>
  <c r="AW52" i="105" s="1"/>
  <c r="BL97" i="105"/>
  <c r="AV52" i="105"/>
  <c r="BG52" i="105" s="1"/>
  <c r="U71" i="75"/>
  <c r="V70" i="75"/>
  <c r="AW39" i="78"/>
  <c r="Y105" i="75"/>
  <c r="Y106" i="75" s="1"/>
  <c r="Y107" i="75" s="1"/>
  <c r="Y108" i="75" s="1"/>
  <c r="Y109" i="75" s="1"/>
  <c r="Y110" i="75" s="1"/>
  <c r="Y111" i="75" s="1"/>
  <c r="Y112" i="75" s="1"/>
  <c r="Y113" i="75" s="1"/>
  <c r="AL147" i="75"/>
  <c r="D56" i="108"/>
  <c r="C57" i="108" s="1"/>
  <c r="V73" i="106"/>
  <c r="U74" i="106"/>
  <c r="AL144" i="100"/>
  <c r="Y102" i="100"/>
  <c r="G75" i="66"/>
  <c r="U75" i="66"/>
  <c r="F76" i="66"/>
  <c r="AA75" i="66"/>
  <c r="BA61" i="86"/>
  <c r="AZ61" i="86"/>
  <c r="AV67" i="86"/>
  <c r="Y105" i="106"/>
  <c r="Y106" i="106" s="1"/>
  <c r="Y107" i="106" s="1"/>
  <c r="Y108" i="106" s="1"/>
  <c r="Y109" i="106" s="1"/>
  <c r="Y110" i="106" s="1"/>
  <c r="Y111" i="106" s="1"/>
  <c r="Y112" i="106" s="1"/>
  <c r="Y113" i="106" s="1"/>
  <c r="AL147" i="106"/>
  <c r="BA63" i="88"/>
  <c r="AV69" i="88"/>
  <c r="AZ63" i="88"/>
  <c r="L37" i="78"/>
  <c r="R37" i="78" s="1"/>
  <c r="R69" i="75"/>
  <c r="Q69" i="75"/>
  <c r="U70" i="86"/>
  <c r="V69" i="86"/>
  <c r="P69" i="78"/>
  <c r="Q69" i="78"/>
  <c r="BI70" i="88"/>
  <c r="BH71" i="88"/>
  <c r="AM69" i="86"/>
  <c r="AS30" i="86"/>
  <c r="AO30" i="86"/>
  <c r="AU33" i="88"/>
  <c r="AY33" i="88" s="1"/>
  <c r="AW33" i="88" s="1"/>
  <c r="AT33" i="88" s="1"/>
  <c r="BL78" i="88"/>
  <c r="G72" i="86"/>
  <c r="H71" i="86"/>
  <c r="BJ71" i="86" s="1"/>
  <c r="AO68" i="105"/>
  <c r="AM107" i="105"/>
  <c r="T71" i="59"/>
  <c r="J24" i="59"/>
  <c r="S24" i="59"/>
  <c r="AV69" i="75"/>
  <c r="AZ63" i="75"/>
  <c r="BA63" i="75"/>
  <c r="O134" i="66"/>
  <c r="W135" i="66"/>
  <c r="M43" i="100"/>
  <c r="S43" i="100" s="1"/>
  <c r="R68" i="86"/>
  <c r="Q68" i="86"/>
  <c r="A85" i="108"/>
  <c r="B84" i="108"/>
  <c r="U70" i="78"/>
  <c r="T71" i="78"/>
  <c r="AV47" i="106"/>
  <c r="BG47" i="106" s="1"/>
  <c r="AP74" i="86"/>
  <c r="AQ73" i="86"/>
  <c r="AV23" i="59"/>
  <c r="AU23" i="59"/>
  <c r="AT23" i="59" s="1"/>
  <c r="AR23" i="59" s="1"/>
  <c r="BI69" i="109"/>
  <c r="BJ68" i="109"/>
  <c r="BB61" i="109"/>
  <c r="BA61" i="109"/>
  <c r="R68" i="110"/>
  <c r="S67" i="110"/>
  <c r="U70" i="109"/>
  <c r="V69" i="109"/>
  <c r="Q68" i="109"/>
  <c r="R68" i="109"/>
  <c r="W75" i="75"/>
  <c r="L40" i="75"/>
  <c r="P40" i="75" s="1"/>
  <c r="N40" i="75" s="1"/>
  <c r="K40" i="75" s="1"/>
  <c r="J73" i="111"/>
  <c r="E74" i="111"/>
  <c r="F73" i="111"/>
  <c r="AZ73" i="111" s="1"/>
  <c r="K22" i="111"/>
  <c r="Q22" i="111" s="1"/>
  <c r="AU21" i="111"/>
  <c r="AV21" i="111"/>
  <c r="AX71" i="111"/>
  <c r="P29" i="94"/>
  <c r="N29" i="94" s="1"/>
  <c r="K29" i="94"/>
  <c r="X66" i="109"/>
  <c r="K31" i="109"/>
  <c r="U69" i="94"/>
  <c r="V68" i="94"/>
  <c r="R67" i="94"/>
  <c r="Q67" i="94"/>
  <c r="Z102" i="109"/>
  <c r="AM144" i="109"/>
  <c r="AT21" i="110"/>
  <c r="AR21" i="110" s="1"/>
  <c r="AS22" i="110" s="1"/>
  <c r="BC20" i="112"/>
  <c r="AO20" i="112"/>
  <c r="AL20" i="112" s="1"/>
  <c r="N22" i="112"/>
  <c r="L22" i="112" s="1"/>
  <c r="AT61" i="109"/>
  <c r="AP61" i="109"/>
  <c r="AU62" i="109"/>
  <c r="AN100" i="109"/>
  <c r="E72" i="112"/>
  <c r="J71" i="112"/>
  <c r="F71" i="112"/>
  <c r="AZ71" i="112" s="1"/>
  <c r="AX71" i="112"/>
  <c r="AM73" i="112"/>
  <c r="AN72" i="112"/>
  <c r="BA62" i="94"/>
  <c r="AT62" i="94" s="1"/>
  <c r="BB62" i="94"/>
  <c r="BI70" i="94"/>
  <c r="BJ69" i="94"/>
  <c r="W69" i="94"/>
  <c r="G70" i="94"/>
  <c r="T69" i="94"/>
  <c r="H69" i="94"/>
  <c r="BK69" i="94" s="1"/>
  <c r="I69" i="94"/>
  <c r="AR69" i="94"/>
  <c r="AQ70" i="94"/>
  <c r="AM146" i="94"/>
  <c r="Z104" i="94"/>
  <c r="AK62" i="111"/>
  <c r="T64" i="110"/>
  <c r="V64" i="110" s="1"/>
  <c r="H23" i="110"/>
  <c r="BM96" i="109"/>
  <c r="AV51" i="109"/>
  <c r="AZ51" i="109" s="1"/>
  <c r="AX51" i="109" s="1"/>
  <c r="AW51" i="109" s="1"/>
  <c r="BH51" i="109" s="1"/>
  <c r="BA22" i="110"/>
  <c r="AV49" i="94"/>
  <c r="AZ49" i="94" s="1"/>
  <c r="AX49" i="94" s="1"/>
  <c r="AW49" i="94" s="1"/>
  <c r="BH49" i="94" s="1"/>
  <c r="BM94" i="94"/>
  <c r="AU23" i="103"/>
  <c r="AV23" i="103"/>
  <c r="AK64" i="103"/>
  <c r="AN104" i="94"/>
  <c r="AP65" i="94"/>
  <c r="AU66" i="94"/>
  <c r="H20" i="61"/>
  <c r="J20" i="61" s="1"/>
  <c r="L21" i="61"/>
  <c r="L44" i="106" l="1"/>
  <c r="P44" i="106" s="1"/>
  <c r="N44" i="106" s="1"/>
  <c r="W79" i="106"/>
  <c r="AO23" i="59"/>
  <c r="AQ23" i="59"/>
  <c r="BB23" i="59" s="1"/>
  <c r="AU53" i="100"/>
  <c r="AY53" i="100" s="1"/>
  <c r="AW53" i="100" s="1"/>
  <c r="AV53" i="100" s="1"/>
  <c r="BG53" i="100" s="1"/>
  <c r="BL98" i="100"/>
  <c r="AO34" i="91"/>
  <c r="AM73" i="91"/>
  <c r="AS34" i="91"/>
  <c r="L34" i="86"/>
  <c r="P34" i="86" s="1"/>
  <c r="N34" i="86" s="1"/>
  <c r="K34" i="86" s="1"/>
  <c r="W69" i="86"/>
  <c r="AO33" i="75"/>
  <c r="AS33" i="75"/>
  <c r="AM72" i="75"/>
  <c r="AU53" i="105"/>
  <c r="AY53" i="105" s="1"/>
  <c r="AW53" i="105" s="1"/>
  <c r="BL98" i="105"/>
  <c r="AV53" i="105"/>
  <c r="BG53" i="105" s="1"/>
  <c r="AM72" i="88"/>
  <c r="AS33" i="88"/>
  <c r="AO33" i="88"/>
  <c r="F80" i="107"/>
  <c r="E80" i="107"/>
  <c r="G80" i="107"/>
  <c r="D80" i="107" s="1"/>
  <c r="C81" i="107" s="1"/>
  <c r="L35" i="91"/>
  <c r="P35" i="91" s="1"/>
  <c r="N35" i="91" s="1"/>
  <c r="W70" i="91"/>
  <c r="AO31" i="86"/>
  <c r="AM70" i="86"/>
  <c r="AS31" i="86"/>
  <c r="U71" i="78"/>
  <c r="T72" i="78"/>
  <c r="P24" i="59"/>
  <c r="O24" i="59"/>
  <c r="Q69" i="86"/>
  <c r="R69" i="86"/>
  <c r="G57" i="108"/>
  <c r="F57" i="108"/>
  <c r="E57" i="108"/>
  <c r="BA63" i="105"/>
  <c r="AZ63" i="105"/>
  <c r="AS63" i="105" s="1"/>
  <c r="R72" i="88"/>
  <c r="Q72" i="88"/>
  <c r="X68" i="88"/>
  <c r="J33" i="88"/>
  <c r="BK33" i="88"/>
  <c r="H71" i="78"/>
  <c r="BH77" i="78" s="1"/>
  <c r="G72" i="78"/>
  <c r="M49" i="105"/>
  <c r="S49" i="105" s="1"/>
  <c r="Q70" i="78"/>
  <c r="P70" i="78"/>
  <c r="O135" i="66"/>
  <c r="W136" i="66"/>
  <c r="N24" i="59"/>
  <c r="L24" i="59" s="1"/>
  <c r="I24" i="59" s="1"/>
  <c r="BF30" i="59" s="1"/>
  <c r="U71" i="86"/>
  <c r="V70" i="86"/>
  <c r="U76" i="66"/>
  <c r="AA76" i="66"/>
  <c r="G76" i="66"/>
  <c r="F77" i="66"/>
  <c r="AP93" i="78"/>
  <c r="AQ92" i="78"/>
  <c r="G73" i="75"/>
  <c r="H72" i="75"/>
  <c r="BJ72" i="75" s="1"/>
  <c r="G71" i="88"/>
  <c r="H70" i="88"/>
  <c r="BJ70" i="88" s="1"/>
  <c r="AV33" i="75"/>
  <c r="BG33" i="75" s="1"/>
  <c r="E75" i="103"/>
  <c r="J74" i="103"/>
  <c r="F74" i="103"/>
  <c r="AZ74" i="103" s="1"/>
  <c r="E101" i="110"/>
  <c r="J100" i="110"/>
  <c r="F100" i="110"/>
  <c r="AZ100" i="110" s="1"/>
  <c r="BK66" i="105"/>
  <c r="X101" i="105"/>
  <c r="J66" i="105"/>
  <c r="K67" i="105"/>
  <c r="K72" i="106"/>
  <c r="H72" i="106"/>
  <c r="BJ72" i="106" s="1"/>
  <c r="G73" i="106"/>
  <c r="AO70" i="106"/>
  <c r="AM109" i="106"/>
  <c r="AP73" i="91"/>
  <c r="AQ72" i="91"/>
  <c r="W70" i="109"/>
  <c r="G71" i="109"/>
  <c r="T70" i="109"/>
  <c r="H70" i="109"/>
  <c r="BK70" i="109" s="1"/>
  <c r="I70" i="109"/>
  <c r="AS24" i="59"/>
  <c r="A86" i="108"/>
  <c r="B85" i="108"/>
  <c r="H72" i="86"/>
  <c r="BJ72" i="86" s="1"/>
  <c r="G73" i="86"/>
  <c r="M75" i="66"/>
  <c r="N75" i="66"/>
  <c r="L75" i="66"/>
  <c r="BH70" i="86"/>
  <c r="BI69" i="86"/>
  <c r="AP72" i="100"/>
  <c r="AT71" i="100"/>
  <c r="AQ71" i="100"/>
  <c r="BA62" i="100"/>
  <c r="AZ62" i="100"/>
  <c r="AS62" i="100" s="1"/>
  <c r="J71" i="106"/>
  <c r="X106" i="106"/>
  <c r="BK71" i="106"/>
  <c r="AQ70" i="105"/>
  <c r="AP71" i="105"/>
  <c r="AT70" i="105"/>
  <c r="U70" i="100"/>
  <c r="V69" i="100"/>
  <c r="H74" i="91"/>
  <c r="BJ74" i="91" s="1"/>
  <c r="G75" i="91"/>
  <c r="AP77" i="75"/>
  <c r="AQ76" i="75"/>
  <c r="AV31" i="86"/>
  <c r="BG31" i="86" s="1"/>
  <c r="M33" i="88"/>
  <c r="S33" i="88" s="1"/>
  <c r="BI71" i="88"/>
  <c r="BH72" i="88"/>
  <c r="W78" i="78"/>
  <c r="K38" i="78"/>
  <c r="O38" i="78" s="1"/>
  <c r="M38" i="78" s="1"/>
  <c r="N39" i="78" s="1"/>
  <c r="Y103" i="100"/>
  <c r="AL145" i="100"/>
  <c r="Q70" i="75"/>
  <c r="R70" i="75"/>
  <c r="AZ62" i="86"/>
  <c r="AV68" i="86"/>
  <c r="BA62" i="86"/>
  <c r="AM109" i="100"/>
  <c r="AO70" i="100"/>
  <c r="BH70" i="100"/>
  <c r="BI69" i="100"/>
  <c r="BI72" i="91"/>
  <c r="BH73" i="91"/>
  <c r="AM108" i="105"/>
  <c r="AO69" i="105"/>
  <c r="AT71" i="106"/>
  <c r="AQ71" i="106"/>
  <c r="AP72" i="106"/>
  <c r="Q68" i="100"/>
  <c r="J68" i="100" s="1"/>
  <c r="R68" i="100"/>
  <c r="AV34" i="91"/>
  <c r="BG34" i="91" s="1"/>
  <c r="AV33" i="88"/>
  <c r="BG33" i="88" s="1"/>
  <c r="AZ64" i="88"/>
  <c r="BA64" i="88"/>
  <c r="AV70" i="88"/>
  <c r="U72" i="75"/>
  <c r="V71" i="75"/>
  <c r="X77" i="78"/>
  <c r="BI43" i="78"/>
  <c r="U70" i="105"/>
  <c r="V69" i="105"/>
  <c r="A89" i="107"/>
  <c r="B88" i="107"/>
  <c r="BA65" i="91"/>
  <c r="AZ65" i="91"/>
  <c r="AV71" i="91"/>
  <c r="X104" i="100"/>
  <c r="BK69" i="100"/>
  <c r="J25" i="66"/>
  <c r="I25" i="66" s="1"/>
  <c r="K25" i="66"/>
  <c r="X25" i="66"/>
  <c r="R73" i="91"/>
  <c r="Q73" i="91"/>
  <c r="Y104" i="88"/>
  <c r="AL146" i="88"/>
  <c r="I71" i="105"/>
  <c r="H71" i="105"/>
  <c r="BJ71" i="105" s="1"/>
  <c r="G72" i="105"/>
  <c r="AP75" i="86"/>
  <c r="AQ74" i="86"/>
  <c r="V74" i="106"/>
  <c r="U75" i="106"/>
  <c r="AL145" i="86"/>
  <c r="Y103" i="86"/>
  <c r="R68" i="105"/>
  <c r="Q68" i="105"/>
  <c r="BK33" i="86"/>
  <c r="X68" i="86"/>
  <c r="J33" i="86"/>
  <c r="K70" i="100"/>
  <c r="G71" i="100"/>
  <c r="I70" i="100"/>
  <c r="H70" i="100"/>
  <c r="BJ70" i="100" s="1"/>
  <c r="AZ62" i="106"/>
  <c r="AS62" i="106" s="1"/>
  <c r="BA62" i="106"/>
  <c r="AY39" i="78"/>
  <c r="AX39" i="78" s="1"/>
  <c r="AV39" i="78" s="1"/>
  <c r="AS39" i="78" s="1"/>
  <c r="AU39" i="78"/>
  <c r="AZ39" i="78"/>
  <c r="BF39" i="78"/>
  <c r="X98" i="106"/>
  <c r="BK63" i="106"/>
  <c r="J63" i="106"/>
  <c r="K64" i="106"/>
  <c r="U75" i="91"/>
  <c r="V74" i="91"/>
  <c r="AP72" i="88"/>
  <c r="AQ71" i="88"/>
  <c r="AV70" i="75"/>
  <c r="BA64" i="75"/>
  <c r="AZ64" i="75"/>
  <c r="AU48" i="106"/>
  <c r="AY48" i="106" s="1"/>
  <c r="BL93" i="106"/>
  <c r="AV48" i="106"/>
  <c r="BG48" i="106" s="1"/>
  <c r="L44" i="100"/>
  <c r="P44" i="100" s="1"/>
  <c r="N44" i="100" s="1"/>
  <c r="W79" i="100"/>
  <c r="Q73" i="106"/>
  <c r="R73" i="106"/>
  <c r="BI70" i="105"/>
  <c r="BH71" i="105"/>
  <c r="U74" i="88"/>
  <c r="V73" i="88"/>
  <c r="BH70" i="106"/>
  <c r="BI69" i="106"/>
  <c r="BK34" i="91"/>
  <c r="J34" i="91"/>
  <c r="X69" i="91"/>
  <c r="V115" i="59"/>
  <c r="AI145" i="59"/>
  <c r="BI71" i="75"/>
  <c r="BH72" i="75"/>
  <c r="BB62" i="109"/>
  <c r="BA62" i="109"/>
  <c r="AT62" i="109" s="1"/>
  <c r="BJ69" i="109"/>
  <c r="BI70" i="109"/>
  <c r="R69" i="110"/>
  <c r="S68" i="110"/>
  <c r="R69" i="109"/>
  <c r="Q69" i="109"/>
  <c r="V70" i="109"/>
  <c r="U71" i="109"/>
  <c r="X75" i="75"/>
  <c r="J40" i="75"/>
  <c r="BK40" i="75"/>
  <c r="M40" i="75"/>
  <c r="S40" i="75" s="1"/>
  <c r="S23" i="111"/>
  <c r="H23" i="111"/>
  <c r="T64" i="111"/>
  <c r="E75" i="111"/>
  <c r="J74" i="111"/>
  <c r="F74" i="111"/>
  <c r="AZ74" i="111" s="1"/>
  <c r="AT21" i="111"/>
  <c r="AR21" i="111" s="1"/>
  <c r="Y64" i="94"/>
  <c r="J29" i="94"/>
  <c r="M29" i="94"/>
  <c r="S29" i="94" s="1"/>
  <c r="BL29" i="94"/>
  <c r="AX72" i="111"/>
  <c r="BL31" i="109"/>
  <c r="J31" i="109"/>
  <c r="Y66" i="109"/>
  <c r="P31" i="109"/>
  <c r="N31" i="109" s="1"/>
  <c r="M31" i="109"/>
  <c r="S31" i="109" s="1"/>
  <c r="L32" i="109" s="1"/>
  <c r="Q68" i="94"/>
  <c r="R68" i="94"/>
  <c r="V69" i="94"/>
  <c r="U70" i="94"/>
  <c r="Z103" i="109"/>
  <c r="AM145" i="109"/>
  <c r="AO21" i="110"/>
  <c r="AQ21" i="110" s="1"/>
  <c r="AW21" i="110" s="1"/>
  <c r="AJ61" i="112"/>
  <c r="AQ20" i="112"/>
  <c r="AW20" i="112" s="1"/>
  <c r="AY21" i="112" s="1"/>
  <c r="G22" i="112"/>
  <c r="K22" i="112" s="1"/>
  <c r="Q22" i="112" s="1"/>
  <c r="M23" i="112"/>
  <c r="U63" i="110"/>
  <c r="AN101" i="109"/>
  <c r="AP62" i="109"/>
  <c r="AU63" i="109"/>
  <c r="AX72" i="112"/>
  <c r="AM74" i="112"/>
  <c r="AN73" i="112"/>
  <c r="J72" i="112"/>
  <c r="E73" i="112"/>
  <c r="F72" i="112"/>
  <c r="AZ72" i="112" s="1"/>
  <c r="BB63" i="94"/>
  <c r="BA63" i="94"/>
  <c r="AT63" i="94" s="1"/>
  <c r="BJ70" i="94"/>
  <c r="BI71" i="94"/>
  <c r="AM147" i="94"/>
  <c r="Z105" i="94"/>
  <c r="Z106" i="94" s="1"/>
  <c r="Z107" i="94" s="1"/>
  <c r="Z108" i="94" s="1"/>
  <c r="Z109" i="94" s="1"/>
  <c r="Z110" i="94" s="1"/>
  <c r="Z111" i="94" s="1"/>
  <c r="Z112" i="94" s="1"/>
  <c r="Z113" i="94" s="1"/>
  <c r="AQ71" i="94"/>
  <c r="AR70" i="94"/>
  <c r="W70" i="94"/>
  <c r="G71" i="94"/>
  <c r="T70" i="94"/>
  <c r="H70" i="94"/>
  <c r="BK70" i="94" s="1"/>
  <c r="I70" i="94"/>
  <c r="AV52" i="109"/>
  <c r="AZ52" i="109" s="1"/>
  <c r="AX52" i="109" s="1"/>
  <c r="AW52" i="109" s="1"/>
  <c r="BH52" i="109" s="1"/>
  <c r="BM97" i="109"/>
  <c r="O23" i="110"/>
  <c r="P23" i="110"/>
  <c r="I23" i="110"/>
  <c r="BM95" i="94"/>
  <c r="AV50" i="94"/>
  <c r="AZ50" i="94" s="1"/>
  <c r="AX50" i="94" s="1"/>
  <c r="AW50" i="94" s="1"/>
  <c r="BH50" i="94" s="1"/>
  <c r="AU67" i="94"/>
  <c r="AN105" i="94"/>
  <c r="AP66" i="94"/>
  <c r="AT23" i="103"/>
  <c r="AR23" i="103" s="1"/>
  <c r="AS24" i="103" s="1"/>
  <c r="P20" i="61"/>
  <c r="T50" i="61"/>
  <c r="AU54" i="100" l="1"/>
  <c r="AY54" i="100" s="1"/>
  <c r="AW54" i="100" s="1"/>
  <c r="AV54" i="100" s="1"/>
  <c r="BG54" i="100" s="1"/>
  <c r="BL99" i="100"/>
  <c r="E81" i="107"/>
  <c r="G81" i="107" s="1"/>
  <c r="D81" i="107" s="1"/>
  <c r="C82" i="107" s="1"/>
  <c r="F81" i="107"/>
  <c r="AU49" i="106"/>
  <c r="AY49" i="106" s="1"/>
  <c r="BL94" i="106"/>
  <c r="AV49" i="106"/>
  <c r="BG49" i="106" s="1"/>
  <c r="AM78" i="78"/>
  <c r="AP39" i="78"/>
  <c r="J34" i="86"/>
  <c r="X69" i="86"/>
  <c r="BK34" i="86"/>
  <c r="AU54" i="105"/>
  <c r="AY54" i="105" s="1"/>
  <c r="AW54" i="105" s="1"/>
  <c r="AV54" i="105" s="1"/>
  <c r="BG54" i="105" s="1"/>
  <c r="BL99" i="105"/>
  <c r="Q74" i="106"/>
  <c r="R74" i="106"/>
  <c r="BA65" i="75"/>
  <c r="AZ65" i="75"/>
  <c r="AV71" i="75"/>
  <c r="R73" i="88"/>
  <c r="Q73" i="88"/>
  <c r="M44" i="100"/>
  <c r="S44" i="100" s="1"/>
  <c r="BK70" i="100"/>
  <c r="X105" i="100"/>
  <c r="V75" i="106"/>
  <c r="U76" i="106"/>
  <c r="Q71" i="75"/>
  <c r="R71" i="75"/>
  <c r="BH74" i="91"/>
  <c r="BI73" i="91"/>
  <c r="R69" i="100"/>
  <c r="Q69" i="100"/>
  <c r="J69" i="100" s="1"/>
  <c r="AP73" i="100"/>
  <c r="AT72" i="100"/>
  <c r="AQ72" i="100"/>
  <c r="AU34" i="75"/>
  <c r="AY34" i="75" s="1"/>
  <c r="AW34" i="75" s="1"/>
  <c r="AV34" i="75" s="1"/>
  <c r="BG34" i="75" s="1"/>
  <c r="AT34" i="75"/>
  <c r="BL79" i="75"/>
  <c r="V74" i="88"/>
  <c r="U75" i="88"/>
  <c r="V116" i="59"/>
  <c r="AI146" i="59"/>
  <c r="BH72" i="105"/>
  <c r="BI71" i="105"/>
  <c r="AP73" i="106"/>
  <c r="AQ72" i="106"/>
  <c r="AT72" i="106"/>
  <c r="AV69" i="100"/>
  <c r="AZ63" i="100"/>
  <c r="AS63" i="100" s="1"/>
  <c r="BA63" i="100"/>
  <c r="AM109" i="105"/>
  <c r="AO70" i="105"/>
  <c r="BH71" i="86"/>
  <c r="BI70" i="86"/>
  <c r="G74" i="86"/>
  <c r="H73" i="86"/>
  <c r="BJ73" i="86" s="1"/>
  <c r="W71" i="109"/>
  <c r="T71" i="109"/>
  <c r="G72" i="109"/>
  <c r="H71" i="109"/>
  <c r="BK71" i="109" s="1"/>
  <c r="I71" i="109"/>
  <c r="U72" i="86"/>
  <c r="V71" i="86"/>
  <c r="M50" i="105"/>
  <c r="S50" i="105" s="1"/>
  <c r="L50" i="105"/>
  <c r="P50" i="105" s="1"/>
  <c r="N50" i="105" s="1"/>
  <c r="W85" i="105"/>
  <c r="M34" i="86"/>
  <c r="S34" i="86" s="1"/>
  <c r="BD30" i="59"/>
  <c r="AP24" i="59"/>
  <c r="BG69" i="59"/>
  <c r="AZ63" i="86"/>
  <c r="BA63" i="86"/>
  <c r="AV69" i="86"/>
  <c r="AZ64" i="105"/>
  <c r="AS64" i="105" s="1"/>
  <c r="BA64" i="105"/>
  <c r="BG46" i="78"/>
  <c r="AT40" i="78"/>
  <c r="BJ85" i="78"/>
  <c r="AP76" i="86"/>
  <c r="AQ75" i="86"/>
  <c r="AL147" i="88"/>
  <c r="Y105" i="88"/>
  <c r="Y106" i="88" s="1"/>
  <c r="Y107" i="88" s="1"/>
  <c r="Y108" i="88" s="1"/>
  <c r="Y109" i="88" s="1"/>
  <c r="Y110" i="88" s="1"/>
  <c r="Y111" i="88" s="1"/>
  <c r="Y112" i="88" s="1"/>
  <c r="Y113" i="88" s="1"/>
  <c r="A90" i="107"/>
  <c r="B89" i="107"/>
  <c r="BH71" i="100"/>
  <c r="BI70" i="100"/>
  <c r="AP72" i="105"/>
  <c r="AQ71" i="105"/>
  <c r="AT71" i="105"/>
  <c r="G74" i="106"/>
  <c r="H73" i="106"/>
  <c r="BJ73" i="106" s="1"/>
  <c r="K73" i="106"/>
  <c r="AQ93" i="78"/>
  <c r="AP94" i="78"/>
  <c r="M25" i="59"/>
  <c r="AJ62" i="59"/>
  <c r="AL23" i="59"/>
  <c r="AP73" i="88"/>
  <c r="AQ72" i="88"/>
  <c r="Q69" i="105"/>
  <c r="R69" i="105"/>
  <c r="AO71" i="106"/>
  <c r="AM110" i="106"/>
  <c r="BI72" i="88"/>
  <c r="BH73" i="88"/>
  <c r="E102" i="110"/>
  <c r="J101" i="110"/>
  <c r="F101" i="110"/>
  <c r="AZ101" i="110" s="1"/>
  <c r="K24" i="59"/>
  <c r="Q74" i="91"/>
  <c r="R74" i="91"/>
  <c r="U71" i="105"/>
  <c r="V70" i="105"/>
  <c r="AZ65" i="88"/>
  <c r="BA65" i="88"/>
  <c r="AV71" i="88"/>
  <c r="B86" i="108"/>
  <c r="A87" i="108"/>
  <c r="AP74" i="91"/>
  <c r="AQ73" i="91"/>
  <c r="X107" i="106"/>
  <c r="J72" i="106"/>
  <c r="BK72" i="106"/>
  <c r="F78" i="66"/>
  <c r="U77" i="66"/>
  <c r="AA77" i="66"/>
  <c r="G77" i="66"/>
  <c r="K35" i="91"/>
  <c r="BA66" i="91"/>
  <c r="AZ66" i="91"/>
  <c r="AV72" i="91"/>
  <c r="AP78" i="75"/>
  <c r="AQ77" i="75"/>
  <c r="R70" i="86"/>
  <c r="Q70" i="86"/>
  <c r="BA63" i="106"/>
  <c r="AV69" i="106"/>
  <c r="AZ63" i="106"/>
  <c r="AS63" i="106" s="1"/>
  <c r="V75" i="91"/>
  <c r="U76" i="91"/>
  <c r="AW40" i="78"/>
  <c r="Y104" i="86"/>
  <c r="AL146" i="86"/>
  <c r="T25" i="66"/>
  <c r="S25" i="66"/>
  <c r="AT34" i="88"/>
  <c r="AU34" i="88"/>
  <c r="AY34" i="88" s="1"/>
  <c r="AW34" i="88" s="1"/>
  <c r="AV34" i="88" s="1"/>
  <c r="BG34" i="88" s="1"/>
  <c r="BL79" i="88"/>
  <c r="Y104" i="100"/>
  <c r="AL146" i="100"/>
  <c r="W69" i="88"/>
  <c r="L34" i="88"/>
  <c r="P34" i="88" s="1"/>
  <c r="N34" i="88" s="1"/>
  <c r="K34" i="88"/>
  <c r="M34" i="88" s="1"/>
  <c r="S34" i="88" s="1"/>
  <c r="G76" i="91"/>
  <c r="H75" i="91"/>
  <c r="BJ75" i="91" s="1"/>
  <c r="X102" i="105"/>
  <c r="J67" i="105"/>
  <c r="BK67" i="105"/>
  <c r="K68" i="105"/>
  <c r="G72" i="88"/>
  <c r="H71" i="88"/>
  <c r="BJ71" i="88" s="1"/>
  <c r="M76" i="66"/>
  <c r="L76" i="66"/>
  <c r="N76" i="66"/>
  <c r="W137" i="66"/>
  <c r="O136" i="66"/>
  <c r="T73" i="78"/>
  <c r="U72" i="78"/>
  <c r="V72" i="75"/>
  <c r="U73" i="75"/>
  <c r="U71" i="100"/>
  <c r="V70" i="100"/>
  <c r="H73" i="75"/>
  <c r="BJ73" i="75" s="1"/>
  <c r="G74" i="75"/>
  <c r="G73" i="78"/>
  <c r="H72" i="78"/>
  <c r="BH78" i="78" s="1"/>
  <c r="BH73" i="75"/>
  <c r="BI72" i="75"/>
  <c r="BI70" i="106"/>
  <c r="BH71" i="106"/>
  <c r="X99" i="106"/>
  <c r="J64" i="106"/>
  <c r="BK64" i="106"/>
  <c r="K65" i="106"/>
  <c r="K71" i="100"/>
  <c r="G72" i="100"/>
  <c r="I71" i="100"/>
  <c r="H71" i="100"/>
  <c r="BJ71" i="100" s="1"/>
  <c r="I72" i="105"/>
  <c r="G73" i="105"/>
  <c r="H72" i="105"/>
  <c r="BJ72" i="105" s="1"/>
  <c r="AU35" i="91"/>
  <c r="AY35" i="91" s="1"/>
  <c r="AW35" i="91" s="1"/>
  <c r="AT35" i="91" s="1"/>
  <c r="BL80" i="91"/>
  <c r="J38" i="78"/>
  <c r="AU32" i="86"/>
  <c r="AY32" i="86" s="1"/>
  <c r="AW32" i="86" s="1"/>
  <c r="BL77" i="86"/>
  <c r="AO71" i="100"/>
  <c r="AM110" i="100"/>
  <c r="E76" i="103"/>
  <c r="J75" i="103"/>
  <c r="F75" i="103"/>
  <c r="AZ75" i="103" s="1"/>
  <c r="D57" i="108"/>
  <c r="C58" i="108" s="1"/>
  <c r="P71" i="78"/>
  <c r="Q71" i="78"/>
  <c r="M44" i="106"/>
  <c r="S44" i="106" s="1"/>
  <c r="BI71" i="109"/>
  <c r="BJ70" i="109"/>
  <c r="BA63" i="109"/>
  <c r="AT63" i="109" s="1"/>
  <c r="BB63" i="109"/>
  <c r="R70" i="110"/>
  <c r="S69" i="110"/>
  <c r="AI62" i="112"/>
  <c r="AK62" i="112" s="1"/>
  <c r="V71" i="109"/>
  <c r="U72" i="109"/>
  <c r="R70" i="109"/>
  <c r="Q70" i="109"/>
  <c r="L41" i="75"/>
  <c r="P41" i="75" s="1"/>
  <c r="N41" i="75" s="1"/>
  <c r="K41" i="75" s="1"/>
  <c r="W76" i="75"/>
  <c r="AO21" i="111"/>
  <c r="AL21" i="111" s="1"/>
  <c r="E76" i="111"/>
  <c r="J75" i="111"/>
  <c r="F75" i="111"/>
  <c r="AZ75" i="111" s="1"/>
  <c r="I23" i="111"/>
  <c r="P23" i="111"/>
  <c r="O23" i="111"/>
  <c r="V64" i="111"/>
  <c r="U63" i="111"/>
  <c r="AS22" i="111"/>
  <c r="AX73" i="111"/>
  <c r="X65" i="94"/>
  <c r="L30" i="94"/>
  <c r="X67" i="109"/>
  <c r="V70" i="94"/>
  <c r="U71" i="94"/>
  <c r="R69" i="94"/>
  <c r="Q69" i="94"/>
  <c r="BB67" i="112"/>
  <c r="AP21" i="112"/>
  <c r="AM146" i="109"/>
  <c r="Z104" i="109"/>
  <c r="BB68" i="110"/>
  <c r="AY22" i="110"/>
  <c r="AI63" i="110"/>
  <c r="AP22" i="110"/>
  <c r="AL21" i="110"/>
  <c r="AJ62" i="110"/>
  <c r="S23" i="112"/>
  <c r="H23" i="112"/>
  <c r="T64" i="112"/>
  <c r="V64" i="112" s="1"/>
  <c r="BA22" i="112"/>
  <c r="AU64" i="109"/>
  <c r="AP63" i="109"/>
  <c r="AN102" i="109"/>
  <c r="AX73" i="112"/>
  <c r="J73" i="112"/>
  <c r="E74" i="112"/>
  <c r="F73" i="112"/>
  <c r="AZ73" i="112" s="1"/>
  <c r="AM75" i="112"/>
  <c r="AN74" i="112"/>
  <c r="AU21" i="112"/>
  <c r="AV21" i="112"/>
  <c r="BI72" i="94"/>
  <c r="BJ71" i="94"/>
  <c r="BB64" i="94"/>
  <c r="BA64" i="94"/>
  <c r="AT64" i="94" s="1"/>
  <c r="AR71" i="94"/>
  <c r="AQ72" i="94"/>
  <c r="W71" i="94"/>
  <c r="G72" i="94"/>
  <c r="T71" i="94"/>
  <c r="H71" i="94"/>
  <c r="BK71" i="94" s="1"/>
  <c r="I71" i="94"/>
  <c r="BM98" i="109"/>
  <c r="AV53" i="109"/>
  <c r="AZ53" i="109" s="1"/>
  <c r="AX53" i="109" s="1"/>
  <c r="AW53" i="109" s="1"/>
  <c r="BH53" i="109" s="1"/>
  <c r="N23" i="110"/>
  <c r="L23" i="110" s="1"/>
  <c r="M24" i="110" s="1"/>
  <c r="BM96" i="94"/>
  <c r="AV51" i="94"/>
  <c r="AZ51" i="94" s="1"/>
  <c r="AX51" i="94" s="1"/>
  <c r="AW51" i="94" s="1"/>
  <c r="BH51" i="94" s="1"/>
  <c r="AU68" i="94"/>
  <c r="AP67" i="94"/>
  <c r="AN106" i="94"/>
  <c r="AO23" i="103"/>
  <c r="AQ23" i="103" s="1"/>
  <c r="AW23" i="103" s="1"/>
  <c r="I21" i="61"/>
  <c r="R21" i="61"/>
  <c r="S51" i="61"/>
  <c r="AU50" i="106" l="1"/>
  <c r="AY50" i="106" s="1"/>
  <c r="BL95" i="106"/>
  <c r="AV50" i="106"/>
  <c r="BG50" i="106"/>
  <c r="AU55" i="105"/>
  <c r="AY55" i="105" s="1"/>
  <c r="AW55" i="105" s="1"/>
  <c r="AV55" i="105" s="1"/>
  <c r="BG55" i="105" s="1"/>
  <c r="BL100" i="105"/>
  <c r="AU35" i="75"/>
  <c r="AY35" i="75" s="1"/>
  <c r="AW35" i="75" s="1"/>
  <c r="AT35" i="75" s="1"/>
  <c r="BL80" i="75"/>
  <c r="AU35" i="88"/>
  <c r="AY35" i="88" s="1"/>
  <c r="AW35" i="88" s="1"/>
  <c r="BL80" i="88"/>
  <c r="E82" i="107"/>
  <c r="G82" i="107" s="1"/>
  <c r="D82" i="107" s="1"/>
  <c r="C83" i="107" s="1"/>
  <c r="F82" i="107"/>
  <c r="AU55" i="100"/>
  <c r="AY55" i="100" s="1"/>
  <c r="AW55" i="100" s="1"/>
  <c r="AV55" i="100" s="1"/>
  <c r="BG55" i="100" s="1"/>
  <c r="BL100" i="100"/>
  <c r="W70" i="88"/>
  <c r="L35" i="88"/>
  <c r="P35" i="88" s="1"/>
  <c r="N35" i="88" s="1"/>
  <c r="AS35" i="91"/>
  <c r="AO35" i="91"/>
  <c r="AM74" i="91"/>
  <c r="AV35" i="91"/>
  <c r="BG35" i="91" s="1"/>
  <c r="L51" i="105"/>
  <c r="P51" i="105" s="1"/>
  <c r="N51" i="105" s="1"/>
  <c r="W86" i="105"/>
  <c r="Q70" i="100"/>
  <c r="J70" i="100" s="1"/>
  <c r="R70" i="100"/>
  <c r="O137" i="66"/>
  <c r="W138" i="66"/>
  <c r="R75" i="91"/>
  <c r="Q75" i="91"/>
  <c r="M75" i="91"/>
  <c r="AQ78" i="75"/>
  <c r="AP79" i="75"/>
  <c r="B87" i="108"/>
  <c r="A88" i="108"/>
  <c r="A91" i="107"/>
  <c r="B90" i="107"/>
  <c r="AU40" i="78"/>
  <c r="AZ40" i="78"/>
  <c r="AY40" i="78"/>
  <c r="BF40" i="78"/>
  <c r="BI71" i="86"/>
  <c r="BH72" i="86"/>
  <c r="BH73" i="105"/>
  <c r="BI72" i="105"/>
  <c r="BA67" i="91"/>
  <c r="AV73" i="91"/>
  <c r="AZ67" i="91"/>
  <c r="G73" i="88"/>
  <c r="H72" i="88"/>
  <c r="BJ72" i="88" s="1"/>
  <c r="AS34" i="75"/>
  <c r="AO34" i="75"/>
  <c r="AM73" i="75"/>
  <c r="BH75" i="91"/>
  <c r="BI74" i="91"/>
  <c r="M45" i="100"/>
  <c r="S45" i="100" s="1"/>
  <c r="L45" i="100"/>
  <c r="P45" i="100" s="1"/>
  <c r="N45" i="100" s="1"/>
  <c r="W80" i="100"/>
  <c r="E77" i="103"/>
  <c r="J76" i="103"/>
  <c r="F76" i="103"/>
  <c r="AZ76" i="103" s="1"/>
  <c r="AT32" i="86"/>
  <c r="BA64" i="106"/>
  <c r="AZ64" i="106"/>
  <c r="AS64" i="106" s="1"/>
  <c r="AV70" i="106"/>
  <c r="U74" i="75"/>
  <c r="V73" i="75"/>
  <c r="J68" i="105"/>
  <c r="BK68" i="105"/>
  <c r="X103" i="105"/>
  <c r="K69" i="105"/>
  <c r="G78" i="66"/>
  <c r="F79" i="66"/>
  <c r="AA78" i="66"/>
  <c r="U78" i="66"/>
  <c r="U71" i="59"/>
  <c r="Q24" i="59"/>
  <c r="AP95" i="78"/>
  <c r="AQ94" i="78"/>
  <c r="AO71" i="105"/>
  <c r="AM110" i="105"/>
  <c r="Q71" i="86"/>
  <c r="R71" i="86"/>
  <c r="V117" i="59"/>
  <c r="V118" i="59" s="1"/>
  <c r="V119" i="59" s="1"/>
  <c r="V120" i="59" s="1"/>
  <c r="V121" i="59" s="1"/>
  <c r="V122" i="59" s="1"/>
  <c r="V123" i="59" s="1"/>
  <c r="V124" i="59" s="1"/>
  <c r="V125" i="59" s="1"/>
  <c r="AI147" i="59"/>
  <c r="BI44" i="78"/>
  <c r="X78" i="78"/>
  <c r="G73" i="100"/>
  <c r="I72" i="100"/>
  <c r="K72" i="100"/>
  <c r="H72" i="100"/>
  <c r="BJ72" i="100" s="1"/>
  <c r="BA66" i="75"/>
  <c r="AZ66" i="75"/>
  <c r="AV72" i="75"/>
  <c r="Q72" i="75"/>
  <c r="R72" i="75"/>
  <c r="V72" i="86"/>
  <c r="U73" i="86"/>
  <c r="AT73" i="106"/>
  <c r="AP74" i="106"/>
  <c r="AQ73" i="106"/>
  <c r="U76" i="88"/>
  <c r="V75" i="88"/>
  <c r="AM73" i="88"/>
  <c r="AO34" i="88"/>
  <c r="AS34" i="88"/>
  <c r="L45" i="106"/>
  <c r="P45" i="106" s="1"/>
  <c r="N45" i="106" s="1"/>
  <c r="W80" i="106"/>
  <c r="H73" i="105"/>
  <c r="BJ73" i="105" s="1"/>
  <c r="I73" i="105"/>
  <c r="G74" i="105"/>
  <c r="BK71" i="100"/>
  <c r="X106" i="100"/>
  <c r="BI73" i="75"/>
  <c r="BH74" i="75"/>
  <c r="H73" i="78"/>
  <c r="BH79" i="78" s="1"/>
  <c r="G74" i="78"/>
  <c r="P72" i="78"/>
  <c r="Q72" i="78"/>
  <c r="AL147" i="100"/>
  <c r="Y105" i="100"/>
  <c r="Y106" i="100" s="1"/>
  <c r="Y107" i="100" s="1"/>
  <c r="Y108" i="100" s="1"/>
  <c r="Y109" i="100" s="1"/>
  <c r="Y110" i="100" s="1"/>
  <c r="Y111" i="100" s="1"/>
  <c r="Y112" i="100" s="1"/>
  <c r="Y113" i="100" s="1"/>
  <c r="BK73" i="106"/>
  <c r="X108" i="106"/>
  <c r="J73" i="106"/>
  <c r="AP73" i="105"/>
  <c r="AT72" i="105"/>
  <c r="AQ72" i="105"/>
  <c r="AP77" i="86"/>
  <c r="AQ76" i="86"/>
  <c r="AV24" i="59"/>
  <c r="AU24" i="59"/>
  <c r="L38" i="78"/>
  <c r="R38" i="78" s="1"/>
  <c r="Q74" i="88"/>
  <c r="R74" i="88"/>
  <c r="AM111" i="100"/>
  <c r="AO72" i="100"/>
  <c r="V76" i="106"/>
  <c r="U77" i="106"/>
  <c r="BI71" i="106"/>
  <c r="BH72" i="106"/>
  <c r="U72" i="100"/>
  <c r="V71" i="100"/>
  <c r="X100" i="106"/>
  <c r="J65" i="106"/>
  <c r="BK65" i="106"/>
  <c r="K66" i="106"/>
  <c r="T74" i="78"/>
  <c r="U73" i="78"/>
  <c r="H76" i="91"/>
  <c r="BJ76" i="91" s="1"/>
  <c r="G77" i="91"/>
  <c r="Y105" i="86"/>
  <c r="Y106" i="86" s="1"/>
  <c r="Y107" i="86" s="1"/>
  <c r="Y108" i="86" s="1"/>
  <c r="Y109" i="86" s="1"/>
  <c r="Y110" i="86" s="1"/>
  <c r="Y111" i="86" s="1"/>
  <c r="Y112" i="86" s="1"/>
  <c r="Y113" i="86" s="1"/>
  <c r="AL147" i="86"/>
  <c r="J35" i="91"/>
  <c r="X70" i="91"/>
  <c r="BK35" i="91"/>
  <c r="E103" i="110"/>
  <c r="J102" i="110"/>
  <c r="F102" i="110"/>
  <c r="AZ102" i="110" s="1"/>
  <c r="AZ64" i="100"/>
  <c r="AS64" i="100" s="1"/>
  <c r="AV70" i="100"/>
  <c r="BA64" i="100"/>
  <c r="L35" i="86"/>
  <c r="P35" i="86" s="1"/>
  <c r="N35" i="86" s="1"/>
  <c r="W70" i="86"/>
  <c r="AT73" i="100"/>
  <c r="AP74" i="100"/>
  <c r="AQ73" i="100"/>
  <c r="Q75" i="106"/>
  <c r="R75" i="106"/>
  <c r="AO72" i="106"/>
  <c r="AM111" i="106"/>
  <c r="H74" i="75"/>
  <c r="BJ74" i="75" s="1"/>
  <c r="G75" i="75"/>
  <c r="BK34" i="88"/>
  <c r="J34" i="88"/>
  <c r="X69" i="88"/>
  <c r="R70" i="105"/>
  <c r="Q70" i="105"/>
  <c r="BH74" i="88"/>
  <c r="BI73" i="88"/>
  <c r="AP74" i="88"/>
  <c r="AQ73" i="88"/>
  <c r="BH72" i="100"/>
  <c r="BI71" i="100"/>
  <c r="AX40" i="78"/>
  <c r="AV40" i="78" s="1"/>
  <c r="AS40" i="78" s="1"/>
  <c r="G73" i="109"/>
  <c r="T72" i="109"/>
  <c r="W72" i="109"/>
  <c r="H72" i="109"/>
  <c r="BK72" i="109" s="1"/>
  <c r="I72" i="109"/>
  <c r="G75" i="86"/>
  <c r="H74" i="86"/>
  <c r="BJ74" i="86" s="1"/>
  <c r="R25" i="66"/>
  <c r="P25" i="66" s="1"/>
  <c r="E58" i="108"/>
  <c r="F58" i="108"/>
  <c r="G58" i="108"/>
  <c r="V76" i="91"/>
  <c r="U77" i="91"/>
  <c r="M77" i="66"/>
  <c r="L77" i="66"/>
  <c r="N77" i="66"/>
  <c r="AP75" i="91"/>
  <c r="AQ74" i="91"/>
  <c r="V71" i="105"/>
  <c r="U72" i="105"/>
  <c r="BA66" i="88"/>
  <c r="AV72" i="88"/>
  <c r="AZ66" i="88"/>
  <c r="G75" i="106"/>
  <c r="K74" i="106"/>
  <c r="H74" i="106"/>
  <c r="BJ74" i="106" s="1"/>
  <c r="AV70" i="86"/>
  <c r="BA64" i="86"/>
  <c r="AZ64" i="86"/>
  <c r="AZ65" i="105"/>
  <c r="AS65" i="105" s="1"/>
  <c r="BA65" i="105"/>
  <c r="M35" i="91"/>
  <c r="S35" i="91" s="1"/>
  <c r="BB64" i="109"/>
  <c r="BA64" i="109"/>
  <c r="AT64" i="109" s="1"/>
  <c r="BI72" i="109"/>
  <c r="BJ71" i="109"/>
  <c r="R71" i="110"/>
  <c r="S70" i="110"/>
  <c r="V72" i="109"/>
  <c r="U73" i="109"/>
  <c r="R71" i="109"/>
  <c r="Q71" i="109"/>
  <c r="J41" i="75"/>
  <c r="BK41" i="75"/>
  <c r="X76" i="75"/>
  <c r="M41" i="75"/>
  <c r="S41" i="75" s="1"/>
  <c r="J76" i="111"/>
  <c r="E77" i="111"/>
  <c r="F76" i="111"/>
  <c r="AZ76" i="111" s="1"/>
  <c r="M24" i="111"/>
  <c r="N23" i="111"/>
  <c r="L23" i="111" s="1"/>
  <c r="AQ21" i="111"/>
  <c r="AW21" i="111" s="1"/>
  <c r="P30" i="94"/>
  <c r="N30" i="94" s="1"/>
  <c r="K30" i="94"/>
  <c r="M30" i="94" s="1"/>
  <c r="S30" i="94" s="1"/>
  <c r="L31" i="94" s="1"/>
  <c r="P31" i="94" s="1"/>
  <c r="N31" i="94" s="1"/>
  <c r="AX74" i="111"/>
  <c r="P32" i="109"/>
  <c r="N32" i="109" s="1"/>
  <c r="K32" i="109"/>
  <c r="U72" i="94"/>
  <c r="V71" i="94"/>
  <c r="R70" i="94"/>
  <c r="Q70" i="94"/>
  <c r="Z105" i="109"/>
  <c r="Z106" i="109" s="1"/>
  <c r="Z107" i="109" s="1"/>
  <c r="Z108" i="109" s="1"/>
  <c r="Z109" i="109" s="1"/>
  <c r="Z110" i="109" s="1"/>
  <c r="Z111" i="109" s="1"/>
  <c r="Z112" i="109" s="1"/>
  <c r="Z113" i="109" s="1"/>
  <c r="AM147" i="109"/>
  <c r="AK63" i="110"/>
  <c r="AU22" i="110"/>
  <c r="AV22" i="110"/>
  <c r="U63" i="112"/>
  <c r="I23" i="112"/>
  <c r="O23" i="112"/>
  <c r="P23" i="112"/>
  <c r="AN103" i="109"/>
  <c r="AP64" i="109"/>
  <c r="AU65" i="109"/>
  <c r="E75" i="112"/>
  <c r="J74" i="112"/>
  <c r="F74" i="112"/>
  <c r="AZ74" i="112" s="1"/>
  <c r="AX74" i="112"/>
  <c r="AM76" i="112"/>
  <c r="AN75" i="112"/>
  <c r="AT21" i="112"/>
  <c r="AR21" i="112" s="1"/>
  <c r="AS22" i="112" s="1"/>
  <c r="BB65" i="94"/>
  <c r="BA65" i="94"/>
  <c r="AT65" i="94" s="1"/>
  <c r="BI73" i="94"/>
  <c r="BJ72" i="94"/>
  <c r="AR72" i="94"/>
  <c r="AQ73" i="94"/>
  <c r="W72" i="94"/>
  <c r="G73" i="94"/>
  <c r="T72" i="94"/>
  <c r="H72" i="94"/>
  <c r="BK72" i="94" s="1"/>
  <c r="I72" i="94"/>
  <c r="AI63" i="111"/>
  <c r="AJ62" i="111"/>
  <c r="AV54" i="109"/>
  <c r="AZ54" i="109" s="1"/>
  <c r="AX54" i="109" s="1"/>
  <c r="AW54" i="109" s="1"/>
  <c r="BH54" i="109" s="1"/>
  <c r="BM99" i="109"/>
  <c r="G23" i="110"/>
  <c r="K23" i="110" s="1"/>
  <c r="Q23" i="110" s="1"/>
  <c r="BM97" i="94"/>
  <c r="AV52" i="94"/>
  <c r="AZ52" i="94" s="1"/>
  <c r="AX52" i="94" s="1"/>
  <c r="AW52" i="94" s="1"/>
  <c r="BH52" i="94" s="1"/>
  <c r="AP24" i="103"/>
  <c r="BB70" i="103"/>
  <c r="AI65" i="103"/>
  <c r="AY24" i="103"/>
  <c r="AN107" i="94"/>
  <c r="AP68" i="94"/>
  <c r="AU69" i="94"/>
  <c r="AL23" i="103"/>
  <c r="AJ64" i="103"/>
  <c r="N21" i="61"/>
  <c r="M21" i="61" s="1"/>
  <c r="K21" i="61" s="1"/>
  <c r="O21" i="61"/>
  <c r="AM74" i="75" l="1"/>
  <c r="AO35" i="75"/>
  <c r="AS35" i="75"/>
  <c r="L46" i="100"/>
  <c r="P46" i="100" s="1"/>
  <c r="N46" i="100" s="1"/>
  <c r="M46" i="100"/>
  <c r="S46" i="100" s="1"/>
  <c r="W81" i="100"/>
  <c r="AU56" i="100"/>
  <c r="AY56" i="100" s="1"/>
  <c r="AW56" i="100" s="1"/>
  <c r="AV56" i="100" s="1"/>
  <c r="BG56" i="100" s="1"/>
  <c r="BL101" i="100"/>
  <c r="AU56" i="105"/>
  <c r="AY56" i="105" s="1"/>
  <c r="AW56" i="105" s="1"/>
  <c r="AV56" i="105" s="1"/>
  <c r="BG56" i="105" s="1"/>
  <c r="BL101" i="105"/>
  <c r="E83" i="107"/>
  <c r="F83" i="107"/>
  <c r="G83" i="107" s="1"/>
  <c r="D83" i="107" s="1"/>
  <c r="C84" i="107" s="1"/>
  <c r="V72" i="105"/>
  <c r="U73" i="105"/>
  <c r="V76" i="88"/>
  <c r="U77" i="88"/>
  <c r="V77" i="91"/>
  <c r="U78" i="91"/>
  <c r="BH75" i="88"/>
  <c r="BI74" i="88"/>
  <c r="AS25" i="59"/>
  <c r="Q75" i="88"/>
  <c r="R75" i="88"/>
  <c r="M75" i="88"/>
  <c r="W73" i="109"/>
  <c r="T73" i="109"/>
  <c r="G74" i="109"/>
  <c r="H73" i="109"/>
  <c r="BK73" i="109" s="1"/>
  <c r="I73" i="109"/>
  <c r="BK74" i="106"/>
  <c r="X109" i="106"/>
  <c r="J74" i="106"/>
  <c r="Q71" i="105"/>
  <c r="R71" i="105"/>
  <c r="D58" i="108"/>
  <c r="C59" i="108" s="1"/>
  <c r="AP40" i="78"/>
  <c r="AM79" i="78"/>
  <c r="AO73" i="100"/>
  <c r="AM112" i="100"/>
  <c r="G78" i="91"/>
  <c r="H77" i="91"/>
  <c r="BJ77" i="91" s="1"/>
  <c r="Q71" i="100"/>
  <c r="J71" i="100" s="1"/>
  <c r="R71" i="100"/>
  <c r="G74" i="100"/>
  <c r="K73" i="100"/>
  <c r="I73" i="100"/>
  <c r="H73" i="100"/>
  <c r="BJ73" i="100" s="1"/>
  <c r="AM71" i="86"/>
  <c r="AS32" i="86"/>
  <c r="AO32" i="86"/>
  <c r="BA68" i="91"/>
  <c r="AV74" i="91"/>
  <c r="AZ68" i="91"/>
  <c r="BI73" i="105"/>
  <c r="BH74" i="105"/>
  <c r="B91" i="107"/>
  <c r="A92" i="107"/>
  <c r="K35" i="88"/>
  <c r="M35" i="88" s="1"/>
  <c r="S35" i="88" s="1"/>
  <c r="AT35" i="88"/>
  <c r="AV35" i="88" s="1"/>
  <c r="BG35" i="88" s="1"/>
  <c r="AV71" i="100"/>
  <c r="BA65" i="100"/>
  <c r="AZ65" i="100"/>
  <c r="AS65" i="100" s="1"/>
  <c r="V72" i="100"/>
  <c r="U73" i="100"/>
  <c r="AP78" i="86"/>
  <c r="AQ77" i="86"/>
  <c r="AT74" i="106"/>
  <c r="AQ74" i="106"/>
  <c r="AP75" i="106"/>
  <c r="BI75" i="91"/>
  <c r="BH76" i="91"/>
  <c r="BI72" i="86"/>
  <c r="BH73" i="86"/>
  <c r="B88" i="108"/>
  <c r="A89" i="108"/>
  <c r="M51" i="105"/>
  <c r="S51" i="105" s="1"/>
  <c r="K75" i="106"/>
  <c r="G76" i="106"/>
  <c r="H75" i="106"/>
  <c r="BJ75" i="106" s="1"/>
  <c r="AP76" i="91"/>
  <c r="AQ75" i="91"/>
  <c r="G76" i="86"/>
  <c r="H75" i="86"/>
  <c r="BJ75" i="86" s="1"/>
  <c r="BH73" i="100"/>
  <c r="BI72" i="100"/>
  <c r="K35" i="86"/>
  <c r="Q73" i="78"/>
  <c r="P73" i="78"/>
  <c r="BH73" i="106"/>
  <c r="BI72" i="106"/>
  <c r="G75" i="78"/>
  <c r="H74" i="78"/>
  <c r="BH80" i="78" s="1"/>
  <c r="M45" i="106"/>
  <c r="S45" i="106" s="1"/>
  <c r="AM112" i="106"/>
  <c r="AO73" i="106"/>
  <c r="F80" i="66"/>
  <c r="U79" i="66"/>
  <c r="AA79" i="66"/>
  <c r="G79" i="66"/>
  <c r="R73" i="75"/>
  <c r="Q73" i="75"/>
  <c r="G74" i="88"/>
  <c r="H73" i="88"/>
  <c r="BJ73" i="88" s="1"/>
  <c r="AZ65" i="86"/>
  <c r="AV71" i="86"/>
  <c r="BA65" i="86"/>
  <c r="O138" i="66"/>
  <c r="W139" i="66"/>
  <c r="AU36" i="91"/>
  <c r="AY36" i="91" s="1"/>
  <c r="AW36" i="91" s="1"/>
  <c r="AT36" i="91" s="1"/>
  <c r="BL81" i="91"/>
  <c r="AV35" i="75"/>
  <c r="BG35" i="75" s="1"/>
  <c r="AU51" i="106"/>
  <c r="AY51" i="106" s="1"/>
  <c r="BL96" i="106"/>
  <c r="U74" i="78"/>
  <c r="T75" i="78"/>
  <c r="AV71" i="106"/>
  <c r="AZ65" i="106"/>
  <c r="AS65" i="106" s="1"/>
  <c r="BA65" i="106"/>
  <c r="W79" i="78"/>
  <c r="K39" i="78"/>
  <c r="O39" i="78" s="1"/>
  <c r="M39" i="78" s="1"/>
  <c r="N40" i="78" s="1"/>
  <c r="AM111" i="105"/>
  <c r="AO72" i="105"/>
  <c r="V73" i="86"/>
  <c r="U74" i="86"/>
  <c r="L78" i="66"/>
  <c r="M78" i="66"/>
  <c r="N78" i="66"/>
  <c r="U75" i="75"/>
  <c r="V74" i="75"/>
  <c r="E78" i="103"/>
  <c r="J77" i="103"/>
  <c r="F77" i="103"/>
  <c r="AZ77" i="103" s="1"/>
  <c r="BG47" i="78"/>
  <c r="BJ86" i="78"/>
  <c r="AT41" i="78"/>
  <c r="AP80" i="75"/>
  <c r="AQ79" i="75"/>
  <c r="AV32" i="86"/>
  <c r="BG32" i="86" s="1"/>
  <c r="Q76" i="91"/>
  <c r="R76" i="91"/>
  <c r="M76" i="91"/>
  <c r="AT74" i="100"/>
  <c r="AP75" i="100"/>
  <c r="AQ74" i="100"/>
  <c r="H25" i="66"/>
  <c r="O25" i="66" s="1"/>
  <c r="AP75" i="88"/>
  <c r="AQ74" i="88"/>
  <c r="E104" i="110"/>
  <c r="J103" i="110"/>
  <c r="F103" i="110"/>
  <c r="AZ103" i="110" s="1"/>
  <c r="J66" i="106"/>
  <c r="X101" i="106"/>
  <c r="BK66" i="106"/>
  <c r="K67" i="106"/>
  <c r="V77" i="106"/>
  <c r="U78" i="106"/>
  <c r="AP74" i="105"/>
  <c r="AQ73" i="105"/>
  <c r="AT73" i="105"/>
  <c r="BI74" i="75"/>
  <c r="BH75" i="75"/>
  <c r="H74" i="105"/>
  <c r="BJ74" i="105" s="1"/>
  <c r="G75" i="105"/>
  <c r="I74" i="105"/>
  <c r="Q72" i="86"/>
  <c r="R72" i="86"/>
  <c r="AP96" i="78"/>
  <c r="AQ95" i="78"/>
  <c r="Q26" i="66"/>
  <c r="AW41" i="78"/>
  <c r="AZ66" i="105"/>
  <c r="AS66" i="105" s="1"/>
  <c r="BA66" i="105"/>
  <c r="W71" i="91"/>
  <c r="L36" i="91"/>
  <c r="P36" i="91" s="1"/>
  <c r="N36" i="91" s="1"/>
  <c r="K36" i="91" s="1"/>
  <c r="BA67" i="88"/>
  <c r="AZ67" i="88"/>
  <c r="AV73" i="88"/>
  <c r="H75" i="75"/>
  <c r="BJ75" i="75" s="1"/>
  <c r="G76" i="75"/>
  <c r="Q76" i="106"/>
  <c r="R76" i="106"/>
  <c r="AZ67" i="75"/>
  <c r="AV73" i="75"/>
  <c r="BA67" i="75"/>
  <c r="AT24" i="59"/>
  <c r="AR24" i="59" s="1"/>
  <c r="X107" i="100"/>
  <c r="BK72" i="100"/>
  <c r="S25" i="59"/>
  <c r="T72" i="59"/>
  <c r="J25" i="59"/>
  <c r="BK69" i="105"/>
  <c r="J69" i="105"/>
  <c r="X104" i="105"/>
  <c r="K70" i="105"/>
  <c r="BB65" i="109"/>
  <c r="BA65" i="109"/>
  <c r="AT65" i="109" s="1"/>
  <c r="BJ72" i="109"/>
  <c r="BI73" i="109"/>
  <c r="R72" i="110"/>
  <c r="S71" i="110"/>
  <c r="V73" i="109"/>
  <c r="U74" i="109"/>
  <c r="Q72" i="109"/>
  <c r="R72" i="109"/>
  <c r="L42" i="75"/>
  <c r="P42" i="75" s="1"/>
  <c r="N42" i="75" s="1"/>
  <c r="W77" i="75"/>
  <c r="J77" i="111"/>
  <c r="E78" i="111"/>
  <c r="F77" i="111"/>
  <c r="AZ77" i="111" s="1"/>
  <c r="AP22" i="111"/>
  <c r="BB68" i="111"/>
  <c r="AY22" i="111"/>
  <c r="X66" i="94"/>
  <c r="G23" i="111"/>
  <c r="AX75" i="111"/>
  <c r="BL30" i="94"/>
  <c r="Y65" i="94"/>
  <c r="J30" i="94"/>
  <c r="K31" i="94"/>
  <c r="M32" i="109"/>
  <c r="S32" i="109" s="1"/>
  <c r="L33" i="109" s="1"/>
  <c r="BL32" i="109"/>
  <c r="J32" i="109"/>
  <c r="Y67" i="109"/>
  <c r="R71" i="94"/>
  <c r="Q71" i="94"/>
  <c r="U73" i="94"/>
  <c r="V72" i="94"/>
  <c r="AT22" i="110"/>
  <c r="AR22" i="110" s="1"/>
  <c r="AO22" i="110" s="1"/>
  <c r="N23" i="112"/>
  <c r="L23" i="112" s="1"/>
  <c r="AU66" i="109"/>
  <c r="AN104" i="109"/>
  <c r="AP65" i="109"/>
  <c r="E76" i="112"/>
  <c r="J75" i="112"/>
  <c r="F75" i="112"/>
  <c r="AZ75" i="112" s="1"/>
  <c r="AM77" i="112"/>
  <c r="AN76" i="112"/>
  <c r="AO21" i="112"/>
  <c r="AQ21" i="112" s="1"/>
  <c r="AW21" i="112" s="1"/>
  <c r="AX75" i="112"/>
  <c r="BB66" i="94"/>
  <c r="BA66" i="94"/>
  <c r="AT66" i="94" s="1"/>
  <c r="BI74" i="94"/>
  <c r="BJ73" i="94"/>
  <c r="W73" i="94"/>
  <c r="G74" i="94"/>
  <c r="H73" i="94"/>
  <c r="BK73" i="94" s="1"/>
  <c r="T73" i="94"/>
  <c r="I73" i="94"/>
  <c r="AR73" i="94"/>
  <c r="AQ74" i="94"/>
  <c r="AK63" i="111"/>
  <c r="T65" i="110"/>
  <c r="V65" i="110" s="1"/>
  <c r="H24" i="110"/>
  <c r="BM100" i="109"/>
  <c r="AV55" i="109"/>
  <c r="AZ55" i="109" s="1"/>
  <c r="AX55" i="109" s="1"/>
  <c r="AW55" i="109" s="1"/>
  <c r="BH55" i="109" s="1"/>
  <c r="BA23" i="110"/>
  <c r="BM98" i="94"/>
  <c r="AV53" i="94"/>
  <c r="AZ53" i="94" s="1"/>
  <c r="AX53" i="94" s="1"/>
  <c r="AW53" i="94" s="1"/>
  <c r="BH53" i="94" s="1"/>
  <c r="AK65" i="103"/>
  <c r="AP69" i="94"/>
  <c r="AU70" i="94"/>
  <c r="AN108" i="94"/>
  <c r="AU24" i="103"/>
  <c r="AT24" i="103" s="1"/>
  <c r="AV24" i="103"/>
  <c r="H21" i="61"/>
  <c r="J21" i="61" s="1"/>
  <c r="L22" i="61"/>
  <c r="AS36" i="91" l="1"/>
  <c r="AM75" i="91"/>
  <c r="AO36" i="91"/>
  <c r="AV36" i="91"/>
  <c r="BG36" i="91" s="1"/>
  <c r="F84" i="107"/>
  <c r="E84" i="107"/>
  <c r="G84" i="107" s="1"/>
  <c r="D84" i="107" s="1"/>
  <c r="C85" i="107" s="1"/>
  <c r="L47" i="100"/>
  <c r="P47" i="100" s="1"/>
  <c r="N47" i="100" s="1"/>
  <c r="W82" i="100"/>
  <c r="X71" i="91"/>
  <c r="J36" i="91"/>
  <c r="BK36" i="91"/>
  <c r="M36" i="91"/>
  <c r="S36" i="91" s="1"/>
  <c r="AU36" i="88"/>
  <c r="AY36" i="88" s="1"/>
  <c r="AW36" i="88" s="1"/>
  <c r="AT36" i="88" s="1"/>
  <c r="BL81" i="88"/>
  <c r="L36" i="88"/>
  <c r="P36" i="88" s="1"/>
  <c r="N36" i="88" s="1"/>
  <c r="M36" i="88" s="1"/>
  <c r="S36" i="88" s="1"/>
  <c r="K36" i="88"/>
  <c r="W71" i="88"/>
  <c r="V25" i="66"/>
  <c r="Z25" i="66"/>
  <c r="AU57" i="105"/>
  <c r="AY57" i="105" s="1"/>
  <c r="AW57" i="105" s="1"/>
  <c r="AV57" i="105" s="1"/>
  <c r="BG57" i="105" s="1"/>
  <c r="BL102" i="105"/>
  <c r="AU57" i="100"/>
  <c r="AY57" i="100" s="1"/>
  <c r="AW57" i="100" s="1"/>
  <c r="BL102" i="100"/>
  <c r="AV57" i="100"/>
  <c r="BG57" i="100" s="1"/>
  <c r="X105" i="105"/>
  <c r="J70" i="105"/>
  <c r="BK70" i="105"/>
  <c r="K71" i="105"/>
  <c r="AP97" i="78"/>
  <c r="AQ96" i="78"/>
  <c r="J67" i="106"/>
  <c r="BK67" i="106"/>
  <c r="X102" i="106"/>
  <c r="K68" i="106"/>
  <c r="O25" i="59"/>
  <c r="P25" i="59"/>
  <c r="G76" i="105"/>
  <c r="H75" i="105"/>
  <c r="BJ75" i="105" s="1"/>
  <c r="I75" i="105"/>
  <c r="R77" i="106"/>
  <c r="Q77" i="106"/>
  <c r="AU36" i="75"/>
  <c r="AY36" i="75" s="1"/>
  <c r="AW36" i="75" s="1"/>
  <c r="AV36" i="75" s="1"/>
  <c r="BG36" i="75" s="1"/>
  <c r="AT36" i="75"/>
  <c r="BL81" i="75"/>
  <c r="BA66" i="86"/>
  <c r="AZ66" i="86"/>
  <c r="AV72" i="86"/>
  <c r="U74" i="100"/>
  <c r="V73" i="100"/>
  <c r="A93" i="107"/>
  <c r="B92" i="107"/>
  <c r="G75" i="100"/>
  <c r="K74" i="100"/>
  <c r="I74" i="100"/>
  <c r="H74" i="100"/>
  <c r="BJ74" i="100" s="1"/>
  <c r="V73" i="105"/>
  <c r="U74" i="105"/>
  <c r="Q72" i="105"/>
  <c r="R72" i="105"/>
  <c r="BH76" i="75"/>
  <c r="BI75" i="75"/>
  <c r="BF41" i="78"/>
  <c r="AY41" i="78"/>
  <c r="AX41" i="78" s="1"/>
  <c r="AV41" i="78" s="1"/>
  <c r="AS41" i="78" s="1"/>
  <c r="AZ41" i="78"/>
  <c r="AU41" i="78"/>
  <c r="J39" i="78"/>
  <c r="U75" i="78"/>
  <c r="T76" i="78"/>
  <c r="H74" i="88"/>
  <c r="BJ74" i="88" s="1"/>
  <c r="G75" i="88"/>
  <c r="BK35" i="86"/>
  <c r="X70" i="86"/>
  <c r="J35" i="86"/>
  <c r="K76" i="106"/>
  <c r="H76" i="106"/>
  <c r="BJ76" i="106" s="1"/>
  <c r="G77" i="106"/>
  <c r="AZ69" i="91"/>
  <c r="AV75" i="91"/>
  <c r="BA69" i="91"/>
  <c r="BH75" i="105"/>
  <c r="BI74" i="105"/>
  <c r="E59" i="108"/>
  <c r="F59" i="108"/>
  <c r="G59" i="108"/>
  <c r="D59" i="108" s="1"/>
  <c r="C60" i="108" s="1"/>
  <c r="T74" i="109"/>
  <c r="G75" i="109"/>
  <c r="W74" i="109"/>
  <c r="H74" i="109"/>
  <c r="BK74" i="109" s="1"/>
  <c r="I74" i="109"/>
  <c r="AZ68" i="88"/>
  <c r="AV74" i="88"/>
  <c r="BA68" i="88"/>
  <c r="BI76" i="91"/>
  <c r="BH77" i="91"/>
  <c r="Q72" i="100"/>
  <c r="J72" i="100" s="1"/>
  <c r="R72" i="100"/>
  <c r="BA68" i="75"/>
  <c r="AZ68" i="75"/>
  <c r="AV74" i="75"/>
  <c r="V74" i="86"/>
  <c r="U75" i="86"/>
  <c r="Q74" i="78"/>
  <c r="P74" i="78"/>
  <c r="AV72" i="100"/>
  <c r="AZ66" i="100"/>
  <c r="AS66" i="100" s="1"/>
  <c r="BA66" i="100"/>
  <c r="BK75" i="106"/>
  <c r="X110" i="106"/>
  <c r="J75" i="106"/>
  <c r="AP76" i="106"/>
  <c r="AT75" i="106"/>
  <c r="AQ75" i="106"/>
  <c r="BA67" i="105"/>
  <c r="AZ67" i="105"/>
  <c r="AS67" i="105" s="1"/>
  <c r="BI75" i="88"/>
  <c r="BH76" i="88"/>
  <c r="AA80" i="66"/>
  <c r="F81" i="66"/>
  <c r="U80" i="66"/>
  <c r="G80" i="66"/>
  <c r="AO24" i="59"/>
  <c r="AQ24" i="59"/>
  <c r="BB24" i="59" s="1"/>
  <c r="AM112" i="105"/>
  <c r="AO73" i="105"/>
  <c r="AU33" i="86"/>
  <c r="AY33" i="86" s="1"/>
  <c r="AW33" i="86" s="1"/>
  <c r="BL78" i="86"/>
  <c r="R73" i="86"/>
  <c r="Q73" i="86"/>
  <c r="L39" i="78"/>
  <c r="R39" i="78" s="1"/>
  <c r="AV51" i="106"/>
  <c r="BG51" i="106" s="1"/>
  <c r="BH74" i="100"/>
  <c r="BI73" i="100"/>
  <c r="G77" i="86"/>
  <c r="H76" i="86"/>
  <c r="BJ76" i="86" s="1"/>
  <c r="L52" i="105"/>
  <c r="P52" i="105" s="1"/>
  <c r="N52" i="105" s="1"/>
  <c r="M52" i="105"/>
  <c r="S52" i="105" s="1"/>
  <c r="W87" i="105"/>
  <c r="G79" i="91"/>
  <c r="H78" i="91"/>
  <c r="BJ78" i="91" s="1"/>
  <c r="U79" i="91"/>
  <c r="V78" i="91"/>
  <c r="AP76" i="88"/>
  <c r="AQ75" i="88"/>
  <c r="E79" i="103"/>
  <c r="J78" i="103"/>
  <c r="F78" i="103"/>
  <c r="AZ78" i="103" s="1"/>
  <c r="L46" i="106"/>
  <c r="P46" i="106" s="1"/>
  <c r="N46" i="106" s="1"/>
  <c r="M46" i="106"/>
  <c r="S46" i="106" s="1"/>
  <c r="W81" i="106"/>
  <c r="G76" i="78"/>
  <c r="H75" i="78"/>
  <c r="BH81" i="78" s="1"/>
  <c r="A90" i="108"/>
  <c r="B89" i="108"/>
  <c r="AM113" i="106"/>
  <c r="AO74" i="106"/>
  <c r="R77" i="91"/>
  <c r="Q77" i="91"/>
  <c r="M77" i="91"/>
  <c r="N25" i="59"/>
  <c r="L25" i="59" s="1"/>
  <c r="I25" i="59" s="1"/>
  <c r="BF31" i="59" s="1"/>
  <c r="AT74" i="105"/>
  <c r="AP75" i="105"/>
  <c r="AQ74" i="105"/>
  <c r="AT75" i="100"/>
  <c r="AP76" i="100"/>
  <c r="AQ75" i="100"/>
  <c r="AP81" i="75"/>
  <c r="AQ80" i="75"/>
  <c r="Q74" i="75"/>
  <c r="R74" i="75"/>
  <c r="L79" i="66"/>
  <c r="M79" i="66"/>
  <c r="N79" i="66"/>
  <c r="AV72" i="106"/>
  <c r="AZ66" i="106"/>
  <c r="AS66" i="106" s="1"/>
  <c r="BA66" i="106"/>
  <c r="AQ76" i="91"/>
  <c r="AP77" i="91"/>
  <c r="AS35" i="88"/>
  <c r="AM74" i="88"/>
  <c r="AO35" i="88"/>
  <c r="X108" i="100"/>
  <c r="BK73" i="100"/>
  <c r="U78" i="88"/>
  <c r="V77" i="88"/>
  <c r="H76" i="75"/>
  <c r="BJ76" i="75" s="1"/>
  <c r="G77" i="75"/>
  <c r="V78" i="106"/>
  <c r="U79" i="106"/>
  <c r="E105" i="110"/>
  <c r="J104" i="110"/>
  <c r="F104" i="110"/>
  <c r="AZ104" i="110" s="1"/>
  <c r="AM113" i="100"/>
  <c r="AO74" i="100"/>
  <c r="V75" i="75"/>
  <c r="U76" i="75"/>
  <c r="O139" i="66"/>
  <c r="W140" i="66"/>
  <c r="BI73" i="106"/>
  <c r="BH74" i="106"/>
  <c r="BH74" i="86"/>
  <c r="BI73" i="86"/>
  <c r="AP79" i="86"/>
  <c r="AQ78" i="86"/>
  <c r="J35" i="88"/>
  <c r="BK35" i="88"/>
  <c r="X70" i="88"/>
  <c r="R76" i="88"/>
  <c r="M76" i="88"/>
  <c r="Q76" i="88"/>
  <c r="M35" i="86"/>
  <c r="S35" i="86" s="1"/>
  <c r="BJ73" i="109"/>
  <c r="BI74" i="109"/>
  <c r="BB66" i="109"/>
  <c r="BA66" i="109"/>
  <c r="R73" i="110"/>
  <c r="S72" i="110"/>
  <c r="R73" i="109"/>
  <c r="Q73" i="109"/>
  <c r="U75" i="109"/>
  <c r="V74" i="109"/>
  <c r="K42" i="75"/>
  <c r="BA23" i="111"/>
  <c r="J78" i="111"/>
  <c r="E79" i="111"/>
  <c r="F78" i="111"/>
  <c r="AZ78" i="111" s="1"/>
  <c r="AV22" i="111"/>
  <c r="AU22" i="111"/>
  <c r="AT22" i="111" s="1"/>
  <c r="K23" i="111"/>
  <c r="Q23" i="111" s="1"/>
  <c r="AX76" i="111"/>
  <c r="M31" i="94"/>
  <c r="S31" i="94" s="1"/>
  <c r="Y66" i="94"/>
  <c r="J31" i="94"/>
  <c r="BL31" i="94"/>
  <c r="P33" i="109"/>
  <c r="N33" i="109" s="1"/>
  <c r="X68" i="109"/>
  <c r="K33" i="109"/>
  <c r="V73" i="94"/>
  <c r="U74" i="94"/>
  <c r="Q72" i="94"/>
  <c r="R72" i="94"/>
  <c r="AS23" i="110"/>
  <c r="AQ22" i="110"/>
  <c r="AW22" i="110" s="1"/>
  <c r="AL22" i="110"/>
  <c r="AJ63" i="110"/>
  <c r="G23" i="112"/>
  <c r="K23" i="112" s="1"/>
  <c r="Q23" i="112" s="1"/>
  <c r="M24" i="112"/>
  <c r="U64" i="110"/>
  <c r="AP66" i="109"/>
  <c r="AU67" i="109"/>
  <c r="AN105" i="109"/>
  <c r="AT66" i="109"/>
  <c r="AY22" i="112"/>
  <c r="AI63" i="112"/>
  <c r="AP22" i="112"/>
  <c r="BB68" i="112"/>
  <c r="AL21" i="112"/>
  <c r="AJ62" i="112"/>
  <c r="AX76" i="112"/>
  <c r="AM78" i="112"/>
  <c r="AN77" i="112"/>
  <c r="J76" i="112"/>
  <c r="E77" i="112"/>
  <c r="F76" i="112"/>
  <c r="AZ76" i="112" s="1"/>
  <c r="BB67" i="94"/>
  <c r="BA67" i="94"/>
  <c r="AT67" i="94" s="1"/>
  <c r="BI75" i="94"/>
  <c r="BJ74" i="94"/>
  <c r="AR74" i="94"/>
  <c r="AQ75" i="94"/>
  <c r="W74" i="94"/>
  <c r="G75" i="94"/>
  <c r="T74" i="94"/>
  <c r="H74" i="94"/>
  <c r="BK74" i="94" s="1"/>
  <c r="I74" i="94"/>
  <c r="BM101" i="109"/>
  <c r="AV56" i="109"/>
  <c r="AZ56" i="109" s="1"/>
  <c r="AX56" i="109" s="1"/>
  <c r="AW56" i="109" s="1"/>
  <c r="BH56" i="109" s="1"/>
  <c r="O24" i="110"/>
  <c r="N24" i="110" s="1"/>
  <c r="L24" i="110" s="1"/>
  <c r="G24" i="110" s="1"/>
  <c r="BA24" i="110" s="1"/>
  <c r="P24" i="110"/>
  <c r="I24" i="110"/>
  <c r="AR24" i="103"/>
  <c r="AO24" i="103" s="1"/>
  <c r="AL24" i="103" s="1"/>
  <c r="AV54" i="94"/>
  <c r="AZ54" i="94" s="1"/>
  <c r="AX54" i="94" s="1"/>
  <c r="AW54" i="94" s="1"/>
  <c r="BH54" i="94" s="1"/>
  <c r="BM99" i="94"/>
  <c r="AP70" i="94"/>
  <c r="AU71" i="94"/>
  <c r="AN109" i="94"/>
  <c r="P21" i="61"/>
  <c r="T51" i="61"/>
  <c r="L53" i="105" l="1"/>
  <c r="P53" i="105" s="1"/>
  <c r="N53" i="105" s="1"/>
  <c r="M53" i="105"/>
  <c r="S53" i="105"/>
  <c r="W88" i="105"/>
  <c r="AU58" i="100"/>
  <c r="AY58" i="100" s="1"/>
  <c r="AW58" i="100" s="1"/>
  <c r="BL103" i="100"/>
  <c r="AV58" i="100"/>
  <c r="BG58" i="100" s="1"/>
  <c r="AM80" i="78"/>
  <c r="AP41" i="78"/>
  <c r="E85" i="107"/>
  <c r="F85" i="107"/>
  <c r="G85" i="107" s="1"/>
  <c r="D85" i="107" s="1"/>
  <c r="C86" i="107" s="1"/>
  <c r="AM75" i="88"/>
  <c r="AO36" i="88"/>
  <c r="AS36" i="88"/>
  <c r="AV36" i="88"/>
  <c r="BG36" i="88" s="1"/>
  <c r="W72" i="88"/>
  <c r="L37" i="88"/>
  <c r="P37" i="88" s="1"/>
  <c r="N37" i="88" s="1"/>
  <c r="K37" i="88" s="1"/>
  <c r="G60" i="108"/>
  <c r="F60" i="108"/>
  <c r="E60" i="108"/>
  <c r="AU58" i="105"/>
  <c r="AY58" i="105" s="1"/>
  <c r="AW58" i="105" s="1"/>
  <c r="AV58" i="105" s="1"/>
  <c r="BG58" i="105" s="1"/>
  <c r="BL103" i="105"/>
  <c r="L47" i="106"/>
  <c r="P47" i="106" s="1"/>
  <c r="N47" i="106" s="1"/>
  <c r="W82" i="106"/>
  <c r="AU37" i="75"/>
  <c r="AY37" i="75" s="1"/>
  <c r="AW37" i="75" s="1"/>
  <c r="AV37" i="75" s="1"/>
  <c r="BG37" i="75" s="1"/>
  <c r="AT37" i="75"/>
  <c r="BL82" i="75"/>
  <c r="BI74" i="106"/>
  <c r="BH75" i="106"/>
  <c r="A91" i="108"/>
  <c r="B90" i="108"/>
  <c r="AP77" i="88"/>
  <c r="AQ76" i="88"/>
  <c r="BI74" i="100"/>
  <c r="BH75" i="100"/>
  <c r="AT33" i="86"/>
  <c r="AV33" i="86" s="1"/>
  <c r="BG33" i="86" s="1"/>
  <c r="N80" i="66"/>
  <c r="M80" i="66"/>
  <c r="L80" i="66"/>
  <c r="BG48" i="78"/>
  <c r="AS42" i="78"/>
  <c r="BJ87" i="78"/>
  <c r="V74" i="100"/>
  <c r="U75" i="100"/>
  <c r="W72" i="91"/>
  <c r="K37" i="91"/>
  <c r="L37" i="91"/>
  <c r="P37" i="91" s="1"/>
  <c r="N37" i="91" s="1"/>
  <c r="AM75" i="75"/>
  <c r="AO36" i="75"/>
  <c r="AS36" i="75"/>
  <c r="AM114" i="100"/>
  <c r="AO75" i="100"/>
  <c r="V79" i="91"/>
  <c r="U80" i="91"/>
  <c r="H79" i="91"/>
  <c r="BJ79" i="91" s="1"/>
  <c r="G80" i="91"/>
  <c r="W80" i="78"/>
  <c r="K40" i="78"/>
  <c r="O40" i="78" s="1"/>
  <c r="M40" i="78" s="1"/>
  <c r="N41" i="78" s="1"/>
  <c r="U81" i="66"/>
  <c r="F82" i="66"/>
  <c r="AA81" i="66"/>
  <c r="G81" i="66"/>
  <c r="P75" i="78"/>
  <c r="Q75" i="78"/>
  <c r="BH77" i="75"/>
  <c r="BI76" i="75"/>
  <c r="T77" i="78"/>
  <c r="U76" i="78"/>
  <c r="AV75" i="75"/>
  <c r="BA69" i="75"/>
  <c r="AZ69" i="75"/>
  <c r="AR22" i="111"/>
  <c r="O140" i="66"/>
  <c r="W141" i="66"/>
  <c r="Q77" i="88"/>
  <c r="M77" i="88"/>
  <c r="R77" i="88"/>
  <c r="AQ77" i="91"/>
  <c r="AP78" i="91"/>
  <c r="AO75" i="106"/>
  <c r="AM114" i="106"/>
  <c r="X79" i="78"/>
  <c r="BI45" i="78"/>
  <c r="X109" i="100"/>
  <c r="BK74" i="100"/>
  <c r="AP77" i="100"/>
  <c r="AT76" i="100"/>
  <c r="AQ76" i="100"/>
  <c r="AU52" i="106"/>
  <c r="AY52" i="106" s="1"/>
  <c r="BL97" i="106"/>
  <c r="AV52" i="106"/>
  <c r="BG52" i="106" s="1"/>
  <c r="M36" i="86"/>
  <c r="S36" i="86" s="1"/>
  <c r="W71" i="86"/>
  <c r="L36" i="86"/>
  <c r="P36" i="86" s="1"/>
  <c r="N36" i="86" s="1"/>
  <c r="K36" i="86"/>
  <c r="E106" i="110"/>
  <c r="J105" i="110"/>
  <c r="F105" i="110"/>
  <c r="AZ105" i="110" s="1"/>
  <c r="U79" i="88"/>
  <c r="V78" i="88"/>
  <c r="AT75" i="105"/>
  <c r="AQ75" i="105"/>
  <c r="AP76" i="105"/>
  <c r="BI76" i="88"/>
  <c r="BH77" i="88"/>
  <c r="AT76" i="106"/>
  <c r="AP77" i="106"/>
  <c r="AQ76" i="106"/>
  <c r="K75" i="100"/>
  <c r="I75" i="100"/>
  <c r="G76" i="100"/>
  <c r="H75" i="100"/>
  <c r="BJ75" i="100" s="1"/>
  <c r="I76" i="105"/>
  <c r="G77" i="105"/>
  <c r="H76" i="105"/>
  <c r="BJ76" i="105" s="1"/>
  <c r="K26" i="66"/>
  <c r="J26" i="66"/>
  <c r="I26" i="66" s="1"/>
  <c r="X26" i="66"/>
  <c r="AU37" i="91"/>
  <c r="AY37" i="91" s="1"/>
  <c r="AW37" i="91" s="1"/>
  <c r="AT37" i="91" s="1"/>
  <c r="BL82" i="91"/>
  <c r="AP80" i="86"/>
  <c r="AQ79" i="86"/>
  <c r="U80" i="106"/>
  <c r="V79" i="106"/>
  <c r="BD31" i="59"/>
  <c r="AP25" i="59"/>
  <c r="BG70" i="59"/>
  <c r="BA69" i="88"/>
  <c r="AZ69" i="88"/>
  <c r="AV75" i="88"/>
  <c r="BA68" i="105"/>
  <c r="AZ68" i="105"/>
  <c r="AS68" i="105" s="1"/>
  <c r="K77" i="106"/>
  <c r="G78" i="106"/>
  <c r="H77" i="106"/>
  <c r="BJ77" i="106" s="1"/>
  <c r="U75" i="105"/>
  <c r="V74" i="105"/>
  <c r="K25" i="59"/>
  <c r="BA67" i="106"/>
  <c r="AV73" i="106"/>
  <c r="AZ67" i="106"/>
  <c r="AS67" i="106" s="1"/>
  <c r="Q78" i="91"/>
  <c r="M78" i="91"/>
  <c r="R78" i="91"/>
  <c r="J68" i="106"/>
  <c r="X103" i="106"/>
  <c r="BK68" i="106"/>
  <c r="U77" i="75"/>
  <c r="V76" i="75"/>
  <c r="AM113" i="105"/>
  <c r="AO74" i="105"/>
  <c r="BA67" i="86"/>
  <c r="AZ67" i="86"/>
  <c r="AV73" i="86"/>
  <c r="Q75" i="75"/>
  <c r="M75" i="75"/>
  <c r="R75" i="75"/>
  <c r="R78" i="106"/>
  <c r="Q78" i="106"/>
  <c r="E80" i="103"/>
  <c r="J79" i="103"/>
  <c r="F79" i="103"/>
  <c r="AZ79" i="103" s="1"/>
  <c r="G78" i="86"/>
  <c r="H77" i="86"/>
  <c r="BJ77" i="86" s="1"/>
  <c r="AJ63" i="59"/>
  <c r="AL24" i="59"/>
  <c r="U76" i="86"/>
  <c r="V75" i="86"/>
  <c r="BH78" i="91"/>
  <c r="BI77" i="91"/>
  <c r="BH76" i="105"/>
  <c r="BI75" i="105"/>
  <c r="Q73" i="105"/>
  <c r="R73" i="105"/>
  <c r="A94" i="107"/>
  <c r="B93" i="107"/>
  <c r="AQ97" i="78"/>
  <c r="AP98" i="78"/>
  <c r="BK36" i="88"/>
  <c r="J36" i="88"/>
  <c r="X71" i="88"/>
  <c r="G78" i="75"/>
  <c r="H77" i="75"/>
  <c r="BJ77" i="75" s="1"/>
  <c r="BI74" i="86"/>
  <c r="BH75" i="86"/>
  <c r="AP82" i="75"/>
  <c r="AQ81" i="75"/>
  <c r="G77" i="78"/>
  <c r="H76" i="78"/>
  <c r="BH82" i="78" s="1"/>
  <c r="AV73" i="100"/>
  <c r="BA67" i="100"/>
  <c r="AZ67" i="100"/>
  <c r="AS67" i="100" s="1"/>
  <c r="R74" i="86"/>
  <c r="Q74" i="86"/>
  <c r="BA70" i="91"/>
  <c r="AZ70" i="91"/>
  <c r="AV76" i="91"/>
  <c r="W75" i="109"/>
  <c r="G76" i="109"/>
  <c r="T75" i="109"/>
  <c r="H75" i="109"/>
  <c r="BK75" i="109" s="1"/>
  <c r="I75" i="109"/>
  <c r="J76" i="106"/>
  <c r="X111" i="106"/>
  <c r="BK76" i="106"/>
  <c r="H75" i="88"/>
  <c r="BJ75" i="88" s="1"/>
  <c r="G76" i="88"/>
  <c r="AV42" i="78"/>
  <c r="R73" i="100"/>
  <c r="Q73" i="100"/>
  <c r="J73" i="100" s="1"/>
  <c r="M26" i="59"/>
  <c r="BK71" i="105"/>
  <c r="X106" i="105"/>
  <c r="J71" i="105"/>
  <c r="K72" i="105"/>
  <c r="M47" i="100"/>
  <c r="S47" i="100" s="1"/>
  <c r="BJ74" i="109"/>
  <c r="BI75" i="109"/>
  <c r="BB67" i="109"/>
  <c r="BA67" i="109"/>
  <c r="AT67" i="109" s="1"/>
  <c r="R74" i="110"/>
  <c r="S73" i="110"/>
  <c r="V75" i="109"/>
  <c r="U76" i="109"/>
  <c r="R74" i="109"/>
  <c r="Q74" i="109"/>
  <c r="X77" i="75"/>
  <c r="BK42" i="75"/>
  <c r="J42" i="75"/>
  <c r="M42" i="75"/>
  <c r="S42" i="75" s="1"/>
  <c r="AO22" i="111"/>
  <c r="AL22" i="111" s="1"/>
  <c r="S24" i="111"/>
  <c r="H24" i="111"/>
  <c r="T65" i="111"/>
  <c r="J79" i="111"/>
  <c r="E80" i="111"/>
  <c r="F79" i="111"/>
  <c r="AZ79" i="111" s="1"/>
  <c r="AS23" i="111"/>
  <c r="AX77" i="111"/>
  <c r="L32" i="94"/>
  <c r="P32" i="94" s="1"/>
  <c r="N32" i="94" s="1"/>
  <c r="X67" i="94"/>
  <c r="M33" i="109"/>
  <c r="S33" i="109" s="1"/>
  <c r="L34" i="109" s="1"/>
  <c r="Y68" i="109"/>
  <c r="BL33" i="109"/>
  <c r="J33" i="109"/>
  <c r="V74" i="94"/>
  <c r="U75" i="94"/>
  <c r="Q73" i="94"/>
  <c r="R73" i="94"/>
  <c r="AI64" i="110"/>
  <c r="BB69" i="110"/>
  <c r="AP23" i="110"/>
  <c r="AY23" i="110"/>
  <c r="S24" i="112"/>
  <c r="T65" i="112"/>
  <c r="V65" i="112" s="1"/>
  <c r="H24" i="112"/>
  <c r="BA23" i="112"/>
  <c r="K24" i="110"/>
  <c r="Q24" i="110" s="1"/>
  <c r="T66" i="110" s="1"/>
  <c r="V66" i="110" s="1"/>
  <c r="AP67" i="109"/>
  <c r="AN106" i="109"/>
  <c r="AU68" i="109"/>
  <c r="AM79" i="112"/>
  <c r="AN78" i="112"/>
  <c r="AX77" i="112"/>
  <c r="AK63" i="112"/>
  <c r="J77" i="112"/>
  <c r="E78" i="112"/>
  <c r="F77" i="112"/>
  <c r="AZ77" i="112" s="1"/>
  <c r="AV22" i="112"/>
  <c r="AU22" i="112"/>
  <c r="AT22" i="112" s="1"/>
  <c r="BB68" i="94"/>
  <c r="BA68" i="94"/>
  <c r="AT68" i="94" s="1"/>
  <c r="BI76" i="94"/>
  <c r="BJ75" i="94"/>
  <c r="AJ63" i="111"/>
  <c r="W75" i="94"/>
  <c r="G76" i="94"/>
  <c r="T75" i="94"/>
  <c r="H75" i="94"/>
  <c r="BK75" i="94" s="1"/>
  <c r="I75" i="94"/>
  <c r="AQ76" i="94"/>
  <c r="AR75" i="94"/>
  <c r="BM102" i="109"/>
  <c r="AV57" i="109"/>
  <c r="AZ57" i="109" s="1"/>
  <c r="AX57" i="109" s="1"/>
  <c r="AW57" i="109" s="1"/>
  <c r="BH57" i="109" s="1"/>
  <c r="M25" i="110"/>
  <c r="AS25" i="103"/>
  <c r="AJ65" i="103"/>
  <c r="AQ24" i="103"/>
  <c r="AW24" i="103" s="1"/>
  <c r="BB71" i="103" s="1"/>
  <c r="BM100" i="94"/>
  <c r="AV55" i="94"/>
  <c r="AZ55" i="94" s="1"/>
  <c r="AX55" i="94" s="1"/>
  <c r="AW55" i="94" s="1"/>
  <c r="BH55" i="94" s="1"/>
  <c r="AU72" i="94"/>
  <c r="AP71" i="94"/>
  <c r="AN110" i="94"/>
  <c r="S52" i="61"/>
  <c r="I22" i="61"/>
  <c r="R22" i="61"/>
  <c r="AM76" i="91" l="1"/>
  <c r="AO37" i="91"/>
  <c r="AS37" i="91"/>
  <c r="AV37" i="91"/>
  <c r="BG37" i="91" s="1"/>
  <c r="AU59" i="105"/>
  <c r="AY59" i="105" s="1"/>
  <c r="AW59" i="105" s="1"/>
  <c r="BL104" i="105"/>
  <c r="BG59" i="105"/>
  <c r="AV59" i="105"/>
  <c r="L37" i="86"/>
  <c r="P37" i="86" s="1"/>
  <c r="N37" i="86" s="1"/>
  <c r="W72" i="86"/>
  <c r="AU34" i="86"/>
  <c r="AY34" i="86" s="1"/>
  <c r="AW34" i="86" s="1"/>
  <c r="AV34" i="86" s="1"/>
  <c r="BG34" i="86" s="1"/>
  <c r="AT34" i="86"/>
  <c r="BL79" i="86"/>
  <c r="E86" i="107"/>
  <c r="G86" i="107" s="1"/>
  <c r="D86" i="107" s="1"/>
  <c r="C87" i="107" s="1"/>
  <c r="F86" i="107"/>
  <c r="AU53" i="106"/>
  <c r="AY53" i="106" s="1"/>
  <c r="BL98" i="106"/>
  <c r="AU38" i="75"/>
  <c r="AY38" i="75" s="1"/>
  <c r="AW38" i="75" s="1"/>
  <c r="AT38" i="75" s="1"/>
  <c r="BL83" i="75"/>
  <c r="J37" i="88"/>
  <c r="X72" i="88"/>
  <c r="BK37" i="88"/>
  <c r="AM115" i="106"/>
  <c r="AO76" i="106"/>
  <c r="AM76" i="75"/>
  <c r="AO37" i="75"/>
  <c r="AS37" i="75"/>
  <c r="A95" i="107"/>
  <c r="B94" i="107"/>
  <c r="V76" i="86"/>
  <c r="U77" i="86"/>
  <c r="U72" i="59"/>
  <c r="Q25" i="59"/>
  <c r="AQ77" i="106"/>
  <c r="AT77" i="106"/>
  <c r="AP78" i="106"/>
  <c r="V79" i="88"/>
  <c r="U80" i="88"/>
  <c r="O141" i="66"/>
  <c r="W142" i="66"/>
  <c r="T78" i="78"/>
  <c r="U77" i="78"/>
  <c r="U82" i="66"/>
  <c r="AA82" i="66"/>
  <c r="F83" i="66"/>
  <c r="G82" i="66"/>
  <c r="R79" i="91"/>
  <c r="M79" i="91"/>
  <c r="Q79" i="91"/>
  <c r="X72" i="91"/>
  <c r="J37" i="91"/>
  <c r="BK37" i="91"/>
  <c r="AW42" i="78"/>
  <c r="AU42" i="78" s="1"/>
  <c r="AR42" i="78" s="1"/>
  <c r="H78" i="75"/>
  <c r="BJ78" i="75" s="1"/>
  <c r="G79" i="75"/>
  <c r="AQ78" i="91"/>
  <c r="AP79" i="91"/>
  <c r="AV76" i="75"/>
  <c r="BA70" i="75"/>
  <c r="AZ70" i="75"/>
  <c r="AP78" i="88"/>
  <c r="AQ77" i="88"/>
  <c r="G79" i="86"/>
  <c r="H78" i="86"/>
  <c r="BJ78" i="86" s="1"/>
  <c r="U76" i="105"/>
  <c r="V75" i="105"/>
  <c r="AT25" i="59"/>
  <c r="I76" i="100"/>
  <c r="G77" i="100"/>
  <c r="K76" i="100"/>
  <c r="H76" i="100"/>
  <c r="BJ76" i="100" s="1"/>
  <c r="BH78" i="88"/>
  <c r="BI77" i="88"/>
  <c r="BH78" i="75"/>
  <c r="BI77" i="75"/>
  <c r="AX42" i="78"/>
  <c r="AT42" i="78"/>
  <c r="BE42" i="78"/>
  <c r="AY42" i="78"/>
  <c r="BI75" i="86"/>
  <c r="BH76" i="86"/>
  <c r="AZ69" i="105"/>
  <c r="AS69" i="105" s="1"/>
  <c r="BA69" i="105"/>
  <c r="Q76" i="75"/>
  <c r="M76" i="75"/>
  <c r="R76" i="75"/>
  <c r="AV25" i="59"/>
  <c r="AU25" i="59"/>
  <c r="AZ70" i="88"/>
  <c r="BA70" i="88"/>
  <c r="AV76" i="88"/>
  <c r="E107" i="110"/>
  <c r="J106" i="110"/>
  <c r="F106" i="110"/>
  <c r="AZ106" i="110" s="1"/>
  <c r="M37" i="91"/>
  <c r="S37" i="91" s="1"/>
  <c r="B91" i="108"/>
  <c r="A92" i="108"/>
  <c r="M37" i="88"/>
  <c r="S37" i="88" s="1"/>
  <c r="Q74" i="105"/>
  <c r="R74" i="105"/>
  <c r="AU59" i="100"/>
  <c r="AY59" i="100" s="1"/>
  <c r="AW59" i="100" s="1"/>
  <c r="AV59" i="100" s="1"/>
  <c r="BG59" i="100" s="1"/>
  <c r="BL104" i="100"/>
  <c r="AZ68" i="86"/>
  <c r="AV74" i="86"/>
  <c r="BA68" i="86"/>
  <c r="BI76" i="105"/>
  <c r="BH77" i="105"/>
  <c r="V77" i="75"/>
  <c r="U78" i="75"/>
  <c r="R79" i="106"/>
  <c r="Q79" i="106"/>
  <c r="G78" i="105"/>
  <c r="H77" i="105"/>
  <c r="BJ77" i="105" s="1"/>
  <c r="I77" i="105"/>
  <c r="AP77" i="105"/>
  <c r="AQ76" i="105"/>
  <c r="AT76" i="105"/>
  <c r="J36" i="86"/>
  <c r="X71" i="86"/>
  <c r="BK36" i="86"/>
  <c r="J40" i="78"/>
  <c r="U76" i="100"/>
  <c r="V75" i="100"/>
  <c r="BI75" i="106"/>
  <c r="BH76" i="106"/>
  <c r="AT37" i="88"/>
  <c r="AU37" i="88"/>
  <c r="AY37" i="88" s="1"/>
  <c r="AW37" i="88" s="1"/>
  <c r="BL82" i="88"/>
  <c r="G77" i="88"/>
  <c r="H76" i="88"/>
  <c r="BJ76" i="88" s="1"/>
  <c r="G77" i="109"/>
  <c r="T76" i="109"/>
  <c r="W76" i="109"/>
  <c r="H76" i="109"/>
  <c r="BK76" i="109" s="1"/>
  <c r="I76" i="109"/>
  <c r="AP99" i="78"/>
  <c r="AQ98" i="78"/>
  <c r="AV77" i="91"/>
  <c r="AZ71" i="91"/>
  <c r="BA71" i="91"/>
  <c r="E81" i="103"/>
  <c r="J80" i="103"/>
  <c r="F80" i="103"/>
  <c r="AZ80" i="103" s="1"/>
  <c r="V80" i="106"/>
  <c r="U81" i="106"/>
  <c r="S26" i="66"/>
  <c r="T26" i="66"/>
  <c r="X110" i="100"/>
  <c r="BK75" i="100"/>
  <c r="G81" i="91"/>
  <c r="H80" i="91"/>
  <c r="BJ80" i="91" s="1"/>
  <c r="Q74" i="100"/>
  <c r="J74" i="100" s="1"/>
  <c r="R74" i="100"/>
  <c r="AM72" i="86"/>
  <c r="AS33" i="86"/>
  <c r="AO33" i="86"/>
  <c r="AV74" i="106"/>
  <c r="BA68" i="106"/>
  <c r="AZ68" i="106"/>
  <c r="AS68" i="106" s="1"/>
  <c r="M47" i="106"/>
  <c r="S47" i="106" s="1"/>
  <c r="L54" i="105"/>
  <c r="P54" i="105" s="1"/>
  <c r="N54" i="105" s="1"/>
  <c r="W89" i="105"/>
  <c r="L48" i="100"/>
  <c r="P48" i="100" s="1"/>
  <c r="N48" i="100" s="1"/>
  <c r="W83" i="100"/>
  <c r="BH79" i="91"/>
  <c r="BI78" i="91"/>
  <c r="K78" i="106"/>
  <c r="G79" i="106"/>
  <c r="H78" i="106"/>
  <c r="BJ78" i="106" s="1"/>
  <c r="AM114" i="105"/>
  <c r="AO75" i="105"/>
  <c r="AM115" i="100"/>
  <c r="AO76" i="100"/>
  <c r="M81" i="66"/>
  <c r="L81" i="66"/>
  <c r="N81" i="66"/>
  <c r="L40" i="78"/>
  <c r="R40" i="78" s="1"/>
  <c r="BH76" i="100"/>
  <c r="BI75" i="100"/>
  <c r="D60" i="108"/>
  <c r="C61" i="108" s="1"/>
  <c r="AP83" i="75"/>
  <c r="AQ82" i="75"/>
  <c r="J72" i="105"/>
  <c r="X107" i="105"/>
  <c r="BK72" i="105"/>
  <c r="K73" i="105"/>
  <c r="G78" i="78"/>
  <c r="H77" i="78"/>
  <c r="BH83" i="78" s="1"/>
  <c r="R75" i="86"/>
  <c r="M75" i="86"/>
  <c r="Q75" i="86"/>
  <c r="J77" i="106"/>
  <c r="BK77" i="106"/>
  <c r="X112" i="106"/>
  <c r="AP81" i="86"/>
  <c r="AQ80" i="86"/>
  <c r="R26" i="66"/>
  <c r="P26" i="66" s="1"/>
  <c r="H26" i="66" s="1"/>
  <c r="R78" i="88"/>
  <c r="Q78" i="88"/>
  <c r="M78" i="88"/>
  <c r="AT77" i="100"/>
  <c r="AP78" i="100"/>
  <c r="AQ77" i="100"/>
  <c r="P76" i="78"/>
  <c r="Q76" i="78"/>
  <c r="V80" i="91"/>
  <c r="U81" i="91"/>
  <c r="AV74" i="100"/>
  <c r="BA68" i="100"/>
  <c r="AZ68" i="100"/>
  <c r="AS68" i="100" s="1"/>
  <c r="BB68" i="109"/>
  <c r="BA68" i="109"/>
  <c r="BJ75" i="109"/>
  <c r="BI76" i="109"/>
  <c r="R75" i="110"/>
  <c r="S74" i="110"/>
  <c r="V76" i="109"/>
  <c r="U77" i="109"/>
  <c r="Q75" i="109"/>
  <c r="R75" i="109"/>
  <c r="L43" i="75"/>
  <c r="P43" i="75" s="1"/>
  <c r="N43" i="75" s="1"/>
  <c r="K43" i="75" s="1"/>
  <c r="W78" i="75"/>
  <c r="O24" i="111"/>
  <c r="N24" i="111" s="1"/>
  <c r="L24" i="111" s="1"/>
  <c r="G24" i="111" s="1"/>
  <c r="BA24" i="111" s="1"/>
  <c r="P24" i="111"/>
  <c r="E81" i="111"/>
  <c r="J80" i="111"/>
  <c r="F80" i="111"/>
  <c r="AZ80" i="111" s="1"/>
  <c r="V65" i="111"/>
  <c r="U64" i="111"/>
  <c r="AQ22" i="111"/>
  <c r="AW22" i="111" s="1"/>
  <c r="AI64" i="111" s="1"/>
  <c r="AK64" i="111" s="1"/>
  <c r="I24" i="111"/>
  <c r="AX78" i="111"/>
  <c r="K32" i="94"/>
  <c r="P34" i="109"/>
  <c r="N34" i="109" s="1"/>
  <c r="X69" i="109"/>
  <c r="V75" i="94"/>
  <c r="U76" i="94"/>
  <c r="R74" i="94"/>
  <c r="Q74" i="94"/>
  <c r="H25" i="110"/>
  <c r="I25" i="110" s="1"/>
  <c r="AU23" i="110"/>
  <c r="AT23" i="110" s="1"/>
  <c r="AV23" i="110"/>
  <c r="AK64" i="110"/>
  <c r="I24" i="112"/>
  <c r="AR22" i="112"/>
  <c r="AO22" i="112" s="1"/>
  <c r="U64" i="112"/>
  <c r="O24" i="112"/>
  <c r="P24" i="112"/>
  <c r="AN107" i="109"/>
  <c r="AT68" i="109"/>
  <c r="AP68" i="109"/>
  <c r="AU69" i="109"/>
  <c r="AX78" i="112"/>
  <c r="AM80" i="112"/>
  <c r="AN79" i="112"/>
  <c r="E79" i="112"/>
  <c r="J78" i="112"/>
  <c r="F78" i="112"/>
  <c r="AZ78" i="112" s="1"/>
  <c r="BA69" i="94"/>
  <c r="AT69" i="94" s="1"/>
  <c r="BB69" i="94"/>
  <c r="BI77" i="94"/>
  <c r="BJ76" i="94"/>
  <c r="AR76" i="94"/>
  <c r="AQ77" i="94"/>
  <c r="W76" i="94"/>
  <c r="G77" i="94"/>
  <c r="T76" i="94"/>
  <c r="H76" i="94"/>
  <c r="BK76" i="94" s="1"/>
  <c r="I76" i="94"/>
  <c r="AV58" i="109"/>
  <c r="AZ58" i="109" s="1"/>
  <c r="AX58" i="109" s="1"/>
  <c r="AW58" i="109" s="1"/>
  <c r="BH58" i="109" s="1"/>
  <c r="BM103" i="109"/>
  <c r="U65" i="110"/>
  <c r="O25" i="110"/>
  <c r="P25" i="110"/>
  <c r="AY25" i="103"/>
  <c r="AV25" i="103" s="1"/>
  <c r="AP25" i="103"/>
  <c r="AI66" i="103"/>
  <c r="AK66" i="103" s="1"/>
  <c r="AV56" i="94"/>
  <c r="AZ56" i="94" s="1"/>
  <c r="AX56" i="94" s="1"/>
  <c r="AW56" i="94" s="1"/>
  <c r="BH56" i="94" s="1"/>
  <c r="BM101" i="94"/>
  <c r="AU73" i="94"/>
  <c r="AP72" i="94"/>
  <c r="AN111" i="94"/>
  <c r="O22" i="61"/>
  <c r="N22" i="61"/>
  <c r="M22" i="61" s="1"/>
  <c r="K22" i="61" s="1"/>
  <c r="E87" i="107" l="1"/>
  <c r="F87" i="107"/>
  <c r="G87" i="107"/>
  <c r="D87" i="107" s="1"/>
  <c r="C88" i="107" s="1"/>
  <c r="AU60" i="100"/>
  <c r="AY60" i="100" s="1"/>
  <c r="AW60" i="100" s="1"/>
  <c r="BL105" i="100"/>
  <c r="AV60" i="100"/>
  <c r="BG60" i="100" s="1"/>
  <c r="AU35" i="86"/>
  <c r="AY35" i="86" s="1"/>
  <c r="AW35" i="86" s="1"/>
  <c r="AT35" i="86" s="1"/>
  <c r="BL80" i="86"/>
  <c r="AM77" i="75"/>
  <c r="AS38" i="75"/>
  <c r="AO38" i="75"/>
  <c r="AV38" i="75"/>
  <c r="BG38" i="75" s="1"/>
  <c r="BA70" i="105"/>
  <c r="AZ70" i="105"/>
  <c r="AS70" i="105" s="1"/>
  <c r="H79" i="75"/>
  <c r="BJ79" i="75" s="1"/>
  <c r="G80" i="75"/>
  <c r="AQ83" i="75"/>
  <c r="AP84" i="75"/>
  <c r="E82" i="103"/>
  <c r="J81" i="103"/>
  <c r="F81" i="103"/>
  <c r="AZ81" i="103" s="1"/>
  <c r="AS37" i="88"/>
  <c r="AO37" i="88"/>
  <c r="AM76" i="88"/>
  <c r="BI77" i="105"/>
  <c r="BH78" i="105"/>
  <c r="P77" i="78"/>
  <c r="Q77" i="78"/>
  <c r="AM116" i="106"/>
  <c r="AO77" i="106"/>
  <c r="AV77" i="75"/>
  <c r="BA71" i="75"/>
  <c r="AZ71" i="75"/>
  <c r="AO34" i="86"/>
  <c r="AS34" i="86"/>
  <c r="AM73" i="86"/>
  <c r="AP79" i="100"/>
  <c r="AT78" i="100"/>
  <c r="AQ78" i="100"/>
  <c r="G79" i="78"/>
  <c r="H78" i="78"/>
  <c r="BH84" i="78" s="1"/>
  <c r="AV75" i="100"/>
  <c r="BA69" i="100"/>
  <c r="AZ69" i="100"/>
  <c r="AS69" i="100" s="1"/>
  <c r="X113" i="106"/>
  <c r="J78" i="106"/>
  <c r="BK78" i="106"/>
  <c r="AZ69" i="106"/>
  <c r="AS69" i="106" s="1"/>
  <c r="AV75" i="106"/>
  <c r="BA69" i="106"/>
  <c r="AM115" i="105"/>
  <c r="AO76" i="105"/>
  <c r="I78" i="105"/>
  <c r="G79" i="105"/>
  <c r="H78" i="105"/>
  <c r="BJ78" i="105" s="1"/>
  <c r="E108" i="110"/>
  <c r="J107" i="110"/>
  <c r="F107" i="110"/>
  <c r="AZ107" i="110" s="1"/>
  <c r="BH77" i="86"/>
  <c r="BI76" i="86"/>
  <c r="BI78" i="75"/>
  <c r="BH79" i="75"/>
  <c r="S26" i="59"/>
  <c r="T73" i="59"/>
  <c r="J26" i="59"/>
  <c r="AU60" i="105"/>
  <c r="AY60" i="105" s="1"/>
  <c r="AW60" i="105" s="1"/>
  <c r="AV60" i="105" s="1"/>
  <c r="BG60" i="105" s="1"/>
  <c r="BL105" i="105"/>
  <c r="AM116" i="100"/>
  <c r="AO77" i="100"/>
  <c r="X108" i="105"/>
  <c r="BK73" i="105"/>
  <c r="J73" i="105"/>
  <c r="K74" i="105"/>
  <c r="BH77" i="100"/>
  <c r="BI76" i="100"/>
  <c r="AV78" i="91"/>
  <c r="BA72" i="91"/>
  <c r="AZ72" i="91"/>
  <c r="M54" i="105"/>
  <c r="S54" i="105" s="1"/>
  <c r="Q27" i="66"/>
  <c r="W77" i="109"/>
  <c r="G78" i="109"/>
  <c r="T77" i="109"/>
  <c r="H77" i="109"/>
  <c r="BK77" i="109" s="1"/>
  <c r="I77" i="109"/>
  <c r="G78" i="88"/>
  <c r="H77" i="88"/>
  <c r="BJ77" i="88" s="1"/>
  <c r="R75" i="100"/>
  <c r="Q75" i="100"/>
  <c r="J75" i="100" s="1"/>
  <c r="AV75" i="86"/>
  <c r="AZ69" i="86"/>
  <c r="BA69" i="86"/>
  <c r="AZ71" i="88"/>
  <c r="AV77" i="88"/>
  <c r="BA71" i="88"/>
  <c r="AR25" i="59"/>
  <c r="AM81" i="78"/>
  <c r="AO42" i="78"/>
  <c r="O142" i="66"/>
  <c r="W143" i="66"/>
  <c r="BH77" i="106"/>
  <c r="BI76" i="106"/>
  <c r="AP82" i="86"/>
  <c r="AQ81" i="86"/>
  <c r="K41" i="78"/>
  <c r="O41" i="78" s="1"/>
  <c r="M41" i="78" s="1"/>
  <c r="N42" i="78" s="1"/>
  <c r="W81" i="78"/>
  <c r="BH80" i="91"/>
  <c r="BI79" i="91"/>
  <c r="V81" i="106"/>
  <c r="U82" i="106"/>
  <c r="V76" i="100"/>
  <c r="U77" i="100"/>
  <c r="AP78" i="105"/>
  <c r="AQ77" i="105"/>
  <c r="AT77" i="105"/>
  <c r="M38" i="88"/>
  <c r="S38" i="88" s="1"/>
  <c r="K38" i="88"/>
  <c r="L38" i="88"/>
  <c r="P38" i="88" s="1"/>
  <c r="N38" i="88" s="1"/>
  <c r="W73" i="88"/>
  <c r="BI78" i="88"/>
  <c r="BH79" i="88"/>
  <c r="Q75" i="105"/>
  <c r="R75" i="105"/>
  <c r="AP80" i="91"/>
  <c r="AQ79" i="91"/>
  <c r="L82" i="66"/>
  <c r="M82" i="66"/>
  <c r="N82" i="66"/>
  <c r="V77" i="86"/>
  <c r="U78" i="86"/>
  <c r="K37" i="86"/>
  <c r="AU38" i="91"/>
  <c r="AY38" i="91" s="1"/>
  <c r="AW38" i="91" s="1"/>
  <c r="AT38" i="91" s="1"/>
  <c r="BL83" i="91"/>
  <c r="L48" i="106"/>
  <c r="P48" i="106" s="1"/>
  <c r="N48" i="106" s="1"/>
  <c r="W83" i="106"/>
  <c r="R80" i="106"/>
  <c r="Q80" i="106"/>
  <c r="AV37" i="88"/>
  <c r="BG37" i="88" s="1"/>
  <c r="BI46" i="78"/>
  <c r="X80" i="78"/>
  <c r="A93" i="108"/>
  <c r="B92" i="108"/>
  <c r="BG49" i="78"/>
  <c r="BJ88" i="78"/>
  <c r="AS43" i="78"/>
  <c r="U77" i="105"/>
  <c r="V76" i="105"/>
  <c r="G80" i="86"/>
  <c r="H79" i="86"/>
  <c r="BJ79" i="86" s="1"/>
  <c r="F84" i="66"/>
  <c r="AA83" i="66"/>
  <c r="U83" i="66"/>
  <c r="G83" i="66"/>
  <c r="V80" i="88"/>
  <c r="U81" i="88"/>
  <c r="R76" i="86"/>
  <c r="M76" i="86"/>
  <c r="Q76" i="86"/>
  <c r="O26" i="66"/>
  <c r="K79" i="106"/>
  <c r="G80" i="106"/>
  <c r="H79" i="106"/>
  <c r="BJ79" i="106" s="1"/>
  <c r="K77" i="100"/>
  <c r="G78" i="100"/>
  <c r="I77" i="100"/>
  <c r="H77" i="100"/>
  <c r="BJ77" i="100" s="1"/>
  <c r="U82" i="91"/>
  <c r="V81" i="91"/>
  <c r="Q80" i="91"/>
  <c r="R80" i="91"/>
  <c r="M80" i="91"/>
  <c r="H81" i="91"/>
  <c r="BJ81" i="91" s="1"/>
  <c r="G82" i="91"/>
  <c r="AQ99" i="78"/>
  <c r="AP100" i="78"/>
  <c r="V78" i="75"/>
  <c r="U79" i="75"/>
  <c r="R79" i="88"/>
  <c r="M79" i="88"/>
  <c r="Q79" i="88"/>
  <c r="E61" i="108"/>
  <c r="G61" i="108"/>
  <c r="F61" i="108"/>
  <c r="U78" i="78"/>
  <c r="T79" i="78"/>
  <c r="M48" i="100"/>
  <c r="S48" i="100" s="1"/>
  <c r="R77" i="75"/>
  <c r="Q77" i="75"/>
  <c r="M77" i="75"/>
  <c r="L38" i="91"/>
  <c r="P38" i="91" s="1"/>
  <c r="N38" i="91" s="1"/>
  <c r="M38" i="91" s="1"/>
  <c r="S38" i="91" s="1"/>
  <c r="K38" i="91"/>
  <c r="W73" i="91"/>
  <c r="AS26" i="59"/>
  <c r="AV43" i="78"/>
  <c r="BK76" i="100"/>
  <c r="X111" i="100"/>
  <c r="AP79" i="88"/>
  <c r="AQ78" i="88"/>
  <c r="AT78" i="106"/>
  <c r="AP79" i="106"/>
  <c r="AQ78" i="106"/>
  <c r="A96" i="107"/>
  <c r="B95" i="107"/>
  <c r="AV53" i="106"/>
  <c r="BG53" i="106" s="1"/>
  <c r="BI77" i="109"/>
  <c r="BJ76" i="109"/>
  <c r="BA69" i="109"/>
  <c r="AT69" i="109" s="1"/>
  <c r="BB69" i="109"/>
  <c r="R76" i="110"/>
  <c r="S75" i="110"/>
  <c r="V77" i="109"/>
  <c r="U78" i="109"/>
  <c r="Q76" i="109"/>
  <c r="R76" i="109"/>
  <c r="K34" i="109"/>
  <c r="Y69" i="109" s="1"/>
  <c r="J43" i="75"/>
  <c r="BK43" i="75"/>
  <c r="X78" i="75"/>
  <c r="M43" i="75"/>
  <c r="S43" i="75" s="1"/>
  <c r="E82" i="111"/>
  <c r="J81" i="111"/>
  <c r="F81" i="111"/>
  <c r="AZ81" i="111" s="1"/>
  <c r="AP23" i="111"/>
  <c r="BB69" i="111"/>
  <c r="AY23" i="111"/>
  <c r="M25" i="111"/>
  <c r="K24" i="111"/>
  <c r="Q24" i="111" s="1"/>
  <c r="AX79" i="111"/>
  <c r="M32" i="94"/>
  <c r="S32" i="94" s="1"/>
  <c r="BL32" i="94"/>
  <c r="J32" i="94"/>
  <c r="Y67" i="94"/>
  <c r="U77" i="94"/>
  <c r="V76" i="94"/>
  <c r="Q75" i="94"/>
  <c r="R75" i="94"/>
  <c r="AR23" i="110"/>
  <c r="AO23" i="110" s="1"/>
  <c r="AL23" i="110" s="1"/>
  <c r="AQ22" i="112"/>
  <c r="AW22" i="112" s="1"/>
  <c r="AY23" i="112" s="1"/>
  <c r="AS23" i="112"/>
  <c r="N24" i="112"/>
  <c r="L24" i="112" s="1"/>
  <c r="AU70" i="109"/>
  <c r="AN108" i="109"/>
  <c r="AP69" i="109"/>
  <c r="E80" i="112"/>
  <c r="J79" i="112"/>
  <c r="F79" i="112"/>
  <c r="AZ79" i="112" s="1"/>
  <c r="AM81" i="112"/>
  <c r="AN80" i="112"/>
  <c r="AX79" i="112"/>
  <c r="AL22" i="112"/>
  <c r="AJ63" i="112"/>
  <c r="BB70" i="94"/>
  <c r="BA70" i="94"/>
  <c r="AT70" i="94" s="1"/>
  <c r="BI78" i="94"/>
  <c r="BJ77" i="94"/>
  <c r="W77" i="94"/>
  <c r="G78" i="94"/>
  <c r="T77" i="94"/>
  <c r="H77" i="94"/>
  <c r="BK77" i="94" s="1"/>
  <c r="I77" i="94"/>
  <c r="AR77" i="94"/>
  <c r="AQ78" i="94"/>
  <c r="AU25" i="103"/>
  <c r="AT25" i="103" s="1"/>
  <c r="AR25" i="103" s="1"/>
  <c r="AS26" i="103" s="1"/>
  <c r="AV59" i="109"/>
  <c r="AZ59" i="109" s="1"/>
  <c r="AX59" i="109" s="1"/>
  <c r="AW59" i="109" s="1"/>
  <c r="BH59" i="109" s="1"/>
  <c r="BM104" i="109"/>
  <c r="N25" i="110"/>
  <c r="L25" i="110" s="1"/>
  <c r="BM102" i="94"/>
  <c r="AV57" i="94"/>
  <c r="AZ57" i="94" s="1"/>
  <c r="AX57" i="94" s="1"/>
  <c r="AW57" i="94" s="1"/>
  <c r="BH57" i="94" s="1"/>
  <c r="AU74" i="94"/>
  <c r="AN112" i="94"/>
  <c r="AP73" i="94"/>
  <c r="L23" i="61"/>
  <c r="H22" i="61"/>
  <c r="J22" i="61" s="1"/>
  <c r="AM74" i="86" l="1"/>
  <c r="AS35" i="86"/>
  <c r="AO35" i="86"/>
  <c r="W74" i="91"/>
  <c r="L39" i="91"/>
  <c r="P39" i="91" s="1"/>
  <c r="N39" i="91" s="1"/>
  <c r="AO38" i="91"/>
  <c r="AS38" i="91"/>
  <c r="AM77" i="91"/>
  <c r="L39" i="88"/>
  <c r="P39" i="88" s="1"/>
  <c r="N39" i="88" s="1"/>
  <c r="W74" i="88"/>
  <c r="AU61" i="105"/>
  <c r="AY61" i="105" s="1"/>
  <c r="AW61" i="105" s="1"/>
  <c r="BL106" i="105"/>
  <c r="AV61" i="105"/>
  <c r="BG61" i="105" s="1"/>
  <c r="F88" i="107"/>
  <c r="G88" i="107"/>
  <c r="D88" i="107" s="1"/>
  <c r="C89" i="107"/>
  <c r="E88" i="107"/>
  <c r="U83" i="91"/>
  <c r="V82" i="91"/>
  <c r="Q76" i="105"/>
  <c r="R76" i="105"/>
  <c r="AP83" i="86"/>
  <c r="AQ82" i="86"/>
  <c r="D61" i="108"/>
  <c r="C62" i="108" s="1"/>
  <c r="R78" i="75"/>
  <c r="Q78" i="75"/>
  <c r="M78" i="75"/>
  <c r="Q81" i="91"/>
  <c r="M81" i="91"/>
  <c r="R81" i="91"/>
  <c r="U84" i="66"/>
  <c r="G84" i="66"/>
  <c r="F85" i="66"/>
  <c r="AA84" i="66"/>
  <c r="H80" i="86"/>
  <c r="BJ80" i="86" s="1"/>
  <c r="G81" i="86"/>
  <c r="A94" i="108"/>
  <c r="B93" i="108"/>
  <c r="M48" i="106"/>
  <c r="S48" i="106" s="1"/>
  <c r="J37" i="86"/>
  <c r="BK37" i="86"/>
  <c r="X72" i="86"/>
  <c r="Q81" i="106"/>
  <c r="R81" i="106"/>
  <c r="J108" i="110"/>
  <c r="E109" i="110"/>
  <c r="F108" i="110"/>
  <c r="G81" i="75"/>
  <c r="H80" i="75"/>
  <c r="BJ80" i="75" s="1"/>
  <c r="T78" i="109"/>
  <c r="W78" i="109"/>
  <c r="G79" i="109"/>
  <c r="H78" i="109"/>
  <c r="BK78" i="109" s="1"/>
  <c r="I78" i="109"/>
  <c r="AV76" i="100"/>
  <c r="AZ70" i="100"/>
  <c r="AS70" i="100" s="1"/>
  <c r="BA70" i="100"/>
  <c r="E83" i="103"/>
  <c r="J82" i="103"/>
  <c r="F82" i="103"/>
  <c r="AZ82" i="103" s="1"/>
  <c r="G81" i="106"/>
  <c r="H80" i="106"/>
  <c r="BJ80" i="106" s="1"/>
  <c r="K80" i="106"/>
  <c r="V81" i="88"/>
  <c r="U82" i="88"/>
  <c r="V77" i="105"/>
  <c r="U78" i="105"/>
  <c r="M77" i="86"/>
  <c r="Q77" i="86"/>
  <c r="R77" i="86"/>
  <c r="AO77" i="105"/>
  <c r="AM116" i="105"/>
  <c r="BI80" i="91"/>
  <c r="BH81" i="91"/>
  <c r="BA70" i="106"/>
  <c r="AZ70" i="106"/>
  <c r="AS70" i="106" s="1"/>
  <c r="AV76" i="106"/>
  <c r="AO25" i="59"/>
  <c r="AQ25" i="59"/>
  <c r="BB25" i="59" s="1"/>
  <c r="BH78" i="100"/>
  <c r="BI77" i="100"/>
  <c r="BI79" i="75"/>
  <c r="BH80" i="75"/>
  <c r="BH79" i="105"/>
  <c r="BI78" i="105"/>
  <c r="AP85" i="75"/>
  <c r="AQ84" i="75"/>
  <c r="V78" i="86"/>
  <c r="U79" i="86"/>
  <c r="O26" i="59"/>
  <c r="P26" i="59"/>
  <c r="AU61" i="100"/>
  <c r="AY61" i="100" s="1"/>
  <c r="AW61" i="100" s="1"/>
  <c r="AV61" i="100" s="1"/>
  <c r="BG61" i="100" s="1"/>
  <c r="BL106" i="100"/>
  <c r="AP80" i="106"/>
  <c r="AT79" i="106"/>
  <c r="AQ79" i="106"/>
  <c r="Q80" i="88"/>
  <c r="M80" i="88"/>
  <c r="R80" i="88"/>
  <c r="AU38" i="88"/>
  <c r="AY38" i="88" s="1"/>
  <c r="AW38" i="88" s="1"/>
  <c r="AT38" i="88" s="1"/>
  <c r="BL83" i="88"/>
  <c r="AV38" i="91"/>
  <c r="BG38" i="91" s="1"/>
  <c r="BH80" i="88"/>
  <c r="BI79" i="88"/>
  <c r="J41" i="78"/>
  <c r="BI77" i="106"/>
  <c r="BH78" i="106"/>
  <c r="BK74" i="105"/>
  <c r="J74" i="105"/>
  <c r="X109" i="105"/>
  <c r="K75" i="105"/>
  <c r="AV78" i="75"/>
  <c r="AZ72" i="75"/>
  <c r="BA72" i="75"/>
  <c r="G80" i="78"/>
  <c r="H79" i="78"/>
  <c r="BH85" i="78" s="1"/>
  <c r="AZ71" i="105"/>
  <c r="AS71" i="105" s="1"/>
  <c r="BA71" i="105"/>
  <c r="A97" i="107"/>
  <c r="B96" i="107"/>
  <c r="L49" i="100"/>
  <c r="P49" i="100" s="1"/>
  <c r="N49" i="100" s="1"/>
  <c r="W84" i="100"/>
  <c r="X114" i="106"/>
  <c r="J79" i="106"/>
  <c r="BK79" i="106"/>
  <c r="AV78" i="88"/>
  <c r="AZ72" i="88"/>
  <c r="BA72" i="88"/>
  <c r="AP79" i="105"/>
  <c r="AQ78" i="105"/>
  <c r="AT78" i="105"/>
  <c r="L55" i="105"/>
  <c r="P55" i="105" s="1"/>
  <c r="N55" i="105" s="1"/>
  <c r="W90" i="105"/>
  <c r="AV76" i="86"/>
  <c r="AZ70" i="86"/>
  <c r="BA70" i="86"/>
  <c r="I79" i="105"/>
  <c r="G80" i="105"/>
  <c r="H79" i="105"/>
  <c r="BJ79" i="105" s="1"/>
  <c r="AV35" i="86"/>
  <c r="BG35" i="86" s="1"/>
  <c r="H82" i="91"/>
  <c r="BJ82" i="91" s="1"/>
  <c r="G83" i="91"/>
  <c r="AV79" i="91"/>
  <c r="AZ73" i="91"/>
  <c r="BA73" i="91"/>
  <c r="U79" i="78"/>
  <c r="T80" i="78"/>
  <c r="K78" i="100"/>
  <c r="I78" i="100"/>
  <c r="G79" i="100"/>
  <c r="H78" i="100"/>
  <c r="BJ78" i="100" s="1"/>
  <c r="V26" i="66"/>
  <c r="Z26" i="66"/>
  <c r="L83" i="66"/>
  <c r="M83" i="66"/>
  <c r="N83" i="66"/>
  <c r="V77" i="100"/>
  <c r="U78" i="100"/>
  <c r="G79" i="88"/>
  <c r="H78" i="88"/>
  <c r="BJ78" i="88" s="1"/>
  <c r="BH78" i="86"/>
  <c r="BI77" i="86"/>
  <c r="AO78" i="100"/>
  <c r="AM117" i="100"/>
  <c r="AO78" i="106"/>
  <c r="AM117" i="106"/>
  <c r="X73" i="91"/>
  <c r="BK38" i="91"/>
  <c r="J38" i="91"/>
  <c r="AP80" i="88"/>
  <c r="AQ79" i="88"/>
  <c r="Q78" i="78"/>
  <c r="P78" i="78"/>
  <c r="AT43" i="78"/>
  <c r="BE43" i="78"/>
  <c r="AY43" i="78"/>
  <c r="AX43" i="78"/>
  <c r="Q76" i="100"/>
  <c r="J76" i="100" s="1"/>
  <c r="R76" i="100"/>
  <c r="O143" i="66"/>
  <c r="W144" i="66"/>
  <c r="N26" i="59"/>
  <c r="L26" i="59" s="1"/>
  <c r="I26" i="59" s="1"/>
  <c r="BF32" i="59" s="1"/>
  <c r="AT79" i="100"/>
  <c r="AP80" i="100"/>
  <c r="AQ79" i="100"/>
  <c r="M37" i="86"/>
  <c r="S37" i="86" s="1"/>
  <c r="AP101" i="78"/>
  <c r="AQ100" i="78"/>
  <c r="AU54" i="106"/>
  <c r="AY54" i="106" s="1"/>
  <c r="BL99" i="106"/>
  <c r="U80" i="75"/>
  <c r="V79" i="75"/>
  <c r="X112" i="100"/>
  <c r="BK77" i="100"/>
  <c r="AQ80" i="91"/>
  <c r="AP81" i="91"/>
  <c r="X73" i="88"/>
  <c r="BK38" i="88"/>
  <c r="J38" i="88"/>
  <c r="V82" i="106"/>
  <c r="U83" i="106"/>
  <c r="L41" i="78"/>
  <c r="R41" i="78" s="1"/>
  <c r="AT39" i="75"/>
  <c r="AU39" i="75"/>
  <c r="AY39" i="75" s="1"/>
  <c r="AW39" i="75" s="1"/>
  <c r="AV39" i="75" s="1"/>
  <c r="BG39" i="75" s="1"/>
  <c r="BL84" i="75"/>
  <c r="BB70" i="109"/>
  <c r="BA70" i="109"/>
  <c r="AT70" i="109" s="1"/>
  <c r="BI78" i="109"/>
  <c r="BJ77" i="109"/>
  <c r="R77" i="110"/>
  <c r="S76" i="110"/>
  <c r="U79" i="109"/>
  <c r="V78" i="109"/>
  <c r="Q77" i="109"/>
  <c r="R77" i="109"/>
  <c r="AJ64" i="110"/>
  <c r="BL34" i="109"/>
  <c r="J34" i="109"/>
  <c r="M34" i="109"/>
  <c r="S34" i="109" s="1"/>
  <c r="AQ23" i="110"/>
  <c r="AW23" i="110" s="1"/>
  <c r="BB70" i="110" s="1"/>
  <c r="W79" i="75"/>
  <c r="L44" i="75"/>
  <c r="P44" i="75" s="1"/>
  <c r="N44" i="75" s="1"/>
  <c r="K44" i="75" s="1"/>
  <c r="S25" i="111"/>
  <c r="H25" i="111"/>
  <c r="T66" i="111"/>
  <c r="AV23" i="111"/>
  <c r="AU23" i="111"/>
  <c r="J82" i="111"/>
  <c r="E83" i="111"/>
  <c r="F82" i="111"/>
  <c r="AZ82" i="111" s="1"/>
  <c r="AX80" i="111"/>
  <c r="L33" i="94"/>
  <c r="P33" i="94" s="1"/>
  <c r="N33" i="94" s="1"/>
  <c r="X68" i="94"/>
  <c r="AS24" i="110"/>
  <c r="Q76" i="94"/>
  <c r="R76" i="94"/>
  <c r="U78" i="94"/>
  <c r="V77" i="94"/>
  <c r="AP23" i="112"/>
  <c r="BB69" i="112"/>
  <c r="AI64" i="112"/>
  <c r="AK64" i="112" s="1"/>
  <c r="G24" i="112"/>
  <c r="K24" i="112" s="1"/>
  <c r="Q24" i="112" s="1"/>
  <c r="M25" i="112"/>
  <c r="AN109" i="109"/>
  <c r="AP70" i="109"/>
  <c r="AU71" i="109"/>
  <c r="AX80" i="112"/>
  <c r="AU23" i="112"/>
  <c r="AV23" i="112"/>
  <c r="J80" i="112"/>
  <c r="E81" i="112"/>
  <c r="F80" i="112"/>
  <c r="AZ80" i="112" s="1"/>
  <c r="AM82" i="112"/>
  <c r="AN81" i="112"/>
  <c r="BA71" i="94"/>
  <c r="AT71" i="94" s="1"/>
  <c r="BB71" i="94"/>
  <c r="BJ78" i="94"/>
  <c r="BI79" i="94"/>
  <c r="AQ79" i="94"/>
  <c r="AR78" i="94"/>
  <c r="W78" i="94"/>
  <c r="G79" i="94"/>
  <c r="T78" i="94"/>
  <c r="H78" i="94"/>
  <c r="BK78" i="94" s="1"/>
  <c r="I78" i="94"/>
  <c r="AV60" i="109"/>
  <c r="AZ60" i="109" s="1"/>
  <c r="AX60" i="109" s="1"/>
  <c r="AW60" i="109" s="1"/>
  <c r="BH60" i="109" s="1"/>
  <c r="BM105" i="109"/>
  <c r="G25" i="110"/>
  <c r="K25" i="110" s="1"/>
  <c r="Q25" i="110" s="1"/>
  <c r="M26" i="110"/>
  <c r="AV58" i="94"/>
  <c r="AZ58" i="94" s="1"/>
  <c r="AX58" i="94" s="1"/>
  <c r="AW58" i="94" s="1"/>
  <c r="BH58" i="94" s="1"/>
  <c r="BM103" i="94"/>
  <c r="AO25" i="103"/>
  <c r="AQ25" i="103" s="1"/>
  <c r="AW25" i="103" s="1"/>
  <c r="AU75" i="94"/>
  <c r="AN113" i="94"/>
  <c r="AP74" i="94"/>
  <c r="P22" i="61"/>
  <c r="T52" i="61"/>
  <c r="M39" i="88" l="1"/>
  <c r="S39" i="88" s="1"/>
  <c r="AU62" i="105"/>
  <c r="AY62" i="105" s="1"/>
  <c r="AW62" i="105" s="1"/>
  <c r="BL107" i="105"/>
  <c r="AV62" i="105"/>
  <c r="BG62" i="105" s="1"/>
  <c r="AU40" i="75"/>
  <c r="AY40" i="75" s="1"/>
  <c r="AW40" i="75" s="1"/>
  <c r="BL85" i="75"/>
  <c r="AU62" i="100"/>
  <c r="AY62" i="100" s="1"/>
  <c r="AW62" i="100" s="1"/>
  <c r="AV62" i="100" s="1"/>
  <c r="BG62" i="100" s="1"/>
  <c r="BL107" i="100"/>
  <c r="AO38" i="88"/>
  <c r="AS38" i="88"/>
  <c r="AM77" i="88"/>
  <c r="AV38" i="88"/>
  <c r="BG38" i="88" s="1"/>
  <c r="AM78" i="75"/>
  <c r="AO39" i="75"/>
  <c r="AS39" i="75"/>
  <c r="X113" i="100"/>
  <c r="BK78" i="100"/>
  <c r="AP80" i="105"/>
  <c r="AQ79" i="105"/>
  <c r="AT79" i="105"/>
  <c r="G81" i="78"/>
  <c r="H80" i="78"/>
  <c r="BH86" i="78" s="1"/>
  <c r="AZ72" i="105"/>
  <c r="AS72" i="105" s="1"/>
  <c r="BA72" i="105"/>
  <c r="Q81" i="88"/>
  <c r="M81" i="88"/>
  <c r="R81" i="88"/>
  <c r="E84" i="103"/>
  <c r="J83" i="103"/>
  <c r="F83" i="103"/>
  <c r="AZ83" i="103" s="1"/>
  <c r="G80" i="109"/>
  <c r="W79" i="109"/>
  <c r="T79" i="109"/>
  <c r="H79" i="109"/>
  <c r="BK79" i="109" s="1"/>
  <c r="I79" i="109"/>
  <c r="F62" i="108"/>
  <c r="E62" i="108"/>
  <c r="G62" i="108"/>
  <c r="D62" i="108" s="1"/>
  <c r="C63" i="108" s="1"/>
  <c r="K39" i="88"/>
  <c r="K39" i="91"/>
  <c r="M39" i="91" s="1"/>
  <c r="S39" i="91" s="1"/>
  <c r="BK80" i="106"/>
  <c r="J80" i="106"/>
  <c r="X115" i="106"/>
  <c r="E110" i="110"/>
  <c r="J109" i="110"/>
  <c r="F109" i="110"/>
  <c r="E89" i="107"/>
  <c r="G89" i="107" s="1"/>
  <c r="D89" i="107" s="1"/>
  <c r="C90" i="107" s="1"/>
  <c r="F89" i="107"/>
  <c r="BG50" i="78"/>
  <c r="BJ89" i="78"/>
  <c r="AS44" i="78"/>
  <c r="BH79" i="86"/>
  <c r="BI78" i="86"/>
  <c r="G80" i="88"/>
  <c r="H79" i="88"/>
  <c r="BJ79" i="88" s="1"/>
  <c r="J27" i="66"/>
  <c r="K27" i="66"/>
  <c r="I27" i="66" s="1"/>
  <c r="X27" i="66"/>
  <c r="Q79" i="78"/>
  <c r="P79" i="78"/>
  <c r="I80" i="105"/>
  <c r="G81" i="105"/>
  <c r="H80" i="105"/>
  <c r="BJ80" i="105" s="1"/>
  <c r="AV77" i="106"/>
  <c r="AZ71" i="106"/>
  <c r="AS71" i="106" s="1"/>
  <c r="BA71" i="106"/>
  <c r="AM118" i="106"/>
  <c r="AO79" i="106"/>
  <c r="K26" i="59"/>
  <c r="BI80" i="75"/>
  <c r="BH81" i="75"/>
  <c r="H81" i="86"/>
  <c r="BJ81" i="86" s="1"/>
  <c r="G82" i="86"/>
  <c r="AP84" i="86"/>
  <c r="AQ83" i="86"/>
  <c r="BH79" i="106"/>
  <c r="BI78" i="106"/>
  <c r="V83" i="106"/>
  <c r="U84" i="106"/>
  <c r="Q82" i="106"/>
  <c r="R82" i="106"/>
  <c r="AQ101" i="78"/>
  <c r="AP102" i="78"/>
  <c r="W145" i="66"/>
  <c r="O144" i="66"/>
  <c r="U79" i="100"/>
  <c r="V78" i="100"/>
  <c r="M55" i="105"/>
  <c r="S55" i="105" s="1"/>
  <c r="M49" i="100"/>
  <c r="S49" i="100" s="1"/>
  <c r="BI47" i="78"/>
  <c r="X81" i="78"/>
  <c r="AP81" i="106"/>
  <c r="AT80" i="106"/>
  <c r="AQ80" i="106"/>
  <c r="M27" i="59"/>
  <c r="AV79" i="75"/>
  <c r="BA73" i="75"/>
  <c r="AZ73" i="75"/>
  <c r="A95" i="108"/>
  <c r="B94" i="108"/>
  <c r="R79" i="75"/>
  <c r="Q79" i="75"/>
  <c r="M79" i="75"/>
  <c r="L38" i="86"/>
  <c r="P38" i="86" s="1"/>
  <c r="N38" i="86" s="1"/>
  <c r="W73" i="86"/>
  <c r="R77" i="100"/>
  <c r="Q77" i="100"/>
  <c r="J77" i="100" s="1"/>
  <c r="AZ73" i="88"/>
  <c r="BA73" i="88"/>
  <c r="AV79" i="88"/>
  <c r="AW43" i="78"/>
  <c r="AU43" i="78" s="1"/>
  <c r="AR43" i="78" s="1"/>
  <c r="U80" i="86"/>
  <c r="V79" i="86"/>
  <c r="BA71" i="100"/>
  <c r="AZ71" i="100"/>
  <c r="AS71" i="100" s="1"/>
  <c r="AV77" i="100"/>
  <c r="BI81" i="91"/>
  <c r="BH82" i="91"/>
  <c r="U81" i="75"/>
  <c r="V80" i="75"/>
  <c r="G80" i="100"/>
  <c r="K79" i="100"/>
  <c r="I79" i="100"/>
  <c r="H79" i="100"/>
  <c r="BJ79" i="100" s="1"/>
  <c r="G84" i="91"/>
  <c r="H83" i="91"/>
  <c r="BJ83" i="91" s="1"/>
  <c r="A98" i="107"/>
  <c r="B97" i="107"/>
  <c r="BK75" i="105"/>
  <c r="X110" i="105"/>
  <c r="J75" i="105"/>
  <c r="K76" i="105"/>
  <c r="BI80" i="88"/>
  <c r="BH81" i="88"/>
  <c r="M78" i="86"/>
  <c r="R78" i="86"/>
  <c r="Q78" i="86"/>
  <c r="BI78" i="100"/>
  <c r="BH79" i="100"/>
  <c r="AZ74" i="91"/>
  <c r="AV80" i="91"/>
  <c r="BA74" i="91"/>
  <c r="V78" i="105"/>
  <c r="U79" i="105"/>
  <c r="H81" i="106"/>
  <c r="BJ81" i="106" s="1"/>
  <c r="K81" i="106"/>
  <c r="G82" i="106"/>
  <c r="W82" i="78"/>
  <c r="K42" i="78"/>
  <c r="O42" i="78" s="1"/>
  <c r="M42" i="78" s="1"/>
  <c r="N43" i="78" s="1"/>
  <c r="BA71" i="86"/>
  <c r="AV77" i="86"/>
  <c r="AZ71" i="86"/>
  <c r="T81" i="78"/>
  <c r="U80" i="78"/>
  <c r="L49" i="106"/>
  <c r="P49" i="106" s="1"/>
  <c r="N49" i="106" s="1"/>
  <c r="W84" i="106"/>
  <c r="AP81" i="100"/>
  <c r="AT80" i="100"/>
  <c r="AQ80" i="100"/>
  <c r="AM117" i="105"/>
  <c r="AO78" i="105"/>
  <c r="AT39" i="91"/>
  <c r="AU39" i="91"/>
  <c r="AY39" i="91" s="1"/>
  <c r="AW39" i="91" s="1"/>
  <c r="BL84" i="91"/>
  <c r="BD32" i="59"/>
  <c r="BG71" i="59"/>
  <c r="AP26" i="59"/>
  <c r="Q77" i="105"/>
  <c r="R77" i="105"/>
  <c r="AA85" i="66"/>
  <c r="U85" i="66"/>
  <c r="F86" i="66"/>
  <c r="G85" i="66"/>
  <c r="M82" i="91"/>
  <c r="R82" i="91"/>
  <c r="Q82" i="91"/>
  <c r="BH80" i="105"/>
  <c r="BI79" i="105"/>
  <c r="AP82" i="91"/>
  <c r="AQ81" i="91"/>
  <c r="AV54" i="106"/>
  <c r="BG54" i="106" s="1"/>
  <c r="AM118" i="100"/>
  <c r="AO79" i="100"/>
  <c r="AP81" i="88"/>
  <c r="AQ80" i="88"/>
  <c r="AU36" i="86"/>
  <c r="AY36" i="86" s="1"/>
  <c r="AW36" i="86" s="1"/>
  <c r="AV36" i="86" s="1"/>
  <c r="BG36" i="86" s="1"/>
  <c r="AT36" i="86"/>
  <c r="BL81" i="86"/>
  <c r="AQ85" i="75"/>
  <c r="AP86" i="75"/>
  <c r="AJ64" i="59"/>
  <c r="AL25" i="59"/>
  <c r="V82" i="88"/>
  <c r="U83" i="88"/>
  <c r="G82" i="75"/>
  <c r="H81" i="75"/>
  <c r="BJ81" i="75" s="1"/>
  <c r="N84" i="66"/>
  <c r="L84" i="66"/>
  <c r="M84" i="66"/>
  <c r="V83" i="91"/>
  <c r="U84" i="91"/>
  <c r="BA71" i="109"/>
  <c r="BB71" i="109"/>
  <c r="BJ78" i="109"/>
  <c r="BI79" i="109"/>
  <c r="AP24" i="110"/>
  <c r="AI65" i="110"/>
  <c r="R78" i="110"/>
  <c r="S77" i="110"/>
  <c r="X70" i="109"/>
  <c r="L35" i="109"/>
  <c r="P35" i="109" s="1"/>
  <c r="N35" i="109" s="1"/>
  <c r="AY24" i="110"/>
  <c r="AV24" i="110" s="1"/>
  <c r="R78" i="109"/>
  <c r="Q78" i="109"/>
  <c r="U80" i="109"/>
  <c r="V79" i="109"/>
  <c r="J44" i="75"/>
  <c r="BK44" i="75"/>
  <c r="X79" i="75"/>
  <c r="M44" i="75"/>
  <c r="S44" i="75" s="1"/>
  <c r="J83" i="111"/>
  <c r="E84" i="111"/>
  <c r="F83" i="111"/>
  <c r="AZ83" i="111" s="1"/>
  <c r="I25" i="111"/>
  <c r="P25" i="111"/>
  <c r="O25" i="111"/>
  <c r="V66" i="111"/>
  <c r="U65" i="111"/>
  <c r="AT23" i="111"/>
  <c r="AR23" i="111" s="1"/>
  <c r="AS24" i="111" s="1"/>
  <c r="AX81" i="111"/>
  <c r="K33" i="94"/>
  <c r="Q77" i="94"/>
  <c r="R77" i="94"/>
  <c r="V78" i="94"/>
  <c r="U79" i="94"/>
  <c r="AT23" i="112"/>
  <c r="AR23" i="112" s="1"/>
  <c r="AO23" i="112" s="1"/>
  <c r="AL23" i="112" s="1"/>
  <c r="AK65" i="110"/>
  <c r="H25" i="112"/>
  <c r="T66" i="112"/>
  <c r="V66" i="112" s="1"/>
  <c r="S25" i="112"/>
  <c r="BA24" i="112"/>
  <c r="AP71" i="109"/>
  <c r="AT71" i="109"/>
  <c r="AU72" i="109"/>
  <c r="AN110" i="109"/>
  <c r="J81" i="112"/>
  <c r="E82" i="112"/>
  <c r="F81" i="112"/>
  <c r="AZ81" i="112" s="1"/>
  <c r="AX81" i="112"/>
  <c r="AM83" i="112"/>
  <c r="AN82" i="112"/>
  <c r="BJ79" i="94"/>
  <c r="BI80" i="94"/>
  <c r="BB72" i="94"/>
  <c r="BA72" i="94"/>
  <c r="AT72" i="94" s="1"/>
  <c r="AR79" i="94"/>
  <c r="AQ80" i="94"/>
  <c r="W79" i="94"/>
  <c r="G80" i="94"/>
  <c r="T79" i="94"/>
  <c r="H79" i="94"/>
  <c r="BK79" i="94" s="1"/>
  <c r="I79" i="94"/>
  <c r="AV61" i="109"/>
  <c r="AZ61" i="109" s="1"/>
  <c r="AX61" i="109" s="1"/>
  <c r="AW61" i="109" s="1"/>
  <c r="BH61" i="109" s="1"/>
  <c r="BM106" i="109"/>
  <c r="BA25" i="110"/>
  <c r="T67" i="110"/>
  <c r="V67" i="110" s="1"/>
  <c r="H26" i="110"/>
  <c r="BM104" i="94"/>
  <c r="AV59" i="94"/>
  <c r="AZ59" i="94" s="1"/>
  <c r="AX59" i="94" s="1"/>
  <c r="AW59" i="94" s="1"/>
  <c r="BH59" i="94" s="1"/>
  <c r="BB72" i="103"/>
  <c r="AI67" i="103"/>
  <c r="AP26" i="103"/>
  <c r="AY26" i="103"/>
  <c r="AL25" i="103"/>
  <c r="AJ66" i="103"/>
  <c r="AU76" i="94"/>
  <c r="AP75" i="94"/>
  <c r="AN114" i="94"/>
  <c r="I23" i="61"/>
  <c r="R23" i="61"/>
  <c r="S53" i="61"/>
  <c r="L40" i="91" l="1"/>
  <c r="P40" i="91" s="1"/>
  <c r="N40" i="91" s="1"/>
  <c r="W75" i="91"/>
  <c r="E90" i="107"/>
  <c r="G90" i="107" s="1"/>
  <c r="D90" i="107" s="1"/>
  <c r="C91" i="107" s="1"/>
  <c r="F90" i="107"/>
  <c r="AU63" i="100"/>
  <c r="AY63" i="100" s="1"/>
  <c r="AW63" i="100" s="1"/>
  <c r="AV63" i="100" s="1"/>
  <c r="BG63" i="100" s="1"/>
  <c r="BL108" i="100"/>
  <c r="F63" i="108"/>
  <c r="E63" i="108"/>
  <c r="G63" i="108"/>
  <c r="AU63" i="105"/>
  <c r="AY63" i="105" s="1"/>
  <c r="AW63" i="105" s="1"/>
  <c r="AV63" i="105" s="1"/>
  <c r="BG63" i="105" s="1"/>
  <c r="BL108" i="105"/>
  <c r="AU37" i="86"/>
  <c r="AY37" i="86" s="1"/>
  <c r="AW37" i="86" s="1"/>
  <c r="BL82" i="86"/>
  <c r="AQ82" i="91"/>
  <c r="AP83" i="91"/>
  <c r="J81" i="106"/>
  <c r="BK81" i="106"/>
  <c r="X116" i="106"/>
  <c r="BH80" i="100"/>
  <c r="BI79" i="100"/>
  <c r="BK76" i="105"/>
  <c r="J76" i="105"/>
  <c r="X111" i="105"/>
  <c r="K77" i="105"/>
  <c r="A96" i="108"/>
  <c r="B95" i="108"/>
  <c r="AT81" i="106"/>
  <c r="AQ81" i="106"/>
  <c r="AP82" i="106"/>
  <c r="R83" i="106"/>
  <c r="Q83" i="106"/>
  <c r="S27" i="66"/>
  <c r="T27" i="66"/>
  <c r="AT40" i="75"/>
  <c r="AZ73" i="105"/>
  <c r="AS73" i="105" s="1"/>
  <c r="BA73" i="105"/>
  <c r="U86" i="66"/>
  <c r="G86" i="66"/>
  <c r="F87" i="66"/>
  <c r="AA86" i="66"/>
  <c r="M49" i="106"/>
  <c r="S49" i="106" s="1"/>
  <c r="AV78" i="100"/>
  <c r="AZ72" i="100"/>
  <c r="AS72" i="100" s="1"/>
  <c r="BA72" i="100"/>
  <c r="BK79" i="100"/>
  <c r="X114" i="100"/>
  <c r="K38" i="86"/>
  <c r="O145" i="66"/>
  <c r="W146" i="66"/>
  <c r="AZ72" i="106"/>
  <c r="AS72" i="106" s="1"/>
  <c r="AV78" i="106"/>
  <c r="BA72" i="106"/>
  <c r="E111" i="110"/>
  <c r="J110" i="110"/>
  <c r="F110" i="110"/>
  <c r="G82" i="78"/>
  <c r="H81" i="78"/>
  <c r="BH87" i="78" s="1"/>
  <c r="AV44" i="78"/>
  <c r="M82" i="88"/>
  <c r="R82" i="88"/>
  <c r="Q82" i="88"/>
  <c r="AM78" i="91"/>
  <c r="AS39" i="91"/>
  <c r="AO39" i="91"/>
  <c r="N85" i="66"/>
  <c r="M85" i="66"/>
  <c r="L85" i="66"/>
  <c r="AP87" i="75"/>
  <c r="AQ86" i="75"/>
  <c r="AP82" i="88"/>
  <c r="AQ81" i="88"/>
  <c r="BI80" i="105"/>
  <c r="BH81" i="105"/>
  <c r="AV26" i="59"/>
  <c r="AU26" i="59"/>
  <c r="P80" i="78"/>
  <c r="Q80" i="78"/>
  <c r="J42" i="78"/>
  <c r="U80" i="105"/>
  <c r="V79" i="105"/>
  <c r="AP103" i="78"/>
  <c r="AQ102" i="78"/>
  <c r="BI79" i="106"/>
  <c r="BH80" i="106"/>
  <c r="AT44" i="78"/>
  <c r="BE44" i="78"/>
  <c r="AX44" i="78"/>
  <c r="AY44" i="78"/>
  <c r="E85" i="103"/>
  <c r="J84" i="103"/>
  <c r="F84" i="103"/>
  <c r="AZ84" i="103" s="1"/>
  <c r="AM118" i="105"/>
  <c r="AO79" i="105"/>
  <c r="AT26" i="59"/>
  <c r="T82" i="78"/>
  <c r="U81" i="78"/>
  <c r="R78" i="105"/>
  <c r="Q78" i="105"/>
  <c r="K80" i="100"/>
  <c r="G81" i="100"/>
  <c r="I80" i="100"/>
  <c r="H80" i="100"/>
  <c r="BJ80" i="100" s="1"/>
  <c r="L50" i="100"/>
  <c r="P50" i="100" s="1"/>
  <c r="N50" i="100" s="1"/>
  <c r="W85" i="100"/>
  <c r="G83" i="86"/>
  <c r="H82" i="86"/>
  <c r="BJ82" i="86" s="1"/>
  <c r="I81" i="105"/>
  <c r="G82" i="105"/>
  <c r="H81" i="105"/>
  <c r="BJ81" i="105" s="1"/>
  <c r="R27" i="66"/>
  <c r="P27" i="66" s="1"/>
  <c r="AM119" i="100"/>
  <c r="AO80" i="100"/>
  <c r="Q80" i="75"/>
  <c r="M80" i="75"/>
  <c r="R80" i="75"/>
  <c r="R79" i="86"/>
  <c r="Q79" i="86"/>
  <c r="M79" i="86"/>
  <c r="L56" i="105"/>
  <c r="P56" i="105" s="1"/>
  <c r="N56" i="105" s="1"/>
  <c r="M56" i="105"/>
  <c r="S56" i="105"/>
  <c r="W91" i="105"/>
  <c r="AP85" i="86"/>
  <c r="AQ84" i="86"/>
  <c r="G81" i="88"/>
  <c r="H80" i="88"/>
  <c r="BJ80" i="88" s="1"/>
  <c r="AQ80" i="105"/>
  <c r="AT80" i="105"/>
  <c r="AP81" i="105"/>
  <c r="U85" i="91"/>
  <c r="V84" i="91"/>
  <c r="AV39" i="91"/>
  <c r="BG39" i="91" s="1"/>
  <c r="Q83" i="91"/>
  <c r="R83" i="91"/>
  <c r="M83" i="91"/>
  <c r="G83" i="75"/>
  <c r="H82" i="75"/>
  <c r="BJ82" i="75" s="1"/>
  <c r="AP82" i="100"/>
  <c r="AT81" i="100"/>
  <c r="AQ81" i="100"/>
  <c r="B98" i="107"/>
  <c r="A99" i="107"/>
  <c r="G85" i="91"/>
  <c r="H84" i="91"/>
  <c r="BJ84" i="91" s="1"/>
  <c r="V81" i="75"/>
  <c r="U82" i="75"/>
  <c r="V80" i="86"/>
  <c r="U81" i="86"/>
  <c r="Q78" i="100"/>
  <c r="J78" i="100" s="1"/>
  <c r="R78" i="100"/>
  <c r="BI81" i="75"/>
  <c r="BH82" i="75"/>
  <c r="BA72" i="86"/>
  <c r="AV78" i="86"/>
  <c r="AZ72" i="86"/>
  <c r="BK39" i="91"/>
  <c r="J39" i="91"/>
  <c r="X74" i="91"/>
  <c r="AT39" i="88"/>
  <c r="AU39" i="88"/>
  <c r="AY39" i="88" s="1"/>
  <c r="AW39" i="88" s="1"/>
  <c r="AV39" i="88" s="1"/>
  <c r="BG39" i="88" s="1"/>
  <c r="BL84" i="88"/>
  <c r="V83" i="88"/>
  <c r="U84" i="88"/>
  <c r="AU55" i="106"/>
  <c r="AY55" i="106" s="1"/>
  <c r="BL100" i="106"/>
  <c r="AV55" i="106"/>
  <c r="BG55" i="106" s="1"/>
  <c r="BI81" i="88"/>
  <c r="BH82" i="88"/>
  <c r="BI82" i="91"/>
  <c r="BH83" i="91"/>
  <c r="AM82" i="78"/>
  <c r="AO43" i="78"/>
  <c r="U80" i="100"/>
  <c r="V79" i="100"/>
  <c r="AV80" i="75"/>
  <c r="AZ74" i="75"/>
  <c r="BA74" i="75"/>
  <c r="BI79" i="86"/>
  <c r="BH80" i="86"/>
  <c r="J39" i="88"/>
  <c r="X74" i="88"/>
  <c r="BK39" i="88"/>
  <c r="AM75" i="86"/>
  <c r="AS36" i="86"/>
  <c r="AO36" i="86"/>
  <c r="K82" i="106"/>
  <c r="G83" i="106"/>
  <c r="H82" i="106"/>
  <c r="BJ82" i="106" s="1"/>
  <c r="BA74" i="88"/>
  <c r="AV80" i="88"/>
  <c r="AZ74" i="88"/>
  <c r="BA75" i="91"/>
  <c r="AZ75" i="91"/>
  <c r="AV81" i="91"/>
  <c r="AO80" i="106"/>
  <c r="AM119" i="106"/>
  <c r="V84" i="106"/>
  <c r="U85" i="106"/>
  <c r="U73" i="59"/>
  <c r="Q26" i="59"/>
  <c r="G81" i="109"/>
  <c r="W80" i="109"/>
  <c r="T80" i="109"/>
  <c r="H80" i="109"/>
  <c r="BK80" i="109" s="1"/>
  <c r="I80" i="109"/>
  <c r="K40" i="88"/>
  <c r="L40" i="88"/>
  <c r="P40" i="88" s="1"/>
  <c r="N40" i="88" s="1"/>
  <c r="M40" i="88" s="1"/>
  <c r="S40" i="88" s="1"/>
  <c r="W75" i="88"/>
  <c r="BJ79" i="109"/>
  <c r="BI80" i="109"/>
  <c r="BB72" i="109"/>
  <c r="BA72" i="109"/>
  <c r="R79" i="110"/>
  <c r="S78" i="110"/>
  <c r="AU24" i="110"/>
  <c r="AT24" i="110" s="1"/>
  <c r="AR24" i="110" s="1"/>
  <c r="AS25" i="110" s="1"/>
  <c r="K35" i="109"/>
  <c r="M35" i="109" s="1"/>
  <c r="S35" i="109" s="1"/>
  <c r="L36" i="109" s="1"/>
  <c r="P36" i="109" s="1"/>
  <c r="N36" i="109" s="1"/>
  <c r="R79" i="109"/>
  <c r="Q79" i="109"/>
  <c r="V80" i="109"/>
  <c r="U81" i="109"/>
  <c r="W80" i="75"/>
  <c r="L45" i="75"/>
  <c r="P45" i="75" s="1"/>
  <c r="N45" i="75" s="1"/>
  <c r="E85" i="111"/>
  <c r="J84" i="111"/>
  <c r="F84" i="111"/>
  <c r="AZ84" i="111" s="1"/>
  <c r="M26" i="111"/>
  <c r="AO23" i="111"/>
  <c r="AQ23" i="111"/>
  <c r="AW23" i="111" s="1"/>
  <c r="N25" i="111"/>
  <c r="L25" i="111" s="1"/>
  <c r="AX82" i="111"/>
  <c r="Y68" i="94"/>
  <c r="J33" i="94"/>
  <c r="BL33" i="94"/>
  <c r="M33" i="94"/>
  <c r="S33" i="94" s="1"/>
  <c r="U80" i="94"/>
  <c r="V79" i="94"/>
  <c r="Q78" i="94"/>
  <c r="R78" i="94"/>
  <c r="AJ64" i="112"/>
  <c r="AQ23" i="112"/>
  <c r="AW23" i="112" s="1"/>
  <c r="AP24" i="112" s="1"/>
  <c r="AS24" i="112"/>
  <c r="U65" i="112"/>
  <c r="O25" i="112"/>
  <c r="N25" i="112" s="1"/>
  <c r="L25" i="112" s="1"/>
  <c r="G25" i="112" s="1"/>
  <c r="P25" i="112"/>
  <c r="I25" i="112"/>
  <c r="AT72" i="109"/>
  <c r="AU73" i="109"/>
  <c r="AP72" i="109"/>
  <c r="AN111" i="109"/>
  <c r="J82" i="112"/>
  <c r="E83" i="112"/>
  <c r="F82" i="112"/>
  <c r="AZ82" i="112" s="1"/>
  <c r="AM84" i="112"/>
  <c r="AN83" i="112"/>
  <c r="AX82" i="112"/>
  <c r="BJ80" i="94"/>
  <c r="BI81" i="94"/>
  <c r="BA73" i="94"/>
  <c r="AT73" i="94" s="1"/>
  <c r="BB73" i="94"/>
  <c r="W80" i="94"/>
  <c r="G81" i="94"/>
  <c r="T80" i="94"/>
  <c r="H80" i="94"/>
  <c r="BK80" i="94" s="1"/>
  <c r="I80" i="94"/>
  <c r="AQ81" i="94"/>
  <c r="AR80" i="94"/>
  <c r="BM107" i="109"/>
  <c r="AV62" i="109"/>
  <c r="AZ62" i="109" s="1"/>
  <c r="AX62" i="109" s="1"/>
  <c r="AW62" i="109" s="1"/>
  <c r="BH62" i="109" s="1"/>
  <c r="O26" i="110"/>
  <c r="P26" i="110"/>
  <c r="I26" i="110"/>
  <c r="U66" i="110"/>
  <c r="AV60" i="94"/>
  <c r="AZ60" i="94" s="1"/>
  <c r="AX60" i="94" s="1"/>
  <c r="AW60" i="94" s="1"/>
  <c r="BH60" i="94" s="1"/>
  <c r="BM105" i="94"/>
  <c r="AK67" i="103"/>
  <c r="AN115" i="94"/>
  <c r="AP76" i="94"/>
  <c r="AU77" i="94"/>
  <c r="AV26" i="103"/>
  <c r="AU26" i="103"/>
  <c r="N23" i="61"/>
  <c r="M23" i="61" s="1"/>
  <c r="K23" i="61" s="1"/>
  <c r="O23" i="61"/>
  <c r="M50" i="100" l="1"/>
  <c r="S50" i="100" s="1"/>
  <c r="AU56" i="106"/>
  <c r="AY56" i="106" s="1"/>
  <c r="BL101" i="106"/>
  <c r="AV56" i="106"/>
  <c r="BG56" i="106" s="1"/>
  <c r="L51" i="100"/>
  <c r="P51" i="100" s="1"/>
  <c r="N51" i="100" s="1"/>
  <c r="W86" i="100"/>
  <c r="AU64" i="100"/>
  <c r="AY64" i="100" s="1"/>
  <c r="AW64" i="100" s="1"/>
  <c r="AV64" i="100" s="1"/>
  <c r="BG64" i="100" s="1"/>
  <c r="BL109" i="100"/>
  <c r="AU64" i="105"/>
  <c r="AY64" i="105" s="1"/>
  <c r="AW64" i="105" s="1"/>
  <c r="BL109" i="105"/>
  <c r="AV64" i="105"/>
  <c r="BG64" i="105" s="1"/>
  <c r="E91" i="107"/>
  <c r="G91" i="107" s="1"/>
  <c r="D91" i="107" s="1"/>
  <c r="C92" i="107" s="1"/>
  <c r="F91" i="107"/>
  <c r="AU40" i="88"/>
  <c r="AY40" i="88" s="1"/>
  <c r="AW40" i="88" s="1"/>
  <c r="AT40" i="88" s="1"/>
  <c r="BL85" i="88"/>
  <c r="L41" i="88"/>
  <c r="P41" i="88" s="1"/>
  <c r="N41" i="88" s="1"/>
  <c r="W76" i="88"/>
  <c r="W81" i="109"/>
  <c r="T81" i="109"/>
  <c r="G82" i="109"/>
  <c r="H81" i="109"/>
  <c r="BK81" i="109" s="1"/>
  <c r="I81" i="109"/>
  <c r="BA75" i="88"/>
  <c r="AZ75" i="88"/>
  <c r="AV81" i="88"/>
  <c r="AM120" i="100"/>
  <c r="AO81" i="100"/>
  <c r="G82" i="88"/>
  <c r="H81" i="88"/>
  <c r="BJ81" i="88" s="1"/>
  <c r="G84" i="86"/>
  <c r="H83" i="86"/>
  <c r="BJ83" i="86" s="1"/>
  <c r="AR26" i="59"/>
  <c r="V80" i="105"/>
  <c r="U81" i="105"/>
  <c r="BI81" i="105"/>
  <c r="BH82" i="105"/>
  <c r="G83" i="78"/>
  <c r="H82" i="78"/>
  <c r="BH88" i="78" s="1"/>
  <c r="Q28" i="66"/>
  <c r="A97" i="108"/>
  <c r="B96" i="108"/>
  <c r="AT37" i="86"/>
  <c r="S27" i="59"/>
  <c r="T74" i="59"/>
  <c r="J27" i="59"/>
  <c r="BI48" i="78"/>
  <c r="X82" i="78"/>
  <c r="L42" i="78"/>
  <c r="R42" i="78" s="1"/>
  <c r="J77" i="105"/>
  <c r="X112" i="105"/>
  <c r="BK77" i="105"/>
  <c r="K78" i="105"/>
  <c r="U81" i="100"/>
  <c r="V80" i="100"/>
  <c r="M80" i="86"/>
  <c r="R80" i="86"/>
  <c r="Q80" i="86"/>
  <c r="AP86" i="86"/>
  <c r="AQ85" i="86"/>
  <c r="H27" i="66"/>
  <c r="O27" i="66"/>
  <c r="BK80" i="100"/>
  <c r="X115" i="100"/>
  <c r="AP84" i="91"/>
  <c r="AQ83" i="91"/>
  <c r="K40" i="91"/>
  <c r="V81" i="86"/>
  <c r="U82" i="86"/>
  <c r="AP83" i="100"/>
  <c r="AT82" i="100"/>
  <c r="AQ82" i="100"/>
  <c r="BG51" i="78"/>
  <c r="AS45" i="78"/>
  <c r="BJ90" i="78"/>
  <c r="O146" i="66"/>
  <c r="W147" i="66"/>
  <c r="V85" i="106"/>
  <c r="U86" i="106"/>
  <c r="G84" i="106"/>
  <c r="H83" i="106"/>
  <c r="BJ83" i="106" s="1"/>
  <c r="K83" i="106"/>
  <c r="BH81" i="86"/>
  <c r="BI80" i="86"/>
  <c r="AM78" i="88"/>
  <c r="AO39" i="88"/>
  <c r="AS39" i="88"/>
  <c r="U83" i="75"/>
  <c r="V82" i="75"/>
  <c r="AU40" i="91"/>
  <c r="AY40" i="91" s="1"/>
  <c r="AW40" i="91" s="1"/>
  <c r="AT40" i="91" s="1"/>
  <c r="BL85" i="91"/>
  <c r="BH81" i="106"/>
  <c r="BI80" i="106"/>
  <c r="AP83" i="88"/>
  <c r="AQ82" i="88"/>
  <c r="E112" i="110"/>
  <c r="J111" i="110"/>
  <c r="F111" i="110"/>
  <c r="BK38" i="86"/>
  <c r="X73" i="86"/>
  <c r="J38" i="86"/>
  <c r="L50" i="106"/>
  <c r="P50" i="106" s="1"/>
  <c r="N50" i="106" s="1"/>
  <c r="W85" i="106"/>
  <c r="Q84" i="106"/>
  <c r="R84" i="106"/>
  <c r="J82" i="106"/>
  <c r="X117" i="106"/>
  <c r="BK82" i="106"/>
  <c r="AZ73" i="86"/>
  <c r="BA73" i="86"/>
  <c r="AV79" i="86"/>
  <c r="BI82" i="75"/>
  <c r="BH83" i="75"/>
  <c r="Q81" i="75"/>
  <c r="R81" i="75"/>
  <c r="M81" i="75"/>
  <c r="G86" i="91"/>
  <c r="H85" i="91"/>
  <c r="BJ85" i="91" s="1"/>
  <c r="R84" i="91"/>
  <c r="Q84" i="91"/>
  <c r="M84" i="91"/>
  <c r="L57" i="105"/>
  <c r="P57" i="105" s="1"/>
  <c r="N57" i="105" s="1"/>
  <c r="W92" i="105"/>
  <c r="BA73" i="106"/>
  <c r="AV79" i="106"/>
  <c r="AZ73" i="106"/>
  <c r="AS73" i="106" s="1"/>
  <c r="AP83" i="106"/>
  <c r="AQ82" i="106"/>
  <c r="AT82" i="106"/>
  <c r="Q79" i="100"/>
  <c r="J79" i="100" s="1"/>
  <c r="R79" i="100"/>
  <c r="BA74" i="105"/>
  <c r="AZ74" i="105"/>
  <c r="AS74" i="105" s="1"/>
  <c r="BH84" i="91"/>
  <c r="BI83" i="91"/>
  <c r="U85" i="88"/>
  <c r="V84" i="88"/>
  <c r="AV81" i="75"/>
  <c r="BA75" i="75"/>
  <c r="AZ75" i="75"/>
  <c r="A100" i="107"/>
  <c r="B99" i="107"/>
  <c r="U86" i="91"/>
  <c r="V85" i="91"/>
  <c r="AQ87" i="75"/>
  <c r="AP88" i="75"/>
  <c r="AS40" i="75"/>
  <c r="AM79" i="75"/>
  <c r="AO40" i="75"/>
  <c r="BA73" i="100"/>
  <c r="AV79" i="100"/>
  <c r="AZ73" i="100"/>
  <c r="AS73" i="100" s="1"/>
  <c r="AV40" i="75"/>
  <c r="BG40" i="75" s="1"/>
  <c r="G82" i="100"/>
  <c r="K81" i="100"/>
  <c r="I81" i="100"/>
  <c r="H81" i="100"/>
  <c r="BJ81" i="100" s="1"/>
  <c r="BA76" i="91"/>
  <c r="AZ76" i="91"/>
  <c r="AV82" i="91"/>
  <c r="R83" i="88"/>
  <c r="M83" i="88"/>
  <c r="Q83" i="88"/>
  <c r="G84" i="75"/>
  <c r="H83" i="75"/>
  <c r="BJ83" i="75" s="1"/>
  <c r="AT81" i="105"/>
  <c r="AP82" i="105"/>
  <c r="AQ81" i="105"/>
  <c r="P81" i="78"/>
  <c r="Q81" i="78"/>
  <c r="E86" i="103"/>
  <c r="J85" i="103"/>
  <c r="F85" i="103"/>
  <c r="AZ85" i="103" s="1"/>
  <c r="AQ103" i="78"/>
  <c r="AP104" i="78"/>
  <c r="AS27" i="59"/>
  <c r="G87" i="66"/>
  <c r="U87" i="66"/>
  <c r="AA87" i="66"/>
  <c r="F88" i="66"/>
  <c r="AW44" i="78"/>
  <c r="AU44" i="78" s="1"/>
  <c r="AR44" i="78" s="1"/>
  <c r="AO81" i="106"/>
  <c r="AM120" i="106"/>
  <c r="BH81" i="100"/>
  <c r="BI80" i="100"/>
  <c r="X75" i="88"/>
  <c r="BK40" i="88"/>
  <c r="J40" i="88"/>
  <c r="BI82" i="88"/>
  <c r="BH83" i="88"/>
  <c r="AO80" i="105"/>
  <c r="AM119" i="105"/>
  <c r="G83" i="105"/>
  <c r="H82" i="105"/>
  <c r="BJ82" i="105" s="1"/>
  <c r="I82" i="105"/>
  <c r="U82" i="78"/>
  <c r="T83" i="78"/>
  <c r="Q79" i="105"/>
  <c r="R79" i="105"/>
  <c r="M86" i="66"/>
  <c r="L86" i="66"/>
  <c r="N86" i="66"/>
  <c r="D63" i="108"/>
  <c r="C64" i="108" s="1"/>
  <c r="M38" i="86"/>
  <c r="S38" i="86" s="1"/>
  <c r="BJ80" i="109"/>
  <c r="BI81" i="109"/>
  <c r="BA73" i="109"/>
  <c r="BB73" i="109"/>
  <c r="X71" i="109"/>
  <c r="J35" i="109"/>
  <c r="R80" i="110"/>
  <c r="S79" i="110"/>
  <c r="BL35" i="109"/>
  <c r="K36" i="109"/>
  <c r="J36" i="109" s="1"/>
  <c r="Y70" i="109"/>
  <c r="U82" i="109"/>
  <c r="V81" i="109"/>
  <c r="R80" i="109"/>
  <c r="Q80" i="109"/>
  <c r="K45" i="75"/>
  <c r="M45" i="75" s="1"/>
  <c r="S45" i="75" s="1"/>
  <c r="G25" i="111"/>
  <c r="K25" i="111" s="1"/>
  <c r="Q25" i="111" s="1"/>
  <c r="E86" i="111"/>
  <c r="J85" i="111"/>
  <c r="F85" i="111"/>
  <c r="AZ85" i="111" s="1"/>
  <c r="BB70" i="111"/>
  <c r="AP24" i="111"/>
  <c r="AY24" i="111"/>
  <c r="AI65" i="111"/>
  <c r="AK65" i="111" s="1"/>
  <c r="AL23" i="111"/>
  <c r="AJ64" i="111"/>
  <c r="AX83" i="111"/>
  <c r="L34" i="94"/>
  <c r="P34" i="94" s="1"/>
  <c r="N34" i="94" s="1"/>
  <c r="X69" i="94"/>
  <c r="BL36" i="109"/>
  <c r="Y71" i="109"/>
  <c r="M36" i="109"/>
  <c r="S36" i="109" s="1"/>
  <c r="L37" i="109" s="1"/>
  <c r="AY24" i="112"/>
  <c r="AV24" i="112" s="1"/>
  <c r="R79" i="94"/>
  <c r="Q79" i="94"/>
  <c r="U81" i="94"/>
  <c r="V80" i="94"/>
  <c r="AO24" i="110"/>
  <c r="AL24" i="110" s="1"/>
  <c r="BB70" i="112"/>
  <c r="AI65" i="112"/>
  <c r="AK65" i="112" s="1"/>
  <c r="K25" i="112"/>
  <c r="Q25" i="112" s="1"/>
  <c r="BA25" i="112"/>
  <c r="M26" i="112"/>
  <c r="AN112" i="109"/>
  <c r="AP73" i="109"/>
  <c r="AU74" i="109"/>
  <c r="AT73" i="109"/>
  <c r="AM85" i="112"/>
  <c r="AN84" i="112"/>
  <c r="E84" i="112"/>
  <c r="J83" i="112"/>
  <c r="F83" i="112"/>
  <c r="AZ83" i="112" s="1"/>
  <c r="AX83" i="112"/>
  <c r="BI82" i="94"/>
  <c r="BJ81" i="94"/>
  <c r="BB74" i="94"/>
  <c r="BA74" i="94"/>
  <c r="AT74" i="94" s="1"/>
  <c r="AR81" i="94"/>
  <c r="AQ82" i="94"/>
  <c r="W81" i="94"/>
  <c r="G82" i="94"/>
  <c r="H81" i="94"/>
  <c r="BK81" i="94" s="1"/>
  <c r="T81" i="94"/>
  <c r="I81" i="94"/>
  <c r="BM108" i="109"/>
  <c r="AV63" i="109"/>
  <c r="AZ63" i="109" s="1"/>
  <c r="AX63" i="109" s="1"/>
  <c r="AW63" i="109" s="1"/>
  <c r="BH63" i="109" s="1"/>
  <c r="N26" i="110"/>
  <c r="L26" i="110" s="1"/>
  <c r="AV61" i="94"/>
  <c r="AZ61" i="94" s="1"/>
  <c r="AX61" i="94" s="1"/>
  <c r="AW61" i="94" s="1"/>
  <c r="BH61" i="94" s="1"/>
  <c r="BM106" i="94"/>
  <c r="AT26" i="103"/>
  <c r="AR26" i="103" s="1"/>
  <c r="AU78" i="94"/>
  <c r="AN116" i="94"/>
  <c r="AP77" i="94"/>
  <c r="H23" i="61"/>
  <c r="J23" i="61" s="1"/>
  <c r="L24" i="61"/>
  <c r="AU65" i="100" l="1"/>
  <c r="AY65" i="100" s="1"/>
  <c r="AW65" i="100" s="1"/>
  <c r="BL110" i="100"/>
  <c r="AV65" i="100"/>
  <c r="BG65" i="100" s="1"/>
  <c r="AO40" i="88"/>
  <c r="AS40" i="88"/>
  <c r="AM79" i="88"/>
  <c r="F92" i="107"/>
  <c r="E92" i="107"/>
  <c r="G92" i="107" s="1"/>
  <c r="D92" i="107" s="1"/>
  <c r="C93" i="107" s="1"/>
  <c r="AU65" i="105"/>
  <c r="AY65" i="105" s="1"/>
  <c r="AW65" i="105" s="1"/>
  <c r="BL110" i="105"/>
  <c r="AV65" i="105"/>
  <c r="BG65" i="105" s="1"/>
  <c r="AU57" i="106"/>
  <c r="AY57" i="106" s="1"/>
  <c r="BL102" i="106"/>
  <c r="AV57" i="106"/>
  <c r="BG57" i="106" s="1"/>
  <c r="AS40" i="91"/>
  <c r="AO40" i="91"/>
  <c r="AM79" i="91"/>
  <c r="BI83" i="88"/>
  <c r="BH84" i="88"/>
  <c r="H84" i="75"/>
  <c r="BJ84" i="75" s="1"/>
  <c r="G85" i="75"/>
  <c r="BH82" i="106"/>
  <c r="BI81" i="106"/>
  <c r="AW45" i="78"/>
  <c r="AU45" i="78" s="1"/>
  <c r="AR45" i="78" s="1"/>
  <c r="X75" i="91"/>
  <c r="BK40" i="91"/>
  <c r="J40" i="91"/>
  <c r="BK78" i="105"/>
  <c r="X113" i="105"/>
  <c r="J78" i="105"/>
  <c r="K79" i="105"/>
  <c r="V81" i="105"/>
  <c r="U82" i="105"/>
  <c r="M40" i="91"/>
  <c r="S40" i="91" s="1"/>
  <c r="AV40" i="88"/>
  <c r="BG40" i="88" s="1"/>
  <c r="BA76" i="88"/>
  <c r="AZ76" i="88"/>
  <c r="AV82" i="88"/>
  <c r="R84" i="88"/>
  <c r="Q84" i="88"/>
  <c r="M84" i="88"/>
  <c r="AP87" i="86"/>
  <c r="AQ86" i="86"/>
  <c r="AM83" i="78"/>
  <c r="AO44" i="78"/>
  <c r="AQ104" i="78"/>
  <c r="AP105" i="78"/>
  <c r="AT82" i="105"/>
  <c r="AP83" i="105"/>
  <c r="AQ82" i="105"/>
  <c r="U87" i="91"/>
  <c r="V86" i="91"/>
  <c r="V85" i="88"/>
  <c r="U86" i="88"/>
  <c r="H86" i="91"/>
  <c r="BJ86" i="91" s="1"/>
  <c r="G87" i="91"/>
  <c r="AV40" i="91"/>
  <c r="BG40" i="91" s="1"/>
  <c r="U87" i="106"/>
  <c r="V86" i="106"/>
  <c r="AX45" i="78"/>
  <c r="AT45" i="78"/>
  <c r="AY45" i="78"/>
  <c r="BE45" i="78"/>
  <c r="AP85" i="91"/>
  <c r="AQ84" i="91"/>
  <c r="P27" i="59"/>
  <c r="O27" i="59"/>
  <c r="N27" i="59" s="1"/>
  <c r="L27" i="59" s="1"/>
  <c r="AV45" i="78"/>
  <c r="Q85" i="91"/>
  <c r="M85" i="91"/>
  <c r="R85" i="91"/>
  <c r="G85" i="106"/>
  <c r="K84" i="106"/>
  <c r="H84" i="106"/>
  <c r="BJ84" i="106" s="1"/>
  <c r="AO81" i="105"/>
  <c r="AM120" i="105"/>
  <c r="AV83" i="91"/>
  <c r="AZ77" i="91"/>
  <c r="BA77" i="91"/>
  <c r="E113" i="110"/>
  <c r="J112" i="110"/>
  <c r="F112" i="110"/>
  <c r="AV80" i="86"/>
  <c r="BA74" i="86"/>
  <c r="AZ74" i="86"/>
  <c r="R85" i="106"/>
  <c r="Q85" i="106"/>
  <c r="AS37" i="86"/>
  <c r="AO37" i="86"/>
  <c r="AM76" i="86"/>
  <c r="AO26" i="59"/>
  <c r="AQ26" i="59"/>
  <c r="BB26" i="59" s="1"/>
  <c r="G85" i="86"/>
  <c r="H84" i="86"/>
  <c r="BJ84" i="86" s="1"/>
  <c r="H82" i="88"/>
  <c r="BJ82" i="88" s="1"/>
  <c r="G83" i="88"/>
  <c r="K41" i="88"/>
  <c r="AV37" i="86"/>
  <c r="BG37" i="86" s="1"/>
  <c r="M51" i="100"/>
  <c r="S51" i="100" s="1"/>
  <c r="Q80" i="105"/>
  <c r="R80" i="105"/>
  <c r="H83" i="105"/>
  <c r="BJ83" i="105" s="1"/>
  <c r="I83" i="105"/>
  <c r="G84" i="105"/>
  <c r="U88" i="66"/>
  <c r="G88" i="66"/>
  <c r="F89" i="66"/>
  <c r="AA88" i="66"/>
  <c r="A101" i="107"/>
  <c r="B100" i="107"/>
  <c r="BH85" i="91"/>
  <c r="BI84" i="91"/>
  <c r="AM121" i="106"/>
  <c r="AO82" i="106"/>
  <c r="BH82" i="86"/>
  <c r="BI81" i="86"/>
  <c r="AM121" i="100"/>
  <c r="AO82" i="100"/>
  <c r="K43" i="78"/>
  <c r="O43" i="78" s="1"/>
  <c r="M43" i="78" s="1"/>
  <c r="N44" i="78" s="1"/>
  <c r="W83" i="78"/>
  <c r="L39" i="86"/>
  <c r="P39" i="86" s="1"/>
  <c r="N39" i="86" s="1"/>
  <c r="K39" i="86" s="1"/>
  <c r="W74" i="86"/>
  <c r="U83" i="78"/>
  <c r="T84" i="78"/>
  <c r="BA74" i="100"/>
  <c r="AZ74" i="100"/>
  <c r="AS74" i="100" s="1"/>
  <c r="AV80" i="100"/>
  <c r="X116" i="100"/>
  <c r="BK81" i="100"/>
  <c r="M57" i="105"/>
  <c r="S57" i="105" s="1"/>
  <c r="M50" i="106"/>
  <c r="S50" i="106" s="1"/>
  <c r="AP84" i="88"/>
  <c r="AQ83" i="88"/>
  <c r="W148" i="66"/>
  <c r="O147" i="66"/>
  <c r="AT83" i="100"/>
  <c r="AP84" i="100"/>
  <c r="AQ83" i="100"/>
  <c r="A98" i="108"/>
  <c r="B97" i="108"/>
  <c r="G84" i="78"/>
  <c r="H83" i="78"/>
  <c r="BH89" i="78" s="1"/>
  <c r="G83" i="109"/>
  <c r="T82" i="109"/>
  <c r="W82" i="109"/>
  <c r="H82" i="109"/>
  <c r="BK82" i="109" s="1"/>
  <c r="I82" i="109"/>
  <c r="E64" i="108"/>
  <c r="F64" i="108"/>
  <c r="G64" i="108"/>
  <c r="Q82" i="78"/>
  <c r="P82" i="78"/>
  <c r="BH82" i="100"/>
  <c r="BI81" i="100"/>
  <c r="E87" i="103"/>
  <c r="J86" i="103"/>
  <c r="F86" i="103"/>
  <c r="AZ86" i="103" s="1"/>
  <c r="G83" i="100"/>
  <c r="K82" i="100"/>
  <c r="I82" i="100"/>
  <c r="H82" i="100"/>
  <c r="BJ82" i="100" s="1"/>
  <c r="AQ83" i="106"/>
  <c r="AP84" i="106"/>
  <c r="AT83" i="106"/>
  <c r="BI83" i="75"/>
  <c r="BH84" i="75"/>
  <c r="Q82" i="75"/>
  <c r="R82" i="75"/>
  <c r="M82" i="75"/>
  <c r="BK83" i="106"/>
  <c r="J83" i="106"/>
  <c r="X118" i="106"/>
  <c r="V82" i="86"/>
  <c r="U83" i="86"/>
  <c r="V27" i="66"/>
  <c r="Z27" i="66"/>
  <c r="Q80" i="100"/>
  <c r="J80" i="100" s="1"/>
  <c r="R80" i="100"/>
  <c r="BH83" i="105"/>
  <c r="BI82" i="105"/>
  <c r="N87" i="66"/>
  <c r="M87" i="66"/>
  <c r="L87" i="66"/>
  <c r="AU41" i="75"/>
  <c r="AY41" i="75" s="1"/>
  <c r="AW41" i="75" s="1"/>
  <c r="AT41" i="75" s="1"/>
  <c r="BL86" i="75"/>
  <c r="AP89" i="75"/>
  <c r="AQ88" i="75"/>
  <c r="AZ76" i="75"/>
  <c r="BA76" i="75"/>
  <c r="AV82" i="75"/>
  <c r="AV80" i="106"/>
  <c r="BA74" i="106"/>
  <c r="AZ74" i="106"/>
  <c r="AS74" i="106" s="1"/>
  <c r="V83" i="75"/>
  <c r="U84" i="75"/>
  <c r="Q81" i="86"/>
  <c r="R81" i="86"/>
  <c r="M81" i="86"/>
  <c r="V81" i="100"/>
  <c r="U82" i="100"/>
  <c r="AZ75" i="105"/>
  <c r="AS75" i="105" s="1"/>
  <c r="BA75" i="105"/>
  <c r="BI82" i="109"/>
  <c r="BJ81" i="109"/>
  <c r="BA74" i="109"/>
  <c r="BB74" i="109"/>
  <c r="R81" i="110"/>
  <c r="S80" i="110"/>
  <c r="AJ65" i="110"/>
  <c r="AQ24" i="110"/>
  <c r="AW24" i="110" s="1"/>
  <c r="AI66" i="110" s="1"/>
  <c r="R81" i="109"/>
  <c r="Q81" i="109"/>
  <c r="U83" i="109"/>
  <c r="V82" i="109"/>
  <c r="X80" i="75"/>
  <c r="BK45" i="75"/>
  <c r="J45" i="75"/>
  <c r="W81" i="75"/>
  <c r="L46" i="75"/>
  <c r="P46" i="75" s="1"/>
  <c r="N46" i="75" s="1"/>
  <c r="S26" i="111"/>
  <c r="H26" i="111"/>
  <c r="T67" i="111"/>
  <c r="V67" i="111" s="1"/>
  <c r="Z68" i="111" s="1"/>
  <c r="AU24" i="111"/>
  <c r="AV24" i="111"/>
  <c r="J86" i="111"/>
  <c r="E87" i="111"/>
  <c r="F86" i="111"/>
  <c r="AZ86" i="111" s="1"/>
  <c r="AT24" i="111"/>
  <c r="AR24" i="111" s="1"/>
  <c r="AO24" i="111" s="1"/>
  <c r="AL24" i="111" s="1"/>
  <c r="BA25" i="111"/>
  <c r="AX84" i="111"/>
  <c r="K34" i="94"/>
  <c r="X72" i="109"/>
  <c r="P37" i="109"/>
  <c r="N37" i="109" s="1"/>
  <c r="AU24" i="112"/>
  <c r="AT24" i="112" s="1"/>
  <c r="AR24" i="112" s="1"/>
  <c r="U82" i="94"/>
  <c r="V81" i="94"/>
  <c r="Q80" i="94"/>
  <c r="R80" i="94"/>
  <c r="S26" i="112"/>
  <c r="T67" i="112"/>
  <c r="H26" i="112"/>
  <c r="AN113" i="109"/>
  <c r="AT74" i="109"/>
  <c r="AP74" i="109"/>
  <c r="AU75" i="109"/>
  <c r="E85" i="112"/>
  <c r="J84" i="112"/>
  <c r="F84" i="112"/>
  <c r="AZ84" i="112" s="1"/>
  <c r="AM86" i="112"/>
  <c r="AN85" i="112"/>
  <c r="AX84" i="112"/>
  <c r="BA75" i="94"/>
  <c r="AT75" i="94" s="1"/>
  <c r="BB75" i="94"/>
  <c r="BJ82" i="94"/>
  <c r="BI83" i="94"/>
  <c r="W82" i="94"/>
  <c r="G83" i="94"/>
  <c r="T82" i="94"/>
  <c r="H82" i="94"/>
  <c r="BK82" i="94" s="1"/>
  <c r="I82" i="94"/>
  <c r="AQ83" i="94"/>
  <c r="AR82" i="94"/>
  <c r="BM109" i="109"/>
  <c r="AV64" i="109"/>
  <c r="AZ64" i="109" s="1"/>
  <c r="AX64" i="109" s="1"/>
  <c r="AW64" i="109" s="1"/>
  <c r="BH64" i="109" s="1"/>
  <c r="G26" i="110"/>
  <c r="M27" i="110"/>
  <c r="BM107" i="94"/>
  <c r="AV62" i="94"/>
  <c r="AZ62" i="94" s="1"/>
  <c r="AX62" i="94" s="1"/>
  <c r="AW62" i="94" s="1"/>
  <c r="BH62" i="94" s="1"/>
  <c r="AU79" i="94"/>
  <c r="AN117" i="94"/>
  <c r="AP78" i="94"/>
  <c r="AO26" i="103"/>
  <c r="AQ26" i="103" s="1"/>
  <c r="AW26" i="103" s="1"/>
  <c r="AS27" i="103"/>
  <c r="P23" i="61"/>
  <c r="T53" i="61"/>
  <c r="E93" i="107" l="1"/>
  <c r="F93" i="107"/>
  <c r="G93" i="107"/>
  <c r="D93" i="107" s="1"/>
  <c r="C94" i="107" s="1"/>
  <c r="AU58" i="106"/>
  <c r="AY58" i="106" s="1"/>
  <c r="BL103" i="106"/>
  <c r="AV58" i="106"/>
  <c r="BG58" i="106" s="1"/>
  <c r="I27" i="59"/>
  <c r="BF33" i="59" s="1"/>
  <c r="K27" i="59"/>
  <c r="AU66" i="105"/>
  <c r="AY66" i="105" s="1"/>
  <c r="AW66" i="105" s="1"/>
  <c r="AV66" i="105" s="1"/>
  <c r="BG66" i="105" s="1"/>
  <c r="BL111" i="105"/>
  <c r="AU66" i="100"/>
  <c r="AY66" i="100" s="1"/>
  <c r="AW66" i="100" s="1"/>
  <c r="AV66" i="100" s="1"/>
  <c r="BG66" i="100" s="1"/>
  <c r="BL111" i="100"/>
  <c r="AO41" i="75"/>
  <c r="AM80" i="75"/>
  <c r="AS41" i="75"/>
  <c r="X74" i="86"/>
  <c r="BK39" i="86"/>
  <c r="J39" i="86"/>
  <c r="AZ77" i="75"/>
  <c r="AV83" i="75"/>
  <c r="BA77" i="75"/>
  <c r="H84" i="78"/>
  <c r="BH90" i="78" s="1"/>
  <c r="G85" i="78"/>
  <c r="G88" i="91"/>
  <c r="H87" i="91"/>
  <c r="BJ87" i="91" s="1"/>
  <c r="R81" i="100"/>
  <c r="Q81" i="100"/>
  <c r="J81" i="100" s="1"/>
  <c r="AP90" i="75"/>
  <c r="AQ89" i="75"/>
  <c r="U84" i="86"/>
  <c r="V83" i="86"/>
  <c r="BH85" i="75"/>
  <c r="BI84" i="75"/>
  <c r="M88" i="66"/>
  <c r="N88" i="66"/>
  <c r="L88" i="66"/>
  <c r="G86" i="106"/>
  <c r="K85" i="106"/>
  <c r="H85" i="106"/>
  <c r="BJ85" i="106" s="1"/>
  <c r="R86" i="106"/>
  <c r="Q86" i="106"/>
  <c r="AQ83" i="105"/>
  <c r="AP84" i="105"/>
  <c r="AT83" i="105"/>
  <c r="AU41" i="88"/>
  <c r="AY41" i="88" s="1"/>
  <c r="AW41" i="88" s="1"/>
  <c r="AT41" i="88" s="1"/>
  <c r="BL86" i="88"/>
  <c r="V87" i="106"/>
  <c r="U88" i="106"/>
  <c r="AV41" i="75"/>
  <c r="BG41" i="75" s="1"/>
  <c r="BI83" i="105"/>
  <c r="BH84" i="105"/>
  <c r="AM122" i="106"/>
  <c r="AO83" i="106"/>
  <c r="K83" i="100"/>
  <c r="G84" i="100"/>
  <c r="I83" i="100"/>
  <c r="H83" i="100"/>
  <c r="BJ83" i="100" s="1"/>
  <c r="T83" i="109"/>
  <c r="W83" i="109"/>
  <c r="G84" i="109"/>
  <c r="H83" i="109"/>
  <c r="BK83" i="109" s="1"/>
  <c r="I83" i="109"/>
  <c r="BI85" i="91"/>
  <c r="BH86" i="91"/>
  <c r="H84" i="105"/>
  <c r="BJ84" i="105" s="1"/>
  <c r="I84" i="105"/>
  <c r="G85" i="105"/>
  <c r="AU41" i="91"/>
  <c r="AY41" i="91" s="1"/>
  <c r="AW41" i="91" s="1"/>
  <c r="AT41" i="91" s="1"/>
  <c r="BL86" i="91"/>
  <c r="AP106" i="78"/>
  <c r="AQ105" i="78"/>
  <c r="V82" i="105"/>
  <c r="U83" i="105"/>
  <c r="AT84" i="106"/>
  <c r="AP85" i="106"/>
  <c r="AQ84" i="106"/>
  <c r="D64" i="108"/>
  <c r="C65" i="108" s="1"/>
  <c r="A99" i="108"/>
  <c r="B98" i="108"/>
  <c r="AP85" i="88"/>
  <c r="AQ84" i="88"/>
  <c r="M39" i="86"/>
  <c r="S39" i="86" s="1"/>
  <c r="M52" i="100"/>
  <c r="S52" i="100"/>
  <c r="L52" i="100"/>
  <c r="P52" i="100" s="1"/>
  <c r="N52" i="100" s="1"/>
  <c r="W87" i="100"/>
  <c r="AP86" i="91"/>
  <c r="AQ85" i="91"/>
  <c r="U87" i="88"/>
  <c r="V86" i="88"/>
  <c r="R81" i="105"/>
  <c r="Q81" i="105"/>
  <c r="H85" i="75"/>
  <c r="BJ85" i="75" s="1"/>
  <c r="G86" i="75"/>
  <c r="Q82" i="86"/>
  <c r="M82" i="86"/>
  <c r="R82" i="86"/>
  <c r="W149" i="66"/>
  <c r="O148" i="66"/>
  <c r="AZ78" i="91"/>
  <c r="BA78" i="91"/>
  <c r="AV84" i="91"/>
  <c r="L51" i="106"/>
  <c r="P51" i="106" s="1"/>
  <c r="N51" i="106" s="1"/>
  <c r="M51" i="106"/>
  <c r="S51" i="106"/>
  <c r="W86" i="106"/>
  <c r="BA75" i="86"/>
  <c r="AZ75" i="86"/>
  <c r="AV81" i="86"/>
  <c r="A102" i="107"/>
  <c r="B101" i="107"/>
  <c r="AU38" i="86"/>
  <c r="AY38" i="86" s="1"/>
  <c r="AW38" i="86" s="1"/>
  <c r="AV38" i="86" s="1"/>
  <c r="BG38" i="86" s="1"/>
  <c r="AT38" i="86"/>
  <c r="BL83" i="86"/>
  <c r="G84" i="88"/>
  <c r="H83" i="88"/>
  <c r="BJ83" i="88" s="1"/>
  <c r="E114" i="110"/>
  <c r="J113" i="110"/>
  <c r="F113" i="110"/>
  <c r="BG52" i="78"/>
  <c r="BJ91" i="78"/>
  <c r="AS46" i="78"/>
  <c r="R85" i="88"/>
  <c r="Q85" i="88"/>
  <c r="M85" i="88"/>
  <c r="BA76" i="105"/>
  <c r="AZ76" i="105"/>
  <c r="AS76" i="105" s="1"/>
  <c r="L41" i="91"/>
  <c r="P41" i="91" s="1"/>
  <c r="N41" i="91" s="1"/>
  <c r="K41" i="91" s="1"/>
  <c r="W76" i="91"/>
  <c r="E88" i="103"/>
  <c r="J87" i="103"/>
  <c r="F87" i="103"/>
  <c r="AZ87" i="103" s="1"/>
  <c r="AT84" i="100"/>
  <c r="AP85" i="100"/>
  <c r="AQ84" i="100"/>
  <c r="L58" i="105"/>
  <c r="P58" i="105" s="1"/>
  <c r="N58" i="105" s="1"/>
  <c r="M58" i="105"/>
  <c r="S58" i="105" s="1"/>
  <c r="W93" i="105"/>
  <c r="T85" i="78"/>
  <c r="U84" i="78"/>
  <c r="J43" i="78"/>
  <c r="BH83" i="86"/>
  <c r="BI82" i="86"/>
  <c r="J41" i="88"/>
  <c r="BK41" i="88"/>
  <c r="X76" i="88"/>
  <c r="G86" i="86"/>
  <c r="H85" i="86"/>
  <c r="BJ85" i="86" s="1"/>
  <c r="M86" i="91"/>
  <c r="R86" i="91"/>
  <c r="Q86" i="91"/>
  <c r="AO45" i="78"/>
  <c r="AM84" i="78"/>
  <c r="AM121" i="105"/>
  <c r="AO82" i="105"/>
  <c r="U85" i="75"/>
  <c r="V84" i="75"/>
  <c r="R83" i="75"/>
  <c r="M83" i="75"/>
  <c r="Q83" i="75"/>
  <c r="AV81" i="100"/>
  <c r="AZ75" i="100"/>
  <c r="AS75" i="100" s="1"/>
  <c r="BA75" i="100"/>
  <c r="AO83" i="100"/>
  <c r="AM122" i="100"/>
  <c r="P83" i="78"/>
  <c r="Q83" i="78"/>
  <c r="BD33" i="59"/>
  <c r="BG72" i="59"/>
  <c r="AP27" i="59"/>
  <c r="BK84" i="106"/>
  <c r="X119" i="106"/>
  <c r="J84" i="106"/>
  <c r="M28" i="59"/>
  <c r="V87" i="91"/>
  <c r="U88" i="91"/>
  <c r="BK79" i="105"/>
  <c r="X114" i="105"/>
  <c r="J79" i="105"/>
  <c r="K80" i="105"/>
  <c r="AZ75" i="106"/>
  <c r="AS75" i="106" s="1"/>
  <c r="AV81" i="106"/>
  <c r="BA75" i="106"/>
  <c r="BI84" i="88"/>
  <c r="BH85" i="88"/>
  <c r="AJ65" i="111"/>
  <c r="V82" i="100"/>
  <c r="U83" i="100"/>
  <c r="K28" i="66"/>
  <c r="J28" i="66"/>
  <c r="I28" i="66" s="1"/>
  <c r="X28" i="66"/>
  <c r="X117" i="100"/>
  <c r="BK82" i="100"/>
  <c r="BI82" i="100"/>
  <c r="BH83" i="100"/>
  <c r="L43" i="78"/>
  <c r="R43" i="78" s="1"/>
  <c r="U89" i="66"/>
  <c r="G89" i="66"/>
  <c r="F90" i="66"/>
  <c r="AA89" i="66"/>
  <c r="AJ65" i="59"/>
  <c r="AL26" i="59"/>
  <c r="AV46" i="78"/>
  <c r="AP88" i="86"/>
  <c r="AQ87" i="86"/>
  <c r="BH83" i="106"/>
  <c r="BI82" i="106"/>
  <c r="AZ77" i="88"/>
  <c r="BA77" i="88"/>
  <c r="AV83" i="88"/>
  <c r="M41" i="88"/>
  <c r="S41" i="88" s="1"/>
  <c r="BB71" i="110"/>
  <c r="BB75" i="109"/>
  <c r="BA75" i="109"/>
  <c r="AT75" i="109" s="1"/>
  <c r="AY25" i="110"/>
  <c r="BI83" i="109"/>
  <c r="BJ82" i="109"/>
  <c r="AP25" i="110"/>
  <c r="R82" i="110"/>
  <c r="S81" i="110"/>
  <c r="Q82" i="109"/>
  <c r="R82" i="109"/>
  <c r="V83" i="109"/>
  <c r="U84" i="109"/>
  <c r="K37" i="109"/>
  <c r="Y72" i="109" s="1"/>
  <c r="K46" i="75"/>
  <c r="J87" i="111"/>
  <c r="E88" i="111"/>
  <c r="F87" i="111"/>
  <c r="AZ87" i="111" s="1"/>
  <c r="I26" i="111"/>
  <c r="U66" i="111"/>
  <c r="AQ24" i="111"/>
  <c r="AW24" i="111" s="1"/>
  <c r="AS25" i="111"/>
  <c r="O26" i="111"/>
  <c r="P26" i="111"/>
  <c r="AX85" i="111"/>
  <c r="J34" i="94"/>
  <c r="Y69" i="94"/>
  <c r="BL34" i="94"/>
  <c r="M34" i="94"/>
  <c r="S34" i="94" s="1"/>
  <c r="R81" i="94"/>
  <c r="Q81" i="94"/>
  <c r="V82" i="94"/>
  <c r="U83" i="94"/>
  <c r="AV25" i="110"/>
  <c r="AU25" i="110"/>
  <c r="AK66" i="110"/>
  <c r="I26" i="112"/>
  <c r="V67" i="112"/>
  <c r="Z68" i="112" s="1"/>
  <c r="U66" i="112"/>
  <c r="P26" i="112"/>
  <c r="O26" i="112"/>
  <c r="AP75" i="109"/>
  <c r="AN114" i="109"/>
  <c r="AU76" i="109"/>
  <c r="AX85" i="112"/>
  <c r="J85" i="112"/>
  <c r="E86" i="112"/>
  <c r="F85" i="112"/>
  <c r="AZ85" i="112" s="1"/>
  <c r="AO24" i="112"/>
  <c r="AQ24" i="112" s="1"/>
  <c r="AW24" i="112" s="1"/>
  <c r="AS25" i="112"/>
  <c r="AM87" i="112"/>
  <c r="AN86" i="112"/>
  <c r="BI84" i="94"/>
  <c r="BJ83" i="94"/>
  <c r="BA76" i="94"/>
  <c r="AT76" i="94" s="1"/>
  <c r="BB76" i="94"/>
  <c r="AQ84" i="94"/>
  <c r="AR83" i="94"/>
  <c r="W83" i="94"/>
  <c r="G84" i="94"/>
  <c r="T83" i="94"/>
  <c r="H83" i="94"/>
  <c r="BK83" i="94" s="1"/>
  <c r="I83" i="94"/>
  <c r="BM110" i="109"/>
  <c r="AV65" i="109"/>
  <c r="AZ65" i="109" s="1"/>
  <c r="AX65" i="109" s="1"/>
  <c r="AW65" i="109" s="1"/>
  <c r="BH65" i="109" s="1"/>
  <c r="BA26" i="110"/>
  <c r="K26" i="110"/>
  <c r="Q26" i="110" s="1"/>
  <c r="BM108" i="94"/>
  <c r="AV63" i="94"/>
  <c r="AZ63" i="94" s="1"/>
  <c r="AX63" i="94" s="1"/>
  <c r="AW63" i="94" s="1"/>
  <c r="BH63" i="94" s="1"/>
  <c r="AU80" i="94"/>
  <c r="AP79" i="94"/>
  <c r="AN118" i="94"/>
  <c r="AP27" i="103"/>
  <c r="BB73" i="103"/>
  <c r="AI68" i="103"/>
  <c r="AY27" i="103"/>
  <c r="AL26" i="103"/>
  <c r="AJ67" i="103"/>
  <c r="S54" i="61"/>
  <c r="I24" i="61"/>
  <c r="R24" i="61"/>
  <c r="BK41" i="91" l="1"/>
  <c r="X76" i="91"/>
  <c r="J41" i="91"/>
  <c r="M41" i="91"/>
  <c r="S41" i="91" s="1"/>
  <c r="AU39" i="86"/>
  <c r="AY39" i="86" s="1"/>
  <c r="AW39" i="86" s="1"/>
  <c r="AT39" i="86" s="1"/>
  <c r="BL84" i="86"/>
  <c r="AU59" i="106"/>
  <c r="AY59" i="106" s="1"/>
  <c r="BL104" i="106"/>
  <c r="AV59" i="106"/>
  <c r="BG59" i="106"/>
  <c r="AS41" i="88"/>
  <c r="AO41" i="88"/>
  <c r="AM80" i="88"/>
  <c r="AM80" i="91"/>
  <c r="AS41" i="91"/>
  <c r="AO41" i="91"/>
  <c r="AV41" i="91"/>
  <c r="BG41" i="91" s="1"/>
  <c r="AU67" i="100"/>
  <c r="AY67" i="100" s="1"/>
  <c r="AW67" i="100" s="1"/>
  <c r="BL112" i="100"/>
  <c r="AV67" i="100"/>
  <c r="BG67" i="100" s="1"/>
  <c r="E94" i="107"/>
  <c r="F94" i="107"/>
  <c r="G94" i="107"/>
  <c r="D94" i="107" s="1"/>
  <c r="C95" i="107" s="1"/>
  <c r="M59" i="105"/>
  <c r="L59" i="105"/>
  <c r="P59" i="105" s="1"/>
  <c r="N59" i="105" s="1"/>
  <c r="S59" i="105"/>
  <c r="W94" i="105"/>
  <c r="AU67" i="105"/>
  <c r="AY67" i="105" s="1"/>
  <c r="AW67" i="105" s="1"/>
  <c r="BL112" i="105"/>
  <c r="AV67" i="105"/>
  <c r="BG67" i="105" s="1"/>
  <c r="U86" i="75"/>
  <c r="V85" i="75"/>
  <c r="W84" i="78"/>
  <c r="K44" i="78"/>
  <c r="O44" i="78" s="1"/>
  <c r="M44" i="78" s="1"/>
  <c r="N45" i="78" s="1"/>
  <c r="BA78" i="88"/>
  <c r="AZ78" i="88"/>
  <c r="AV84" i="88"/>
  <c r="R84" i="75"/>
  <c r="M84" i="75"/>
  <c r="Q84" i="75"/>
  <c r="BI49" i="78"/>
  <c r="X83" i="78"/>
  <c r="AT85" i="100"/>
  <c r="AP86" i="100"/>
  <c r="AQ85" i="100"/>
  <c r="E115" i="110"/>
  <c r="J114" i="110"/>
  <c r="F114" i="110"/>
  <c r="G85" i="88"/>
  <c r="H84" i="88"/>
  <c r="BJ84" i="88" s="1"/>
  <c r="E65" i="108"/>
  <c r="G65" i="108"/>
  <c r="F65" i="108"/>
  <c r="AM123" i="100"/>
  <c r="AO84" i="100"/>
  <c r="AZ76" i="100"/>
  <c r="AS76" i="100" s="1"/>
  <c r="BA76" i="100"/>
  <c r="AV82" i="100"/>
  <c r="R28" i="66"/>
  <c r="P28" i="66" s="1"/>
  <c r="M87" i="91"/>
  <c r="Q87" i="91"/>
  <c r="R87" i="91"/>
  <c r="H86" i="86"/>
  <c r="BJ86" i="86" s="1"/>
  <c r="G87" i="86"/>
  <c r="T86" i="78"/>
  <c r="U85" i="78"/>
  <c r="AP86" i="106"/>
  <c r="AT85" i="106"/>
  <c r="AQ85" i="106"/>
  <c r="AV41" i="88"/>
  <c r="BG41" i="88" s="1"/>
  <c r="G86" i="78"/>
  <c r="H85" i="78"/>
  <c r="BH91" i="78" s="1"/>
  <c r="R86" i="88"/>
  <c r="Q86" i="88"/>
  <c r="M86" i="88"/>
  <c r="L40" i="86"/>
  <c r="P40" i="86" s="1"/>
  <c r="N40" i="86" s="1"/>
  <c r="K40" i="86" s="1"/>
  <c r="W75" i="86"/>
  <c r="AO84" i="106"/>
  <c r="AM123" i="106"/>
  <c r="BI86" i="91"/>
  <c r="BH87" i="91"/>
  <c r="BI84" i="105"/>
  <c r="BH85" i="105"/>
  <c r="AZ76" i="106"/>
  <c r="AS76" i="106" s="1"/>
  <c r="BA76" i="106"/>
  <c r="AV82" i="106"/>
  <c r="U84" i="100"/>
  <c r="V83" i="100"/>
  <c r="E89" i="103"/>
  <c r="J88" i="103"/>
  <c r="F88" i="103"/>
  <c r="AZ88" i="103" s="1"/>
  <c r="AM77" i="86"/>
  <c r="AS38" i="86"/>
  <c r="AO38" i="86"/>
  <c r="V87" i="88"/>
  <c r="U88" i="88"/>
  <c r="V83" i="105"/>
  <c r="U84" i="105"/>
  <c r="AZ79" i="91"/>
  <c r="AV85" i="91"/>
  <c r="BA79" i="91"/>
  <c r="AZ77" i="105"/>
  <c r="AS77" i="105" s="1"/>
  <c r="BA77" i="105"/>
  <c r="BA78" i="75"/>
  <c r="AV84" i="75"/>
  <c r="AZ78" i="75"/>
  <c r="G89" i="91"/>
  <c r="H88" i="91"/>
  <c r="BJ88" i="91" s="1"/>
  <c r="AU27" i="59"/>
  <c r="AV27" i="59"/>
  <c r="BH84" i="106"/>
  <c r="BI83" i="106"/>
  <c r="U90" i="66"/>
  <c r="G90" i="66"/>
  <c r="F91" i="66"/>
  <c r="AA90" i="66"/>
  <c r="Q82" i="100"/>
  <c r="J82" i="100" s="1"/>
  <c r="R82" i="100"/>
  <c r="X115" i="105"/>
  <c r="BK80" i="105"/>
  <c r="J80" i="105"/>
  <c r="K81" i="105"/>
  <c r="BE46" i="78"/>
  <c r="AT46" i="78"/>
  <c r="AY46" i="78"/>
  <c r="AX46" i="78"/>
  <c r="L52" i="106"/>
  <c r="P52" i="106" s="1"/>
  <c r="N52" i="106" s="1"/>
  <c r="M52" i="106"/>
  <c r="S52" i="106" s="1"/>
  <c r="W87" i="106"/>
  <c r="AP86" i="88"/>
  <c r="AQ85" i="88"/>
  <c r="Q82" i="105"/>
  <c r="R82" i="105"/>
  <c r="G85" i="100"/>
  <c r="K84" i="100"/>
  <c r="I84" i="100"/>
  <c r="H84" i="100"/>
  <c r="BJ84" i="100" s="1"/>
  <c r="AU42" i="75"/>
  <c r="AY42" i="75" s="1"/>
  <c r="AW42" i="75" s="1"/>
  <c r="AT42" i="75" s="1"/>
  <c r="BL87" i="75"/>
  <c r="AM122" i="105"/>
  <c r="AO83" i="105"/>
  <c r="X120" i="106"/>
  <c r="J85" i="106"/>
  <c r="BK85" i="106"/>
  <c r="BI85" i="75"/>
  <c r="BH86" i="75"/>
  <c r="U89" i="91"/>
  <c r="V88" i="91"/>
  <c r="L89" i="66"/>
  <c r="N89" i="66"/>
  <c r="M89" i="66"/>
  <c r="BA76" i="86"/>
  <c r="AV82" i="86"/>
  <c r="AZ76" i="86"/>
  <c r="O149" i="66"/>
  <c r="W150" i="66"/>
  <c r="G87" i="75"/>
  <c r="H86" i="75"/>
  <c r="BJ86" i="75" s="1"/>
  <c r="AP87" i="91"/>
  <c r="AQ86" i="91"/>
  <c r="I85" i="105"/>
  <c r="H85" i="105"/>
  <c r="BJ85" i="105" s="1"/>
  <c r="G86" i="105"/>
  <c r="U89" i="106"/>
  <c r="V88" i="106"/>
  <c r="AQ84" i="105"/>
  <c r="AT84" i="105"/>
  <c r="AP85" i="105"/>
  <c r="Q83" i="86"/>
  <c r="R83" i="86"/>
  <c r="M83" i="86"/>
  <c r="U74" i="59"/>
  <c r="Q27" i="59"/>
  <c r="M37" i="109"/>
  <c r="S37" i="109" s="1"/>
  <c r="L38" i="109" s="1"/>
  <c r="BH84" i="100"/>
  <c r="BI83" i="100"/>
  <c r="P84" i="78"/>
  <c r="Q84" i="78"/>
  <c r="L53" i="100"/>
  <c r="P53" i="100" s="1"/>
  <c r="N53" i="100" s="1"/>
  <c r="W88" i="100"/>
  <c r="AQ90" i="75"/>
  <c r="AP91" i="75"/>
  <c r="K42" i="88"/>
  <c r="L42" i="88"/>
  <c r="P42" i="88" s="1"/>
  <c r="N42" i="88" s="1"/>
  <c r="W77" i="88"/>
  <c r="AP89" i="86"/>
  <c r="AQ88" i="86"/>
  <c r="T28" i="66"/>
  <c r="S28" i="66"/>
  <c r="BI85" i="88"/>
  <c r="BH86" i="88"/>
  <c r="AT27" i="59"/>
  <c r="AR27" i="59" s="1"/>
  <c r="AO27" i="59" s="1"/>
  <c r="BI83" i="86"/>
  <c r="BH84" i="86"/>
  <c r="A103" i="107"/>
  <c r="B102" i="107"/>
  <c r="A100" i="108"/>
  <c r="B99" i="108"/>
  <c r="AP107" i="78"/>
  <c r="AQ106" i="78"/>
  <c r="W84" i="109"/>
  <c r="G85" i="109"/>
  <c r="T84" i="109"/>
  <c r="H84" i="109"/>
  <c r="BK84" i="109" s="1"/>
  <c r="I84" i="109"/>
  <c r="X118" i="100"/>
  <c r="BK83" i="100"/>
  <c r="R87" i="106"/>
  <c r="Q87" i="106"/>
  <c r="G87" i="106"/>
  <c r="K86" i="106"/>
  <c r="H86" i="106"/>
  <c r="BJ86" i="106" s="1"/>
  <c r="U85" i="86"/>
  <c r="V84" i="86"/>
  <c r="BA76" i="109"/>
  <c r="AT76" i="109" s="1"/>
  <c r="BB76" i="109"/>
  <c r="BJ83" i="109"/>
  <c r="BI84" i="109"/>
  <c r="R83" i="110"/>
  <c r="S82" i="110"/>
  <c r="R83" i="109"/>
  <c r="Q83" i="109"/>
  <c r="V84" i="109"/>
  <c r="U85" i="109"/>
  <c r="BL37" i="109"/>
  <c r="J37" i="109"/>
  <c r="X81" i="75"/>
  <c r="BK46" i="75"/>
  <c r="J46" i="75"/>
  <c r="M46" i="75"/>
  <c r="S46" i="75" s="1"/>
  <c r="E89" i="111"/>
  <c r="J88" i="111"/>
  <c r="F88" i="111"/>
  <c r="AZ88" i="111" s="1"/>
  <c r="AP25" i="111"/>
  <c r="BB71" i="111"/>
  <c r="AY25" i="111"/>
  <c r="AI66" i="111"/>
  <c r="AK66" i="111" s="1"/>
  <c r="N26" i="111"/>
  <c r="L26" i="111" s="1"/>
  <c r="AX86" i="111"/>
  <c r="L35" i="94"/>
  <c r="P35" i="94" s="1"/>
  <c r="N35" i="94" s="1"/>
  <c r="X70" i="94"/>
  <c r="K38" i="109"/>
  <c r="X73" i="109"/>
  <c r="V83" i="94"/>
  <c r="U84" i="94"/>
  <c r="R82" i="94"/>
  <c r="Q82" i="94"/>
  <c r="AT25" i="110"/>
  <c r="AR25" i="110" s="1"/>
  <c r="AS26" i="110" s="1"/>
  <c r="N26" i="112"/>
  <c r="L26" i="112" s="1"/>
  <c r="AN115" i="109"/>
  <c r="AP76" i="109"/>
  <c r="AU77" i="109"/>
  <c r="AY25" i="112"/>
  <c r="AI66" i="112"/>
  <c r="BB71" i="112"/>
  <c r="AP25" i="112"/>
  <c r="J86" i="112"/>
  <c r="E87" i="112"/>
  <c r="F86" i="112"/>
  <c r="AZ86" i="112" s="1"/>
  <c r="AM88" i="112"/>
  <c r="AN87" i="112"/>
  <c r="AL24" i="112"/>
  <c r="AJ65" i="112"/>
  <c r="AX86" i="112"/>
  <c r="BB77" i="94"/>
  <c r="BA77" i="94"/>
  <c r="AT77" i="94" s="1"/>
  <c r="BJ84" i="94"/>
  <c r="BI85" i="94"/>
  <c r="W84" i="94"/>
  <c r="G85" i="94"/>
  <c r="T84" i="94"/>
  <c r="H84" i="94"/>
  <c r="BK84" i="94" s="1"/>
  <c r="I84" i="94"/>
  <c r="AQ85" i="94"/>
  <c r="AR84" i="94"/>
  <c r="BM111" i="109"/>
  <c r="AV66" i="109"/>
  <c r="AZ66" i="109" s="1"/>
  <c r="AX66" i="109" s="1"/>
  <c r="AW66" i="109" s="1"/>
  <c r="BH66" i="109" s="1"/>
  <c r="H27" i="110"/>
  <c r="T68" i="110"/>
  <c r="BM109" i="94"/>
  <c r="AV64" i="94"/>
  <c r="AZ64" i="94" s="1"/>
  <c r="AX64" i="94" s="1"/>
  <c r="AW64" i="94" s="1"/>
  <c r="BH64" i="94" s="1"/>
  <c r="AP80" i="94"/>
  <c r="AN119" i="94"/>
  <c r="AU81" i="94"/>
  <c r="AV27" i="103"/>
  <c r="AU27" i="103"/>
  <c r="AK68" i="103"/>
  <c r="O24" i="61"/>
  <c r="N24" i="61"/>
  <c r="L53" i="106" l="1"/>
  <c r="P53" i="106" s="1"/>
  <c r="N53" i="106" s="1"/>
  <c r="W88" i="106"/>
  <c r="AU68" i="105"/>
  <c r="AY68" i="105" s="1"/>
  <c r="AW68" i="105" s="1"/>
  <c r="BL113" i="105"/>
  <c r="BG68" i="105"/>
  <c r="AV68" i="105"/>
  <c r="AS39" i="86"/>
  <c r="AM78" i="86"/>
  <c r="AO39" i="86"/>
  <c r="J40" i="86"/>
  <c r="X75" i="86"/>
  <c r="BK40" i="86"/>
  <c r="M40" i="86"/>
  <c r="S40" i="86" s="1"/>
  <c r="AU68" i="100"/>
  <c r="AY68" i="100" s="1"/>
  <c r="AW68" i="100" s="1"/>
  <c r="BL113" i="100"/>
  <c r="AV68" i="100"/>
  <c r="BG68" i="100"/>
  <c r="AS42" i="75"/>
  <c r="AO42" i="75"/>
  <c r="AM81" i="75"/>
  <c r="E95" i="107"/>
  <c r="G95" i="107" s="1"/>
  <c r="D95" i="107" s="1"/>
  <c r="C96" i="107" s="1"/>
  <c r="F95" i="107"/>
  <c r="A104" i="107"/>
  <c r="B103" i="107"/>
  <c r="BI84" i="100"/>
  <c r="BH85" i="100"/>
  <c r="AP86" i="105"/>
  <c r="AQ85" i="105"/>
  <c r="AT85" i="105"/>
  <c r="I85" i="100"/>
  <c r="G86" i="100"/>
  <c r="K85" i="100"/>
  <c r="H85" i="100"/>
  <c r="BJ85" i="100" s="1"/>
  <c r="K87" i="106"/>
  <c r="G88" i="106"/>
  <c r="H87" i="106"/>
  <c r="BJ87" i="106" s="1"/>
  <c r="AP92" i="75"/>
  <c r="AQ91" i="75"/>
  <c r="AV83" i="100"/>
  <c r="AZ77" i="100"/>
  <c r="AS77" i="100" s="1"/>
  <c r="BA77" i="100"/>
  <c r="BA79" i="75"/>
  <c r="AV85" i="75"/>
  <c r="AZ79" i="75"/>
  <c r="AV42" i="75"/>
  <c r="BG42" i="75" s="1"/>
  <c r="X119" i="100"/>
  <c r="BK84" i="100"/>
  <c r="AA91" i="66"/>
  <c r="U91" i="66"/>
  <c r="F92" i="66"/>
  <c r="G91" i="66"/>
  <c r="AQ27" i="59"/>
  <c r="BB27" i="59" s="1"/>
  <c r="G90" i="91"/>
  <c r="H89" i="91"/>
  <c r="BJ89" i="91" s="1"/>
  <c r="Q87" i="88"/>
  <c r="R87" i="88"/>
  <c r="M87" i="88"/>
  <c r="R83" i="100"/>
  <c r="Q83" i="100"/>
  <c r="J83" i="100" s="1"/>
  <c r="BH88" i="91"/>
  <c r="BI87" i="91"/>
  <c r="AM124" i="106"/>
  <c r="AO85" i="106"/>
  <c r="E116" i="110"/>
  <c r="J115" i="110"/>
  <c r="F115" i="110"/>
  <c r="AV39" i="86"/>
  <c r="BG39" i="86" s="1"/>
  <c r="R84" i="86"/>
  <c r="M84" i="86"/>
  <c r="Q84" i="86"/>
  <c r="G86" i="109"/>
  <c r="W85" i="109"/>
  <c r="T85" i="109"/>
  <c r="H85" i="109"/>
  <c r="BK85" i="109" s="1"/>
  <c r="I85" i="109"/>
  <c r="BI84" i="86"/>
  <c r="BH85" i="86"/>
  <c r="AP90" i="86"/>
  <c r="AQ89" i="86"/>
  <c r="AM123" i="105"/>
  <c r="AO84" i="105"/>
  <c r="G88" i="75"/>
  <c r="H87" i="75"/>
  <c r="BJ87" i="75" s="1"/>
  <c r="P85" i="78"/>
  <c r="Q85" i="78"/>
  <c r="G88" i="86"/>
  <c r="H87" i="86"/>
  <c r="BJ87" i="86" s="1"/>
  <c r="AT86" i="100"/>
  <c r="AP87" i="100"/>
  <c r="AQ86" i="100"/>
  <c r="R85" i="75"/>
  <c r="M85" i="75"/>
  <c r="Q85" i="75"/>
  <c r="L60" i="105"/>
  <c r="P60" i="105" s="1"/>
  <c r="N60" i="105" s="1"/>
  <c r="M60" i="105"/>
  <c r="S60" i="105" s="1"/>
  <c r="W95" i="105"/>
  <c r="V85" i="86"/>
  <c r="U86" i="86"/>
  <c r="BA77" i="86"/>
  <c r="AV83" i="86"/>
  <c r="AZ77" i="86"/>
  <c r="S28" i="59"/>
  <c r="J28" i="59"/>
  <c r="T75" i="59"/>
  <c r="AZ77" i="106"/>
  <c r="AS77" i="106" s="1"/>
  <c r="AV83" i="106"/>
  <c r="BA77" i="106"/>
  <c r="T87" i="78"/>
  <c r="U86" i="78"/>
  <c r="AM124" i="100"/>
  <c r="AO85" i="100"/>
  <c r="U87" i="75"/>
  <c r="V86" i="75"/>
  <c r="AU60" i="106"/>
  <c r="AY60" i="106" s="1"/>
  <c r="BL105" i="106"/>
  <c r="L90" i="66"/>
  <c r="N90" i="66"/>
  <c r="M90" i="66"/>
  <c r="AV86" i="91"/>
  <c r="BA80" i="91"/>
  <c r="AZ80" i="91"/>
  <c r="AQ86" i="106"/>
  <c r="AP87" i="106"/>
  <c r="AT86" i="106"/>
  <c r="AL27" i="59"/>
  <c r="AJ66" i="59"/>
  <c r="M53" i="100"/>
  <c r="S53" i="100" s="1"/>
  <c r="R88" i="106"/>
  <c r="Q88" i="106"/>
  <c r="O150" i="66"/>
  <c r="W151" i="66"/>
  <c r="BH85" i="106"/>
  <c r="BI84" i="106"/>
  <c r="D65" i="108"/>
  <c r="C66" i="108" s="1"/>
  <c r="AU42" i="91"/>
  <c r="AY42" i="91" s="1"/>
  <c r="AW42" i="91" s="1"/>
  <c r="AT42" i="91" s="1"/>
  <c r="BL87" i="91"/>
  <c r="L42" i="91"/>
  <c r="P42" i="91" s="1"/>
  <c r="N42" i="91" s="1"/>
  <c r="K42" i="91" s="1"/>
  <c r="W77" i="91"/>
  <c r="AP108" i="78"/>
  <c r="AQ108" i="78" s="1"/>
  <c r="AQ107" i="78"/>
  <c r="BH87" i="88"/>
  <c r="BI86" i="88"/>
  <c r="BK42" i="88"/>
  <c r="J42" i="88"/>
  <c r="X77" i="88"/>
  <c r="U90" i="106"/>
  <c r="V89" i="106"/>
  <c r="AP88" i="91"/>
  <c r="AQ87" i="91"/>
  <c r="Q88" i="91"/>
  <c r="R88" i="91"/>
  <c r="M88" i="91"/>
  <c r="U85" i="105"/>
  <c r="V84" i="105"/>
  <c r="G87" i="78"/>
  <c r="H86" i="78"/>
  <c r="BH92" i="78" s="1"/>
  <c r="G86" i="88"/>
  <c r="H85" i="88"/>
  <c r="BJ85" i="88" s="1"/>
  <c r="U85" i="100"/>
  <c r="V84" i="100"/>
  <c r="H28" i="66"/>
  <c r="O28" i="66" s="1"/>
  <c r="BA79" i="88"/>
  <c r="AZ79" i="88"/>
  <c r="AV85" i="88"/>
  <c r="V89" i="91"/>
  <c r="U90" i="91"/>
  <c r="AP87" i="88"/>
  <c r="AQ86" i="88"/>
  <c r="BG53" i="78"/>
  <c r="AS47" i="78"/>
  <c r="BJ92" i="78"/>
  <c r="AS28" i="59"/>
  <c r="Q83" i="105"/>
  <c r="R83" i="105"/>
  <c r="E90" i="103"/>
  <c r="J89" i="103"/>
  <c r="F89" i="103"/>
  <c r="AZ89" i="103" s="1"/>
  <c r="BI85" i="105"/>
  <c r="BH86" i="105"/>
  <c r="AW46" i="78"/>
  <c r="AU46" i="78" s="1"/>
  <c r="AR46" i="78" s="1"/>
  <c r="AT42" i="88"/>
  <c r="AU42" i="88"/>
  <c r="AY42" i="88" s="1"/>
  <c r="AW42" i="88" s="1"/>
  <c r="BL87" i="88"/>
  <c r="J44" i="78"/>
  <c r="BK86" i="106"/>
  <c r="X121" i="106"/>
  <c r="J86" i="106"/>
  <c r="A101" i="108"/>
  <c r="B100" i="108"/>
  <c r="Q29" i="66"/>
  <c r="M42" i="88"/>
  <c r="S42" i="88" s="1"/>
  <c r="G87" i="105"/>
  <c r="I86" i="105"/>
  <c r="H86" i="105"/>
  <c r="BJ86" i="105" s="1"/>
  <c r="BH87" i="75"/>
  <c r="BI86" i="75"/>
  <c r="X116" i="105"/>
  <c r="BK81" i="105"/>
  <c r="J81" i="105"/>
  <c r="K82" i="105"/>
  <c r="V88" i="88"/>
  <c r="U89" i="88"/>
  <c r="BA78" i="105"/>
  <c r="AZ78" i="105"/>
  <c r="AS78" i="105" s="1"/>
  <c r="BB77" i="109"/>
  <c r="BA77" i="109"/>
  <c r="AT77" i="109" s="1"/>
  <c r="BI85" i="109"/>
  <c r="BJ84" i="109"/>
  <c r="R84" i="110"/>
  <c r="S83" i="110"/>
  <c r="R84" i="109"/>
  <c r="Q84" i="109"/>
  <c r="V85" i="109"/>
  <c r="U86" i="109"/>
  <c r="W82" i="75"/>
  <c r="L47" i="75"/>
  <c r="P47" i="75" s="1"/>
  <c r="N47" i="75" s="1"/>
  <c r="K47" i="75" s="1"/>
  <c r="G26" i="111"/>
  <c r="K26" i="111" s="1"/>
  <c r="Q26" i="111" s="1"/>
  <c r="M27" i="111"/>
  <c r="E90" i="111"/>
  <c r="J89" i="111"/>
  <c r="F89" i="111"/>
  <c r="AZ89" i="111" s="1"/>
  <c r="AU25" i="111"/>
  <c r="AT25" i="111" s="1"/>
  <c r="AV25" i="111"/>
  <c r="AX87" i="111"/>
  <c r="K35" i="94"/>
  <c r="Y73" i="109"/>
  <c r="J38" i="109"/>
  <c r="BL38" i="109"/>
  <c r="P38" i="109"/>
  <c r="N38" i="109" s="1"/>
  <c r="M38" i="109"/>
  <c r="S38" i="109" s="1"/>
  <c r="L39" i="109" s="1"/>
  <c r="V84" i="94"/>
  <c r="U85" i="94"/>
  <c r="Q83" i="94"/>
  <c r="R83" i="94"/>
  <c r="AO25" i="110"/>
  <c r="AQ25" i="110" s="1"/>
  <c r="AW25" i="110" s="1"/>
  <c r="G26" i="112"/>
  <c r="K26" i="112" s="1"/>
  <c r="Q26" i="112" s="1"/>
  <c r="M27" i="112"/>
  <c r="AN116" i="109"/>
  <c r="AP77" i="109"/>
  <c r="AU78" i="109"/>
  <c r="AM89" i="112"/>
  <c r="AN88" i="112"/>
  <c r="J87" i="112"/>
  <c r="E88" i="112"/>
  <c r="F87" i="112"/>
  <c r="AZ87" i="112" s="1"/>
  <c r="AX87" i="112"/>
  <c r="AK66" i="112"/>
  <c r="AV25" i="112"/>
  <c r="AU25" i="112"/>
  <c r="BJ85" i="94"/>
  <c r="BI86" i="94"/>
  <c r="BA78" i="94"/>
  <c r="AT78" i="94" s="1"/>
  <c r="BB78" i="94"/>
  <c r="AQ86" i="94"/>
  <c r="AR85" i="94"/>
  <c r="W85" i="94"/>
  <c r="G86" i="94"/>
  <c r="H85" i="94"/>
  <c r="BK85" i="94" s="1"/>
  <c r="T85" i="94"/>
  <c r="I85" i="94"/>
  <c r="AV67" i="109"/>
  <c r="AZ67" i="109" s="1"/>
  <c r="AX67" i="109" s="1"/>
  <c r="AW67" i="109" s="1"/>
  <c r="BH67" i="109" s="1"/>
  <c r="BM112" i="109"/>
  <c r="O27" i="110"/>
  <c r="N27" i="110" s="1"/>
  <c r="L27" i="110" s="1"/>
  <c r="G27" i="110" s="1"/>
  <c r="BA27" i="110" s="1"/>
  <c r="P27" i="110"/>
  <c r="V68" i="110"/>
  <c r="U67" i="110"/>
  <c r="I27" i="110"/>
  <c r="BM110" i="94"/>
  <c r="AV65" i="94"/>
  <c r="AZ65" i="94" s="1"/>
  <c r="AX65" i="94" s="1"/>
  <c r="AW65" i="94" s="1"/>
  <c r="BH65" i="94" s="1"/>
  <c r="AT27" i="103"/>
  <c r="AR27" i="103" s="1"/>
  <c r="AS28" i="103" s="1"/>
  <c r="AP81" i="94"/>
  <c r="AU82" i="94"/>
  <c r="AN120" i="94"/>
  <c r="M24" i="61"/>
  <c r="K24" i="61" s="1"/>
  <c r="J42" i="91" l="1"/>
  <c r="BK42" i="91"/>
  <c r="X77" i="91"/>
  <c r="V28" i="66"/>
  <c r="Z28" i="66"/>
  <c r="AS42" i="91"/>
  <c r="AO42" i="91"/>
  <c r="AM81" i="91"/>
  <c r="L61" i="105"/>
  <c r="P61" i="105" s="1"/>
  <c r="N61" i="105" s="1"/>
  <c r="W96" i="105"/>
  <c r="F96" i="107"/>
  <c r="E96" i="107"/>
  <c r="G96" i="107" s="1"/>
  <c r="D96" i="107" s="1"/>
  <c r="C97" i="107" s="1"/>
  <c r="X117" i="105"/>
  <c r="BK82" i="105"/>
  <c r="J82" i="105"/>
  <c r="K83" i="105"/>
  <c r="B101" i="108"/>
  <c r="A102" i="108"/>
  <c r="BA80" i="88"/>
  <c r="AZ80" i="88"/>
  <c r="AV86" i="88"/>
  <c r="M42" i="91"/>
  <c r="S42" i="91" s="1"/>
  <c r="BH86" i="106"/>
  <c r="BI85" i="106"/>
  <c r="L54" i="100"/>
  <c r="P54" i="100" s="1"/>
  <c r="N54" i="100" s="1"/>
  <c r="W89" i="100"/>
  <c r="O28" i="59"/>
  <c r="P28" i="59"/>
  <c r="AM125" i="100"/>
  <c r="AO86" i="100"/>
  <c r="G89" i="86"/>
  <c r="H88" i="86"/>
  <c r="BJ88" i="86" s="1"/>
  <c r="AU40" i="86"/>
  <c r="AY40" i="86" s="1"/>
  <c r="AW40" i="86" s="1"/>
  <c r="AT40" i="86" s="1"/>
  <c r="BL85" i="86"/>
  <c r="BH89" i="91"/>
  <c r="BI88" i="91"/>
  <c r="BD34" i="59"/>
  <c r="BG73" i="59"/>
  <c r="AP28" i="59"/>
  <c r="W76" i="86"/>
  <c r="L41" i="86"/>
  <c r="P41" i="86" s="1"/>
  <c r="N41" i="86" s="1"/>
  <c r="AM85" i="78"/>
  <c r="AO46" i="78"/>
  <c r="U91" i="91"/>
  <c r="V90" i="91"/>
  <c r="Q84" i="100"/>
  <c r="J84" i="100" s="1"/>
  <c r="R84" i="100"/>
  <c r="G88" i="78"/>
  <c r="H87" i="78"/>
  <c r="BH93" i="78" s="1"/>
  <c r="AQ88" i="91"/>
  <c r="AP89" i="91"/>
  <c r="AV42" i="91"/>
  <c r="BG42" i="91" s="1"/>
  <c r="U88" i="75"/>
  <c r="V87" i="75"/>
  <c r="N91" i="66"/>
  <c r="M91" i="66"/>
  <c r="L91" i="66"/>
  <c r="X120" i="100"/>
  <c r="BK85" i="100"/>
  <c r="BH86" i="100"/>
  <c r="BI85" i="100"/>
  <c r="AU69" i="105"/>
  <c r="AY69" i="105" s="1"/>
  <c r="AW69" i="105" s="1"/>
  <c r="AV69" i="105" s="1"/>
  <c r="BG69" i="105" s="1"/>
  <c r="BL114" i="105"/>
  <c r="G88" i="105"/>
  <c r="I87" i="105"/>
  <c r="H87" i="105"/>
  <c r="BJ87" i="105" s="1"/>
  <c r="BI86" i="105"/>
  <c r="BH87" i="105"/>
  <c r="Q89" i="91"/>
  <c r="R89" i="91"/>
  <c r="M89" i="91"/>
  <c r="U86" i="100"/>
  <c r="V85" i="100"/>
  <c r="G87" i="88"/>
  <c r="H86" i="88"/>
  <c r="BJ86" i="88" s="1"/>
  <c r="R84" i="105"/>
  <c r="Q84" i="105"/>
  <c r="R89" i="106"/>
  <c r="Q89" i="106"/>
  <c r="O151" i="66"/>
  <c r="W152" i="66"/>
  <c r="AO86" i="106"/>
  <c r="AM125" i="106"/>
  <c r="G87" i="109"/>
  <c r="W86" i="109"/>
  <c r="T86" i="109"/>
  <c r="H86" i="109"/>
  <c r="BK86" i="109" s="1"/>
  <c r="I86" i="109"/>
  <c r="E117" i="110"/>
  <c r="J116" i="110"/>
  <c r="F116" i="110"/>
  <c r="AA92" i="66"/>
  <c r="U92" i="66"/>
  <c r="G92" i="66"/>
  <c r="F93" i="66"/>
  <c r="AP93" i="75"/>
  <c r="AQ92" i="75"/>
  <c r="BA78" i="100"/>
  <c r="AV84" i="100"/>
  <c r="AZ78" i="100"/>
  <c r="AS78" i="100" s="1"/>
  <c r="U86" i="105"/>
  <c r="V85" i="105"/>
  <c r="V90" i="106"/>
  <c r="U91" i="106"/>
  <c r="AQ87" i="106"/>
  <c r="AT87" i="106"/>
  <c r="AP88" i="106"/>
  <c r="AV47" i="78"/>
  <c r="AP91" i="86"/>
  <c r="AQ90" i="86"/>
  <c r="I86" i="100"/>
  <c r="G87" i="100"/>
  <c r="K86" i="100"/>
  <c r="H86" i="100"/>
  <c r="BJ86" i="100" s="1"/>
  <c r="AO42" i="88"/>
  <c r="AS42" i="88"/>
  <c r="AM81" i="88"/>
  <c r="AP88" i="88"/>
  <c r="AQ87" i="88"/>
  <c r="BI87" i="88"/>
  <c r="BH88" i="88"/>
  <c r="M86" i="75"/>
  <c r="R86" i="75"/>
  <c r="Q86" i="75"/>
  <c r="AU43" i="75"/>
  <c r="AY43" i="75" s="1"/>
  <c r="AW43" i="75" s="1"/>
  <c r="AT43" i="75" s="1"/>
  <c r="BL88" i="75"/>
  <c r="AP87" i="105"/>
  <c r="AT86" i="105"/>
  <c r="AQ86" i="105"/>
  <c r="AV86" i="75"/>
  <c r="BA80" i="75"/>
  <c r="AZ80" i="75"/>
  <c r="X84" i="78"/>
  <c r="BI50" i="78"/>
  <c r="L44" i="78"/>
  <c r="R44" i="78" s="1"/>
  <c r="AZ79" i="105"/>
  <c r="AS79" i="105" s="1"/>
  <c r="BA79" i="105"/>
  <c r="BH88" i="75"/>
  <c r="BI87" i="75"/>
  <c r="W78" i="88"/>
  <c r="L43" i="88"/>
  <c r="P43" i="88" s="1"/>
  <c r="N43" i="88" s="1"/>
  <c r="K43" i="88" s="1"/>
  <c r="AV60" i="106"/>
  <c r="BG60" i="106" s="1"/>
  <c r="U87" i="86"/>
  <c r="V86" i="86"/>
  <c r="BH86" i="86"/>
  <c r="BI85" i="86"/>
  <c r="K88" i="106"/>
  <c r="H88" i="106"/>
  <c r="BJ88" i="106" s="1"/>
  <c r="G89" i="106"/>
  <c r="A105" i="107"/>
  <c r="B104" i="107"/>
  <c r="AU69" i="100"/>
  <c r="AY69" i="100" s="1"/>
  <c r="AW69" i="100" s="1"/>
  <c r="BL114" i="100"/>
  <c r="BG69" i="100"/>
  <c r="V89" i="88"/>
  <c r="U90" i="88"/>
  <c r="AV42" i="88"/>
  <c r="BG42" i="88" s="1"/>
  <c r="E66" i="108"/>
  <c r="G66" i="108"/>
  <c r="F66" i="108"/>
  <c r="Q86" i="78"/>
  <c r="P86" i="78"/>
  <c r="R85" i="86"/>
  <c r="M85" i="86"/>
  <c r="Q85" i="86"/>
  <c r="BA78" i="86"/>
  <c r="AV84" i="86"/>
  <c r="AZ78" i="86"/>
  <c r="BK87" i="106"/>
  <c r="X122" i="106"/>
  <c r="AH50" i="106" s="1"/>
  <c r="J87" i="106"/>
  <c r="M88" i="88"/>
  <c r="Q88" i="88"/>
  <c r="R88" i="88"/>
  <c r="E91" i="103"/>
  <c r="J90" i="103"/>
  <c r="F90" i="103"/>
  <c r="AZ90" i="103" s="1"/>
  <c r="BE47" i="78"/>
  <c r="AY47" i="78"/>
  <c r="AX47" i="78"/>
  <c r="AT47" i="78"/>
  <c r="AV84" i="106"/>
  <c r="AZ78" i="106"/>
  <c r="AS78" i="106" s="1"/>
  <c r="BA78" i="106"/>
  <c r="T88" i="78"/>
  <c r="U87" i="78"/>
  <c r="N28" i="59"/>
  <c r="L28" i="59" s="1"/>
  <c r="I28" i="59" s="1"/>
  <c r="BF34" i="59" s="1"/>
  <c r="AT87" i="100"/>
  <c r="AP88" i="100"/>
  <c r="AQ87" i="100"/>
  <c r="H88" i="75"/>
  <c r="BJ88" i="75" s="1"/>
  <c r="G89" i="75"/>
  <c r="BA81" i="91"/>
  <c r="AV87" i="91"/>
  <c r="AZ81" i="91"/>
  <c r="H90" i="91"/>
  <c r="BJ90" i="91" s="1"/>
  <c r="G91" i="91"/>
  <c r="AM124" i="105"/>
  <c r="AO85" i="105"/>
  <c r="M53" i="106"/>
  <c r="S53" i="106" s="1"/>
  <c r="BJ85" i="109"/>
  <c r="BI86" i="109"/>
  <c r="BA78" i="109"/>
  <c r="AT78" i="109" s="1"/>
  <c r="BB78" i="109"/>
  <c r="R85" i="110"/>
  <c r="S84" i="110"/>
  <c r="V86" i="109"/>
  <c r="U87" i="109"/>
  <c r="R85" i="109"/>
  <c r="Q85" i="109"/>
  <c r="X82" i="75"/>
  <c r="J47" i="75"/>
  <c r="BK47" i="75"/>
  <c r="M47" i="75"/>
  <c r="S47" i="75" s="1"/>
  <c r="S27" i="111"/>
  <c r="H27" i="111"/>
  <c r="T68" i="111"/>
  <c r="V68" i="111" s="1"/>
  <c r="AR25" i="111"/>
  <c r="AS26" i="111" s="1"/>
  <c r="J90" i="111"/>
  <c r="E91" i="111"/>
  <c r="F90" i="111"/>
  <c r="AZ90" i="111" s="1"/>
  <c r="BA26" i="111"/>
  <c r="AX88" i="111"/>
  <c r="Y70" i="94"/>
  <c r="J35" i="94"/>
  <c r="BL35" i="94"/>
  <c r="M35" i="94"/>
  <c r="S35" i="94" s="1"/>
  <c r="X74" i="109"/>
  <c r="P39" i="109"/>
  <c r="N39" i="109" s="1"/>
  <c r="V85" i="94"/>
  <c r="U86" i="94"/>
  <c r="Q84" i="94"/>
  <c r="R84" i="94"/>
  <c r="BB72" i="110"/>
  <c r="AP26" i="110"/>
  <c r="AY26" i="110"/>
  <c r="AI67" i="110"/>
  <c r="AL25" i="110"/>
  <c r="AJ66" i="110"/>
  <c r="T68" i="112"/>
  <c r="V68" i="112" s="1"/>
  <c r="S27" i="112"/>
  <c r="H27" i="112"/>
  <c r="BA26" i="112"/>
  <c r="AN117" i="109"/>
  <c r="AP78" i="109"/>
  <c r="AU79" i="109"/>
  <c r="J88" i="112"/>
  <c r="E89" i="112"/>
  <c r="F88" i="112"/>
  <c r="AZ88" i="112" s="1"/>
  <c r="AM90" i="112"/>
  <c r="AN89" i="112"/>
  <c r="AT25" i="112"/>
  <c r="AR25" i="112" s="1"/>
  <c r="AX88" i="112"/>
  <c r="BJ86" i="94"/>
  <c r="BI87" i="94"/>
  <c r="BB79" i="94"/>
  <c r="BA79" i="94"/>
  <c r="AT79" i="94" s="1"/>
  <c r="W86" i="94"/>
  <c r="G87" i="94"/>
  <c r="T86" i="94"/>
  <c r="H86" i="94"/>
  <c r="BK86" i="94" s="1"/>
  <c r="I86" i="94"/>
  <c r="AQ87" i="94"/>
  <c r="AR86" i="94"/>
  <c r="BM113" i="109"/>
  <c r="AV68" i="109"/>
  <c r="AZ68" i="109" s="1"/>
  <c r="AX68" i="109" s="1"/>
  <c r="AW68" i="109" s="1"/>
  <c r="BH68" i="109" s="1"/>
  <c r="M28" i="110"/>
  <c r="K27" i="110"/>
  <c r="Q27" i="110" s="1"/>
  <c r="BM111" i="94"/>
  <c r="AV66" i="94"/>
  <c r="AZ66" i="94" s="1"/>
  <c r="AX66" i="94" s="1"/>
  <c r="AW66" i="94" s="1"/>
  <c r="BH66" i="94" s="1"/>
  <c r="AP82" i="94"/>
  <c r="AN121" i="94"/>
  <c r="AU83" i="94"/>
  <c r="AO27" i="103"/>
  <c r="AQ27" i="103" s="1"/>
  <c r="AW27" i="103" s="1"/>
  <c r="H24" i="61"/>
  <c r="J24" i="61" s="1"/>
  <c r="L25" i="61"/>
  <c r="M54" i="100" l="1"/>
  <c r="S54" i="100" s="1"/>
  <c r="J43" i="88"/>
  <c r="BK43" i="88"/>
  <c r="X78" i="88"/>
  <c r="AS43" i="75"/>
  <c r="AM82" i="75"/>
  <c r="AO43" i="75"/>
  <c r="G97" i="107"/>
  <c r="D97" i="107" s="1"/>
  <c r="C98" i="107" s="1"/>
  <c r="E97" i="107"/>
  <c r="F97" i="107"/>
  <c r="AU70" i="105"/>
  <c r="AY70" i="105" s="1"/>
  <c r="AW70" i="105" s="1"/>
  <c r="AV70" i="105" s="1"/>
  <c r="BG70" i="105" s="1"/>
  <c r="BL115" i="105"/>
  <c r="M41" i="86"/>
  <c r="S41" i="86" s="1"/>
  <c r="AS40" i="86"/>
  <c r="AM79" i="86"/>
  <c r="AO40" i="86"/>
  <c r="L55" i="100"/>
  <c r="P55" i="100" s="1"/>
  <c r="N55" i="100" s="1"/>
  <c r="W90" i="100"/>
  <c r="L54" i="106"/>
  <c r="P54" i="106" s="1"/>
  <c r="N54" i="106" s="1"/>
  <c r="W89" i="106"/>
  <c r="X123" i="106"/>
  <c r="BK88" i="106"/>
  <c r="J88" i="106"/>
  <c r="Q90" i="106"/>
  <c r="R90" i="106"/>
  <c r="AP94" i="75"/>
  <c r="AQ93" i="75"/>
  <c r="E118" i="110"/>
  <c r="J117" i="110"/>
  <c r="F117" i="110"/>
  <c r="BI87" i="105"/>
  <c r="BH88" i="105"/>
  <c r="AQ89" i="91"/>
  <c r="AP90" i="91"/>
  <c r="G89" i="78"/>
  <c r="H88" i="78"/>
  <c r="BH94" i="78" s="1"/>
  <c r="K41" i="86"/>
  <c r="G92" i="91"/>
  <c r="H91" i="91"/>
  <c r="BJ91" i="91" s="1"/>
  <c r="Q87" i="78"/>
  <c r="P87" i="78"/>
  <c r="D66" i="108"/>
  <c r="C67" i="108" s="1"/>
  <c r="BA79" i="86"/>
  <c r="AZ79" i="86"/>
  <c r="AV85" i="86"/>
  <c r="J45" i="78"/>
  <c r="K45" i="78"/>
  <c r="O45" i="78" s="1"/>
  <c r="M45" i="78" s="1"/>
  <c r="N46" i="78" s="1"/>
  <c r="W85" i="78"/>
  <c r="AM125" i="105"/>
  <c r="AO86" i="105"/>
  <c r="AP92" i="86"/>
  <c r="AQ91" i="86"/>
  <c r="R85" i="105"/>
  <c r="Q85" i="105"/>
  <c r="G88" i="88"/>
  <c r="H87" i="88"/>
  <c r="BJ87" i="88" s="1"/>
  <c r="AZ80" i="105"/>
  <c r="AS80" i="105" s="1"/>
  <c r="BA80" i="105"/>
  <c r="BA82" i="91"/>
  <c r="AV88" i="91"/>
  <c r="AZ82" i="91"/>
  <c r="G90" i="75"/>
  <c r="H89" i="75"/>
  <c r="BJ89" i="75" s="1"/>
  <c r="T89" i="78"/>
  <c r="U88" i="78"/>
  <c r="BG54" i="78"/>
  <c r="BJ93" i="78"/>
  <c r="AS48" i="78"/>
  <c r="BH87" i="86"/>
  <c r="BI86" i="86"/>
  <c r="M43" i="88"/>
  <c r="S43" i="88" s="1"/>
  <c r="AP88" i="105"/>
  <c r="AT87" i="105"/>
  <c r="AQ87" i="105"/>
  <c r="U87" i="105"/>
  <c r="V86" i="105"/>
  <c r="U93" i="66"/>
  <c r="AA93" i="66"/>
  <c r="F94" i="66"/>
  <c r="G93" i="66"/>
  <c r="W153" i="66"/>
  <c r="O152" i="66"/>
  <c r="R85" i="100"/>
  <c r="Q85" i="100"/>
  <c r="J85" i="100" s="1"/>
  <c r="BI89" i="91"/>
  <c r="BH90" i="91"/>
  <c r="A103" i="108"/>
  <c r="B102" i="108"/>
  <c r="AW47" i="78"/>
  <c r="AU47" i="78" s="1"/>
  <c r="AR47" i="78" s="1"/>
  <c r="A106" i="107"/>
  <c r="B105" i="107"/>
  <c r="M86" i="86"/>
  <c r="R86" i="86"/>
  <c r="Q86" i="86"/>
  <c r="BA81" i="75"/>
  <c r="AZ81" i="75"/>
  <c r="AV87" i="75"/>
  <c r="BI88" i="88"/>
  <c r="BH89" i="88"/>
  <c r="BK86" i="100"/>
  <c r="X121" i="100"/>
  <c r="N92" i="66"/>
  <c r="L92" i="66"/>
  <c r="M92" i="66"/>
  <c r="U87" i="100"/>
  <c r="V86" i="100"/>
  <c r="AV40" i="86"/>
  <c r="BG40" i="86" s="1"/>
  <c r="BA79" i="106"/>
  <c r="AV85" i="106"/>
  <c r="AZ79" i="106"/>
  <c r="AS79" i="106" s="1"/>
  <c r="AU43" i="88"/>
  <c r="AY43" i="88" s="1"/>
  <c r="AW43" i="88" s="1"/>
  <c r="AT43" i="88" s="1"/>
  <c r="BL88" i="88"/>
  <c r="V87" i="86"/>
  <c r="U88" i="86"/>
  <c r="BH89" i="75"/>
  <c r="BI88" i="75"/>
  <c r="AV43" i="75"/>
  <c r="BG43" i="75" s="1"/>
  <c r="AZ81" i="88"/>
  <c r="BA81" i="88"/>
  <c r="AV87" i="88"/>
  <c r="K87" i="100"/>
  <c r="G88" i="100"/>
  <c r="I87" i="100"/>
  <c r="H87" i="100"/>
  <c r="BJ87" i="100" s="1"/>
  <c r="AQ88" i="106"/>
  <c r="AT88" i="106"/>
  <c r="AP89" i="106"/>
  <c r="AV85" i="100"/>
  <c r="AZ79" i="100"/>
  <c r="AS79" i="100" s="1"/>
  <c r="BA79" i="100"/>
  <c r="M90" i="91"/>
  <c r="Q90" i="91"/>
  <c r="R90" i="91"/>
  <c r="BH87" i="106"/>
  <c r="BI86" i="106"/>
  <c r="X118" i="105"/>
  <c r="BK83" i="105"/>
  <c r="J83" i="105"/>
  <c r="K84" i="105"/>
  <c r="K29" i="66"/>
  <c r="J29" i="66"/>
  <c r="I29" i="66" s="1"/>
  <c r="X29" i="66"/>
  <c r="AT88" i="100"/>
  <c r="AP89" i="100"/>
  <c r="AQ88" i="100"/>
  <c r="E92" i="103"/>
  <c r="J91" i="103"/>
  <c r="F91" i="103"/>
  <c r="AZ91" i="103" s="1"/>
  <c r="U91" i="88"/>
  <c r="V90" i="88"/>
  <c r="G90" i="106"/>
  <c r="K89" i="106"/>
  <c r="H89" i="106"/>
  <c r="BJ89" i="106" s="1"/>
  <c r="AU61" i="106"/>
  <c r="AY61" i="106" s="1"/>
  <c r="BL106" i="106"/>
  <c r="AV61" i="106"/>
  <c r="BG61" i="106" s="1"/>
  <c r="AO87" i="106"/>
  <c r="AM126" i="106"/>
  <c r="T87" i="109"/>
  <c r="G88" i="109"/>
  <c r="W87" i="109"/>
  <c r="H87" i="109"/>
  <c r="BK87" i="109" s="1"/>
  <c r="I87" i="109"/>
  <c r="BH87" i="100"/>
  <c r="BI86" i="100"/>
  <c r="R87" i="75"/>
  <c r="M87" i="75"/>
  <c r="Q87" i="75"/>
  <c r="V91" i="91"/>
  <c r="U92" i="91"/>
  <c r="K28" i="59"/>
  <c r="K43" i="91"/>
  <c r="W78" i="91"/>
  <c r="L43" i="91"/>
  <c r="P43" i="91" s="1"/>
  <c r="N43" i="91" s="1"/>
  <c r="M43" i="91" s="1"/>
  <c r="S43" i="91" s="1"/>
  <c r="M61" i="105"/>
  <c r="S61" i="105" s="1"/>
  <c r="AM126" i="100"/>
  <c r="AO87" i="100"/>
  <c r="R89" i="88"/>
  <c r="M89" i="88"/>
  <c r="Q89" i="88"/>
  <c r="AP89" i="88"/>
  <c r="AQ88" i="88"/>
  <c r="U89" i="75"/>
  <c r="V88" i="75"/>
  <c r="M29" i="59"/>
  <c r="AU70" i="100"/>
  <c r="AY70" i="100" s="1"/>
  <c r="AW70" i="100" s="1"/>
  <c r="BL115" i="100"/>
  <c r="BG70" i="100"/>
  <c r="V91" i="106"/>
  <c r="U92" i="106"/>
  <c r="I88" i="105"/>
  <c r="H88" i="105"/>
  <c r="BJ88" i="105" s="1"/>
  <c r="G89" i="105"/>
  <c r="AU43" i="91"/>
  <c r="AY43" i="91" s="1"/>
  <c r="AW43" i="91" s="1"/>
  <c r="BL88" i="91"/>
  <c r="AV28" i="59"/>
  <c r="AU28" i="59"/>
  <c r="AT28" i="59" s="1"/>
  <c r="AR28" i="59" s="1"/>
  <c r="G90" i="86"/>
  <c r="H89" i="86"/>
  <c r="BJ89" i="86" s="1"/>
  <c r="BJ86" i="109"/>
  <c r="BI87" i="109"/>
  <c r="BB79" i="109"/>
  <c r="BA79" i="109"/>
  <c r="AT79" i="109" s="1"/>
  <c r="R86" i="110"/>
  <c r="S85" i="110"/>
  <c r="U88" i="109"/>
  <c r="V87" i="109"/>
  <c r="R86" i="109"/>
  <c r="Q86" i="109"/>
  <c r="W83" i="75"/>
  <c r="L48" i="75"/>
  <c r="P48" i="75" s="1"/>
  <c r="N48" i="75" s="1"/>
  <c r="U67" i="111"/>
  <c r="I27" i="111"/>
  <c r="J91" i="111"/>
  <c r="E92" i="111"/>
  <c r="F91" i="111"/>
  <c r="AZ91" i="111" s="1"/>
  <c r="AO25" i="111"/>
  <c r="AQ25" i="111" s="1"/>
  <c r="AW25" i="111" s="1"/>
  <c r="O27" i="111"/>
  <c r="N27" i="111" s="1"/>
  <c r="L27" i="111" s="1"/>
  <c r="P27" i="111"/>
  <c r="AX89" i="111"/>
  <c r="X71" i="94"/>
  <c r="L36" i="94"/>
  <c r="P36" i="94" s="1"/>
  <c r="N36" i="94" s="1"/>
  <c r="K39" i="109"/>
  <c r="V86" i="94"/>
  <c r="U87" i="94"/>
  <c r="Q85" i="94"/>
  <c r="R85" i="94"/>
  <c r="AK67" i="110"/>
  <c r="AV26" i="110"/>
  <c r="AU26" i="110"/>
  <c r="AT26" i="110" s="1"/>
  <c r="U67" i="112"/>
  <c r="I27" i="112"/>
  <c r="P27" i="112"/>
  <c r="O27" i="112"/>
  <c r="AU80" i="109"/>
  <c r="AN118" i="109"/>
  <c r="AP79" i="109"/>
  <c r="J89" i="112"/>
  <c r="E90" i="112"/>
  <c r="F89" i="112"/>
  <c r="AZ89" i="112" s="1"/>
  <c r="AM91" i="112"/>
  <c r="AN90" i="112"/>
  <c r="AX89" i="112"/>
  <c r="AO25" i="112"/>
  <c r="AQ25" i="112" s="1"/>
  <c r="AW25" i="112" s="1"/>
  <c r="AS26" i="112"/>
  <c r="BJ87" i="94"/>
  <c r="BI88" i="94"/>
  <c r="BA80" i="94"/>
  <c r="AT80" i="94" s="1"/>
  <c r="BB80" i="94"/>
  <c r="AR87" i="94"/>
  <c r="AQ88" i="94"/>
  <c r="W87" i="94"/>
  <c r="G88" i="94"/>
  <c r="T87" i="94"/>
  <c r="H87" i="94"/>
  <c r="BK87" i="94" s="1"/>
  <c r="I87" i="94"/>
  <c r="AV69" i="109"/>
  <c r="AZ69" i="109" s="1"/>
  <c r="AX69" i="109" s="1"/>
  <c r="AW69" i="109" s="1"/>
  <c r="BH69" i="109" s="1"/>
  <c r="BM114" i="109"/>
  <c r="T69" i="110"/>
  <c r="H28" i="110"/>
  <c r="BM112" i="94"/>
  <c r="AV67" i="94"/>
  <c r="AZ67" i="94" s="1"/>
  <c r="AX67" i="94" s="1"/>
  <c r="AW67" i="94" s="1"/>
  <c r="BH67" i="94" s="1"/>
  <c r="AU84" i="94"/>
  <c r="AN122" i="94"/>
  <c r="AP83" i="94"/>
  <c r="BB74" i="103"/>
  <c r="AI69" i="103"/>
  <c r="AP28" i="103"/>
  <c r="AY28" i="103"/>
  <c r="AL27" i="103"/>
  <c r="AJ68" i="103"/>
  <c r="P24" i="61"/>
  <c r="T54" i="61"/>
  <c r="M55" i="100" l="1"/>
  <c r="S55" i="100" s="1"/>
  <c r="AS43" i="88"/>
  <c r="AO43" i="88"/>
  <c r="AM82" i="88"/>
  <c r="L44" i="91"/>
  <c r="P44" i="91" s="1"/>
  <c r="N44" i="91" s="1"/>
  <c r="K44" i="91" s="1"/>
  <c r="W79" i="91"/>
  <c r="F98" i="107"/>
  <c r="E98" i="107"/>
  <c r="G98" i="107" s="1"/>
  <c r="D98" i="107" s="1"/>
  <c r="C99" i="107" s="1"/>
  <c r="AO28" i="59"/>
  <c r="AQ28" i="59"/>
  <c r="BB28" i="59" s="1"/>
  <c r="AU62" i="106"/>
  <c r="AY62" i="106" s="1"/>
  <c r="BL107" i="106"/>
  <c r="AU71" i="105"/>
  <c r="AY71" i="105" s="1"/>
  <c r="AW71" i="105" s="1"/>
  <c r="AV71" i="105" s="1"/>
  <c r="BG71" i="105" s="1"/>
  <c r="BL116" i="105"/>
  <c r="L62" i="105"/>
  <c r="P62" i="105" s="1"/>
  <c r="N62" i="105" s="1"/>
  <c r="W97" i="105"/>
  <c r="AT41" i="86"/>
  <c r="AV41" i="86" s="1"/>
  <c r="BG41" i="86" s="1"/>
  <c r="AU41" i="86"/>
  <c r="AY41" i="86" s="1"/>
  <c r="AW41" i="86" s="1"/>
  <c r="BL86" i="86"/>
  <c r="BI90" i="91"/>
  <c r="BH91" i="91"/>
  <c r="G91" i="86"/>
  <c r="H90" i="86"/>
  <c r="BJ90" i="86" s="1"/>
  <c r="AT43" i="91"/>
  <c r="V92" i="106"/>
  <c r="U93" i="106"/>
  <c r="G91" i="106"/>
  <c r="H90" i="106"/>
  <c r="BJ90" i="106" s="1"/>
  <c r="K90" i="106"/>
  <c r="AP90" i="100"/>
  <c r="AT89" i="100"/>
  <c r="AQ89" i="100"/>
  <c r="J84" i="105"/>
  <c r="X119" i="105"/>
  <c r="BK84" i="105"/>
  <c r="K85" i="105"/>
  <c r="A104" i="108"/>
  <c r="B103" i="108"/>
  <c r="O153" i="66"/>
  <c r="W154" i="66"/>
  <c r="G91" i="75"/>
  <c r="H90" i="75"/>
  <c r="BJ90" i="75" s="1"/>
  <c r="BH89" i="105"/>
  <c r="BI88" i="105"/>
  <c r="Q91" i="106"/>
  <c r="R91" i="106"/>
  <c r="R90" i="88"/>
  <c r="Q90" i="88"/>
  <c r="M90" i="88"/>
  <c r="G89" i="88"/>
  <c r="H88" i="88"/>
  <c r="BJ88" i="88" s="1"/>
  <c r="AU71" i="100"/>
  <c r="AY71" i="100" s="1"/>
  <c r="AW71" i="100" s="1"/>
  <c r="BL116" i="100"/>
  <c r="BG71" i="100"/>
  <c r="Q91" i="91"/>
  <c r="M91" i="91"/>
  <c r="R91" i="91"/>
  <c r="U92" i="88"/>
  <c r="V91" i="88"/>
  <c r="AV43" i="88"/>
  <c r="BG43" i="88" s="1"/>
  <c r="R86" i="100"/>
  <c r="Q86" i="100"/>
  <c r="J86" i="100" s="1"/>
  <c r="BH90" i="88"/>
  <c r="BI89" i="88"/>
  <c r="AZ83" i="91"/>
  <c r="BA83" i="91"/>
  <c r="AV89" i="91"/>
  <c r="M93" i="66"/>
  <c r="L93" i="66"/>
  <c r="N93" i="66"/>
  <c r="AT88" i="105"/>
  <c r="AQ88" i="105"/>
  <c r="AP89" i="105"/>
  <c r="Q88" i="78"/>
  <c r="P88" i="78"/>
  <c r="AP90" i="88"/>
  <c r="AQ89" i="88"/>
  <c r="AM127" i="100"/>
  <c r="AO88" i="100"/>
  <c r="AZ81" i="105"/>
  <c r="AS81" i="105" s="1"/>
  <c r="BA81" i="105"/>
  <c r="G90" i="105"/>
  <c r="I89" i="105"/>
  <c r="H89" i="105"/>
  <c r="BJ89" i="105" s="1"/>
  <c r="W88" i="109"/>
  <c r="T88" i="109"/>
  <c r="G89" i="109"/>
  <c r="H88" i="109"/>
  <c r="BK88" i="109" s="1"/>
  <c r="I88" i="109"/>
  <c r="S29" i="66"/>
  <c r="T29" i="66"/>
  <c r="G89" i="100"/>
  <c r="K88" i="100"/>
  <c r="I88" i="100"/>
  <c r="H88" i="100"/>
  <c r="BJ88" i="100" s="1"/>
  <c r="AT44" i="75"/>
  <c r="AU44" i="75"/>
  <c r="AY44" i="75" s="1"/>
  <c r="AW44" i="75" s="1"/>
  <c r="AV44" i="75" s="1"/>
  <c r="BG44" i="75" s="1"/>
  <c r="BL89" i="75"/>
  <c r="V87" i="100"/>
  <c r="U88" i="100"/>
  <c r="AZ82" i="88"/>
  <c r="AV88" i="88"/>
  <c r="BA82" i="88"/>
  <c r="U94" i="66"/>
  <c r="AA94" i="66"/>
  <c r="F95" i="66"/>
  <c r="G94" i="66"/>
  <c r="L44" i="88"/>
  <c r="P44" i="88" s="1"/>
  <c r="N44" i="88" s="1"/>
  <c r="K44" i="88" s="1"/>
  <c r="W79" i="88"/>
  <c r="U89" i="78"/>
  <c r="T90" i="78"/>
  <c r="G67" i="108"/>
  <c r="D67" i="108" s="1"/>
  <c r="C68" i="108" s="1"/>
  <c r="F67" i="108"/>
  <c r="E67" i="108"/>
  <c r="J43" i="91"/>
  <c r="X78" i="91"/>
  <c r="BK43" i="91"/>
  <c r="BA80" i="106"/>
  <c r="AZ80" i="106"/>
  <c r="AS80" i="106" s="1"/>
  <c r="AV86" i="106"/>
  <c r="AV88" i="75"/>
  <c r="BA82" i="75"/>
  <c r="AZ82" i="75"/>
  <c r="BA80" i="86"/>
  <c r="AV86" i="86"/>
  <c r="AZ80" i="86"/>
  <c r="X85" i="78"/>
  <c r="BI51" i="78"/>
  <c r="E119" i="110"/>
  <c r="J118" i="110"/>
  <c r="F118" i="110"/>
  <c r="L56" i="100"/>
  <c r="P56" i="100" s="1"/>
  <c r="N56" i="100" s="1"/>
  <c r="W91" i="100"/>
  <c r="U93" i="91"/>
  <c r="V92" i="91"/>
  <c r="AT48" i="78"/>
  <c r="BE48" i="78"/>
  <c r="AY48" i="78"/>
  <c r="AX48" i="78"/>
  <c r="W77" i="86"/>
  <c r="L42" i="86"/>
  <c r="P42" i="86" s="1"/>
  <c r="N42" i="86" s="1"/>
  <c r="M42" i="86" s="1"/>
  <c r="S42" i="86" s="1"/>
  <c r="K42" i="86"/>
  <c r="BI87" i="106"/>
  <c r="BH88" i="106"/>
  <c r="X122" i="100"/>
  <c r="AH50" i="100" s="1"/>
  <c r="BK87" i="100"/>
  <c r="BI89" i="75"/>
  <c r="BH90" i="75"/>
  <c r="B106" i="107"/>
  <c r="A107" i="107"/>
  <c r="BI87" i="86"/>
  <c r="BH88" i="86"/>
  <c r="G93" i="91"/>
  <c r="H92" i="91"/>
  <c r="BJ92" i="91" s="1"/>
  <c r="G90" i="78"/>
  <c r="H89" i="78"/>
  <c r="BH95" i="78" s="1"/>
  <c r="AV48" i="78"/>
  <c r="AS29" i="59"/>
  <c r="M88" i="75"/>
  <c r="R88" i="75"/>
  <c r="Q88" i="75"/>
  <c r="BA80" i="100"/>
  <c r="AZ80" i="100"/>
  <c r="AS80" i="100" s="1"/>
  <c r="AV86" i="100"/>
  <c r="E93" i="103"/>
  <c r="F92" i="103"/>
  <c r="AZ92" i="103" s="1"/>
  <c r="AP90" i="106"/>
  <c r="AT89" i="106"/>
  <c r="AQ89" i="106"/>
  <c r="U89" i="86"/>
  <c r="V88" i="86"/>
  <c r="AM86" i="78"/>
  <c r="AO47" i="78"/>
  <c r="R86" i="105"/>
  <c r="Q86" i="105"/>
  <c r="AP93" i="86"/>
  <c r="AQ92" i="86"/>
  <c r="L45" i="78"/>
  <c r="R45" i="78" s="1"/>
  <c r="X76" i="86"/>
  <c r="BK41" i="86"/>
  <c r="J41" i="86"/>
  <c r="AP91" i="91"/>
  <c r="AQ90" i="91"/>
  <c r="AP95" i="75"/>
  <c r="AQ94" i="75"/>
  <c r="AM126" i="105"/>
  <c r="AO87" i="105"/>
  <c r="V89" i="75"/>
  <c r="U90" i="75"/>
  <c r="U75" i="59"/>
  <c r="Q28" i="59"/>
  <c r="BH88" i="100"/>
  <c r="BI87" i="100"/>
  <c r="BK89" i="106"/>
  <c r="J89" i="106"/>
  <c r="X124" i="106"/>
  <c r="AM127" i="106"/>
  <c r="AO88" i="106"/>
  <c r="R87" i="86"/>
  <c r="Q87" i="86"/>
  <c r="M87" i="86"/>
  <c r="U88" i="105"/>
  <c r="V87" i="105"/>
  <c r="AW48" i="78"/>
  <c r="AU48" i="78" s="1"/>
  <c r="AR48" i="78" s="1"/>
  <c r="M54" i="106"/>
  <c r="S54" i="106" s="1"/>
  <c r="BJ87" i="109"/>
  <c r="BI88" i="109"/>
  <c r="BA80" i="109"/>
  <c r="AT80" i="109" s="1"/>
  <c r="BB80" i="109"/>
  <c r="R87" i="110"/>
  <c r="S86" i="110"/>
  <c r="AR26" i="110"/>
  <c r="AO26" i="110" s="1"/>
  <c r="V88" i="109"/>
  <c r="U89" i="109"/>
  <c r="R87" i="109"/>
  <c r="Q87" i="109"/>
  <c r="M48" i="75"/>
  <c r="S48" i="75" s="1"/>
  <c r="K48" i="75"/>
  <c r="G27" i="111"/>
  <c r="K27" i="111" s="1"/>
  <c r="Q27" i="111" s="1"/>
  <c r="AL25" i="111"/>
  <c r="AJ66" i="111"/>
  <c r="E93" i="111"/>
  <c r="J92" i="111"/>
  <c r="F92" i="111"/>
  <c r="AZ92" i="111" s="1"/>
  <c r="AP26" i="111"/>
  <c r="BB72" i="111"/>
  <c r="AY26" i="111"/>
  <c r="AI67" i="111"/>
  <c r="AK67" i="111" s="1"/>
  <c r="M28" i="111"/>
  <c r="AX90" i="111"/>
  <c r="K36" i="94"/>
  <c r="J39" i="109"/>
  <c r="Y74" i="109"/>
  <c r="M39" i="109"/>
  <c r="S39" i="109" s="1"/>
  <c r="L40" i="109" s="1"/>
  <c r="BL39" i="109"/>
  <c r="U88" i="94"/>
  <c r="V87" i="94"/>
  <c r="Q86" i="94"/>
  <c r="R86" i="94"/>
  <c r="N27" i="112"/>
  <c r="L27" i="112" s="1"/>
  <c r="AU81" i="109"/>
  <c r="AP80" i="109"/>
  <c r="AN119" i="109"/>
  <c r="J90" i="112"/>
  <c r="E91" i="112"/>
  <c r="F90" i="112"/>
  <c r="AZ90" i="112" s="1"/>
  <c r="AY26" i="112"/>
  <c r="AI67" i="112"/>
  <c r="BB72" i="112"/>
  <c r="AP26" i="112"/>
  <c r="AX90" i="112"/>
  <c r="AL25" i="112"/>
  <c r="AJ66" i="112"/>
  <c r="AM92" i="112"/>
  <c r="AN91" i="112"/>
  <c r="BJ88" i="94"/>
  <c r="BI89" i="94"/>
  <c r="BA81" i="94"/>
  <c r="AT81" i="94" s="1"/>
  <c r="BB81" i="94"/>
  <c r="W88" i="94"/>
  <c r="G89" i="94"/>
  <c r="T88" i="94"/>
  <c r="H88" i="94"/>
  <c r="BK88" i="94" s="1"/>
  <c r="I88" i="94"/>
  <c r="AR88" i="94"/>
  <c r="AQ89" i="94"/>
  <c r="BM115" i="109"/>
  <c r="AV70" i="109"/>
  <c r="AZ70" i="109" s="1"/>
  <c r="AX70" i="109" s="1"/>
  <c r="AW70" i="109" s="1"/>
  <c r="BH70" i="109" s="1"/>
  <c r="O28" i="110"/>
  <c r="P28" i="110"/>
  <c r="I28" i="110"/>
  <c r="V69" i="110"/>
  <c r="U68" i="110"/>
  <c r="AV68" i="94"/>
  <c r="AZ68" i="94" s="1"/>
  <c r="AX68" i="94" s="1"/>
  <c r="AW68" i="94" s="1"/>
  <c r="BH68" i="94" s="1"/>
  <c r="BM113" i="94"/>
  <c r="AK69" i="103"/>
  <c r="AV28" i="103"/>
  <c r="AU28" i="103"/>
  <c r="AT28" i="103" s="1"/>
  <c r="AU85" i="94"/>
  <c r="AN123" i="94"/>
  <c r="AP84" i="94"/>
  <c r="I25" i="61"/>
  <c r="S55" i="61"/>
  <c r="R25" i="61"/>
  <c r="M56" i="100" l="1"/>
  <c r="S56" i="100" s="1"/>
  <c r="AU45" i="75"/>
  <c r="AY45" i="75" s="1"/>
  <c r="AW45" i="75" s="1"/>
  <c r="AT45" i="75" s="1"/>
  <c r="BL90" i="75"/>
  <c r="AU42" i="86"/>
  <c r="AY42" i="86" s="1"/>
  <c r="AW42" i="86" s="1"/>
  <c r="BL87" i="86"/>
  <c r="E99" i="107"/>
  <c r="F99" i="107"/>
  <c r="G99" i="107"/>
  <c r="D99" i="107" s="1"/>
  <c r="C100" i="107" s="1"/>
  <c r="F68" i="108"/>
  <c r="E68" i="108"/>
  <c r="G68" i="108"/>
  <c r="W78" i="86"/>
  <c r="L43" i="86"/>
  <c r="P43" i="86" s="1"/>
  <c r="N43" i="86" s="1"/>
  <c r="AU72" i="105"/>
  <c r="AY72" i="105" s="1"/>
  <c r="AW72" i="105" s="1"/>
  <c r="AV72" i="105" s="1"/>
  <c r="BG72" i="105" s="1"/>
  <c r="BL117" i="105"/>
  <c r="BK44" i="91"/>
  <c r="X79" i="91"/>
  <c r="J44" i="91"/>
  <c r="M44" i="91"/>
  <c r="S44" i="91" s="1"/>
  <c r="L57" i="100"/>
  <c r="P57" i="100" s="1"/>
  <c r="N57" i="100" s="1"/>
  <c r="W92" i="100"/>
  <c r="BK44" i="88"/>
  <c r="X79" i="88"/>
  <c r="J44" i="88"/>
  <c r="M44" i="88"/>
  <c r="S44" i="88" s="1"/>
  <c r="G94" i="91"/>
  <c r="H93" i="91"/>
  <c r="BJ93" i="91" s="1"/>
  <c r="AS27" i="110"/>
  <c r="BH89" i="86"/>
  <c r="BI88" i="86"/>
  <c r="BK88" i="100"/>
  <c r="X123" i="100"/>
  <c r="AP91" i="88"/>
  <c r="AQ90" i="88"/>
  <c r="X125" i="106"/>
  <c r="J90" i="106"/>
  <c r="BK90" i="106"/>
  <c r="AV87" i="100"/>
  <c r="AZ81" i="100"/>
  <c r="AS81" i="100" s="1"/>
  <c r="BA81" i="100"/>
  <c r="W86" i="78"/>
  <c r="K46" i="78"/>
  <c r="O46" i="78" s="1"/>
  <c r="M46" i="78" s="1"/>
  <c r="N47" i="78" s="1"/>
  <c r="R88" i="86"/>
  <c r="M88" i="86"/>
  <c r="Q88" i="86"/>
  <c r="AV87" i="86"/>
  <c r="AZ81" i="86"/>
  <c r="BA81" i="86"/>
  <c r="AV49" i="78"/>
  <c r="K89" i="100"/>
  <c r="G90" i="100"/>
  <c r="I89" i="100"/>
  <c r="H89" i="100"/>
  <c r="BJ89" i="100" s="1"/>
  <c r="AU72" i="100"/>
  <c r="AY72" i="100" s="1"/>
  <c r="AW72" i="100" s="1"/>
  <c r="BL117" i="100"/>
  <c r="BG72" i="100"/>
  <c r="G92" i="75"/>
  <c r="H91" i="75"/>
  <c r="BJ91" i="75" s="1"/>
  <c r="BI88" i="100"/>
  <c r="BH89" i="100"/>
  <c r="U90" i="86"/>
  <c r="V89" i="86"/>
  <c r="A108" i="107"/>
  <c r="B107" i="107"/>
  <c r="BH89" i="106"/>
  <c r="BI88" i="106"/>
  <c r="AU44" i="88"/>
  <c r="AY44" i="88" s="1"/>
  <c r="AW44" i="88" s="1"/>
  <c r="AT44" i="88"/>
  <c r="BG44" i="88"/>
  <c r="BL89" i="88"/>
  <c r="AV44" i="88"/>
  <c r="K91" i="106"/>
  <c r="G92" i="106"/>
  <c r="H91" i="106"/>
  <c r="BJ91" i="106" s="1"/>
  <c r="BD35" i="59"/>
  <c r="AP29" i="59"/>
  <c r="BG74" i="59"/>
  <c r="M55" i="106"/>
  <c r="S55" i="106" s="1"/>
  <c r="L55" i="106"/>
  <c r="P55" i="106" s="1"/>
  <c r="N55" i="106" s="1"/>
  <c r="W90" i="106"/>
  <c r="S29" i="59"/>
  <c r="T76" i="59"/>
  <c r="J29" i="59"/>
  <c r="AQ95" i="75"/>
  <c r="AP96" i="75"/>
  <c r="AP94" i="86"/>
  <c r="AQ93" i="86"/>
  <c r="AZ81" i="106"/>
  <c r="AS81" i="106" s="1"/>
  <c r="BA81" i="106"/>
  <c r="AV87" i="106"/>
  <c r="BG55" i="78"/>
  <c r="BJ94" i="78"/>
  <c r="AS49" i="78"/>
  <c r="AT89" i="105"/>
  <c r="AQ89" i="105"/>
  <c r="AP90" i="105"/>
  <c r="R91" i="88"/>
  <c r="Q91" i="88"/>
  <c r="M91" i="88"/>
  <c r="G90" i="88"/>
  <c r="H89" i="88"/>
  <c r="BJ89" i="88" s="1"/>
  <c r="BA82" i="105"/>
  <c r="AZ82" i="105"/>
  <c r="AS82" i="105" s="1"/>
  <c r="O154" i="66"/>
  <c r="W155" i="66"/>
  <c r="U94" i="106"/>
  <c r="V93" i="106"/>
  <c r="AJ67" i="59"/>
  <c r="AL28" i="59"/>
  <c r="AO89" i="106"/>
  <c r="AM128" i="106"/>
  <c r="X77" i="86"/>
  <c r="BK42" i="86"/>
  <c r="J42" i="86"/>
  <c r="AO44" i="75"/>
  <c r="AS44" i="75"/>
  <c r="AM83" i="75"/>
  <c r="U93" i="88"/>
  <c r="V92" i="88"/>
  <c r="BH90" i="105"/>
  <c r="BI89" i="105"/>
  <c r="AM128" i="100"/>
  <c r="AO89" i="100"/>
  <c r="Q92" i="106"/>
  <c r="R92" i="106"/>
  <c r="AM80" i="86"/>
  <c r="AO41" i="86"/>
  <c r="AS41" i="86"/>
  <c r="R87" i="105"/>
  <c r="Q87" i="105"/>
  <c r="V90" i="75"/>
  <c r="U91" i="75"/>
  <c r="AQ91" i="91"/>
  <c r="AP92" i="91"/>
  <c r="AP91" i="106"/>
  <c r="AT90" i="106"/>
  <c r="AQ90" i="106"/>
  <c r="BI90" i="75"/>
  <c r="BH91" i="75"/>
  <c r="Q92" i="91"/>
  <c r="M92" i="91"/>
  <c r="R92" i="91"/>
  <c r="E120" i="110"/>
  <c r="J119" i="110"/>
  <c r="F119" i="110"/>
  <c r="AO88" i="105"/>
  <c r="AM127" i="105"/>
  <c r="BA83" i="88"/>
  <c r="AV89" i="88"/>
  <c r="AZ83" i="88"/>
  <c r="AT90" i="100"/>
  <c r="AP91" i="100"/>
  <c r="AQ90" i="100"/>
  <c r="AM82" i="91"/>
  <c r="AS43" i="91"/>
  <c r="AO43" i="91"/>
  <c r="G92" i="86"/>
  <c r="H91" i="86"/>
  <c r="BJ91" i="86" s="1"/>
  <c r="AV43" i="91"/>
  <c r="BG43" i="91" s="1"/>
  <c r="U89" i="105"/>
  <c r="V88" i="105"/>
  <c r="Q89" i="75"/>
  <c r="R89" i="75"/>
  <c r="M89" i="75"/>
  <c r="AZ83" i="75"/>
  <c r="AV89" i="75"/>
  <c r="BA83" i="75"/>
  <c r="U94" i="91"/>
  <c r="V93" i="91"/>
  <c r="R29" i="66"/>
  <c r="P29" i="66" s="1"/>
  <c r="U90" i="78"/>
  <c r="T91" i="78"/>
  <c r="M94" i="66"/>
  <c r="L94" i="66"/>
  <c r="N94" i="66"/>
  <c r="U89" i="100"/>
  <c r="V88" i="100"/>
  <c r="BI90" i="88"/>
  <c r="BH91" i="88"/>
  <c r="A105" i="108"/>
  <c r="B104" i="108"/>
  <c r="BI91" i="91"/>
  <c r="BH92" i="91"/>
  <c r="M62" i="105"/>
  <c r="S62" i="105" s="1"/>
  <c r="AV62" i="106"/>
  <c r="BG62" i="106" s="1"/>
  <c r="AO48" i="78"/>
  <c r="AM87" i="78"/>
  <c r="E94" i="103"/>
  <c r="J93" i="103"/>
  <c r="F93" i="103"/>
  <c r="AZ93" i="103" s="1"/>
  <c r="G91" i="78"/>
  <c r="H90" i="78"/>
  <c r="BH96" i="78" s="1"/>
  <c r="P89" i="78"/>
  <c r="Q89" i="78"/>
  <c r="U95" i="66"/>
  <c r="AA95" i="66"/>
  <c r="F96" i="66"/>
  <c r="G95" i="66"/>
  <c r="Q87" i="100"/>
  <c r="J87" i="100" s="1"/>
  <c r="R87" i="100"/>
  <c r="G90" i="109"/>
  <c r="T89" i="109"/>
  <c r="W89" i="109"/>
  <c r="H89" i="109"/>
  <c r="BK89" i="109" s="1"/>
  <c r="I89" i="109"/>
  <c r="G91" i="105"/>
  <c r="H90" i="105"/>
  <c r="BJ90" i="105" s="1"/>
  <c r="I90" i="105"/>
  <c r="X120" i="105"/>
  <c r="BK85" i="105"/>
  <c r="J85" i="105"/>
  <c r="K86" i="105"/>
  <c r="BA84" i="91"/>
  <c r="AZ84" i="91"/>
  <c r="AV90" i="91"/>
  <c r="BI89" i="109"/>
  <c r="BJ88" i="109"/>
  <c r="BA81" i="109"/>
  <c r="AT81" i="109" s="1"/>
  <c r="BB81" i="109"/>
  <c r="R88" i="110"/>
  <c r="S87" i="110"/>
  <c r="U90" i="109"/>
  <c r="V89" i="109"/>
  <c r="Q88" i="109"/>
  <c r="R88" i="109"/>
  <c r="W84" i="75"/>
  <c r="L49" i="75"/>
  <c r="P49" i="75" s="1"/>
  <c r="N49" i="75" s="1"/>
  <c r="X83" i="75"/>
  <c r="BK48" i="75"/>
  <c r="J48" i="75"/>
  <c r="S28" i="111"/>
  <c r="H28" i="111"/>
  <c r="T69" i="111"/>
  <c r="V69" i="111" s="1"/>
  <c r="E94" i="111"/>
  <c r="J93" i="111"/>
  <c r="F93" i="111"/>
  <c r="AZ93" i="111" s="1"/>
  <c r="AU26" i="111"/>
  <c r="AV26" i="111"/>
  <c r="BA27" i="111"/>
  <c r="AX91" i="111"/>
  <c r="J36" i="94"/>
  <c r="Y71" i="94"/>
  <c r="BL36" i="94"/>
  <c r="M36" i="94"/>
  <c r="S36" i="94" s="1"/>
  <c r="X75" i="109"/>
  <c r="P40" i="109"/>
  <c r="N40" i="109" s="1"/>
  <c r="Q87" i="94"/>
  <c r="R87" i="94"/>
  <c r="V88" i="94"/>
  <c r="U89" i="94"/>
  <c r="AQ26" i="110"/>
  <c r="AW26" i="110" s="1"/>
  <c r="AL26" i="110"/>
  <c r="AJ67" i="110"/>
  <c r="G27" i="112"/>
  <c r="K27" i="112" s="1"/>
  <c r="Q27" i="112" s="1"/>
  <c r="M28" i="112"/>
  <c r="AP81" i="109"/>
  <c r="AU82" i="109"/>
  <c r="AN120" i="109"/>
  <c r="AX91" i="112"/>
  <c r="AK67" i="112"/>
  <c r="AV26" i="112"/>
  <c r="AU26" i="112"/>
  <c r="AM93" i="112"/>
  <c r="AN92" i="112"/>
  <c r="E92" i="112"/>
  <c r="J91" i="112"/>
  <c r="F91" i="112"/>
  <c r="AZ91" i="112" s="1"/>
  <c r="BI90" i="94"/>
  <c r="BJ89" i="94"/>
  <c r="BA82" i="94"/>
  <c r="AT82" i="94" s="1"/>
  <c r="BB82" i="94"/>
  <c r="AR89" i="94"/>
  <c r="AQ90" i="94"/>
  <c r="W89" i="94"/>
  <c r="G90" i="94"/>
  <c r="T89" i="94"/>
  <c r="H89" i="94"/>
  <c r="BK89" i="94" s="1"/>
  <c r="I89" i="94"/>
  <c r="BM116" i="109"/>
  <c r="AV71" i="109"/>
  <c r="AZ71" i="109" s="1"/>
  <c r="AX71" i="109" s="1"/>
  <c r="AW71" i="109" s="1"/>
  <c r="BH71" i="109" s="1"/>
  <c r="N28" i="110"/>
  <c r="L28" i="110" s="1"/>
  <c r="AR28" i="103"/>
  <c r="AO28" i="103" s="1"/>
  <c r="AL28" i="103" s="1"/>
  <c r="AV69" i="94"/>
  <c r="AZ69" i="94" s="1"/>
  <c r="AX69" i="94" s="1"/>
  <c r="AW69" i="94" s="1"/>
  <c r="BH69" i="94" s="1"/>
  <c r="BM114" i="94"/>
  <c r="AN124" i="94"/>
  <c r="AU86" i="94"/>
  <c r="AP85" i="94"/>
  <c r="O25" i="61"/>
  <c r="N25" i="61"/>
  <c r="M25" i="61" s="1"/>
  <c r="K25" i="61" s="1"/>
  <c r="M57" i="100" l="1"/>
  <c r="S57" i="100" s="1"/>
  <c r="E100" i="107"/>
  <c r="F100" i="107"/>
  <c r="G100" i="107"/>
  <c r="D100" i="107" s="1"/>
  <c r="C101" i="107" s="1"/>
  <c r="L56" i="106"/>
  <c r="P56" i="106" s="1"/>
  <c r="N56" i="106" s="1"/>
  <c r="M56" i="106"/>
  <c r="S56" i="106"/>
  <c r="W91" i="106"/>
  <c r="AU73" i="105"/>
  <c r="AY73" i="105" s="1"/>
  <c r="AW73" i="105" s="1"/>
  <c r="BL118" i="105"/>
  <c r="AV73" i="105"/>
  <c r="BG73" i="105" s="1"/>
  <c r="L58" i="100"/>
  <c r="P58" i="100" s="1"/>
  <c r="N58" i="100" s="1"/>
  <c r="M58" i="100"/>
  <c r="S58" i="100" s="1"/>
  <c r="W93" i="100"/>
  <c r="AS45" i="75"/>
  <c r="AO45" i="75"/>
  <c r="AM84" i="75"/>
  <c r="J86" i="105"/>
  <c r="BK86" i="105"/>
  <c r="X121" i="105"/>
  <c r="K87" i="105"/>
  <c r="G92" i="78"/>
  <c r="H91" i="78"/>
  <c r="BH97" i="78" s="1"/>
  <c r="BH93" i="91"/>
  <c r="BI92" i="91"/>
  <c r="U90" i="105"/>
  <c r="V89" i="105"/>
  <c r="AP91" i="105"/>
  <c r="AQ90" i="105"/>
  <c r="AT90" i="105"/>
  <c r="B108" i="107"/>
  <c r="A109" i="107"/>
  <c r="H94" i="91"/>
  <c r="BJ94" i="91" s="1"/>
  <c r="G95" i="91"/>
  <c r="AZ85" i="91"/>
  <c r="AV91" i="91"/>
  <c r="BA85" i="91"/>
  <c r="AU44" i="91"/>
  <c r="AY44" i="91" s="1"/>
  <c r="AW44" i="91" s="1"/>
  <c r="AT44" i="91" s="1"/>
  <c r="BL89" i="91"/>
  <c r="BG44" i="91"/>
  <c r="AV44" i="91"/>
  <c r="G93" i="86"/>
  <c r="H92" i="86"/>
  <c r="BJ92" i="86" s="1"/>
  <c r="E121" i="110"/>
  <c r="J120" i="110"/>
  <c r="F120" i="110"/>
  <c r="AO90" i="106"/>
  <c r="AM129" i="106"/>
  <c r="AV29" i="59"/>
  <c r="AU29" i="59"/>
  <c r="Q89" i="86"/>
  <c r="R89" i="86"/>
  <c r="M89" i="86"/>
  <c r="G93" i="75"/>
  <c r="H92" i="75"/>
  <c r="BJ92" i="75" s="1"/>
  <c r="W80" i="88"/>
  <c r="L45" i="88"/>
  <c r="P45" i="88" s="1"/>
  <c r="N45" i="88" s="1"/>
  <c r="W80" i="91"/>
  <c r="L45" i="91"/>
  <c r="P45" i="91" s="1"/>
  <c r="N45" i="91" s="1"/>
  <c r="AT42" i="86"/>
  <c r="AP92" i="106"/>
  <c r="AT91" i="106"/>
  <c r="AQ91" i="106"/>
  <c r="AM128" i="105"/>
  <c r="AO89" i="105"/>
  <c r="O29" i="59"/>
  <c r="N29" i="59" s="1"/>
  <c r="L29" i="59" s="1"/>
  <c r="P29" i="59"/>
  <c r="AU45" i="88"/>
  <c r="AY45" i="88" s="1"/>
  <c r="AW45" i="88" s="1"/>
  <c r="AT45" i="88" s="1"/>
  <c r="BL90" i="88"/>
  <c r="U91" i="86"/>
  <c r="V90" i="86"/>
  <c r="AU73" i="100"/>
  <c r="AY73" i="100" s="1"/>
  <c r="AW73" i="100" s="1"/>
  <c r="BL118" i="100"/>
  <c r="BG73" i="100"/>
  <c r="K90" i="100"/>
  <c r="I90" i="100"/>
  <c r="G91" i="100"/>
  <c r="H90" i="100"/>
  <c r="BJ90" i="100" s="1"/>
  <c r="AP92" i="88"/>
  <c r="AQ91" i="88"/>
  <c r="E95" i="103"/>
  <c r="J94" i="103"/>
  <c r="F94" i="103"/>
  <c r="AZ94" i="103" s="1"/>
  <c r="A106" i="108"/>
  <c r="B105" i="108"/>
  <c r="U91" i="78"/>
  <c r="T92" i="78"/>
  <c r="AP93" i="91"/>
  <c r="AQ92" i="91"/>
  <c r="AZ83" i="105"/>
  <c r="AS83" i="105" s="1"/>
  <c r="BA83" i="105"/>
  <c r="M93" i="106"/>
  <c r="Q93" i="106"/>
  <c r="R93" i="106"/>
  <c r="G91" i="88"/>
  <c r="H90" i="88"/>
  <c r="BJ90" i="88" s="1"/>
  <c r="AO44" i="88"/>
  <c r="AS44" i="88"/>
  <c r="AM83" i="88"/>
  <c r="BI89" i="100"/>
  <c r="BH90" i="100"/>
  <c r="X124" i="100"/>
  <c r="BK89" i="100"/>
  <c r="K43" i="86"/>
  <c r="M43" i="86" s="1"/>
  <c r="S43" i="86" s="1"/>
  <c r="N95" i="66"/>
  <c r="L95" i="66"/>
  <c r="M95" i="66"/>
  <c r="BI91" i="88"/>
  <c r="BH92" i="88"/>
  <c r="Q90" i="78"/>
  <c r="P90" i="78"/>
  <c r="BH91" i="105"/>
  <c r="BI90" i="105"/>
  <c r="U95" i="106"/>
  <c r="V94" i="106"/>
  <c r="AP95" i="86"/>
  <c r="AQ94" i="86"/>
  <c r="AV88" i="100"/>
  <c r="BA82" i="100"/>
  <c r="AZ82" i="100"/>
  <c r="AS82" i="100" s="1"/>
  <c r="AV45" i="75"/>
  <c r="BG45" i="75" s="1"/>
  <c r="U96" i="66"/>
  <c r="AA96" i="66"/>
  <c r="F97" i="66"/>
  <c r="G96" i="66"/>
  <c r="BA84" i="88"/>
  <c r="AV90" i="88"/>
  <c r="AZ84" i="88"/>
  <c r="H29" i="66"/>
  <c r="O29" i="66" s="1"/>
  <c r="U92" i="75"/>
  <c r="V91" i="75"/>
  <c r="R92" i="88"/>
  <c r="Q92" i="88"/>
  <c r="M92" i="88"/>
  <c r="AP97" i="75"/>
  <c r="AQ96" i="75"/>
  <c r="AV88" i="106"/>
  <c r="AZ82" i="106"/>
  <c r="AS82" i="106" s="1"/>
  <c r="BA82" i="106"/>
  <c r="AU63" i="106"/>
  <c r="AY63" i="106" s="1"/>
  <c r="BL108" i="106"/>
  <c r="Q88" i="100"/>
  <c r="J88" i="100" s="1"/>
  <c r="R88" i="100"/>
  <c r="R93" i="91"/>
  <c r="Q93" i="91"/>
  <c r="M93" i="91"/>
  <c r="AP92" i="100"/>
  <c r="AT91" i="100"/>
  <c r="AQ91" i="100"/>
  <c r="BI91" i="75"/>
  <c r="BH92" i="75"/>
  <c r="M90" i="75"/>
  <c r="R90" i="75"/>
  <c r="Q90" i="75"/>
  <c r="V93" i="88"/>
  <c r="U94" i="88"/>
  <c r="O155" i="66"/>
  <c r="W156" i="66"/>
  <c r="AT49" i="78"/>
  <c r="BE49" i="78"/>
  <c r="AY49" i="78"/>
  <c r="AX49" i="78"/>
  <c r="AW49" i="78" s="1"/>
  <c r="AU49" i="78" s="1"/>
  <c r="AR49" i="78" s="1"/>
  <c r="K92" i="106"/>
  <c r="H92" i="106"/>
  <c r="BJ92" i="106" s="1"/>
  <c r="G93" i="106"/>
  <c r="BH90" i="106"/>
  <c r="BI89" i="106"/>
  <c r="AZ82" i="86"/>
  <c r="AV88" i="86"/>
  <c r="BA82" i="86"/>
  <c r="D68" i="108"/>
  <c r="C69" i="108" s="1"/>
  <c r="G92" i="105"/>
  <c r="I91" i="105"/>
  <c r="H91" i="105"/>
  <c r="BJ91" i="105" s="1"/>
  <c r="W90" i="109"/>
  <c r="G91" i="109"/>
  <c r="T90" i="109"/>
  <c r="H90" i="109"/>
  <c r="BK90" i="109" s="1"/>
  <c r="I90" i="109"/>
  <c r="L63" i="105"/>
  <c r="P63" i="105" s="1"/>
  <c r="N63" i="105" s="1"/>
  <c r="M63" i="105"/>
  <c r="S63" i="105" s="1"/>
  <c r="W98" i="105"/>
  <c r="U90" i="100"/>
  <c r="V89" i="100"/>
  <c r="U95" i="91"/>
  <c r="V94" i="91"/>
  <c r="R88" i="105"/>
  <c r="Q88" i="105"/>
  <c r="AM129" i="100"/>
  <c r="AO90" i="100"/>
  <c r="AV90" i="75"/>
  <c r="BA84" i="75"/>
  <c r="AZ84" i="75"/>
  <c r="Q30" i="66"/>
  <c r="J91" i="106"/>
  <c r="X126" i="106"/>
  <c r="BK91" i="106"/>
  <c r="J46" i="78"/>
  <c r="BI89" i="86"/>
  <c r="BH90" i="86"/>
  <c r="BB82" i="109"/>
  <c r="BA82" i="109"/>
  <c r="AT82" i="109" s="1"/>
  <c r="BJ89" i="109"/>
  <c r="BI90" i="109"/>
  <c r="R89" i="110"/>
  <c r="S88" i="110"/>
  <c r="Q89" i="109"/>
  <c r="R89" i="109"/>
  <c r="U91" i="109"/>
  <c r="V90" i="109"/>
  <c r="K49" i="75"/>
  <c r="I28" i="111"/>
  <c r="U68" i="111"/>
  <c r="J94" i="111"/>
  <c r="E95" i="111"/>
  <c r="F94" i="111"/>
  <c r="AZ94" i="111" s="1"/>
  <c r="AT26" i="111"/>
  <c r="AR26" i="111" s="1"/>
  <c r="O28" i="111"/>
  <c r="P28" i="111"/>
  <c r="AX92" i="111"/>
  <c r="X72" i="94"/>
  <c r="L37" i="94"/>
  <c r="P37" i="94" s="1"/>
  <c r="N37" i="94" s="1"/>
  <c r="K40" i="109"/>
  <c r="BL40" i="109" s="1"/>
  <c r="V89" i="94"/>
  <c r="U90" i="94"/>
  <c r="Q88" i="94"/>
  <c r="R88" i="94"/>
  <c r="AY27" i="110"/>
  <c r="BB73" i="110"/>
  <c r="AI68" i="110"/>
  <c r="AP27" i="110"/>
  <c r="S28" i="112"/>
  <c r="T69" i="112"/>
  <c r="V69" i="112" s="1"/>
  <c r="H28" i="112"/>
  <c r="BA27" i="112"/>
  <c r="AN121" i="109"/>
  <c r="AU83" i="109"/>
  <c r="AP82" i="109"/>
  <c r="E93" i="112"/>
  <c r="F92" i="112"/>
  <c r="AZ92" i="112" s="1"/>
  <c r="AM94" i="112"/>
  <c r="AN93" i="112"/>
  <c r="AT26" i="112"/>
  <c r="AR26" i="112" s="1"/>
  <c r="AX92" i="112"/>
  <c r="BA83" i="94"/>
  <c r="AT83" i="94" s="1"/>
  <c r="BB83" i="94"/>
  <c r="BJ90" i="94"/>
  <c r="BI91" i="94"/>
  <c r="G91" i="94"/>
  <c r="H90" i="94"/>
  <c r="BK90" i="94" s="1"/>
  <c r="T90" i="94"/>
  <c r="W90" i="94"/>
  <c r="I90" i="94"/>
  <c r="AQ91" i="94"/>
  <c r="AR90" i="94"/>
  <c r="AQ28" i="103"/>
  <c r="AW28" i="103" s="1"/>
  <c r="AP29" i="103" s="1"/>
  <c r="AJ69" i="103"/>
  <c r="AS29" i="103"/>
  <c r="BM117" i="109"/>
  <c r="AV72" i="109"/>
  <c r="AZ72" i="109" s="1"/>
  <c r="AX72" i="109" s="1"/>
  <c r="AW72" i="109" s="1"/>
  <c r="BH72" i="109" s="1"/>
  <c r="G28" i="110"/>
  <c r="K28" i="110" s="1"/>
  <c r="Q28" i="110" s="1"/>
  <c r="M29" i="110"/>
  <c r="AV70" i="94"/>
  <c r="AZ70" i="94" s="1"/>
  <c r="AX70" i="94" s="1"/>
  <c r="AW70" i="94" s="1"/>
  <c r="BH70" i="94" s="1"/>
  <c r="BM115" i="94"/>
  <c r="AU87" i="94"/>
  <c r="AP86" i="94"/>
  <c r="AN125" i="94"/>
  <c r="H25" i="61"/>
  <c r="J25" i="61" s="1"/>
  <c r="L26" i="61"/>
  <c r="W79" i="86" l="1"/>
  <c r="L44" i="86"/>
  <c r="P44" i="86" s="1"/>
  <c r="N44" i="86" s="1"/>
  <c r="AS44" i="91"/>
  <c r="AO44" i="91"/>
  <c r="AM83" i="91"/>
  <c r="L64" i="105"/>
  <c r="P64" i="105" s="1"/>
  <c r="N64" i="105" s="1"/>
  <c r="M64" i="105"/>
  <c r="S64" i="105" s="1"/>
  <c r="W99" i="105"/>
  <c r="AO45" i="88"/>
  <c r="AS45" i="88"/>
  <c r="AM84" i="88"/>
  <c r="AV45" i="88"/>
  <c r="BG45" i="88" s="1"/>
  <c r="E101" i="107"/>
  <c r="G101" i="107" s="1"/>
  <c r="D101" i="107" s="1"/>
  <c r="C102" i="107" s="1"/>
  <c r="F101" i="107"/>
  <c r="AM88" i="78"/>
  <c r="AO49" i="78"/>
  <c r="I29" i="59"/>
  <c r="BF35" i="59" s="1"/>
  <c r="AU74" i="105"/>
  <c r="AY74" i="105" s="1"/>
  <c r="AW74" i="105" s="1"/>
  <c r="BL119" i="105"/>
  <c r="AV74" i="105"/>
  <c r="BG74" i="105" s="1"/>
  <c r="V29" i="66"/>
  <c r="Z29" i="66"/>
  <c r="M94" i="106"/>
  <c r="R94" i="106"/>
  <c r="Q94" i="106"/>
  <c r="G94" i="75"/>
  <c r="H93" i="75"/>
  <c r="BJ93" i="75" s="1"/>
  <c r="X86" i="78"/>
  <c r="BI52" i="78"/>
  <c r="V95" i="91"/>
  <c r="U96" i="91"/>
  <c r="BI90" i="106"/>
  <c r="BH91" i="106"/>
  <c r="BG56" i="78"/>
  <c r="BJ95" i="78"/>
  <c r="AS50" i="78"/>
  <c r="AZ85" i="88"/>
  <c r="BA85" i="88"/>
  <c r="AV91" i="88"/>
  <c r="BI90" i="100"/>
  <c r="BH91" i="100"/>
  <c r="Q91" i="78"/>
  <c r="P91" i="78"/>
  <c r="AM130" i="106"/>
  <c r="AO91" i="106"/>
  <c r="K45" i="88"/>
  <c r="M45" i="88" s="1"/>
  <c r="S45" i="88" s="1"/>
  <c r="AU45" i="91"/>
  <c r="AY45" i="91" s="1"/>
  <c r="AW45" i="91" s="1"/>
  <c r="AT45" i="91" s="1"/>
  <c r="BL90" i="91"/>
  <c r="BG45" i="91"/>
  <c r="AM129" i="105"/>
  <c r="AO90" i="105"/>
  <c r="L59" i="100"/>
  <c r="P59" i="100" s="1"/>
  <c r="N59" i="100" s="1"/>
  <c r="M59" i="100"/>
  <c r="S59" i="100" s="1"/>
  <c r="W94" i="100"/>
  <c r="U91" i="100"/>
  <c r="V90" i="100"/>
  <c r="G92" i="109"/>
  <c r="T91" i="109"/>
  <c r="W91" i="109"/>
  <c r="H91" i="109"/>
  <c r="BK91" i="109" s="1"/>
  <c r="I91" i="109"/>
  <c r="G69" i="108"/>
  <c r="D69" i="108" s="1"/>
  <c r="C70" i="108" s="1"/>
  <c r="E69" i="108"/>
  <c r="F69" i="108"/>
  <c r="H93" i="106"/>
  <c r="BJ93" i="106" s="1"/>
  <c r="K93" i="106"/>
  <c r="G94" i="106"/>
  <c r="BH93" i="75"/>
  <c r="BI92" i="75"/>
  <c r="U96" i="106"/>
  <c r="V95" i="106"/>
  <c r="A107" i="108"/>
  <c r="B106" i="108"/>
  <c r="I91" i="100"/>
  <c r="G92" i="100"/>
  <c r="K91" i="100"/>
  <c r="H91" i="100"/>
  <c r="BJ91" i="100" s="1"/>
  <c r="V91" i="86"/>
  <c r="U92" i="86"/>
  <c r="AM81" i="86"/>
  <c r="AS42" i="86"/>
  <c r="AO42" i="86"/>
  <c r="R90" i="86"/>
  <c r="Q90" i="86"/>
  <c r="M90" i="86"/>
  <c r="AP93" i="106"/>
  <c r="AT92" i="106"/>
  <c r="AQ92" i="106"/>
  <c r="L57" i="106"/>
  <c r="P57" i="106" s="1"/>
  <c r="N57" i="106" s="1"/>
  <c r="W92" i="106"/>
  <c r="O156" i="66"/>
  <c r="W157" i="66"/>
  <c r="BA85" i="75"/>
  <c r="AV91" i="75"/>
  <c r="AZ85" i="75"/>
  <c r="AZ84" i="105"/>
  <c r="AS84" i="105" s="1"/>
  <c r="BA84" i="105"/>
  <c r="M30" i="59"/>
  <c r="K45" i="91"/>
  <c r="L46" i="78"/>
  <c r="R46" i="78" s="1"/>
  <c r="AP92" i="105"/>
  <c r="AT91" i="105"/>
  <c r="AQ91" i="105"/>
  <c r="R89" i="100"/>
  <c r="Q89" i="100"/>
  <c r="J89" i="100" s="1"/>
  <c r="M91" i="75"/>
  <c r="Q91" i="75"/>
  <c r="R91" i="75"/>
  <c r="BH92" i="105"/>
  <c r="BI91" i="105"/>
  <c r="BK43" i="86"/>
  <c r="J43" i="86"/>
  <c r="X78" i="86"/>
  <c r="G92" i="88"/>
  <c r="H91" i="88"/>
  <c r="BJ91" i="88" s="1"/>
  <c r="A110" i="107"/>
  <c r="B109" i="107"/>
  <c r="R89" i="105"/>
  <c r="Q89" i="105"/>
  <c r="G96" i="91"/>
  <c r="H95" i="91"/>
  <c r="BJ95" i="91" s="1"/>
  <c r="BK92" i="106"/>
  <c r="J92" i="106"/>
  <c r="X127" i="106"/>
  <c r="U95" i="88"/>
  <c r="V94" i="88"/>
  <c r="AM130" i="100"/>
  <c r="AO91" i="100"/>
  <c r="V92" i="75"/>
  <c r="U93" i="75"/>
  <c r="M96" i="66"/>
  <c r="L96" i="66"/>
  <c r="N96" i="66"/>
  <c r="E96" i="103"/>
  <c r="J95" i="103"/>
  <c r="F95" i="103"/>
  <c r="AZ95" i="103" s="1"/>
  <c r="X125" i="100"/>
  <c r="BK90" i="100"/>
  <c r="V90" i="105"/>
  <c r="U91" i="105"/>
  <c r="BI90" i="86"/>
  <c r="BH91" i="86"/>
  <c r="AV50" i="78"/>
  <c r="Q93" i="88"/>
  <c r="R93" i="88"/>
  <c r="M93" i="88"/>
  <c r="AT92" i="100"/>
  <c r="AP93" i="100"/>
  <c r="AQ92" i="100"/>
  <c r="U97" i="66"/>
  <c r="G97" i="66"/>
  <c r="F98" i="66"/>
  <c r="AA97" i="66"/>
  <c r="AQ93" i="91"/>
  <c r="AP94" i="91"/>
  <c r="AU74" i="100"/>
  <c r="AY74" i="100" s="1"/>
  <c r="AW74" i="100" s="1"/>
  <c r="BL119" i="100"/>
  <c r="BG74" i="100"/>
  <c r="AT29" i="59"/>
  <c r="AR29" i="59" s="1"/>
  <c r="AS30" i="59" s="1"/>
  <c r="AZ86" i="91"/>
  <c r="AV92" i="91"/>
  <c r="BA86" i="91"/>
  <c r="G93" i="78"/>
  <c r="H92" i="78"/>
  <c r="BH98" i="78" s="1"/>
  <c r="AV42" i="86"/>
  <c r="BG42" i="86" s="1"/>
  <c r="AU46" i="75"/>
  <c r="AY46" i="75" s="1"/>
  <c r="AW46" i="75" s="1"/>
  <c r="AT46" i="75" s="1"/>
  <c r="BL91" i="75"/>
  <c r="AV89" i="100"/>
  <c r="BA83" i="100"/>
  <c r="AZ83" i="100"/>
  <c r="AS83" i="100" s="1"/>
  <c r="AZ83" i="86"/>
  <c r="BA83" i="86"/>
  <c r="AV89" i="86"/>
  <c r="Q94" i="91"/>
  <c r="R94" i="91"/>
  <c r="M94" i="91"/>
  <c r="G93" i="105"/>
  <c r="I92" i="105"/>
  <c r="H92" i="105"/>
  <c r="BJ92" i="105" s="1"/>
  <c r="BA83" i="106"/>
  <c r="AZ83" i="106"/>
  <c r="AS83" i="106" s="1"/>
  <c r="AV89" i="106"/>
  <c r="AV63" i="106"/>
  <c r="BG63" i="106" s="1"/>
  <c r="AQ97" i="75"/>
  <c r="AP98" i="75"/>
  <c r="AP96" i="86"/>
  <c r="AQ95" i="86"/>
  <c r="BH93" i="88"/>
  <c r="BI92" i="88"/>
  <c r="T93" i="78"/>
  <c r="U92" i="78"/>
  <c r="AP93" i="88"/>
  <c r="AQ92" i="88"/>
  <c r="E122" i="110"/>
  <c r="J121" i="110"/>
  <c r="F121" i="110"/>
  <c r="H93" i="86"/>
  <c r="BJ93" i="86" s="1"/>
  <c r="G94" i="86"/>
  <c r="BI93" i="91"/>
  <c r="BH94" i="91"/>
  <c r="J87" i="105"/>
  <c r="BK87" i="105"/>
  <c r="X122" i="105"/>
  <c r="AH50" i="105" s="1"/>
  <c r="K88" i="105"/>
  <c r="BB83" i="109"/>
  <c r="BA83" i="109"/>
  <c r="AT83" i="109" s="1"/>
  <c r="BJ90" i="109"/>
  <c r="BI91" i="109"/>
  <c r="R90" i="110"/>
  <c r="S89" i="110"/>
  <c r="V91" i="109"/>
  <c r="U92" i="109"/>
  <c r="Q90" i="109"/>
  <c r="R90" i="109"/>
  <c r="J49" i="75"/>
  <c r="X84" i="75"/>
  <c r="BK49" i="75"/>
  <c r="M49" i="75"/>
  <c r="S49" i="75" s="1"/>
  <c r="AO26" i="111"/>
  <c r="AQ26" i="111" s="1"/>
  <c r="AW26" i="111" s="1"/>
  <c r="AS27" i="111"/>
  <c r="J95" i="111"/>
  <c r="E96" i="111"/>
  <c r="F95" i="111"/>
  <c r="AZ95" i="111" s="1"/>
  <c r="N28" i="111"/>
  <c r="L28" i="111" s="1"/>
  <c r="M29" i="111" s="1"/>
  <c r="AX93" i="111"/>
  <c r="K37" i="94"/>
  <c r="Y75" i="109"/>
  <c r="M40" i="109"/>
  <c r="S40" i="109" s="1"/>
  <c r="L41" i="109" s="1"/>
  <c r="J40" i="109"/>
  <c r="V90" i="94"/>
  <c r="U91" i="94"/>
  <c r="R89" i="94"/>
  <c r="Q89" i="94"/>
  <c r="AK68" i="110"/>
  <c r="AV27" i="110"/>
  <c r="AU27" i="110"/>
  <c r="I28" i="112"/>
  <c r="U68" i="112"/>
  <c r="P28" i="112"/>
  <c r="O28" i="112"/>
  <c r="N28" i="112" s="1"/>
  <c r="L28" i="112" s="1"/>
  <c r="G28" i="112" s="1"/>
  <c r="AN122" i="109"/>
  <c r="AU84" i="109"/>
  <c r="AP83" i="109"/>
  <c r="AO26" i="112"/>
  <c r="AQ26" i="112" s="1"/>
  <c r="AW26" i="112" s="1"/>
  <c r="AS27" i="112"/>
  <c r="E94" i="112"/>
  <c r="J93" i="112"/>
  <c r="F93" i="112"/>
  <c r="AZ93" i="112" s="1"/>
  <c r="AM95" i="112"/>
  <c r="AN94" i="112"/>
  <c r="AX93" i="112"/>
  <c r="BA84" i="94"/>
  <c r="AT84" i="94" s="1"/>
  <c r="BB84" i="94"/>
  <c r="BJ91" i="94"/>
  <c r="BI92" i="94"/>
  <c r="AR91" i="94"/>
  <c r="AQ92" i="94"/>
  <c r="W91" i="94"/>
  <c r="G92" i="94"/>
  <c r="T91" i="94"/>
  <c r="H91" i="94"/>
  <c r="BK91" i="94" s="1"/>
  <c r="I91" i="94"/>
  <c r="AY29" i="103"/>
  <c r="AV29" i="103" s="1"/>
  <c r="AI70" i="103"/>
  <c r="AK70" i="103" s="1"/>
  <c r="BB75" i="103"/>
  <c r="AV73" i="109"/>
  <c r="AZ73" i="109" s="1"/>
  <c r="AX73" i="109" s="1"/>
  <c r="AW73" i="109" s="1"/>
  <c r="BH73" i="109" s="1"/>
  <c r="BM118" i="109"/>
  <c r="T70" i="110"/>
  <c r="V70" i="110" s="1"/>
  <c r="H29" i="110"/>
  <c r="BA28" i="110"/>
  <c r="AV71" i="94"/>
  <c r="AZ71" i="94" s="1"/>
  <c r="AX71" i="94" s="1"/>
  <c r="AW71" i="94" s="1"/>
  <c r="BH71" i="94" s="1"/>
  <c r="BM116" i="94"/>
  <c r="AU88" i="94"/>
  <c r="AN126" i="94"/>
  <c r="AP87" i="94"/>
  <c r="P25" i="61"/>
  <c r="T55" i="61"/>
  <c r="AM84" i="91" l="1"/>
  <c r="AS45" i="91"/>
  <c r="AO45" i="91"/>
  <c r="AM85" i="75"/>
  <c r="AO46" i="75"/>
  <c r="AS46" i="75"/>
  <c r="G70" i="108"/>
  <c r="D70" i="108" s="1"/>
  <c r="C71" i="108" s="1"/>
  <c r="F70" i="108"/>
  <c r="E70" i="108"/>
  <c r="W81" i="88"/>
  <c r="L46" i="88"/>
  <c r="P46" i="88" s="1"/>
  <c r="N46" i="88" s="1"/>
  <c r="L60" i="100"/>
  <c r="P60" i="100" s="1"/>
  <c r="N60" i="100" s="1"/>
  <c r="W95" i="100"/>
  <c r="F102" i="107"/>
  <c r="E102" i="107"/>
  <c r="G102" i="107" s="1"/>
  <c r="D102" i="107" s="1"/>
  <c r="C103" i="107" s="1"/>
  <c r="AU75" i="105"/>
  <c r="AY75" i="105" s="1"/>
  <c r="AW75" i="105" s="1"/>
  <c r="BL120" i="105"/>
  <c r="AV75" i="105"/>
  <c r="BG75" i="105" s="1"/>
  <c r="L65" i="105"/>
  <c r="P65" i="105" s="1"/>
  <c r="N65" i="105" s="1"/>
  <c r="M65" i="105"/>
  <c r="S65" i="105" s="1"/>
  <c r="W100" i="105"/>
  <c r="AP99" i="75"/>
  <c r="AQ98" i="75"/>
  <c r="Q90" i="105"/>
  <c r="R90" i="105"/>
  <c r="M94" i="88"/>
  <c r="R94" i="88"/>
  <c r="Q94" i="88"/>
  <c r="K47" i="78"/>
  <c r="O47" i="78" s="1"/>
  <c r="M47" i="78" s="1"/>
  <c r="N48" i="78" s="1"/>
  <c r="W87" i="78"/>
  <c r="M57" i="106"/>
  <c r="S57" i="106" s="1"/>
  <c r="G93" i="100"/>
  <c r="I92" i="100"/>
  <c r="K92" i="100"/>
  <c r="H92" i="100"/>
  <c r="BJ92" i="100" s="1"/>
  <c r="V96" i="106"/>
  <c r="U97" i="106"/>
  <c r="X128" i="106"/>
  <c r="BK93" i="106"/>
  <c r="J93" i="106"/>
  <c r="BA84" i="100"/>
  <c r="AZ84" i="100"/>
  <c r="AS84" i="100" s="1"/>
  <c r="AV90" i="100"/>
  <c r="BE50" i="78"/>
  <c r="AY50" i="78"/>
  <c r="AX50" i="78"/>
  <c r="AT50" i="78"/>
  <c r="AU46" i="88"/>
  <c r="AY46" i="88" s="1"/>
  <c r="AW46" i="88" s="1"/>
  <c r="AT46" i="88" s="1"/>
  <c r="BL91" i="88"/>
  <c r="AP94" i="88"/>
  <c r="AQ93" i="88"/>
  <c r="U96" i="88"/>
  <c r="V95" i="88"/>
  <c r="A111" i="107"/>
  <c r="B110" i="107"/>
  <c r="G93" i="88"/>
  <c r="H92" i="88"/>
  <c r="BJ92" i="88" s="1"/>
  <c r="X80" i="91"/>
  <c r="J45" i="91"/>
  <c r="BK45" i="91"/>
  <c r="BA86" i="75"/>
  <c r="AZ86" i="75"/>
  <c r="AV92" i="75"/>
  <c r="BK45" i="88"/>
  <c r="X80" i="88"/>
  <c r="J45" i="88"/>
  <c r="BH92" i="106"/>
  <c r="BI91" i="106"/>
  <c r="P92" i="78"/>
  <c r="Q92" i="78"/>
  <c r="AU64" i="106"/>
  <c r="AY64" i="106" s="1"/>
  <c r="BL109" i="106"/>
  <c r="G94" i="105"/>
  <c r="I93" i="105"/>
  <c r="H93" i="105"/>
  <c r="BJ93" i="105" s="1"/>
  <c r="AV46" i="75"/>
  <c r="BG46" i="75" s="1"/>
  <c r="AO29" i="59"/>
  <c r="AQ29" i="59" s="1"/>
  <c r="BB29" i="59" s="1"/>
  <c r="AA98" i="66"/>
  <c r="F99" i="66"/>
  <c r="U98" i="66"/>
  <c r="G98" i="66"/>
  <c r="BH94" i="75"/>
  <c r="BI93" i="75"/>
  <c r="G93" i="109"/>
  <c r="H92" i="109"/>
  <c r="BK92" i="109" s="1"/>
  <c r="I92" i="109"/>
  <c r="AV90" i="106"/>
  <c r="BA84" i="106"/>
  <c r="AZ84" i="106"/>
  <c r="AS84" i="106" s="1"/>
  <c r="K30" i="66"/>
  <c r="J30" i="66"/>
  <c r="I30" i="66" s="1"/>
  <c r="X30" i="66"/>
  <c r="BI94" i="91"/>
  <c r="BH95" i="91"/>
  <c r="G95" i="86"/>
  <c r="H94" i="86"/>
  <c r="BJ94" i="86" s="1"/>
  <c r="U93" i="78"/>
  <c r="T94" i="78"/>
  <c r="AU75" i="100"/>
  <c r="AY75" i="100" s="1"/>
  <c r="AW75" i="100" s="1"/>
  <c r="BL120" i="100"/>
  <c r="BG75" i="100"/>
  <c r="L97" i="66"/>
  <c r="M97" i="66"/>
  <c r="N97" i="66"/>
  <c r="U94" i="75"/>
  <c r="V93" i="75"/>
  <c r="AM131" i="106"/>
  <c r="AO92" i="106"/>
  <c r="R90" i="100"/>
  <c r="Q90" i="100"/>
  <c r="J90" i="100" s="1"/>
  <c r="U97" i="91"/>
  <c r="V96" i="91"/>
  <c r="H94" i="75"/>
  <c r="BJ94" i="75" s="1"/>
  <c r="G95" i="75"/>
  <c r="AZ87" i="91"/>
  <c r="AV93" i="91"/>
  <c r="BA87" i="91"/>
  <c r="AZ86" i="88"/>
  <c r="BA86" i="88"/>
  <c r="AV92" i="88"/>
  <c r="M92" i="75"/>
  <c r="R92" i="75"/>
  <c r="Q92" i="75"/>
  <c r="H96" i="91"/>
  <c r="BJ96" i="91" s="1"/>
  <c r="G97" i="91"/>
  <c r="O157" i="66"/>
  <c r="W158" i="66"/>
  <c r="AQ93" i="106"/>
  <c r="AP94" i="106"/>
  <c r="V92" i="86"/>
  <c r="U93" i="86"/>
  <c r="K94" i="106"/>
  <c r="G95" i="106"/>
  <c r="H94" i="106"/>
  <c r="BJ94" i="106" s="1"/>
  <c r="U92" i="100"/>
  <c r="V91" i="100"/>
  <c r="AU46" i="91"/>
  <c r="AY46" i="91" s="1"/>
  <c r="AW46" i="91" s="1"/>
  <c r="AT46" i="91" s="1"/>
  <c r="BL91" i="91"/>
  <c r="BG46" i="91"/>
  <c r="M95" i="91"/>
  <c r="R95" i="91"/>
  <c r="Q95" i="91"/>
  <c r="BH94" i="88"/>
  <c r="BI93" i="88"/>
  <c r="G94" i="78"/>
  <c r="H93" i="78"/>
  <c r="BH99" i="78" s="1"/>
  <c r="BH92" i="86"/>
  <c r="BI91" i="86"/>
  <c r="AZ85" i="105"/>
  <c r="AS85" i="105" s="1"/>
  <c r="BA85" i="105"/>
  <c r="M91" i="86"/>
  <c r="R91" i="86"/>
  <c r="Q91" i="86"/>
  <c r="A108" i="108"/>
  <c r="B107" i="108"/>
  <c r="AW50" i="78"/>
  <c r="AU50" i="78" s="1"/>
  <c r="AR50" i="78" s="1"/>
  <c r="K44" i="86"/>
  <c r="M44" i="86" s="1"/>
  <c r="S44" i="86" s="1"/>
  <c r="AU43" i="86"/>
  <c r="AY43" i="86" s="1"/>
  <c r="AW43" i="86" s="1"/>
  <c r="AV43" i="86" s="1"/>
  <c r="BG43" i="86" s="1"/>
  <c r="AT43" i="86"/>
  <c r="BL88" i="86"/>
  <c r="AQ94" i="91"/>
  <c r="AP95" i="91"/>
  <c r="AP94" i="100"/>
  <c r="AQ93" i="100"/>
  <c r="AV90" i="86"/>
  <c r="BA84" i="86"/>
  <c r="AZ84" i="86"/>
  <c r="E97" i="103"/>
  <c r="J96" i="103"/>
  <c r="F96" i="103"/>
  <c r="AZ96" i="103" s="1"/>
  <c r="BH93" i="105"/>
  <c r="BI92" i="105"/>
  <c r="AO91" i="105"/>
  <c r="AM130" i="105"/>
  <c r="X123" i="105"/>
  <c r="BK88" i="105"/>
  <c r="J88" i="105"/>
  <c r="K89" i="105"/>
  <c r="E123" i="110"/>
  <c r="J122" i="110"/>
  <c r="F122" i="110"/>
  <c r="AP97" i="86"/>
  <c r="AQ96" i="86"/>
  <c r="AM131" i="100"/>
  <c r="AO92" i="100"/>
  <c r="U92" i="105"/>
  <c r="V91" i="105"/>
  <c r="AT92" i="105"/>
  <c r="AQ92" i="105"/>
  <c r="AP93" i="105"/>
  <c r="X126" i="100"/>
  <c r="BK91" i="100"/>
  <c r="R95" i="106"/>
  <c r="Q95" i="106"/>
  <c r="M95" i="106"/>
  <c r="BH92" i="100"/>
  <c r="BI91" i="100"/>
  <c r="K29" i="59"/>
  <c r="M45" i="91"/>
  <c r="S45" i="91" s="1"/>
  <c r="BA84" i="109"/>
  <c r="AT84" i="109" s="1"/>
  <c r="BB84" i="109"/>
  <c r="BJ91" i="109"/>
  <c r="BI92" i="109"/>
  <c r="R91" i="110"/>
  <c r="S90" i="110"/>
  <c r="V92" i="109"/>
  <c r="U93" i="109"/>
  <c r="Q91" i="109"/>
  <c r="R91" i="109"/>
  <c r="L50" i="75"/>
  <c r="P50" i="75" s="1"/>
  <c r="N50" i="75" s="1"/>
  <c r="W85" i="75"/>
  <c r="E97" i="111"/>
  <c r="J96" i="111"/>
  <c r="F96" i="111"/>
  <c r="AZ96" i="111" s="1"/>
  <c r="BB73" i="111"/>
  <c r="AP27" i="111"/>
  <c r="AY27" i="111"/>
  <c r="AI68" i="111"/>
  <c r="AK68" i="111" s="1"/>
  <c r="G28" i="111"/>
  <c r="AL26" i="111"/>
  <c r="AJ67" i="111"/>
  <c r="AX94" i="111"/>
  <c r="M37" i="94"/>
  <c r="S37" i="94" s="1"/>
  <c r="BL37" i="94"/>
  <c r="Y72" i="94"/>
  <c r="J37" i="94"/>
  <c r="X76" i="109"/>
  <c r="V91" i="94"/>
  <c r="U92" i="94"/>
  <c r="R90" i="94"/>
  <c r="Q90" i="94"/>
  <c r="AT27" i="110"/>
  <c r="AR27" i="110" s="1"/>
  <c r="AS28" i="110" s="1"/>
  <c r="K28" i="112"/>
  <c r="Q28" i="112" s="1"/>
  <c r="BA28" i="112"/>
  <c r="M29" i="112"/>
  <c r="AP84" i="109"/>
  <c r="AN123" i="109"/>
  <c r="AU85" i="109"/>
  <c r="AM96" i="112"/>
  <c r="AN95" i="112"/>
  <c r="AX94" i="112"/>
  <c r="J94" i="112"/>
  <c r="E95" i="112"/>
  <c r="F94" i="112"/>
  <c r="AZ94" i="112" s="1"/>
  <c r="AY27" i="112"/>
  <c r="AI68" i="112"/>
  <c r="AP27" i="112"/>
  <c r="BB73" i="112"/>
  <c r="AL26" i="112"/>
  <c r="AJ67" i="112"/>
  <c r="BB85" i="94"/>
  <c r="BA85" i="94"/>
  <c r="AT85" i="94" s="1"/>
  <c r="BJ92" i="94"/>
  <c r="BI93" i="94"/>
  <c r="G93" i="94"/>
  <c r="H92" i="94"/>
  <c r="BK92" i="94" s="1"/>
  <c r="I92" i="94"/>
  <c r="AQ93" i="94"/>
  <c r="AR92" i="94"/>
  <c r="AU29" i="103"/>
  <c r="AT29" i="103" s="1"/>
  <c r="AR29" i="103" s="1"/>
  <c r="AO29" i="103" s="1"/>
  <c r="AQ29" i="103" s="1"/>
  <c r="AW29" i="103" s="1"/>
  <c r="BM119" i="109"/>
  <c r="AV74" i="109"/>
  <c r="AZ74" i="109" s="1"/>
  <c r="AX74" i="109" s="1"/>
  <c r="AW74" i="109" s="1"/>
  <c r="BH74" i="109" s="1"/>
  <c r="U69" i="110"/>
  <c r="O29" i="110"/>
  <c r="N29" i="110" s="1"/>
  <c r="L29" i="110" s="1"/>
  <c r="G29" i="110" s="1"/>
  <c r="BA29" i="110" s="1"/>
  <c r="P29" i="110"/>
  <c r="I29" i="110"/>
  <c r="AV72" i="94"/>
  <c r="AZ72" i="94" s="1"/>
  <c r="AX72" i="94" s="1"/>
  <c r="AW72" i="94" s="1"/>
  <c r="BH72" i="94" s="1"/>
  <c r="BM117" i="94"/>
  <c r="AN127" i="94"/>
  <c r="AU89" i="94"/>
  <c r="AP88" i="94"/>
  <c r="S56" i="61"/>
  <c r="R26" i="61"/>
  <c r="I26" i="61"/>
  <c r="AS46" i="88" l="1"/>
  <c r="AO46" i="88"/>
  <c r="AM85" i="88"/>
  <c r="AV46" i="88"/>
  <c r="BG46" i="88" s="1"/>
  <c r="E71" i="108"/>
  <c r="F71" i="108"/>
  <c r="G71" i="108"/>
  <c r="D71" i="108" s="1"/>
  <c r="C72" i="108" s="1"/>
  <c r="AU44" i="86"/>
  <c r="AY44" i="86" s="1"/>
  <c r="AW44" i="86" s="1"/>
  <c r="AT44" i="86" s="1"/>
  <c r="BL89" i="86"/>
  <c r="L45" i="86"/>
  <c r="P45" i="86" s="1"/>
  <c r="N45" i="86" s="1"/>
  <c r="K45" i="86" s="1"/>
  <c r="W80" i="86"/>
  <c r="BD36" i="59"/>
  <c r="BG75" i="59"/>
  <c r="AP30" i="59"/>
  <c r="M66" i="105"/>
  <c r="S66" i="105" s="1"/>
  <c r="L66" i="105"/>
  <c r="P66" i="105" s="1"/>
  <c r="N66" i="105" s="1"/>
  <c r="W101" i="105"/>
  <c r="AU76" i="105"/>
  <c r="AY76" i="105" s="1"/>
  <c r="AW76" i="105" s="1"/>
  <c r="AV76" i="105" s="1"/>
  <c r="BG76" i="105" s="1"/>
  <c r="BL121" i="105"/>
  <c r="E103" i="107"/>
  <c r="G103" i="107" s="1"/>
  <c r="D103" i="107" s="1"/>
  <c r="C104" i="107" s="1"/>
  <c r="F103" i="107"/>
  <c r="AM85" i="91"/>
  <c r="AO46" i="91"/>
  <c r="AS46" i="91"/>
  <c r="AZ85" i="86"/>
  <c r="AV91" i="86"/>
  <c r="BA85" i="86"/>
  <c r="AO92" i="105"/>
  <c r="AM131" i="105"/>
  <c r="B108" i="108"/>
  <c r="A109" i="108"/>
  <c r="AU47" i="91"/>
  <c r="AY47" i="91" s="1"/>
  <c r="AW47" i="91" s="1"/>
  <c r="AT47" i="91" s="1"/>
  <c r="BL92" i="91"/>
  <c r="BG47" i="91"/>
  <c r="G96" i="106"/>
  <c r="K95" i="106"/>
  <c r="H95" i="106"/>
  <c r="BJ95" i="106" s="1"/>
  <c r="N98" i="66"/>
  <c r="M98" i="66"/>
  <c r="L98" i="66"/>
  <c r="AV64" i="106"/>
  <c r="BG64" i="106" s="1"/>
  <c r="AP95" i="88"/>
  <c r="AQ94" i="88"/>
  <c r="G94" i="100"/>
  <c r="I93" i="100"/>
  <c r="H93" i="100"/>
  <c r="BJ93" i="100" s="1"/>
  <c r="G95" i="78"/>
  <c r="H94" i="78"/>
  <c r="BH100" i="78" s="1"/>
  <c r="S30" i="66"/>
  <c r="T30" i="66"/>
  <c r="G94" i="88"/>
  <c r="H93" i="88"/>
  <c r="BJ93" i="88" s="1"/>
  <c r="L58" i="106"/>
  <c r="P58" i="106" s="1"/>
  <c r="N58" i="106" s="1"/>
  <c r="W93" i="106"/>
  <c r="U93" i="105"/>
  <c r="V92" i="105"/>
  <c r="E124" i="110"/>
  <c r="J123" i="110"/>
  <c r="F123" i="110"/>
  <c r="AZ86" i="105"/>
  <c r="AS86" i="105" s="1"/>
  <c r="BA86" i="105"/>
  <c r="AS43" i="86"/>
  <c r="AO43" i="86"/>
  <c r="AM82" i="86"/>
  <c r="BI92" i="86"/>
  <c r="BH93" i="86"/>
  <c r="BA87" i="88"/>
  <c r="AZ87" i="88"/>
  <c r="AV93" i="88"/>
  <c r="W159" i="66"/>
  <c r="O158" i="66"/>
  <c r="G98" i="91"/>
  <c r="H97" i="91"/>
  <c r="BJ97" i="91" s="1"/>
  <c r="G96" i="75"/>
  <c r="H95" i="75"/>
  <c r="BJ95" i="75" s="1"/>
  <c r="U99" i="66"/>
  <c r="G99" i="66"/>
  <c r="AA99" i="66"/>
  <c r="F100" i="66"/>
  <c r="M96" i="106"/>
  <c r="Q96" i="106"/>
  <c r="R96" i="106"/>
  <c r="X124" i="105"/>
  <c r="BK89" i="105"/>
  <c r="J89" i="105"/>
  <c r="K90" i="105"/>
  <c r="BH95" i="88"/>
  <c r="BI94" i="88"/>
  <c r="R30" i="66"/>
  <c r="P30" i="66" s="1"/>
  <c r="B111" i="107"/>
  <c r="A112" i="107"/>
  <c r="K46" i="88"/>
  <c r="W81" i="91"/>
  <c r="L46" i="91"/>
  <c r="P46" i="91" s="1"/>
  <c r="N46" i="91" s="1"/>
  <c r="K46" i="91" s="1"/>
  <c r="BI93" i="105"/>
  <c r="BH94" i="105"/>
  <c r="U76" i="59"/>
  <c r="Q29" i="59"/>
  <c r="AP95" i="100"/>
  <c r="AQ94" i="100"/>
  <c r="BK44" i="86"/>
  <c r="X79" i="86"/>
  <c r="J44" i="86"/>
  <c r="Q91" i="100"/>
  <c r="J91" i="100" s="1"/>
  <c r="R91" i="100"/>
  <c r="X129" i="106"/>
  <c r="BK94" i="106"/>
  <c r="J94" i="106"/>
  <c r="R96" i="91"/>
  <c r="M96" i="91"/>
  <c r="Q96" i="91"/>
  <c r="R93" i="75"/>
  <c r="M93" i="75"/>
  <c r="Q93" i="75"/>
  <c r="U94" i="78"/>
  <c r="T95" i="78"/>
  <c r="W93" i="109"/>
  <c r="G94" i="109"/>
  <c r="K93" i="109"/>
  <c r="H93" i="109"/>
  <c r="BK93" i="109" s="1"/>
  <c r="I93" i="109"/>
  <c r="G95" i="105"/>
  <c r="H94" i="105"/>
  <c r="BJ94" i="105" s="1"/>
  <c r="I94" i="105"/>
  <c r="Q95" i="88"/>
  <c r="R95" i="88"/>
  <c r="M95" i="88"/>
  <c r="X127" i="100"/>
  <c r="BK92" i="100"/>
  <c r="J47" i="78"/>
  <c r="Q91" i="105"/>
  <c r="R91" i="105"/>
  <c r="BG57" i="78"/>
  <c r="BJ96" i="78"/>
  <c r="AS51" i="78"/>
  <c r="AV91" i="100"/>
  <c r="BA85" i="100"/>
  <c r="AZ85" i="100"/>
  <c r="AS85" i="100" s="1"/>
  <c r="AQ95" i="91"/>
  <c r="AP96" i="91"/>
  <c r="AM89" i="78"/>
  <c r="AO50" i="78"/>
  <c r="V92" i="100"/>
  <c r="U93" i="100"/>
  <c r="U94" i="86"/>
  <c r="V93" i="86"/>
  <c r="V97" i="91"/>
  <c r="U98" i="91"/>
  <c r="U95" i="75"/>
  <c r="V94" i="75"/>
  <c r="P93" i="78"/>
  <c r="Q93" i="78"/>
  <c r="G96" i="86"/>
  <c r="H95" i="86"/>
  <c r="BJ95" i="86" s="1"/>
  <c r="BA87" i="75"/>
  <c r="AV93" i="75"/>
  <c r="AZ87" i="75"/>
  <c r="AL29" i="59"/>
  <c r="AJ68" i="59"/>
  <c r="V96" i="88"/>
  <c r="U97" i="88"/>
  <c r="AU76" i="100"/>
  <c r="AY76" i="100" s="1"/>
  <c r="AW76" i="100" s="1"/>
  <c r="BL121" i="100"/>
  <c r="BG76" i="100"/>
  <c r="V97" i="106"/>
  <c r="U98" i="106"/>
  <c r="BI92" i="100"/>
  <c r="BH93" i="100"/>
  <c r="AP94" i="105"/>
  <c r="AQ93" i="105"/>
  <c r="E98" i="103"/>
  <c r="J97" i="103"/>
  <c r="F97" i="103"/>
  <c r="AZ97" i="103" s="1"/>
  <c r="R92" i="86"/>
  <c r="M92" i="86"/>
  <c r="Q92" i="86"/>
  <c r="BI95" i="91"/>
  <c r="BH96" i="91"/>
  <c r="BI94" i="75"/>
  <c r="BH95" i="75"/>
  <c r="AU47" i="75"/>
  <c r="AY47" i="75" s="1"/>
  <c r="AW47" i="75" s="1"/>
  <c r="AT47" i="75" s="1"/>
  <c r="BL92" i="75"/>
  <c r="AZ85" i="106"/>
  <c r="AS85" i="106" s="1"/>
  <c r="AV91" i="106"/>
  <c r="BA85" i="106"/>
  <c r="L47" i="78"/>
  <c r="R47" i="78" s="1"/>
  <c r="M60" i="100"/>
  <c r="S60" i="100" s="1"/>
  <c r="AP98" i="86"/>
  <c r="AQ97" i="86"/>
  <c r="AP95" i="106"/>
  <c r="AQ94" i="106"/>
  <c r="AV94" i="91"/>
  <c r="BA88" i="91"/>
  <c r="AZ88" i="91"/>
  <c r="BI92" i="106"/>
  <c r="BH93" i="106"/>
  <c r="AV51" i="78"/>
  <c r="AP100" i="75"/>
  <c r="AQ99" i="75"/>
  <c r="BA85" i="109"/>
  <c r="AT85" i="109" s="1"/>
  <c r="BB85" i="109"/>
  <c r="BI93" i="109"/>
  <c r="BJ92" i="109"/>
  <c r="R92" i="110"/>
  <c r="S91" i="110"/>
  <c r="R92" i="109"/>
  <c r="Q92" i="109"/>
  <c r="U94" i="109"/>
  <c r="V93" i="109"/>
  <c r="K50" i="75"/>
  <c r="BA28" i="111"/>
  <c r="E98" i="111"/>
  <c r="J97" i="111"/>
  <c r="F97" i="111"/>
  <c r="AZ97" i="111" s="1"/>
  <c r="AU27" i="111"/>
  <c r="AV27" i="111"/>
  <c r="K28" i="111"/>
  <c r="Q28" i="111" s="1"/>
  <c r="AX95" i="111"/>
  <c r="X73" i="94"/>
  <c r="L38" i="94"/>
  <c r="P38" i="94" s="1"/>
  <c r="N38" i="94" s="1"/>
  <c r="P41" i="109"/>
  <c r="N41" i="109" s="1"/>
  <c r="K41" i="109"/>
  <c r="V92" i="94"/>
  <c r="U93" i="94"/>
  <c r="R91" i="94"/>
  <c r="Q91" i="94"/>
  <c r="AO27" i="110"/>
  <c r="AQ27" i="110" s="1"/>
  <c r="AW27" i="110" s="1"/>
  <c r="T70" i="112"/>
  <c r="S29" i="112"/>
  <c r="H29" i="112"/>
  <c r="I29" i="112" s="1"/>
  <c r="AN124" i="109"/>
  <c r="AP85" i="109"/>
  <c r="AU86" i="109"/>
  <c r="AK68" i="112"/>
  <c r="AV27" i="112"/>
  <c r="AU27" i="112"/>
  <c r="AT27" i="112" s="1"/>
  <c r="AM97" i="112"/>
  <c r="AN96" i="112"/>
  <c r="AX95" i="112"/>
  <c r="J95" i="112"/>
  <c r="E96" i="112"/>
  <c r="F95" i="112"/>
  <c r="AZ95" i="112" s="1"/>
  <c r="BJ93" i="94"/>
  <c r="BI94" i="94"/>
  <c r="BB86" i="94"/>
  <c r="BA86" i="94"/>
  <c r="AT86" i="94" s="1"/>
  <c r="AR93" i="94"/>
  <c r="AQ94" i="94"/>
  <c r="AU93" i="94"/>
  <c r="G94" i="94"/>
  <c r="W93" i="94"/>
  <c r="K93" i="94"/>
  <c r="H93" i="94"/>
  <c r="BK93" i="94" s="1"/>
  <c r="I93" i="94"/>
  <c r="BM120" i="109"/>
  <c r="AV75" i="109"/>
  <c r="AZ75" i="109" s="1"/>
  <c r="AX75" i="109" s="1"/>
  <c r="AW75" i="109" s="1"/>
  <c r="BH75" i="109" s="1"/>
  <c r="M30" i="110"/>
  <c r="K29" i="110"/>
  <c r="Q29" i="110" s="1"/>
  <c r="AS30" i="103"/>
  <c r="BM118" i="94"/>
  <c r="AV73" i="94"/>
  <c r="AZ73" i="94" s="1"/>
  <c r="AX73" i="94" s="1"/>
  <c r="AW73" i="94" s="1"/>
  <c r="BH73" i="94" s="1"/>
  <c r="AP30" i="103"/>
  <c r="AI71" i="103"/>
  <c r="BB76" i="103"/>
  <c r="AY30" i="103"/>
  <c r="AP89" i="94"/>
  <c r="AU90" i="94"/>
  <c r="AN128" i="94"/>
  <c r="AL29" i="103"/>
  <c r="AJ70" i="103"/>
  <c r="N26" i="61"/>
  <c r="O26" i="61"/>
  <c r="AS47" i="91" l="1"/>
  <c r="AM86" i="91"/>
  <c r="AO47" i="91"/>
  <c r="AM83" i="86"/>
  <c r="AO44" i="86"/>
  <c r="AS44" i="86"/>
  <c r="X81" i="91"/>
  <c r="J46" i="91"/>
  <c r="BK46" i="91"/>
  <c r="G72" i="108"/>
  <c r="E72" i="108"/>
  <c r="F72" i="108"/>
  <c r="AM86" i="75"/>
  <c r="AS47" i="75"/>
  <c r="AO47" i="75"/>
  <c r="AV47" i="75"/>
  <c r="BG47" i="75" s="1"/>
  <c r="F104" i="107"/>
  <c r="E104" i="107"/>
  <c r="G104" i="107" s="1"/>
  <c r="D104" i="107" s="1"/>
  <c r="C105" i="107" s="1"/>
  <c r="L67" i="105"/>
  <c r="P67" i="105" s="1"/>
  <c r="N67" i="105" s="1"/>
  <c r="M67" i="105"/>
  <c r="S67" i="105" s="1"/>
  <c r="W102" i="105"/>
  <c r="AU77" i="105"/>
  <c r="AY77" i="105" s="1"/>
  <c r="AW77" i="105" s="1"/>
  <c r="BL122" i="105"/>
  <c r="AV77" i="105"/>
  <c r="BG77" i="105" s="1"/>
  <c r="J45" i="86"/>
  <c r="BK45" i="86"/>
  <c r="X80" i="86"/>
  <c r="BI93" i="100"/>
  <c r="BH94" i="100"/>
  <c r="U94" i="100"/>
  <c r="V93" i="100"/>
  <c r="AV92" i="106"/>
  <c r="BA86" i="106"/>
  <c r="AZ86" i="106"/>
  <c r="AS86" i="106" s="1"/>
  <c r="AP99" i="86"/>
  <c r="AQ98" i="86"/>
  <c r="AQ94" i="105"/>
  <c r="AP95" i="105"/>
  <c r="U98" i="88"/>
  <c r="V97" i="88"/>
  <c r="G97" i="86"/>
  <c r="H96" i="86"/>
  <c r="BJ96" i="86" s="1"/>
  <c r="U95" i="86"/>
  <c r="V94" i="86"/>
  <c r="P94" i="78"/>
  <c r="Q94" i="78"/>
  <c r="O30" i="66"/>
  <c r="H30" i="66"/>
  <c r="Q92" i="105"/>
  <c r="R92" i="105"/>
  <c r="A110" i="108"/>
  <c r="B109" i="108"/>
  <c r="W88" i="78"/>
  <c r="K48" i="78"/>
  <c r="O48" i="78" s="1"/>
  <c r="M48" i="78" s="1"/>
  <c r="N49" i="78" s="1"/>
  <c r="AZ86" i="100"/>
  <c r="AS86" i="100" s="1"/>
  <c r="AV92" i="100"/>
  <c r="BA86" i="100"/>
  <c r="R92" i="100"/>
  <c r="Q92" i="100"/>
  <c r="J92" i="100" s="1"/>
  <c r="BI53" i="78"/>
  <c r="X87" i="78"/>
  <c r="AP96" i="100"/>
  <c r="AQ95" i="100"/>
  <c r="BI95" i="88"/>
  <c r="BH96" i="88"/>
  <c r="AU65" i="106"/>
  <c r="AY65" i="106" s="1"/>
  <c r="BL110" i="106"/>
  <c r="AV65" i="106"/>
  <c r="BG65" i="106" s="1"/>
  <c r="M45" i="86"/>
  <c r="S45" i="86" s="1"/>
  <c r="G96" i="105"/>
  <c r="I95" i="105"/>
  <c r="H95" i="105"/>
  <c r="BJ95" i="105" s="1"/>
  <c r="V98" i="106"/>
  <c r="U99" i="106"/>
  <c r="R94" i="75"/>
  <c r="Q94" i="75"/>
  <c r="M94" i="75"/>
  <c r="J30" i="59"/>
  <c r="T77" i="59"/>
  <c r="S30" i="59"/>
  <c r="M46" i="91"/>
  <c r="S46" i="91" s="1"/>
  <c r="X125" i="105"/>
  <c r="J90" i="105"/>
  <c r="BK90" i="105"/>
  <c r="K91" i="105"/>
  <c r="M58" i="106"/>
  <c r="S58" i="106" s="1"/>
  <c r="BK95" i="106"/>
  <c r="X130" i="106"/>
  <c r="J95" i="106"/>
  <c r="V93" i="105"/>
  <c r="U94" i="105"/>
  <c r="BI95" i="75"/>
  <c r="BH96" i="75"/>
  <c r="R97" i="106"/>
  <c r="Q97" i="106"/>
  <c r="M97" i="106"/>
  <c r="U96" i="75"/>
  <c r="V95" i="75"/>
  <c r="BL93" i="109"/>
  <c r="Y128" i="109"/>
  <c r="J46" i="88"/>
  <c r="X81" i="88"/>
  <c r="BK46" i="88"/>
  <c r="AA100" i="66"/>
  <c r="F101" i="66"/>
  <c r="U100" i="66"/>
  <c r="G100" i="66"/>
  <c r="H96" i="75"/>
  <c r="BJ96" i="75" s="1"/>
  <c r="G97" i="75"/>
  <c r="G99" i="91"/>
  <c r="H98" i="91"/>
  <c r="BJ98" i="91" s="1"/>
  <c r="BI93" i="86"/>
  <c r="BH94" i="86"/>
  <c r="G97" i="106"/>
  <c r="K96" i="106"/>
  <c r="H96" i="106"/>
  <c r="BJ96" i="106" s="1"/>
  <c r="AV44" i="86"/>
  <c r="BG44" i="86" s="1"/>
  <c r="AU47" i="88"/>
  <c r="AY47" i="88" s="1"/>
  <c r="AW47" i="88" s="1"/>
  <c r="AT47" i="88" s="1"/>
  <c r="BL92" i="88"/>
  <c r="AP96" i="88"/>
  <c r="AQ95" i="88"/>
  <c r="AQ100" i="75"/>
  <c r="AP101" i="75"/>
  <c r="AZ88" i="75"/>
  <c r="AV94" i="75"/>
  <c r="BA88" i="75"/>
  <c r="AU77" i="100"/>
  <c r="AY77" i="100" s="1"/>
  <c r="AW77" i="100" s="1"/>
  <c r="BL122" i="100"/>
  <c r="BG77" i="100"/>
  <c r="V98" i="91"/>
  <c r="U99" i="91"/>
  <c r="AQ96" i="91"/>
  <c r="AP97" i="91"/>
  <c r="G95" i="109"/>
  <c r="K94" i="109"/>
  <c r="W94" i="109"/>
  <c r="H94" i="109"/>
  <c r="BK94" i="109" s="1"/>
  <c r="I94" i="109"/>
  <c r="BH95" i="105"/>
  <c r="BI94" i="105"/>
  <c r="B112" i="107"/>
  <c r="A113" i="107"/>
  <c r="AZ86" i="86"/>
  <c r="AV92" i="86"/>
  <c r="BA86" i="86"/>
  <c r="G95" i="88"/>
  <c r="H94" i="88"/>
  <c r="BJ94" i="88" s="1"/>
  <c r="G95" i="100"/>
  <c r="I94" i="100"/>
  <c r="H94" i="100"/>
  <c r="BJ94" i="100" s="1"/>
  <c r="AT48" i="91"/>
  <c r="AU48" i="91"/>
  <c r="AY48" i="91" s="1"/>
  <c r="AW48" i="91" s="1"/>
  <c r="BL93" i="91"/>
  <c r="BG48" i="91"/>
  <c r="M46" i="88"/>
  <c r="S46" i="88" s="1"/>
  <c r="AV30" i="59"/>
  <c r="AU30" i="59"/>
  <c r="L61" i="100"/>
  <c r="P61" i="100" s="1"/>
  <c r="N61" i="100" s="1"/>
  <c r="W96" i="100"/>
  <c r="AP96" i="106"/>
  <c r="AQ95" i="106"/>
  <c r="BI96" i="91"/>
  <c r="BH97" i="91"/>
  <c r="E99" i="103"/>
  <c r="J98" i="103"/>
  <c r="F98" i="103"/>
  <c r="AZ98" i="103" s="1"/>
  <c r="Q97" i="91"/>
  <c r="R97" i="91"/>
  <c r="M97" i="91"/>
  <c r="AX51" i="78"/>
  <c r="AW51" i="78" s="1"/>
  <c r="AU51" i="78" s="1"/>
  <c r="AR51" i="78" s="1"/>
  <c r="AT51" i="78"/>
  <c r="BE51" i="78"/>
  <c r="AY51" i="78"/>
  <c r="AV93" i="105"/>
  <c r="AZ87" i="105"/>
  <c r="AS87" i="105" s="1"/>
  <c r="BA87" i="105"/>
  <c r="M99" i="66"/>
  <c r="L99" i="66"/>
  <c r="N99" i="66"/>
  <c r="G96" i="78"/>
  <c r="H95" i="78"/>
  <c r="BH101" i="78" s="1"/>
  <c r="Q96" i="88"/>
  <c r="R96" i="88"/>
  <c r="M96" i="88"/>
  <c r="AV94" i="88"/>
  <c r="BA88" i="88"/>
  <c r="AZ88" i="88"/>
  <c r="BI93" i="106"/>
  <c r="BH94" i="106"/>
  <c r="AV95" i="91"/>
  <c r="BA89" i="91"/>
  <c r="AZ89" i="91"/>
  <c r="Q93" i="86"/>
  <c r="R93" i="86"/>
  <c r="M93" i="86"/>
  <c r="U95" i="78"/>
  <c r="T96" i="78"/>
  <c r="W160" i="66"/>
  <c r="O159" i="66"/>
  <c r="E125" i="110"/>
  <c r="J124" i="110"/>
  <c r="F124" i="110"/>
  <c r="Q31" i="66"/>
  <c r="BJ93" i="109"/>
  <c r="BI94" i="109"/>
  <c r="BB86" i="109"/>
  <c r="BA86" i="109"/>
  <c r="AT86" i="109" s="1"/>
  <c r="R93" i="110"/>
  <c r="S92" i="110"/>
  <c r="Q93" i="109"/>
  <c r="J93" i="109" s="1"/>
  <c r="M93" i="109"/>
  <c r="R93" i="109"/>
  <c r="V94" i="109"/>
  <c r="U95" i="109"/>
  <c r="X85" i="75"/>
  <c r="J50" i="75"/>
  <c r="BK50" i="75"/>
  <c r="M50" i="75"/>
  <c r="S50" i="75" s="1"/>
  <c r="J98" i="111"/>
  <c r="E99" i="111"/>
  <c r="F98" i="111"/>
  <c r="AZ98" i="111" s="1"/>
  <c r="AT27" i="111"/>
  <c r="AR27" i="111" s="1"/>
  <c r="S29" i="111"/>
  <c r="H29" i="111"/>
  <c r="T70" i="111"/>
  <c r="AX96" i="111"/>
  <c r="K38" i="94"/>
  <c r="J41" i="109"/>
  <c r="Y76" i="109"/>
  <c r="BL41" i="109"/>
  <c r="M41" i="109"/>
  <c r="S41" i="109" s="1"/>
  <c r="L42" i="109" s="1"/>
  <c r="R92" i="94"/>
  <c r="Q92" i="94"/>
  <c r="V93" i="94"/>
  <c r="U94" i="94"/>
  <c r="AI69" i="110"/>
  <c r="AP28" i="110"/>
  <c r="BB74" i="110"/>
  <c r="AY28" i="110"/>
  <c r="AL27" i="110"/>
  <c r="AJ68" i="110"/>
  <c r="AR27" i="112"/>
  <c r="AO27" i="112" s="1"/>
  <c r="AL27" i="112" s="1"/>
  <c r="P29" i="112"/>
  <c r="O29" i="112"/>
  <c r="V70" i="112"/>
  <c r="U69" i="112"/>
  <c r="AP86" i="109"/>
  <c r="AN125" i="109"/>
  <c r="AU87" i="109"/>
  <c r="E97" i="112"/>
  <c r="J96" i="112"/>
  <c r="F96" i="112"/>
  <c r="AZ96" i="112" s="1"/>
  <c r="AM98" i="112"/>
  <c r="AN97" i="112"/>
  <c r="AX96" i="112"/>
  <c r="BI95" i="94"/>
  <c r="BJ94" i="94"/>
  <c r="AW93" i="94"/>
  <c r="BB87" i="94"/>
  <c r="BA87" i="94"/>
  <c r="AT87" i="94" s="1"/>
  <c r="W94" i="94"/>
  <c r="G95" i="94"/>
  <c r="H94" i="94"/>
  <c r="BK94" i="94" s="1"/>
  <c r="K94" i="94"/>
  <c r="I94" i="94"/>
  <c r="AN132" i="94"/>
  <c r="AP93" i="94"/>
  <c r="Y128" i="94"/>
  <c r="BL93" i="94"/>
  <c r="AU94" i="94"/>
  <c r="AQ95" i="94"/>
  <c r="AR94" i="94"/>
  <c r="BM121" i="109"/>
  <c r="AV76" i="109"/>
  <c r="AZ76" i="109" s="1"/>
  <c r="AX76" i="109" s="1"/>
  <c r="AW76" i="109" s="1"/>
  <c r="BH76" i="109" s="1"/>
  <c r="H30" i="110"/>
  <c r="T71" i="110"/>
  <c r="BM119" i="94"/>
  <c r="AV74" i="94"/>
  <c r="AZ74" i="94" s="1"/>
  <c r="AX74" i="94" s="1"/>
  <c r="AW74" i="94" s="1"/>
  <c r="BH74" i="94" s="1"/>
  <c r="AU30" i="103"/>
  <c r="AT30" i="103" s="1"/>
  <c r="AV30" i="103"/>
  <c r="AP90" i="94"/>
  <c r="AU91" i="94"/>
  <c r="AN129" i="94"/>
  <c r="AK71" i="103"/>
  <c r="M26" i="61"/>
  <c r="K26" i="61" s="1"/>
  <c r="M61" i="100" l="1"/>
  <c r="S61" i="100" s="1"/>
  <c r="AU78" i="105"/>
  <c r="AY78" i="105" s="1"/>
  <c r="AW78" i="105" s="1"/>
  <c r="BL123" i="105"/>
  <c r="AV78" i="105"/>
  <c r="BG78" i="105" s="1"/>
  <c r="AS47" i="88"/>
  <c r="AO47" i="88"/>
  <c r="AM86" i="88"/>
  <c r="AU66" i="106"/>
  <c r="AY66" i="106" s="1"/>
  <c r="BL111" i="106"/>
  <c r="L68" i="105"/>
  <c r="P68" i="105" s="1"/>
  <c r="N68" i="105" s="1"/>
  <c r="M68" i="105"/>
  <c r="S68" i="105" s="1"/>
  <c r="W103" i="105"/>
  <c r="AM90" i="78"/>
  <c r="AO51" i="78"/>
  <c r="F105" i="107"/>
  <c r="G105" i="107" s="1"/>
  <c r="D105" i="107" s="1"/>
  <c r="C106" i="107" s="1"/>
  <c r="E105" i="107"/>
  <c r="L47" i="88"/>
  <c r="P47" i="88" s="1"/>
  <c r="N47" i="88" s="1"/>
  <c r="K47" i="88" s="1"/>
  <c r="W82" i="88"/>
  <c r="U96" i="78"/>
  <c r="T97" i="78"/>
  <c r="AP97" i="106"/>
  <c r="AQ96" i="106"/>
  <c r="AU78" i="100"/>
  <c r="AY78" i="100" s="1"/>
  <c r="AW78" i="100" s="1"/>
  <c r="BL123" i="100"/>
  <c r="BG78" i="100"/>
  <c r="AU45" i="86"/>
  <c r="AY45" i="86" s="1"/>
  <c r="AW45" i="86" s="1"/>
  <c r="AT45" i="86" s="1"/>
  <c r="BL90" i="86"/>
  <c r="AV93" i="86"/>
  <c r="BA87" i="86"/>
  <c r="AZ87" i="86"/>
  <c r="G100" i="91"/>
  <c r="H99" i="91"/>
  <c r="BJ99" i="91" s="1"/>
  <c r="R95" i="75"/>
  <c r="M95" i="75"/>
  <c r="Q95" i="75"/>
  <c r="U95" i="105"/>
  <c r="V94" i="105"/>
  <c r="A111" i="108"/>
  <c r="B110" i="108"/>
  <c r="R94" i="86"/>
  <c r="Q94" i="86"/>
  <c r="M94" i="86"/>
  <c r="V96" i="75"/>
  <c r="U97" i="75"/>
  <c r="U96" i="86"/>
  <c r="V95" i="86"/>
  <c r="G98" i="86"/>
  <c r="H97" i="86"/>
  <c r="BJ97" i="86" s="1"/>
  <c r="BH95" i="106"/>
  <c r="BI94" i="106"/>
  <c r="G97" i="78"/>
  <c r="H96" i="78"/>
  <c r="BH102" i="78" s="1"/>
  <c r="AU49" i="91"/>
  <c r="AY49" i="91" s="1"/>
  <c r="AW49" i="91" s="1"/>
  <c r="AT49" i="91" s="1"/>
  <c r="BL94" i="91"/>
  <c r="BG49" i="91"/>
  <c r="BL94" i="109"/>
  <c r="Y129" i="109"/>
  <c r="AP97" i="88"/>
  <c r="AQ96" i="88"/>
  <c r="J48" i="78"/>
  <c r="R97" i="88"/>
  <c r="Q97" i="88"/>
  <c r="M97" i="88"/>
  <c r="AV93" i="106"/>
  <c r="BA87" i="106"/>
  <c r="AZ87" i="106"/>
  <c r="AS87" i="106" s="1"/>
  <c r="BG58" i="78"/>
  <c r="BJ97" i="78"/>
  <c r="AS52" i="78"/>
  <c r="L62" i="100"/>
  <c r="P62" i="100" s="1"/>
  <c r="N62" i="100" s="1"/>
  <c r="W97" i="100"/>
  <c r="B113" i="107"/>
  <c r="A114" i="107"/>
  <c r="K95" i="109"/>
  <c r="G96" i="109"/>
  <c r="T95" i="109"/>
  <c r="W95" i="109"/>
  <c r="H95" i="109"/>
  <c r="BK95" i="109" s="1"/>
  <c r="I95" i="109"/>
  <c r="W82" i="91"/>
  <c r="L47" i="91"/>
  <c r="P47" i="91" s="1"/>
  <c r="N47" i="91" s="1"/>
  <c r="V98" i="88"/>
  <c r="U99" i="88"/>
  <c r="Q95" i="78"/>
  <c r="P95" i="78"/>
  <c r="E126" i="110"/>
  <c r="J125" i="110"/>
  <c r="F125" i="110"/>
  <c r="E100" i="103"/>
  <c r="J99" i="103"/>
  <c r="F99" i="103"/>
  <c r="AZ99" i="103" s="1"/>
  <c r="G96" i="100"/>
  <c r="I95" i="100"/>
  <c r="H95" i="100"/>
  <c r="BJ95" i="100" s="1"/>
  <c r="AQ97" i="91"/>
  <c r="AP98" i="91"/>
  <c r="G98" i="75"/>
  <c r="H97" i="75"/>
  <c r="BJ97" i="75" s="1"/>
  <c r="V99" i="106"/>
  <c r="U100" i="106"/>
  <c r="BH97" i="88"/>
  <c r="BI96" i="88"/>
  <c r="AP96" i="105"/>
  <c r="AQ95" i="105"/>
  <c r="R93" i="100"/>
  <c r="Q93" i="100"/>
  <c r="M93" i="100"/>
  <c r="Q93" i="105"/>
  <c r="R93" i="105"/>
  <c r="M93" i="105"/>
  <c r="AV52" i="78"/>
  <c r="BH98" i="91"/>
  <c r="BI97" i="91"/>
  <c r="AM87" i="91"/>
  <c r="AO48" i="91"/>
  <c r="AS48" i="91"/>
  <c r="AZ88" i="105"/>
  <c r="AS88" i="105" s="1"/>
  <c r="AV94" i="105"/>
  <c r="BA88" i="105"/>
  <c r="AV47" i="88"/>
  <c r="BG47" i="88" s="1"/>
  <c r="BK96" i="106"/>
  <c r="J96" i="106"/>
  <c r="X131" i="106"/>
  <c r="P30" i="59"/>
  <c r="O30" i="59"/>
  <c r="R98" i="106"/>
  <c r="Q98" i="106"/>
  <c r="M98" i="106"/>
  <c r="G97" i="105"/>
  <c r="H96" i="105"/>
  <c r="BJ96" i="105" s="1"/>
  <c r="I96" i="105"/>
  <c r="AZ89" i="88"/>
  <c r="AV95" i="88"/>
  <c r="BA89" i="88"/>
  <c r="V30" i="66"/>
  <c r="Z30" i="66"/>
  <c r="V94" i="100"/>
  <c r="U95" i="100"/>
  <c r="BA90" i="91"/>
  <c r="AZ90" i="91"/>
  <c r="AV96" i="91"/>
  <c r="G96" i="88"/>
  <c r="H95" i="88"/>
  <c r="BJ95" i="88" s="1"/>
  <c r="BH96" i="105"/>
  <c r="BI95" i="105"/>
  <c r="V99" i="91"/>
  <c r="U100" i="91"/>
  <c r="H97" i="106"/>
  <c r="BJ97" i="106" s="1"/>
  <c r="K97" i="106"/>
  <c r="G98" i="106"/>
  <c r="BI96" i="75"/>
  <c r="BH97" i="75"/>
  <c r="L59" i="106"/>
  <c r="P59" i="106" s="1"/>
  <c r="N59" i="106" s="1"/>
  <c r="M59" i="106"/>
  <c r="S59" i="106" s="1"/>
  <c r="W94" i="106"/>
  <c r="W81" i="86"/>
  <c r="L46" i="86"/>
  <c r="P46" i="86" s="1"/>
  <c r="N46" i="86" s="1"/>
  <c r="K46" i="86" s="1"/>
  <c r="L48" i="78"/>
  <c r="R48" i="78" s="1"/>
  <c r="BH95" i="100"/>
  <c r="BI94" i="100"/>
  <c r="D72" i="108"/>
  <c r="C73" i="108" s="1"/>
  <c r="AA101" i="66"/>
  <c r="F102" i="66"/>
  <c r="U101" i="66"/>
  <c r="G101" i="66"/>
  <c r="O160" i="66"/>
  <c r="W161" i="66"/>
  <c r="R98" i="91"/>
  <c r="M98" i="91"/>
  <c r="Q98" i="91"/>
  <c r="AQ101" i="75"/>
  <c r="AP102" i="75"/>
  <c r="BI94" i="86"/>
  <c r="BH95" i="86"/>
  <c r="N100" i="66"/>
  <c r="L100" i="66"/>
  <c r="M100" i="66"/>
  <c r="AZ89" i="75"/>
  <c r="AV95" i="75"/>
  <c r="BA89" i="75"/>
  <c r="J91" i="105"/>
  <c r="BK91" i="105"/>
  <c r="X126" i="105"/>
  <c r="K92" i="105"/>
  <c r="N30" i="59"/>
  <c r="L30" i="59" s="1"/>
  <c r="I30" i="59" s="1"/>
  <c r="BF36" i="59" s="1"/>
  <c r="AT30" i="59"/>
  <c r="AR30" i="59" s="1"/>
  <c r="AP97" i="100"/>
  <c r="AQ96" i="100"/>
  <c r="AP100" i="86"/>
  <c r="AQ99" i="86"/>
  <c r="AV93" i="100"/>
  <c r="BA87" i="100"/>
  <c r="AZ87" i="100"/>
  <c r="AS87" i="100" s="1"/>
  <c r="AT48" i="75"/>
  <c r="AU48" i="75"/>
  <c r="AY48" i="75" s="1"/>
  <c r="AW48" i="75" s="1"/>
  <c r="BL93" i="75"/>
  <c r="BJ94" i="109"/>
  <c r="BI95" i="109"/>
  <c r="AW93" i="109"/>
  <c r="BA87" i="109"/>
  <c r="AT87" i="109" s="1"/>
  <c r="BB87" i="109"/>
  <c r="R94" i="110"/>
  <c r="S93" i="110"/>
  <c r="U96" i="109"/>
  <c r="V95" i="109"/>
  <c r="Q94" i="109"/>
  <c r="J94" i="109" s="1"/>
  <c r="R94" i="109"/>
  <c r="M94" i="109"/>
  <c r="L51" i="75"/>
  <c r="P51" i="75" s="1"/>
  <c r="N51" i="75" s="1"/>
  <c r="K51" i="75" s="1"/>
  <c r="W86" i="75"/>
  <c r="J99" i="111"/>
  <c r="E100" i="111"/>
  <c r="F99" i="111"/>
  <c r="AZ99" i="111" s="1"/>
  <c r="I29" i="111"/>
  <c r="P29" i="111"/>
  <c r="O29" i="111"/>
  <c r="V70" i="111"/>
  <c r="U69" i="111"/>
  <c r="AO27" i="111"/>
  <c r="AS28" i="111"/>
  <c r="AX97" i="111"/>
  <c r="M38" i="94"/>
  <c r="S38" i="94" s="1"/>
  <c r="J38" i="94"/>
  <c r="BL38" i="94"/>
  <c r="Y73" i="94"/>
  <c r="P42" i="109"/>
  <c r="N42" i="109" s="1"/>
  <c r="X77" i="109"/>
  <c r="Q93" i="94"/>
  <c r="J93" i="94" s="1"/>
  <c r="R93" i="94"/>
  <c r="M93" i="94"/>
  <c r="U95" i="94"/>
  <c r="V94" i="94"/>
  <c r="AU28" i="110"/>
  <c r="AV28" i="110"/>
  <c r="AK69" i="110"/>
  <c r="AS28" i="112"/>
  <c r="AJ68" i="112"/>
  <c r="AQ27" i="112"/>
  <c r="AW27" i="112" s="1"/>
  <c r="AY28" i="112" s="1"/>
  <c r="N29" i="112"/>
  <c r="L29" i="112" s="1"/>
  <c r="G29" i="112" s="1"/>
  <c r="AN126" i="109"/>
  <c r="AU88" i="109"/>
  <c r="AP87" i="109"/>
  <c r="AM99" i="112"/>
  <c r="AN98" i="112"/>
  <c r="AX97" i="112"/>
  <c r="E98" i="112"/>
  <c r="J97" i="112"/>
  <c r="F97" i="112"/>
  <c r="AZ97" i="112" s="1"/>
  <c r="AW94" i="94"/>
  <c r="BA88" i="94"/>
  <c r="AT88" i="94" s="1"/>
  <c r="BB88" i="94"/>
  <c r="BI96" i="94"/>
  <c r="BJ95" i="94"/>
  <c r="AN133" i="94"/>
  <c r="AP94" i="94"/>
  <c r="Y129" i="94"/>
  <c r="BL94" i="94"/>
  <c r="G96" i="94"/>
  <c r="W95" i="94"/>
  <c r="H95" i="94"/>
  <c r="BK95" i="94" s="1"/>
  <c r="K95" i="94"/>
  <c r="T95" i="94"/>
  <c r="I95" i="94"/>
  <c r="AU95" i="94"/>
  <c r="AR95" i="94"/>
  <c r="AQ96" i="94"/>
  <c r="BM122" i="109"/>
  <c r="AV77" i="109"/>
  <c r="AZ77" i="109" s="1"/>
  <c r="AX77" i="109" s="1"/>
  <c r="AW77" i="109" s="1"/>
  <c r="BH77" i="109" s="1"/>
  <c r="O30" i="110"/>
  <c r="N30" i="110" s="1"/>
  <c r="L30" i="110" s="1"/>
  <c r="G30" i="110" s="1"/>
  <c r="BA30" i="110" s="1"/>
  <c r="P30" i="110"/>
  <c r="V71" i="110"/>
  <c r="U70" i="110"/>
  <c r="I30" i="110"/>
  <c r="AR30" i="103"/>
  <c r="AO30" i="103" s="1"/>
  <c r="AL30" i="103" s="1"/>
  <c r="AV75" i="94"/>
  <c r="AZ75" i="94" s="1"/>
  <c r="AX75" i="94" s="1"/>
  <c r="AW75" i="94" s="1"/>
  <c r="BH75" i="94" s="1"/>
  <c r="BM120" i="94"/>
  <c r="AN130" i="94"/>
  <c r="AP91" i="94"/>
  <c r="AU92" i="94"/>
  <c r="H26" i="61"/>
  <c r="J26" i="61" s="1"/>
  <c r="L27" i="61"/>
  <c r="J47" i="88" l="1"/>
  <c r="BK47" i="88"/>
  <c r="X82" i="88"/>
  <c r="M47" i="88"/>
  <c r="S47" i="88" s="1"/>
  <c r="E106" i="107"/>
  <c r="G106" i="107" s="1"/>
  <c r="D106" i="107" s="1"/>
  <c r="C107" i="107" s="1"/>
  <c r="F106" i="107"/>
  <c r="AM88" i="91"/>
  <c r="AS49" i="91"/>
  <c r="AO49" i="91"/>
  <c r="X81" i="86"/>
  <c r="J46" i="86"/>
  <c r="BK46" i="86"/>
  <c r="M46" i="86"/>
  <c r="S46" i="86" s="1"/>
  <c r="AU79" i="105"/>
  <c r="AY79" i="105" s="1"/>
  <c r="AW79" i="105" s="1"/>
  <c r="AV79" i="105" s="1"/>
  <c r="BG79" i="105" s="1"/>
  <c r="BL124" i="105"/>
  <c r="L69" i="105"/>
  <c r="P69" i="105" s="1"/>
  <c r="N69" i="105" s="1"/>
  <c r="W104" i="105"/>
  <c r="L60" i="106"/>
  <c r="P60" i="106" s="1"/>
  <c r="N60" i="106" s="1"/>
  <c r="W95" i="106"/>
  <c r="AO45" i="86"/>
  <c r="AS45" i="86"/>
  <c r="AM84" i="86"/>
  <c r="R99" i="91"/>
  <c r="M99" i="91"/>
  <c r="Q99" i="91"/>
  <c r="R94" i="100"/>
  <c r="Q94" i="100"/>
  <c r="M94" i="100"/>
  <c r="AQ96" i="105"/>
  <c r="AP97" i="105"/>
  <c r="U97" i="86"/>
  <c r="V96" i="86"/>
  <c r="A112" i="108"/>
  <c r="B111" i="108"/>
  <c r="AO48" i="75"/>
  <c r="AS48" i="75"/>
  <c r="AM87" i="75"/>
  <c r="AV95" i="105"/>
  <c r="BA89" i="105"/>
  <c r="AZ89" i="105"/>
  <c r="AS89" i="105" s="1"/>
  <c r="U98" i="75"/>
  <c r="V97" i="75"/>
  <c r="Q94" i="105"/>
  <c r="R94" i="105"/>
  <c r="M94" i="105"/>
  <c r="AP98" i="100"/>
  <c r="AQ97" i="100"/>
  <c r="AV94" i="86"/>
  <c r="BA88" i="86"/>
  <c r="AZ88" i="86"/>
  <c r="W162" i="66"/>
  <c r="O161" i="66"/>
  <c r="AV94" i="100"/>
  <c r="BA88" i="100"/>
  <c r="AZ88" i="100"/>
  <c r="AS88" i="100" s="1"/>
  <c r="BH97" i="105"/>
  <c r="BI96" i="105"/>
  <c r="H96" i="88"/>
  <c r="BJ96" i="88" s="1"/>
  <c r="G97" i="88"/>
  <c r="K31" i="66"/>
  <c r="J31" i="66"/>
  <c r="I31" i="66" s="1"/>
  <c r="X31" i="66"/>
  <c r="BI97" i="88"/>
  <c r="BH98" i="88"/>
  <c r="AP99" i="91"/>
  <c r="AQ98" i="91"/>
  <c r="K47" i="91"/>
  <c r="Y130" i="109"/>
  <c r="BL95" i="109"/>
  <c r="AU50" i="91"/>
  <c r="AY50" i="91" s="1"/>
  <c r="AW50" i="91" s="1"/>
  <c r="AT50" i="91" s="1"/>
  <c r="BL95" i="91"/>
  <c r="BG50" i="91"/>
  <c r="Q96" i="75"/>
  <c r="M96" i="75"/>
  <c r="R96" i="75"/>
  <c r="U96" i="105"/>
  <c r="V95" i="105"/>
  <c r="E73" i="108"/>
  <c r="G73" i="108"/>
  <c r="F73" i="108"/>
  <c r="T96" i="109"/>
  <c r="G97" i="109"/>
  <c r="W96" i="109"/>
  <c r="K96" i="109"/>
  <c r="H96" i="109"/>
  <c r="BK96" i="109" s="1"/>
  <c r="I96" i="109"/>
  <c r="AO30" i="59"/>
  <c r="AQ30" i="59" s="1"/>
  <c r="BB30" i="59" s="1"/>
  <c r="AQ102" i="75"/>
  <c r="AP103" i="75"/>
  <c r="BI95" i="100"/>
  <c r="BH96" i="100"/>
  <c r="AT48" i="88"/>
  <c r="AU48" i="88"/>
  <c r="AY48" i="88" s="1"/>
  <c r="AW48" i="88" s="1"/>
  <c r="AV48" i="88" s="1"/>
  <c r="BG48" i="88" s="1"/>
  <c r="BL93" i="88"/>
  <c r="AS31" i="59"/>
  <c r="V100" i="106"/>
  <c r="U101" i="106"/>
  <c r="E127" i="110"/>
  <c r="J126" i="110"/>
  <c r="F126" i="110"/>
  <c r="A115" i="107"/>
  <c r="B114" i="107"/>
  <c r="AV45" i="86"/>
  <c r="BG45" i="86" s="1"/>
  <c r="AQ97" i="106"/>
  <c r="AP98" i="106"/>
  <c r="AV96" i="88"/>
  <c r="BA90" i="88"/>
  <c r="AZ90" i="88"/>
  <c r="W89" i="78"/>
  <c r="K49" i="78"/>
  <c r="O49" i="78" s="1"/>
  <c r="M49" i="78" s="1"/>
  <c r="N50" i="78" s="1"/>
  <c r="G99" i="106"/>
  <c r="K98" i="106"/>
  <c r="H98" i="106"/>
  <c r="BJ98" i="106" s="1"/>
  <c r="M31" i="59"/>
  <c r="AV97" i="91"/>
  <c r="BA91" i="91"/>
  <c r="AZ91" i="91"/>
  <c r="M99" i="106"/>
  <c r="R99" i="106"/>
  <c r="Q99" i="106"/>
  <c r="I96" i="100"/>
  <c r="G97" i="100"/>
  <c r="H96" i="100"/>
  <c r="BJ96" i="100" s="1"/>
  <c r="AT52" i="78"/>
  <c r="BE52" i="78"/>
  <c r="AY52" i="78"/>
  <c r="AX52" i="78"/>
  <c r="AW52" i="78" s="1"/>
  <c r="AU52" i="78" s="1"/>
  <c r="AR52" i="78" s="1"/>
  <c r="G98" i="78"/>
  <c r="H97" i="78"/>
  <c r="BH103" i="78" s="1"/>
  <c r="T98" i="78"/>
  <c r="U97" i="78"/>
  <c r="BI95" i="86"/>
  <c r="BH96" i="86"/>
  <c r="H98" i="75"/>
  <c r="BJ98" i="75" s="1"/>
  <c r="G99" i="75"/>
  <c r="N101" i="66"/>
  <c r="M101" i="66"/>
  <c r="L101" i="66"/>
  <c r="X132" i="106"/>
  <c r="BK97" i="106"/>
  <c r="J97" i="106"/>
  <c r="BI98" i="91"/>
  <c r="BH99" i="91"/>
  <c r="BI54" i="78"/>
  <c r="X88" i="78"/>
  <c r="AV94" i="106"/>
  <c r="BA88" i="106"/>
  <c r="AZ88" i="106"/>
  <c r="AS88" i="106" s="1"/>
  <c r="H100" i="91"/>
  <c r="BJ100" i="91" s="1"/>
  <c r="G101" i="91"/>
  <c r="P96" i="78"/>
  <c r="Q96" i="78"/>
  <c r="AV66" i="106"/>
  <c r="BG66" i="106" s="1"/>
  <c r="AV48" i="75"/>
  <c r="BG48" i="75" s="1"/>
  <c r="BI97" i="75"/>
  <c r="BH98" i="75"/>
  <c r="V99" i="88"/>
  <c r="U100" i="88"/>
  <c r="BH96" i="106"/>
  <c r="BI95" i="106"/>
  <c r="H98" i="86"/>
  <c r="BJ98" i="86" s="1"/>
  <c r="G99" i="86"/>
  <c r="X127" i="105"/>
  <c r="BK92" i="105"/>
  <c r="J92" i="105"/>
  <c r="AP101" i="86"/>
  <c r="AQ100" i="86"/>
  <c r="U102" i="66"/>
  <c r="AA102" i="66"/>
  <c r="F103" i="66"/>
  <c r="G102" i="66"/>
  <c r="AV96" i="75"/>
  <c r="BA90" i="75"/>
  <c r="AZ90" i="75"/>
  <c r="U101" i="91"/>
  <c r="V100" i="91"/>
  <c r="V95" i="100"/>
  <c r="U96" i="100"/>
  <c r="G98" i="105"/>
  <c r="I97" i="105"/>
  <c r="H97" i="105"/>
  <c r="BJ97" i="105" s="1"/>
  <c r="K30" i="59"/>
  <c r="E101" i="103"/>
  <c r="J100" i="103"/>
  <c r="F100" i="103"/>
  <c r="AZ100" i="103" s="1"/>
  <c r="Q98" i="88"/>
  <c r="M98" i="88"/>
  <c r="R98" i="88"/>
  <c r="M62" i="100"/>
  <c r="S62" i="100" s="1"/>
  <c r="AP98" i="88"/>
  <c r="AQ97" i="88"/>
  <c r="M95" i="86"/>
  <c r="Q95" i="86"/>
  <c r="R95" i="86"/>
  <c r="AU79" i="100"/>
  <c r="AY79" i="100" s="1"/>
  <c r="AW79" i="100" s="1"/>
  <c r="BL124" i="100"/>
  <c r="BG79" i="100"/>
  <c r="BI96" i="109"/>
  <c r="BJ95" i="109"/>
  <c r="AW94" i="109"/>
  <c r="BA88" i="109"/>
  <c r="AT88" i="109" s="1"/>
  <c r="BB88" i="109"/>
  <c r="R95" i="110"/>
  <c r="S94" i="110"/>
  <c r="K42" i="109"/>
  <c r="M42" i="109" s="1"/>
  <c r="S42" i="109" s="1"/>
  <c r="R95" i="109"/>
  <c r="M95" i="109"/>
  <c r="Q95" i="109"/>
  <c r="J95" i="109" s="1"/>
  <c r="U97" i="109"/>
  <c r="V96" i="109"/>
  <c r="J51" i="75"/>
  <c r="X86" i="75"/>
  <c r="BK51" i="75"/>
  <c r="M51" i="75"/>
  <c r="S51" i="75" s="1"/>
  <c r="AL27" i="111"/>
  <c r="AJ68" i="111"/>
  <c r="E101" i="111"/>
  <c r="J100" i="111"/>
  <c r="F100" i="111"/>
  <c r="AZ100" i="111" s="1"/>
  <c r="AQ27" i="111"/>
  <c r="AW27" i="111" s="1"/>
  <c r="N29" i="111"/>
  <c r="L29" i="111" s="1"/>
  <c r="M30" i="111" s="1"/>
  <c r="AX98" i="111"/>
  <c r="X74" i="94"/>
  <c r="L39" i="94"/>
  <c r="P39" i="94" s="1"/>
  <c r="N39" i="94" s="1"/>
  <c r="U96" i="94"/>
  <c r="V95" i="94"/>
  <c r="M94" i="94"/>
  <c r="R94" i="94"/>
  <c r="Q94" i="94"/>
  <c r="J94" i="94" s="1"/>
  <c r="AT28" i="110"/>
  <c r="AR28" i="110" s="1"/>
  <c r="AS29" i="110" s="1"/>
  <c r="AP28" i="112"/>
  <c r="AI69" i="112"/>
  <c r="AK69" i="112" s="1"/>
  <c r="BB74" i="112"/>
  <c r="M30" i="112"/>
  <c r="K29" i="112"/>
  <c r="Q29" i="112" s="1"/>
  <c r="BA29" i="112"/>
  <c r="AU89" i="109"/>
  <c r="AP88" i="109"/>
  <c r="AN127" i="109"/>
  <c r="E99" i="112"/>
  <c r="J98" i="112"/>
  <c r="F98" i="112"/>
  <c r="AZ98" i="112" s="1"/>
  <c r="AM100" i="112"/>
  <c r="AN99" i="112"/>
  <c r="AX98" i="112"/>
  <c r="AV28" i="112"/>
  <c r="AU28" i="112"/>
  <c r="BJ96" i="94"/>
  <c r="BI97" i="94"/>
  <c r="AW95" i="94"/>
  <c r="BB89" i="94"/>
  <c r="BA89" i="94"/>
  <c r="AT89" i="94" s="1"/>
  <c r="AU96" i="94"/>
  <c r="AR96" i="94"/>
  <c r="AQ97" i="94"/>
  <c r="W96" i="94"/>
  <c r="G97" i="94"/>
  <c r="T96" i="94"/>
  <c r="H96" i="94"/>
  <c r="BK96" i="94" s="1"/>
  <c r="K96" i="94"/>
  <c r="I96" i="94"/>
  <c r="Y130" i="94"/>
  <c r="BL95" i="94"/>
  <c r="AN134" i="94"/>
  <c r="AP95" i="94"/>
  <c r="AS31" i="103"/>
  <c r="AJ71" i="103"/>
  <c r="AV78" i="109"/>
  <c r="AZ78" i="109" s="1"/>
  <c r="AX78" i="109" s="1"/>
  <c r="AW78" i="109" s="1"/>
  <c r="BH78" i="109" s="1"/>
  <c r="BM123" i="109"/>
  <c r="M31" i="110"/>
  <c r="K30" i="110"/>
  <c r="Q30" i="110" s="1"/>
  <c r="AQ30" i="103"/>
  <c r="AW30" i="103" s="1"/>
  <c r="AP31" i="103" s="1"/>
  <c r="BM121" i="94"/>
  <c r="AV76" i="94"/>
  <c r="AZ76" i="94" s="1"/>
  <c r="AX76" i="94" s="1"/>
  <c r="AW76" i="94" s="1"/>
  <c r="BH76" i="94" s="1"/>
  <c r="AP92" i="94"/>
  <c r="AN131" i="94"/>
  <c r="P26" i="61"/>
  <c r="T56" i="61"/>
  <c r="BG76" i="59" l="1"/>
  <c r="AP31" i="59"/>
  <c r="BD37" i="59"/>
  <c r="AM89" i="91"/>
  <c r="AS50" i="91"/>
  <c r="AO50" i="91"/>
  <c r="AU80" i="105"/>
  <c r="AY80" i="105" s="1"/>
  <c r="AW80" i="105" s="1"/>
  <c r="AV80" i="105" s="1"/>
  <c r="BG80" i="105" s="1"/>
  <c r="BL125" i="105"/>
  <c r="AU49" i="88"/>
  <c r="AY49" i="88" s="1"/>
  <c r="AW49" i="88" s="1"/>
  <c r="AT49" i="88" s="1"/>
  <c r="BL94" i="88"/>
  <c r="F107" i="107"/>
  <c r="E107" i="107"/>
  <c r="G107" i="107" s="1"/>
  <c r="D107" i="107" s="1"/>
  <c r="C108" i="107" s="1"/>
  <c r="AO52" i="78"/>
  <c r="AM91" i="78"/>
  <c r="I98" i="105"/>
  <c r="H98" i="105"/>
  <c r="BJ98" i="105" s="1"/>
  <c r="G99" i="105"/>
  <c r="AQ101" i="86"/>
  <c r="AP102" i="86"/>
  <c r="BH99" i="75"/>
  <c r="BI98" i="75"/>
  <c r="BH97" i="86"/>
  <c r="BI96" i="86"/>
  <c r="E128" i="110"/>
  <c r="J127" i="110"/>
  <c r="F127" i="110"/>
  <c r="AS48" i="88"/>
  <c r="AM87" i="88"/>
  <c r="AO48" i="88"/>
  <c r="BI98" i="88"/>
  <c r="BH99" i="88"/>
  <c r="BA90" i="105"/>
  <c r="AZ90" i="105"/>
  <c r="AS90" i="105" s="1"/>
  <c r="AV96" i="105"/>
  <c r="W163" i="66"/>
  <c r="O162" i="66"/>
  <c r="L47" i="86"/>
  <c r="P47" i="86" s="1"/>
  <c r="N47" i="86" s="1"/>
  <c r="K47" i="86" s="1"/>
  <c r="W82" i="86"/>
  <c r="V96" i="100"/>
  <c r="U97" i="100"/>
  <c r="BA91" i="75"/>
  <c r="AZ91" i="75"/>
  <c r="AV97" i="75"/>
  <c r="BA89" i="86"/>
  <c r="AZ89" i="86"/>
  <c r="AV95" i="86"/>
  <c r="AP99" i="106"/>
  <c r="AQ98" i="106"/>
  <c r="V101" i="106"/>
  <c r="U102" i="106"/>
  <c r="BH97" i="100"/>
  <c r="BI96" i="100"/>
  <c r="Y131" i="109"/>
  <c r="BL96" i="109"/>
  <c r="Q95" i="105"/>
  <c r="M95" i="105"/>
  <c r="R95" i="105"/>
  <c r="AV97" i="88"/>
  <c r="BA91" i="88"/>
  <c r="AZ91" i="88"/>
  <c r="BI97" i="105"/>
  <c r="BH98" i="105"/>
  <c r="R95" i="100"/>
  <c r="M95" i="100"/>
  <c r="Q95" i="100"/>
  <c r="N102" i="66"/>
  <c r="M102" i="66"/>
  <c r="L102" i="66"/>
  <c r="H99" i="86"/>
  <c r="BJ99" i="86" s="1"/>
  <c r="G100" i="86"/>
  <c r="AU49" i="75"/>
  <c r="AY49" i="75" s="1"/>
  <c r="AW49" i="75" s="1"/>
  <c r="BL94" i="75"/>
  <c r="Q97" i="78"/>
  <c r="P97" i="78"/>
  <c r="G99" i="78"/>
  <c r="H98" i="78"/>
  <c r="BH104" i="78" s="1"/>
  <c r="M100" i="106"/>
  <c r="Q100" i="106"/>
  <c r="R100" i="106"/>
  <c r="BA89" i="100"/>
  <c r="AZ89" i="100"/>
  <c r="AS89" i="100" s="1"/>
  <c r="AV95" i="100"/>
  <c r="V96" i="105"/>
  <c r="U97" i="105"/>
  <c r="Q97" i="75"/>
  <c r="R97" i="75"/>
  <c r="M97" i="75"/>
  <c r="M100" i="91"/>
  <c r="Q100" i="91"/>
  <c r="R100" i="91"/>
  <c r="AA103" i="66"/>
  <c r="U103" i="66"/>
  <c r="G103" i="66"/>
  <c r="F104" i="66"/>
  <c r="AU67" i="106"/>
  <c r="AY67" i="106" s="1"/>
  <c r="BL112" i="106"/>
  <c r="AV67" i="106"/>
  <c r="BG67" i="106"/>
  <c r="BI99" i="91"/>
  <c r="BH100" i="91"/>
  <c r="T99" i="78"/>
  <c r="U98" i="78"/>
  <c r="AV53" i="78"/>
  <c r="G98" i="100"/>
  <c r="I97" i="100"/>
  <c r="H97" i="100"/>
  <c r="BJ97" i="100" s="1"/>
  <c r="AU46" i="86"/>
  <c r="AY46" i="86" s="1"/>
  <c r="AW46" i="86" s="1"/>
  <c r="AT46" i="86" s="1"/>
  <c r="BL91" i="86"/>
  <c r="AP104" i="75"/>
  <c r="AQ103" i="75"/>
  <c r="K97" i="109"/>
  <c r="T97" i="109"/>
  <c r="G98" i="109"/>
  <c r="W97" i="109"/>
  <c r="H97" i="109"/>
  <c r="BK97" i="109" s="1"/>
  <c r="I97" i="109"/>
  <c r="T31" i="66"/>
  <c r="S31" i="66"/>
  <c r="V98" i="75"/>
  <c r="U99" i="75"/>
  <c r="M69" i="105"/>
  <c r="S69" i="105" s="1"/>
  <c r="L48" i="88"/>
  <c r="P48" i="88" s="1"/>
  <c r="N48" i="88" s="1"/>
  <c r="K48" i="88" s="1"/>
  <c r="W83" i="88"/>
  <c r="V101" i="91"/>
  <c r="U102" i="91"/>
  <c r="AZ89" i="106"/>
  <c r="AS89" i="106" s="1"/>
  <c r="BA89" i="106"/>
  <c r="AV95" i="106"/>
  <c r="G102" i="91"/>
  <c r="H101" i="91"/>
  <c r="BJ101" i="91" s="1"/>
  <c r="AV98" i="91"/>
  <c r="AZ92" i="91"/>
  <c r="BA92" i="91"/>
  <c r="L49" i="78"/>
  <c r="R49" i="78" s="1"/>
  <c r="A113" i="108"/>
  <c r="B112" i="108"/>
  <c r="BH97" i="106"/>
  <c r="BI96" i="106"/>
  <c r="BH59" i="78"/>
  <c r="BJ98" i="78"/>
  <c r="AS53" i="78"/>
  <c r="X133" i="106"/>
  <c r="BK98" i="106"/>
  <c r="J98" i="106"/>
  <c r="B115" i="107"/>
  <c r="A116" i="107"/>
  <c r="BK47" i="91"/>
  <c r="J47" i="91"/>
  <c r="X82" i="91"/>
  <c r="R96" i="86"/>
  <c r="M96" i="86"/>
  <c r="Q96" i="86"/>
  <c r="M60" i="106"/>
  <c r="S60" i="106" s="1"/>
  <c r="AU80" i="100"/>
  <c r="AY80" i="100" s="1"/>
  <c r="AW80" i="100" s="1"/>
  <c r="BL125" i="100"/>
  <c r="BG80" i="100"/>
  <c r="AQ98" i="88"/>
  <c r="AP99" i="88"/>
  <c r="E102" i="103"/>
  <c r="J101" i="103"/>
  <c r="F101" i="103"/>
  <c r="AZ101" i="103" s="1"/>
  <c r="V100" i="88"/>
  <c r="U101" i="88"/>
  <c r="G100" i="75"/>
  <c r="H99" i="75"/>
  <c r="BJ99" i="75" s="1"/>
  <c r="AJ69" i="59"/>
  <c r="AL30" i="59"/>
  <c r="D73" i="108"/>
  <c r="C74" i="108" s="1"/>
  <c r="AU51" i="91"/>
  <c r="AY51" i="91" s="1"/>
  <c r="AW51" i="91" s="1"/>
  <c r="AT51" i="91"/>
  <c r="BL96" i="91"/>
  <c r="BG51" i="91"/>
  <c r="R31" i="66"/>
  <c r="P31" i="66" s="1"/>
  <c r="G98" i="88"/>
  <c r="H97" i="88"/>
  <c r="BJ97" i="88" s="1"/>
  <c r="AP99" i="100"/>
  <c r="AQ98" i="100"/>
  <c r="U98" i="86"/>
  <c r="V97" i="86"/>
  <c r="M63" i="100"/>
  <c r="S63" i="100" s="1"/>
  <c r="L63" i="100"/>
  <c r="P63" i="100" s="1"/>
  <c r="N63" i="100" s="1"/>
  <c r="W98" i="100"/>
  <c r="Q30" i="59"/>
  <c r="U77" i="59"/>
  <c r="R99" i="88"/>
  <c r="M99" i="88"/>
  <c r="Q99" i="88"/>
  <c r="H99" i="106"/>
  <c r="BJ99" i="106" s="1"/>
  <c r="K99" i="106"/>
  <c r="G100" i="106"/>
  <c r="AP100" i="91"/>
  <c r="AQ99" i="91"/>
  <c r="AQ97" i="105"/>
  <c r="AP98" i="105"/>
  <c r="M47" i="91"/>
  <c r="S47" i="91" s="1"/>
  <c r="AW95" i="109"/>
  <c r="BA89" i="109"/>
  <c r="AT89" i="109" s="1"/>
  <c r="BB89" i="109"/>
  <c r="BJ96" i="109"/>
  <c r="BI97" i="109"/>
  <c r="J42" i="109"/>
  <c r="R96" i="110"/>
  <c r="S95" i="110"/>
  <c r="X78" i="109"/>
  <c r="L43" i="109"/>
  <c r="P43" i="109" s="1"/>
  <c r="N43" i="109" s="1"/>
  <c r="BL42" i="109"/>
  <c r="Y77" i="109"/>
  <c r="V97" i="109"/>
  <c r="U98" i="109"/>
  <c r="M96" i="109"/>
  <c r="Q96" i="109"/>
  <c r="J96" i="109" s="1"/>
  <c r="R96" i="109"/>
  <c r="W87" i="75"/>
  <c r="L52" i="75"/>
  <c r="P52" i="75" s="1"/>
  <c r="N52" i="75" s="1"/>
  <c r="K52" i="75" s="1"/>
  <c r="G29" i="111"/>
  <c r="K29" i="111" s="1"/>
  <c r="Q29" i="111" s="1"/>
  <c r="AP28" i="111"/>
  <c r="BB74" i="111"/>
  <c r="AY28" i="111"/>
  <c r="AI69" i="111"/>
  <c r="AK69" i="111" s="1"/>
  <c r="E102" i="111"/>
  <c r="J101" i="111"/>
  <c r="F101" i="111"/>
  <c r="AZ101" i="111" s="1"/>
  <c r="AX99" i="111"/>
  <c r="K39" i="94"/>
  <c r="J39" i="94" s="1"/>
  <c r="M95" i="94"/>
  <c r="R95" i="94"/>
  <c r="Q95" i="94"/>
  <c r="J95" i="94" s="1"/>
  <c r="U97" i="94"/>
  <c r="V96" i="94"/>
  <c r="AT28" i="112"/>
  <c r="AR28" i="112" s="1"/>
  <c r="AO28" i="110"/>
  <c r="AQ28" i="110" s="1"/>
  <c r="AW28" i="110" s="1"/>
  <c r="H30" i="112"/>
  <c r="T71" i="112"/>
  <c r="S30" i="112"/>
  <c r="AN128" i="109"/>
  <c r="AU90" i="109"/>
  <c r="AP89" i="109"/>
  <c r="J99" i="112"/>
  <c r="E100" i="112"/>
  <c r="F99" i="112"/>
  <c r="AZ99" i="112" s="1"/>
  <c r="AX99" i="112"/>
  <c r="AM101" i="112"/>
  <c r="AN100" i="112"/>
  <c r="BJ97" i="94"/>
  <c r="BI98" i="94"/>
  <c r="AW96" i="94"/>
  <c r="BA90" i="94"/>
  <c r="AT90" i="94" s="1"/>
  <c r="BB90" i="94"/>
  <c r="Y131" i="94"/>
  <c r="BL96" i="94"/>
  <c r="AQ98" i="94"/>
  <c r="AU97" i="94"/>
  <c r="AR97" i="94"/>
  <c r="G98" i="94"/>
  <c r="W97" i="94"/>
  <c r="K97" i="94"/>
  <c r="T97" i="94"/>
  <c r="H97" i="94"/>
  <c r="BK97" i="94" s="1"/>
  <c r="I97" i="94"/>
  <c r="AP96" i="94"/>
  <c r="AN135" i="94"/>
  <c r="AY31" i="103"/>
  <c r="AV31" i="103" s="1"/>
  <c r="BB77" i="103"/>
  <c r="AI72" i="103"/>
  <c r="AK72" i="103" s="1"/>
  <c r="AV79" i="109"/>
  <c r="AZ79" i="109" s="1"/>
  <c r="AX79" i="109" s="1"/>
  <c r="AW79" i="109" s="1"/>
  <c r="BH79" i="109" s="1"/>
  <c r="BM124" i="109"/>
  <c r="H31" i="110"/>
  <c r="T72" i="110"/>
  <c r="BM122" i="94"/>
  <c r="AV77" i="94"/>
  <c r="AZ77" i="94" s="1"/>
  <c r="AX77" i="94" s="1"/>
  <c r="AW77" i="94" s="1"/>
  <c r="BH77" i="94" s="1"/>
  <c r="I27" i="61"/>
  <c r="S57" i="61"/>
  <c r="R27" i="61"/>
  <c r="AU81" i="105" l="1"/>
  <c r="AY81" i="105" s="1"/>
  <c r="AW81" i="105" s="1"/>
  <c r="BL126" i="105"/>
  <c r="AV81" i="105"/>
  <c r="BG81" i="105" s="1"/>
  <c r="BK47" i="86"/>
  <c r="X82" i="86"/>
  <c r="J47" i="86"/>
  <c r="F108" i="107"/>
  <c r="E108" i="107"/>
  <c r="G108" i="107" s="1"/>
  <c r="D108" i="107" s="1"/>
  <c r="C109" i="107" s="1"/>
  <c r="L64" i="100"/>
  <c r="P64" i="100" s="1"/>
  <c r="N64" i="100" s="1"/>
  <c r="W99" i="100"/>
  <c r="AO46" i="86"/>
  <c r="AM85" i="86"/>
  <c r="AS46" i="86"/>
  <c r="AV46" i="86"/>
  <c r="BG46" i="86" s="1"/>
  <c r="X83" i="88"/>
  <c r="BK48" i="88"/>
  <c r="J48" i="88"/>
  <c r="AO49" i="88"/>
  <c r="AS49" i="88"/>
  <c r="AM88" i="88"/>
  <c r="M97" i="86"/>
  <c r="Q97" i="86"/>
  <c r="R97" i="86"/>
  <c r="AO51" i="91"/>
  <c r="AM90" i="91"/>
  <c r="AS51" i="91"/>
  <c r="BH101" i="91"/>
  <c r="BI100" i="91"/>
  <c r="N103" i="66"/>
  <c r="M103" i="66"/>
  <c r="L103" i="66"/>
  <c r="U103" i="106"/>
  <c r="V102" i="106"/>
  <c r="U99" i="86"/>
  <c r="V98" i="86"/>
  <c r="G101" i="75"/>
  <c r="H100" i="75"/>
  <c r="BJ100" i="75" s="1"/>
  <c r="AU81" i="100"/>
  <c r="AY81" i="100" s="1"/>
  <c r="AW81" i="100" s="1"/>
  <c r="BL126" i="100"/>
  <c r="BG81" i="100"/>
  <c r="A114" i="108"/>
  <c r="B113" i="108"/>
  <c r="M48" i="88"/>
  <c r="S48" i="88" s="1"/>
  <c r="AV99" i="91"/>
  <c r="BA93" i="91"/>
  <c r="AZ93" i="91"/>
  <c r="AT49" i="75"/>
  <c r="G101" i="86"/>
  <c r="H100" i="86"/>
  <c r="BJ100" i="86" s="1"/>
  <c r="M101" i="106"/>
  <c r="R101" i="106"/>
  <c r="Q101" i="106"/>
  <c r="E129" i="110"/>
  <c r="J128" i="110"/>
  <c r="F128" i="110"/>
  <c r="F74" i="108"/>
  <c r="E74" i="108"/>
  <c r="G74" i="108"/>
  <c r="U102" i="88"/>
  <c r="V101" i="88"/>
  <c r="K50" i="78"/>
  <c r="W90" i="78"/>
  <c r="L70" i="105"/>
  <c r="P70" i="105" s="1"/>
  <c r="N70" i="105" s="1"/>
  <c r="M70" i="105"/>
  <c r="S70" i="105" s="1"/>
  <c r="W105" i="105"/>
  <c r="G99" i="109"/>
  <c r="K98" i="109"/>
  <c r="T98" i="109"/>
  <c r="W98" i="109"/>
  <c r="H98" i="109"/>
  <c r="BK98" i="109" s="1"/>
  <c r="I98" i="109"/>
  <c r="G99" i="100"/>
  <c r="I98" i="100"/>
  <c r="H98" i="100"/>
  <c r="BJ98" i="100" s="1"/>
  <c r="AU68" i="106"/>
  <c r="AY68" i="106" s="1"/>
  <c r="BL113" i="106"/>
  <c r="BG68" i="106"/>
  <c r="AV68" i="106"/>
  <c r="V97" i="105"/>
  <c r="U98" i="105"/>
  <c r="BH99" i="105"/>
  <c r="BI98" i="105"/>
  <c r="M47" i="86"/>
  <c r="S47" i="86" s="1"/>
  <c r="BI99" i="88"/>
  <c r="BH100" i="88"/>
  <c r="AZ90" i="86"/>
  <c r="BA90" i="86"/>
  <c r="AV96" i="86"/>
  <c r="AV49" i="88"/>
  <c r="BG49" i="88" s="1"/>
  <c r="W83" i="91"/>
  <c r="L48" i="91"/>
  <c r="P48" i="91" s="1"/>
  <c r="N48" i="91" s="1"/>
  <c r="BK99" i="106"/>
  <c r="X134" i="106"/>
  <c r="J99" i="106"/>
  <c r="J31" i="59"/>
  <c r="S31" i="59"/>
  <c r="T78" i="59"/>
  <c r="AP100" i="100"/>
  <c r="AQ99" i="100"/>
  <c r="H98" i="88"/>
  <c r="BJ98" i="88" s="1"/>
  <c r="G99" i="88"/>
  <c r="R100" i="88"/>
  <c r="Q100" i="88"/>
  <c r="M100" i="88"/>
  <c r="U103" i="91"/>
  <c r="V102" i="91"/>
  <c r="U100" i="75"/>
  <c r="V99" i="75"/>
  <c r="M96" i="105"/>
  <c r="Q96" i="105"/>
  <c r="R96" i="105"/>
  <c r="G100" i="78"/>
  <c r="H99" i="78"/>
  <c r="BH105" i="78" s="1"/>
  <c r="AV97" i="105"/>
  <c r="BA91" i="105"/>
  <c r="AZ91" i="105"/>
  <c r="AS91" i="105" s="1"/>
  <c r="AP100" i="106"/>
  <c r="AQ99" i="106"/>
  <c r="BA92" i="88"/>
  <c r="AZ92" i="88"/>
  <c r="AV98" i="88"/>
  <c r="BI97" i="86"/>
  <c r="BH98" i="86"/>
  <c r="H100" i="106"/>
  <c r="BJ100" i="106" s="1"/>
  <c r="G101" i="106"/>
  <c r="K100" i="106"/>
  <c r="AP99" i="105"/>
  <c r="AQ98" i="105"/>
  <c r="L61" i="106"/>
  <c r="P61" i="106" s="1"/>
  <c r="N61" i="106" s="1"/>
  <c r="W96" i="106"/>
  <c r="A117" i="107"/>
  <c r="B116" i="107"/>
  <c r="AT53" i="78"/>
  <c r="BE53" i="78"/>
  <c r="AY53" i="78"/>
  <c r="AX53" i="78"/>
  <c r="M101" i="91"/>
  <c r="Q101" i="91"/>
  <c r="R101" i="91"/>
  <c r="M98" i="75"/>
  <c r="R98" i="75"/>
  <c r="Q98" i="75"/>
  <c r="BL97" i="109"/>
  <c r="Y132" i="109"/>
  <c r="V97" i="100"/>
  <c r="U98" i="100"/>
  <c r="H31" i="66"/>
  <c r="O31" i="66" s="1"/>
  <c r="Q32" i="66"/>
  <c r="Q96" i="100"/>
  <c r="M96" i="100"/>
  <c r="R96" i="100"/>
  <c r="W164" i="66"/>
  <c r="O163" i="66"/>
  <c r="AV98" i="75"/>
  <c r="BA92" i="75"/>
  <c r="AZ92" i="75"/>
  <c r="AU31" i="59"/>
  <c r="AV31" i="59"/>
  <c r="AT52" i="91"/>
  <c r="AU52" i="91"/>
  <c r="AY52" i="91" s="1"/>
  <c r="AW52" i="91" s="1"/>
  <c r="BL97" i="91"/>
  <c r="BG52" i="91"/>
  <c r="E103" i="103"/>
  <c r="J102" i="103"/>
  <c r="F102" i="103"/>
  <c r="AZ102" i="103" s="1"/>
  <c r="BA90" i="106"/>
  <c r="AV96" i="106"/>
  <c r="AZ90" i="106"/>
  <c r="AS90" i="106" s="1"/>
  <c r="H102" i="91"/>
  <c r="BJ102" i="91" s="1"/>
  <c r="G103" i="91"/>
  <c r="AP105" i="75"/>
  <c r="AQ104" i="75"/>
  <c r="P98" i="78"/>
  <c r="Q98" i="78"/>
  <c r="AV96" i="100"/>
  <c r="AZ90" i="100"/>
  <c r="AS90" i="100" s="1"/>
  <c r="BA90" i="100"/>
  <c r="BI99" i="75"/>
  <c r="BH100" i="75"/>
  <c r="AT31" i="59"/>
  <c r="AR31" i="59" s="1"/>
  <c r="AO31" i="59" s="1"/>
  <c r="AP101" i="91"/>
  <c r="AQ100" i="91"/>
  <c r="AP100" i="88"/>
  <c r="AQ99" i="88"/>
  <c r="BH98" i="106"/>
  <c r="BI97" i="106"/>
  <c r="U99" i="78"/>
  <c r="T100" i="78"/>
  <c r="AA104" i="66"/>
  <c r="G104" i="66"/>
  <c r="U104" i="66"/>
  <c r="F105" i="66"/>
  <c r="BI97" i="100"/>
  <c r="BH98" i="100"/>
  <c r="AP103" i="86"/>
  <c r="AQ102" i="86"/>
  <c r="G100" i="105"/>
  <c r="H99" i="105"/>
  <c r="BJ99" i="105" s="1"/>
  <c r="I99" i="105"/>
  <c r="BJ97" i="109"/>
  <c r="BI98" i="109"/>
  <c r="BA90" i="109"/>
  <c r="AT90" i="109" s="1"/>
  <c r="BB90" i="109"/>
  <c r="AW96" i="109"/>
  <c r="K43" i="109"/>
  <c r="J43" i="109" s="1"/>
  <c r="R97" i="110"/>
  <c r="S96" i="110"/>
  <c r="R97" i="109"/>
  <c r="M97" i="109"/>
  <c r="Q97" i="109"/>
  <c r="J97" i="109" s="1"/>
  <c r="V98" i="109"/>
  <c r="U99" i="109"/>
  <c r="J52" i="75"/>
  <c r="BK52" i="75"/>
  <c r="X87" i="75"/>
  <c r="M52" i="75"/>
  <c r="S52" i="75" s="1"/>
  <c r="S30" i="111"/>
  <c r="H30" i="111"/>
  <c r="T71" i="111"/>
  <c r="V71" i="111" s="1"/>
  <c r="J102" i="111"/>
  <c r="E103" i="111"/>
  <c r="F102" i="111"/>
  <c r="AZ102" i="111" s="1"/>
  <c r="AU28" i="111"/>
  <c r="AT28" i="111" s="1"/>
  <c r="AR28" i="111" s="1"/>
  <c r="AO28" i="111" s="1"/>
  <c r="AV28" i="111"/>
  <c r="BA29" i="111"/>
  <c r="M39" i="94"/>
  <c r="S39" i="94" s="1"/>
  <c r="L40" i="94" s="1"/>
  <c r="P40" i="94" s="1"/>
  <c r="N40" i="94" s="1"/>
  <c r="AX100" i="111"/>
  <c r="BL39" i="94"/>
  <c r="Y74" i="94"/>
  <c r="AO28" i="112"/>
  <c r="AL28" i="112" s="1"/>
  <c r="AS29" i="112"/>
  <c r="V97" i="94"/>
  <c r="U98" i="94"/>
  <c r="M96" i="94"/>
  <c r="Q96" i="94"/>
  <c r="J96" i="94" s="1"/>
  <c r="R96" i="94"/>
  <c r="AP29" i="110"/>
  <c r="AY29" i="110"/>
  <c r="AI70" i="110"/>
  <c r="BB75" i="110"/>
  <c r="AL28" i="110"/>
  <c r="AJ69" i="110"/>
  <c r="P30" i="112"/>
  <c r="O30" i="112"/>
  <c r="N30" i="112" s="1"/>
  <c r="L30" i="112" s="1"/>
  <c r="G30" i="112" s="1"/>
  <c r="V71" i="112"/>
  <c r="U70" i="112"/>
  <c r="I30" i="112"/>
  <c r="AN129" i="109"/>
  <c r="AU91" i="109"/>
  <c r="AP90" i="109"/>
  <c r="AX100" i="112"/>
  <c r="J100" i="112"/>
  <c r="E101" i="112"/>
  <c r="F100" i="112"/>
  <c r="AZ100" i="112" s="1"/>
  <c r="AM102" i="112"/>
  <c r="AN101" i="112"/>
  <c r="BJ98" i="94"/>
  <c r="BI99" i="94"/>
  <c r="BB91" i="94"/>
  <c r="BA91" i="94"/>
  <c r="AT91" i="94" s="1"/>
  <c r="AW97" i="94"/>
  <c r="AU31" i="103"/>
  <c r="AT31" i="103" s="1"/>
  <c r="AR31" i="103" s="1"/>
  <c r="AO31" i="103" s="1"/>
  <c r="AQ31" i="103" s="1"/>
  <c r="AW31" i="103" s="1"/>
  <c r="Y132" i="94"/>
  <c r="BL97" i="94"/>
  <c r="AP97" i="94"/>
  <c r="AN136" i="94"/>
  <c r="W98" i="94"/>
  <c r="G99" i="94"/>
  <c r="H98" i="94"/>
  <c r="BK98" i="94" s="1"/>
  <c r="K98" i="94"/>
  <c r="T98" i="94"/>
  <c r="I98" i="94"/>
  <c r="AR98" i="94"/>
  <c r="AQ99" i="94"/>
  <c r="AU98" i="94"/>
  <c r="BM125" i="109"/>
  <c r="AV80" i="109"/>
  <c r="AZ80" i="109" s="1"/>
  <c r="AX80" i="109" s="1"/>
  <c r="AW80" i="109" s="1"/>
  <c r="BH80" i="109" s="1"/>
  <c r="I31" i="110"/>
  <c r="V72" i="110"/>
  <c r="U71" i="110"/>
  <c r="O31" i="110"/>
  <c r="N31" i="110" s="1"/>
  <c r="L31" i="110" s="1"/>
  <c r="G31" i="110" s="1"/>
  <c r="BA31" i="110" s="1"/>
  <c r="P31" i="110"/>
  <c r="BM123" i="94"/>
  <c r="AV78" i="94"/>
  <c r="AZ78" i="94" s="1"/>
  <c r="AX78" i="94" s="1"/>
  <c r="AW78" i="94" s="1"/>
  <c r="BH78" i="94" s="1"/>
  <c r="O27" i="61"/>
  <c r="N27" i="61"/>
  <c r="F109" i="107" l="1"/>
  <c r="E109" i="107"/>
  <c r="G109" i="107"/>
  <c r="D109" i="107" s="1"/>
  <c r="C110" i="107"/>
  <c r="L71" i="105"/>
  <c r="P71" i="105" s="1"/>
  <c r="N71" i="105" s="1"/>
  <c r="W106" i="105"/>
  <c r="AU82" i="105"/>
  <c r="AY82" i="105" s="1"/>
  <c r="AW82" i="105" s="1"/>
  <c r="BL127" i="105"/>
  <c r="AV82" i="105"/>
  <c r="BG82" i="105" s="1"/>
  <c r="V31" i="66"/>
  <c r="Z31" i="66"/>
  <c r="M43" i="109"/>
  <c r="S43" i="109" s="1"/>
  <c r="L44" i="109" s="1"/>
  <c r="G105" i="66"/>
  <c r="U105" i="66"/>
  <c r="F106" i="66"/>
  <c r="AA105" i="66"/>
  <c r="H103" i="91"/>
  <c r="BJ103" i="91" s="1"/>
  <c r="G104" i="91"/>
  <c r="K101" i="106"/>
  <c r="H101" i="106"/>
  <c r="BJ101" i="106" s="1"/>
  <c r="G102" i="106"/>
  <c r="G100" i="88"/>
  <c r="H99" i="88"/>
  <c r="BJ99" i="88" s="1"/>
  <c r="AU50" i="88"/>
  <c r="AY50" i="88" s="1"/>
  <c r="AW50" i="88" s="1"/>
  <c r="BL95" i="88"/>
  <c r="AV98" i="105"/>
  <c r="BA92" i="105"/>
  <c r="AZ92" i="105"/>
  <c r="AS92" i="105" s="1"/>
  <c r="AW53" i="78"/>
  <c r="AU53" i="78" s="1"/>
  <c r="AR53" i="78" s="1"/>
  <c r="M102" i="106"/>
  <c r="Q102" i="106"/>
  <c r="R102" i="106"/>
  <c r="BH100" i="105"/>
  <c r="BI99" i="105"/>
  <c r="Q101" i="88"/>
  <c r="R101" i="88"/>
  <c r="M101" i="88"/>
  <c r="E130" i="110"/>
  <c r="J129" i="110"/>
  <c r="F129" i="110"/>
  <c r="U104" i="106"/>
  <c r="V103" i="106"/>
  <c r="H100" i="105"/>
  <c r="BJ100" i="105" s="1"/>
  <c r="I100" i="105"/>
  <c r="G101" i="105"/>
  <c r="N104" i="66"/>
  <c r="L104" i="66"/>
  <c r="M104" i="66"/>
  <c r="AQ31" i="59"/>
  <c r="BB31" i="59" s="1"/>
  <c r="BH60" i="78"/>
  <c r="AS54" i="78"/>
  <c r="BJ99" i="78"/>
  <c r="BH99" i="86"/>
  <c r="BI98" i="86"/>
  <c r="R99" i="75"/>
  <c r="M99" i="75"/>
  <c r="Q99" i="75"/>
  <c r="V98" i="105"/>
  <c r="U99" i="105"/>
  <c r="V102" i="88"/>
  <c r="U103" i="88"/>
  <c r="M64" i="100"/>
  <c r="S64" i="100" s="1"/>
  <c r="AP101" i="106"/>
  <c r="AQ100" i="106"/>
  <c r="AQ101" i="91"/>
  <c r="AP102" i="91"/>
  <c r="W165" i="66"/>
  <c r="O164" i="66"/>
  <c r="AP100" i="105"/>
  <c r="AQ99" i="105"/>
  <c r="AZ91" i="86"/>
  <c r="AV97" i="86"/>
  <c r="BA91" i="86"/>
  <c r="U101" i="75"/>
  <c r="V100" i="75"/>
  <c r="AP101" i="100"/>
  <c r="AQ100" i="100"/>
  <c r="K48" i="91"/>
  <c r="Q97" i="105"/>
  <c r="M97" i="105"/>
  <c r="R97" i="105"/>
  <c r="D74" i="108"/>
  <c r="C75" i="108" s="1"/>
  <c r="W84" i="88"/>
  <c r="L49" i="88"/>
  <c r="P49" i="88" s="1"/>
  <c r="N49" i="88" s="1"/>
  <c r="AP101" i="88"/>
  <c r="AQ100" i="88"/>
  <c r="AP104" i="86"/>
  <c r="AQ103" i="86"/>
  <c r="U100" i="78"/>
  <c r="T101" i="78"/>
  <c r="AJ70" i="59"/>
  <c r="AL31" i="59"/>
  <c r="U99" i="100"/>
  <c r="V98" i="100"/>
  <c r="R102" i="91"/>
  <c r="M102" i="91"/>
  <c r="Q102" i="91"/>
  <c r="AU47" i="86"/>
  <c r="AY47" i="86" s="1"/>
  <c r="AW47" i="86" s="1"/>
  <c r="AT47" i="86" s="1"/>
  <c r="BL92" i="86"/>
  <c r="AS52" i="91"/>
  <c r="AO52" i="91"/>
  <c r="AM91" i="91"/>
  <c r="BH99" i="100"/>
  <c r="BI98" i="100"/>
  <c r="Q99" i="78"/>
  <c r="P99" i="78"/>
  <c r="BH101" i="75"/>
  <c r="BI100" i="75"/>
  <c r="E104" i="103"/>
  <c r="J103" i="103"/>
  <c r="F103" i="103"/>
  <c r="AZ103" i="103" s="1"/>
  <c r="AS32" i="59"/>
  <c r="Q97" i="100"/>
  <c r="M97" i="100"/>
  <c r="R97" i="100"/>
  <c r="A118" i="107"/>
  <c r="B117" i="107"/>
  <c r="H100" i="78"/>
  <c r="BH106" i="78" s="1"/>
  <c r="G101" i="78"/>
  <c r="U104" i="91"/>
  <c r="V103" i="91"/>
  <c r="O31" i="59"/>
  <c r="P31" i="59"/>
  <c r="BH101" i="88"/>
  <c r="BI100" i="88"/>
  <c r="AU69" i="106"/>
  <c r="AY69" i="106" s="1"/>
  <c r="BL114" i="106"/>
  <c r="BG69" i="106"/>
  <c r="Y133" i="109"/>
  <c r="BL98" i="109"/>
  <c r="O50" i="78"/>
  <c r="M50" i="78" s="1"/>
  <c r="J49" i="78"/>
  <c r="H101" i="86"/>
  <c r="BJ101" i="86" s="1"/>
  <c r="G102" i="86"/>
  <c r="A115" i="108"/>
  <c r="B114" i="108"/>
  <c r="H101" i="75"/>
  <c r="BJ101" i="75" s="1"/>
  <c r="G102" i="75"/>
  <c r="BA94" i="91"/>
  <c r="AZ94" i="91"/>
  <c r="AV100" i="91"/>
  <c r="Y78" i="109"/>
  <c r="BA91" i="100"/>
  <c r="AZ91" i="100"/>
  <c r="AS91" i="100" s="1"/>
  <c r="AV97" i="100"/>
  <c r="AZ91" i="106"/>
  <c r="AS91" i="106" s="1"/>
  <c r="AV97" i="106"/>
  <c r="BA91" i="106"/>
  <c r="AZ93" i="75"/>
  <c r="AV99" i="75"/>
  <c r="BA93" i="75"/>
  <c r="AQ105" i="75"/>
  <c r="AP106" i="75"/>
  <c r="AU53" i="91"/>
  <c r="AY53" i="91" s="1"/>
  <c r="AW53" i="91" s="1"/>
  <c r="AT53" i="91" s="1"/>
  <c r="BL98" i="91"/>
  <c r="BG53" i="91"/>
  <c r="AV99" i="88"/>
  <c r="AZ93" i="88"/>
  <c r="BA93" i="88"/>
  <c r="G100" i="109"/>
  <c r="W99" i="109"/>
  <c r="T99" i="109"/>
  <c r="K99" i="109"/>
  <c r="H99" i="109"/>
  <c r="BK99" i="109" s="1"/>
  <c r="I99" i="109"/>
  <c r="AO49" i="75"/>
  <c r="AM88" i="75"/>
  <c r="AS49" i="75"/>
  <c r="AU82" i="100"/>
  <c r="AY82" i="100" s="1"/>
  <c r="AW82" i="100" s="1"/>
  <c r="BL127" i="100"/>
  <c r="BG82" i="100"/>
  <c r="R98" i="86"/>
  <c r="M98" i="86"/>
  <c r="Q98" i="86"/>
  <c r="BH102" i="91"/>
  <c r="BI101" i="91"/>
  <c r="BL43" i="109"/>
  <c r="BI98" i="106"/>
  <c r="BH99" i="106"/>
  <c r="M61" i="106"/>
  <c r="S61" i="106" s="1"/>
  <c r="X135" i="106"/>
  <c r="J100" i="106"/>
  <c r="BK100" i="106"/>
  <c r="N31" i="59"/>
  <c r="L31" i="59" s="1"/>
  <c r="I31" i="59" s="1"/>
  <c r="BF37" i="59" s="1"/>
  <c r="L48" i="86"/>
  <c r="P48" i="86" s="1"/>
  <c r="N48" i="86" s="1"/>
  <c r="K48" i="86"/>
  <c r="M48" i="86" s="1"/>
  <c r="S48" i="86" s="1"/>
  <c r="W83" i="86"/>
  <c r="G100" i="100"/>
  <c r="I99" i="100"/>
  <c r="H99" i="100"/>
  <c r="BJ99" i="100" s="1"/>
  <c r="V99" i="86"/>
  <c r="U100" i="86"/>
  <c r="AV49" i="75"/>
  <c r="BG49" i="75" s="1"/>
  <c r="AJ69" i="112"/>
  <c r="BJ98" i="109"/>
  <c r="BI99" i="109"/>
  <c r="BA91" i="109"/>
  <c r="BB91" i="109"/>
  <c r="AW97" i="109"/>
  <c r="AT91" i="109"/>
  <c r="R98" i="110"/>
  <c r="S97" i="110"/>
  <c r="V99" i="109"/>
  <c r="U100" i="109"/>
  <c r="Q98" i="109"/>
  <c r="J98" i="109" s="1"/>
  <c r="R98" i="109"/>
  <c r="M98" i="109"/>
  <c r="L53" i="75"/>
  <c r="P53" i="75" s="1"/>
  <c r="N53" i="75" s="1"/>
  <c r="W88" i="75"/>
  <c r="AQ28" i="111"/>
  <c r="AW28" i="111" s="1"/>
  <c r="J103" i="111"/>
  <c r="E104" i="111"/>
  <c r="F103" i="111"/>
  <c r="AZ103" i="111" s="1"/>
  <c r="I30" i="111"/>
  <c r="X75" i="94"/>
  <c r="U70" i="111"/>
  <c r="AL28" i="111"/>
  <c r="AJ69" i="111"/>
  <c r="AS29" i="111"/>
  <c r="O30" i="111"/>
  <c r="N30" i="111" s="1"/>
  <c r="L30" i="111" s="1"/>
  <c r="P30" i="111"/>
  <c r="AX101" i="111"/>
  <c r="K40" i="94"/>
  <c r="AQ28" i="112"/>
  <c r="AW28" i="112" s="1"/>
  <c r="BB75" i="112" s="1"/>
  <c r="X79" i="109"/>
  <c r="P44" i="109"/>
  <c r="N44" i="109" s="1"/>
  <c r="V98" i="94"/>
  <c r="U99" i="94"/>
  <c r="Q97" i="94"/>
  <c r="J97" i="94" s="1"/>
  <c r="R97" i="94"/>
  <c r="M97" i="94"/>
  <c r="AK70" i="110"/>
  <c r="AU29" i="110"/>
  <c r="AV29" i="110"/>
  <c r="K30" i="112"/>
  <c r="Q30" i="112" s="1"/>
  <c r="BA30" i="112"/>
  <c r="M31" i="112"/>
  <c r="AP91" i="109"/>
  <c r="AN130" i="109"/>
  <c r="AU92" i="109"/>
  <c r="AM103" i="112"/>
  <c r="AN102" i="112"/>
  <c r="E102" i="112"/>
  <c r="J101" i="112"/>
  <c r="F101" i="112"/>
  <c r="AZ101" i="112" s="1"/>
  <c r="AX101" i="112"/>
  <c r="BI100" i="94"/>
  <c r="BJ99" i="94"/>
  <c r="AW98" i="94"/>
  <c r="BB92" i="94"/>
  <c r="BA92" i="94"/>
  <c r="AT92" i="94" s="1"/>
  <c r="AU99" i="94"/>
  <c r="AQ100" i="94"/>
  <c r="AR99" i="94"/>
  <c r="BL98" i="94"/>
  <c r="Y133" i="94"/>
  <c r="G100" i="94"/>
  <c r="W99" i="94"/>
  <c r="K99" i="94"/>
  <c r="T99" i="94"/>
  <c r="H99" i="94"/>
  <c r="BK99" i="94" s="1"/>
  <c r="I99" i="94"/>
  <c r="AN137" i="94"/>
  <c r="AP98" i="94"/>
  <c r="BM126" i="109"/>
  <c r="AV81" i="109"/>
  <c r="AZ81" i="109" s="1"/>
  <c r="AX81" i="109" s="1"/>
  <c r="AW81" i="109" s="1"/>
  <c r="BH81" i="109" s="1"/>
  <c r="K31" i="110"/>
  <c r="Q31" i="110" s="1"/>
  <c r="M32" i="110"/>
  <c r="AS32" i="103"/>
  <c r="AV79" i="94"/>
  <c r="AZ79" i="94" s="1"/>
  <c r="AX79" i="94" s="1"/>
  <c r="AW79" i="94" s="1"/>
  <c r="BH79" i="94" s="1"/>
  <c r="BM124" i="94"/>
  <c r="AP32" i="103"/>
  <c r="BB78" i="103"/>
  <c r="AI73" i="103"/>
  <c r="AY32" i="103"/>
  <c r="AL31" i="103"/>
  <c r="AJ72" i="103"/>
  <c r="M27" i="61"/>
  <c r="K27" i="61" s="1"/>
  <c r="AV50" i="88" l="1"/>
  <c r="BG50" i="88" s="1"/>
  <c r="AU83" i="105"/>
  <c r="AY83" i="105" s="1"/>
  <c r="AW83" i="105" s="1"/>
  <c r="BL128" i="105"/>
  <c r="AV83" i="105"/>
  <c r="BG83" i="105" s="1"/>
  <c r="G30" i="111"/>
  <c r="BA30" i="111" s="1"/>
  <c r="W84" i="86"/>
  <c r="L49" i="86"/>
  <c r="P49" i="86" s="1"/>
  <c r="N49" i="86" s="1"/>
  <c r="AO53" i="91"/>
  <c r="AM92" i="91"/>
  <c r="AS53" i="91"/>
  <c r="AO47" i="86"/>
  <c r="AS47" i="86"/>
  <c r="AM86" i="86"/>
  <c r="AV47" i="86"/>
  <c r="BG47" i="86" s="1"/>
  <c r="AU50" i="75"/>
  <c r="AY50" i="75" s="1"/>
  <c r="AW50" i="75" s="1"/>
  <c r="AT50" i="75" s="1"/>
  <c r="BL95" i="75"/>
  <c r="G101" i="100"/>
  <c r="I100" i="100"/>
  <c r="H100" i="100"/>
  <c r="BJ100" i="100" s="1"/>
  <c r="AZ92" i="106"/>
  <c r="AS92" i="106" s="1"/>
  <c r="BA92" i="106"/>
  <c r="AV98" i="106"/>
  <c r="AU83" i="100"/>
  <c r="AY83" i="100" s="1"/>
  <c r="AW83" i="100" s="1"/>
  <c r="BL128" i="100"/>
  <c r="BG83" i="100"/>
  <c r="Y134" i="109"/>
  <c r="BL99" i="109"/>
  <c r="AU54" i="91"/>
  <c r="AY54" i="91" s="1"/>
  <c r="AW54" i="91" s="1"/>
  <c r="AT54" i="91" s="1"/>
  <c r="BL99" i="91"/>
  <c r="BG54" i="91"/>
  <c r="M98" i="100"/>
  <c r="R98" i="100"/>
  <c r="Q98" i="100"/>
  <c r="AP105" i="86"/>
  <c r="AQ104" i="86"/>
  <c r="E75" i="108"/>
  <c r="G75" i="108"/>
  <c r="F75" i="108"/>
  <c r="Q100" i="75"/>
  <c r="R100" i="75"/>
  <c r="M100" i="75"/>
  <c r="BA92" i="86"/>
  <c r="AZ92" i="86"/>
  <c r="AV98" i="86"/>
  <c r="G102" i="105"/>
  <c r="I101" i="105"/>
  <c r="H101" i="105"/>
  <c r="BJ101" i="105" s="1"/>
  <c r="Q99" i="86"/>
  <c r="R99" i="86"/>
  <c r="M99" i="86"/>
  <c r="BA95" i="91"/>
  <c r="AV101" i="91"/>
  <c r="AZ95" i="91"/>
  <c r="G103" i="75"/>
  <c r="H102" i="75"/>
  <c r="BJ102" i="75" s="1"/>
  <c r="AU70" i="106"/>
  <c r="AY70" i="106" s="1"/>
  <c r="BL115" i="106"/>
  <c r="BG70" i="106"/>
  <c r="G102" i="78"/>
  <c r="H101" i="78"/>
  <c r="BH107" i="78" s="1"/>
  <c r="AV98" i="100"/>
  <c r="AZ92" i="100"/>
  <c r="AS92" i="100" s="1"/>
  <c r="BA92" i="100"/>
  <c r="AP102" i="88"/>
  <c r="AQ101" i="88"/>
  <c r="O165" i="66"/>
  <c r="W166" i="66"/>
  <c r="R102" i="88"/>
  <c r="M102" i="88"/>
  <c r="Q102" i="88"/>
  <c r="AM92" i="78"/>
  <c r="AO53" i="78"/>
  <c r="AT50" i="88"/>
  <c r="AV54" i="78"/>
  <c r="K32" i="66"/>
  <c r="J32" i="66"/>
  <c r="I32" i="66" s="1"/>
  <c r="X32" i="66"/>
  <c r="M71" i="105"/>
  <c r="S71" i="105" s="1"/>
  <c r="V101" i="75"/>
  <c r="U102" i="75"/>
  <c r="BH103" i="91"/>
  <c r="BI102" i="91"/>
  <c r="K100" i="109"/>
  <c r="G101" i="109"/>
  <c r="T100" i="109"/>
  <c r="W100" i="109"/>
  <c r="H100" i="109"/>
  <c r="BK100" i="109" s="1"/>
  <c r="I100" i="109"/>
  <c r="R103" i="91"/>
  <c r="M103" i="91"/>
  <c r="Q103" i="91"/>
  <c r="BI99" i="100"/>
  <c r="BH100" i="100"/>
  <c r="K49" i="88"/>
  <c r="M49" i="88" s="1"/>
  <c r="S49" i="88" s="1"/>
  <c r="AP103" i="91"/>
  <c r="AQ102" i="91"/>
  <c r="U100" i="105"/>
  <c r="V99" i="105"/>
  <c r="Q103" i="106"/>
  <c r="R103" i="106"/>
  <c r="M103" i="106"/>
  <c r="G101" i="88"/>
  <c r="H100" i="88"/>
  <c r="BJ100" i="88" s="1"/>
  <c r="M32" i="59"/>
  <c r="AP107" i="75"/>
  <c r="AQ106" i="75"/>
  <c r="G103" i="86"/>
  <c r="H102" i="86"/>
  <c r="BJ102" i="86" s="1"/>
  <c r="U105" i="91"/>
  <c r="V104" i="91"/>
  <c r="Q98" i="105"/>
  <c r="R98" i="105"/>
  <c r="M98" i="105"/>
  <c r="V104" i="106"/>
  <c r="U105" i="106"/>
  <c r="AV99" i="105"/>
  <c r="BA93" i="105"/>
  <c r="AZ93" i="105"/>
  <c r="E110" i="107"/>
  <c r="G110" i="107" s="1"/>
  <c r="D110" i="107" s="1"/>
  <c r="C111" i="107" s="1"/>
  <c r="F110" i="107"/>
  <c r="U101" i="86"/>
  <c r="V100" i="86"/>
  <c r="V99" i="100"/>
  <c r="U100" i="100"/>
  <c r="X83" i="86"/>
  <c r="BK48" i="86"/>
  <c r="J48" i="86"/>
  <c r="A116" i="108"/>
  <c r="B115" i="108"/>
  <c r="AV100" i="88"/>
  <c r="BA94" i="88"/>
  <c r="AZ94" i="88"/>
  <c r="B118" i="107"/>
  <c r="A119" i="107"/>
  <c r="E105" i="103"/>
  <c r="J104" i="103"/>
  <c r="F104" i="103"/>
  <c r="AZ104" i="103" s="1"/>
  <c r="T102" i="78"/>
  <c r="U101" i="78"/>
  <c r="X83" i="91"/>
  <c r="BK48" i="91"/>
  <c r="J48" i="91"/>
  <c r="BE54" i="78"/>
  <c r="AY54" i="78"/>
  <c r="AX54" i="78"/>
  <c r="AT54" i="78"/>
  <c r="BI100" i="105"/>
  <c r="BH101" i="105"/>
  <c r="F107" i="66"/>
  <c r="G106" i="66"/>
  <c r="AA106" i="66"/>
  <c r="U106" i="66"/>
  <c r="V103" i="88"/>
  <c r="U104" i="88"/>
  <c r="BH100" i="86"/>
  <c r="BI99" i="86"/>
  <c r="X136" i="106"/>
  <c r="J101" i="106"/>
  <c r="BK101" i="106"/>
  <c r="M62" i="106"/>
  <c r="S62" i="106" s="1"/>
  <c r="L62" i="106"/>
  <c r="P62" i="106" s="1"/>
  <c r="N62" i="106" s="1"/>
  <c r="W97" i="106"/>
  <c r="BI55" i="78"/>
  <c r="X89" i="78"/>
  <c r="BH102" i="88"/>
  <c r="BI101" i="88"/>
  <c r="AZ94" i="75"/>
  <c r="AV100" i="75"/>
  <c r="BA94" i="75"/>
  <c r="P100" i="78"/>
  <c r="Q100" i="78"/>
  <c r="AQ101" i="106"/>
  <c r="AP102" i="106"/>
  <c r="BD38" i="59"/>
  <c r="AP32" i="59"/>
  <c r="BG77" i="59"/>
  <c r="K102" i="106"/>
  <c r="G103" i="106"/>
  <c r="H102" i="106"/>
  <c r="BJ102" i="106" s="1"/>
  <c r="BH100" i="106"/>
  <c r="BI99" i="106"/>
  <c r="N51" i="78"/>
  <c r="L50" i="78"/>
  <c r="R50" i="78" s="1"/>
  <c r="J50" i="78"/>
  <c r="K31" i="59"/>
  <c r="BI101" i="75"/>
  <c r="BH102" i="75"/>
  <c r="AP102" i="100"/>
  <c r="AQ101" i="100"/>
  <c r="AP101" i="105"/>
  <c r="AQ100" i="105"/>
  <c r="L65" i="100"/>
  <c r="P65" i="100" s="1"/>
  <c r="N65" i="100" s="1"/>
  <c r="W100" i="100"/>
  <c r="E131" i="110"/>
  <c r="J130" i="110"/>
  <c r="F130" i="110"/>
  <c r="G105" i="91"/>
  <c r="H104" i="91"/>
  <c r="BJ104" i="91" s="1"/>
  <c r="L105" i="66"/>
  <c r="N105" i="66"/>
  <c r="M105" i="66"/>
  <c r="M48" i="91"/>
  <c r="S48" i="91" s="1"/>
  <c r="BJ99" i="109"/>
  <c r="BI100" i="109"/>
  <c r="AW98" i="109"/>
  <c r="BA92" i="109"/>
  <c r="AT92" i="109" s="1"/>
  <c r="BB92" i="109"/>
  <c r="R99" i="110"/>
  <c r="S98" i="110"/>
  <c r="Q99" i="109"/>
  <c r="J99" i="109" s="1"/>
  <c r="R99" i="109"/>
  <c r="M99" i="109"/>
  <c r="U101" i="109"/>
  <c r="V100" i="109"/>
  <c r="AP29" i="112"/>
  <c r="AI70" i="112"/>
  <c r="AK70" i="112" s="1"/>
  <c r="AY29" i="112"/>
  <c r="AU29" i="112" s="1"/>
  <c r="K53" i="75"/>
  <c r="M31" i="111"/>
  <c r="E105" i="111"/>
  <c r="J104" i="111"/>
  <c r="F104" i="111"/>
  <c r="AZ104" i="111" s="1"/>
  <c r="AP29" i="111"/>
  <c r="BB75" i="111"/>
  <c r="AY29" i="111"/>
  <c r="AI70" i="111"/>
  <c r="AK70" i="111" s="1"/>
  <c r="AX102" i="111"/>
  <c r="J40" i="94"/>
  <c r="BL40" i="94"/>
  <c r="Y75" i="94"/>
  <c r="M40" i="94"/>
  <c r="S40" i="94" s="1"/>
  <c r="K44" i="109"/>
  <c r="T44" i="109" s="1"/>
  <c r="W44" i="109" s="1"/>
  <c r="V99" i="94"/>
  <c r="U100" i="94"/>
  <c r="M98" i="94"/>
  <c r="R98" i="94"/>
  <c r="Q98" i="94"/>
  <c r="J98" i="94" s="1"/>
  <c r="AT29" i="110"/>
  <c r="AR29" i="110" s="1"/>
  <c r="AS30" i="110" s="1"/>
  <c r="S31" i="112"/>
  <c r="T72" i="112"/>
  <c r="H31" i="112"/>
  <c r="AP92" i="109"/>
  <c r="AP7" i="109" s="1"/>
  <c r="AN131" i="109"/>
  <c r="AU109" i="109"/>
  <c r="AX102" i="112"/>
  <c r="AM104" i="112"/>
  <c r="AN103" i="112"/>
  <c r="E103" i="112"/>
  <c r="J102" i="112"/>
  <c r="F102" i="112"/>
  <c r="AZ102" i="112" s="1"/>
  <c r="BA93" i="94"/>
  <c r="AT93" i="94" s="1"/>
  <c r="BB93" i="94"/>
  <c r="AW99" i="94"/>
  <c r="BI101" i="94"/>
  <c r="BJ100" i="94"/>
  <c r="BL99" i="94"/>
  <c r="Y134" i="94"/>
  <c r="AU100" i="94"/>
  <c r="AR100" i="94"/>
  <c r="AQ101" i="94"/>
  <c r="W100" i="94"/>
  <c r="G101" i="94"/>
  <c r="T100" i="94"/>
  <c r="H100" i="94"/>
  <c r="BK100" i="94" s="1"/>
  <c r="K100" i="94"/>
  <c r="I100" i="94"/>
  <c r="AP99" i="94"/>
  <c r="AN138" i="94"/>
  <c r="BM127" i="109"/>
  <c r="AV82" i="109"/>
  <c r="AZ82" i="109" s="1"/>
  <c r="AX82" i="109" s="1"/>
  <c r="AW82" i="109" s="1"/>
  <c r="BH82" i="109" s="1"/>
  <c r="H32" i="110"/>
  <c r="T73" i="110"/>
  <c r="BM125" i="94"/>
  <c r="AV80" i="94"/>
  <c r="AZ80" i="94" s="1"/>
  <c r="AX80" i="94" s="1"/>
  <c r="AW80" i="94" s="1"/>
  <c r="BH80" i="94" s="1"/>
  <c r="AV32" i="103"/>
  <c r="AU32" i="103"/>
  <c r="AK73" i="103"/>
  <c r="H27" i="61"/>
  <c r="J27" i="61" s="1"/>
  <c r="L28" i="61"/>
  <c r="L63" i="106" l="1"/>
  <c r="P63" i="106" s="1"/>
  <c r="N63" i="106" s="1"/>
  <c r="M63" i="106"/>
  <c r="S63" i="106" s="1"/>
  <c r="W98" i="106"/>
  <c r="F111" i="107"/>
  <c r="E111" i="107"/>
  <c r="G111" i="107" s="1"/>
  <c r="D111" i="107" s="1"/>
  <c r="C112" i="107" s="1"/>
  <c r="L50" i="88"/>
  <c r="P50" i="88" s="1"/>
  <c r="N50" i="88" s="1"/>
  <c r="W85" i="88"/>
  <c r="AM89" i="75"/>
  <c r="AS50" i="75"/>
  <c r="AO50" i="75"/>
  <c r="AV50" i="75"/>
  <c r="BG50" i="75" s="1"/>
  <c r="AO54" i="91"/>
  <c r="AM93" i="91"/>
  <c r="AS54" i="91"/>
  <c r="AU84" i="105"/>
  <c r="AY84" i="105" s="1"/>
  <c r="AW84" i="105" s="1"/>
  <c r="AV84" i="105" s="1"/>
  <c r="BG84" i="105" s="1"/>
  <c r="BL129" i="105"/>
  <c r="AV32" i="59"/>
  <c r="AU32" i="59"/>
  <c r="G106" i="91"/>
  <c r="H105" i="91"/>
  <c r="BJ105" i="91" s="1"/>
  <c r="X90" i="78"/>
  <c r="BI56" i="78"/>
  <c r="AP103" i="106"/>
  <c r="AQ102" i="106"/>
  <c r="BA95" i="88"/>
  <c r="AZ95" i="88"/>
  <c r="AV101" i="88"/>
  <c r="U102" i="86"/>
  <c r="V101" i="86"/>
  <c r="U106" i="91"/>
  <c r="V105" i="91"/>
  <c r="G104" i="86"/>
  <c r="H103" i="86"/>
  <c r="BJ103" i="86" s="1"/>
  <c r="AW54" i="78"/>
  <c r="AU54" i="78" s="1"/>
  <c r="AR54" i="78" s="1"/>
  <c r="K101" i="109"/>
  <c r="T101" i="109"/>
  <c r="W101" i="109"/>
  <c r="G102" i="109"/>
  <c r="H101" i="109"/>
  <c r="BK101" i="109" s="1"/>
  <c r="I101" i="109"/>
  <c r="T32" i="66"/>
  <c r="S32" i="66"/>
  <c r="D75" i="108"/>
  <c r="C76" i="108" s="1"/>
  <c r="L51" i="78"/>
  <c r="R51" i="78" s="1"/>
  <c r="W91" i="78"/>
  <c r="K51" i="78"/>
  <c r="O51" i="78" s="1"/>
  <c r="M51" i="78" s="1"/>
  <c r="N52" i="78" s="1"/>
  <c r="K103" i="106"/>
  <c r="G104" i="106"/>
  <c r="H103" i="106"/>
  <c r="BJ103" i="106" s="1"/>
  <c r="BI102" i="88"/>
  <c r="BH103" i="88"/>
  <c r="BH61" i="78"/>
  <c r="BJ100" i="78"/>
  <c r="AS55" i="78"/>
  <c r="E106" i="103"/>
  <c r="J105" i="103"/>
  <c r="F105" i="103"/>
  <c r="AZ105" i="103" s="1"/>
  <c r="B116" i="108"/>
  <c r="A117" i="108"/>
  <c r="V105" i="106"/>
  <c r="U106" i="106"/>
  <c r="M99" i="105"/>
  <c r="Q99" i="105"/>
  <c r="R99" i="105"/>
  <c r="BL100" i="109"/>
  <c r="Y135" i="109"/>
  <c r="AP103" i="88"/>
  <c r="AQ102" i="88"/>
  <c r="AU55" i="91"/>
  <c r="AY55" i="91" s="1"/>
  <c r="AW55" i="91" s="1"/>
  <c r="AT55" i="91" s="1"/>
  <c r="BL100" i="91"/>
  <c r="BG55" i="91"/>
  <c r="K30" i="111"/>
  <c r="Q30" i="111" s="1"/>
  <c r="AP102" i="105"/>
  <c r="AQ101" i="105"/>
  <c r="M106" i="66"/>
  <c r="L106" i="66"/>
  <c r="N106" i="66"/>
  <c r="B119" i="107"/>
  <c r="A120" i="107"/>
  <c r="R104" i="106"/>
  <c r="M104" i="106"/>
  <c r="Q104" i="106"/>
  <c r="AQ107" i="75"/>
  <c r="AP108" i="75"/>
  <c r="AQ108" i="75" s="1"/>
  <c r="U101" i="105"/>
  <c r="V100" i="105"/>
  <c r="AV102" i="91"/>
  <c r="BA96" i="91"/>
  <c r="AZ96" i="91"/>
  <c r="AV99" i="106"/>
  <c r="AZ93" i="106"/>
  <c r="BA93" i="106"/>
  <c r="X137" i="106"/>
  <c r="BK102" i="106"/>
  <c r="J102" i="106"/>
  <c r="AZ93" i="86"/>
  <c r="AV99" i="86"/>
  <c r="BA93" i="86"/>
  <c r="U107" i="66"/>
  <c r="AA107" i="66"/>
  <c r="F108" i="66"/>
  <c r="G107" i="66"/>
  <c r="G102" i="88"/>
  <c r="H101" i="88"/>
  <c r="BJ101" i="88" s="1"/>
  <c r="BH104" i="91"/>
  <c r="BI103" i="91"/>
  <c r="R32" i="66"/>
  <c r="P32" i="66" s="1"/>
  <c r="AP106" i="86"/>
  <c r="AQ105" i="86"/>
  <c r="K49" i="86"/>
  <c r="BH101" i="86"/>
  <c r="BI100" i="86"/>
  <c r="BI101" i="105"/>
  <c r="BH102" i="105"/>
  <c r="AP104" i="91"/>
  <c r="AQ103" i="91"/>
  <c r="V102" i="75"/>
  <c r="U103" i="75"/>
  <c r="G103" i="78"/>
  <c r="H102" i="78"/>
  <c r="BH108" i="78" s="1"/>
  <c r="G104" i="75"/>
  <c r="H103" i="75"/>
  <c r="BJ103" i="75" s="1"/>
  <c r="G102" i="100"/>
  <c r="I101" i="100"/>
  <c r="H101" i="100"/>
  <c r="BJ101" i="100" s="1"/>
  <c r="AU48" i="86"/>
  <c r="AY48" i="86" s="1"/>
  <c r="AW48" i="86" s="1"/>
  <c r="AV48" i="86" s="1"/>
  <c r="BG48" i="86" s="1"/>
  <c r="AT48" i="86"/>
  <c r="BL93" i="86"/>
  <c r="E132" i="110"/>
  <c r="J131" i="110"/>
  <c r="F131" i="110"/>
  <c r="AP103" i="100"/>
  <c r="AQ102" i="100"/>
  <c r="BH101" i="106"/>
  <c r="BI100" i="106"/>
  <c r="AV29" i="112"/>
  <c r="BH103" i="75"/>
  <c r="BI102" i="75"/>
  <c r="U105" i="88"/>
  <c r="V104" i="88"/>
  <c r="BA94" i="105"/>
  <c r="AV100" i="105"/>
  <c r="AZ94" i="105"/>
  <c r="Q101" i="78"/>
  <c r="P101" i="78"/>
  <c r="U101" i="100"/>
  <c r="V100" i="100"/>
  <c r="BK49" i="88"/>
  <c r="X84" i="88"/>
  <c r="J49" i="88"/>
  <c r="M101" i="75"/>
  <c r="R101" i="75"/>
  <c r="Q101" i="75"/>
  <c r="AU71" i="106"/>
  <c r="AY71" i="106" s="1"/>
  <c r="BL116" i="106"/>
  <c r="BG71" i="106"/>
  <c r="G103" i="105"/>
  <c r="H102" i="105"/>
  <c r="BJ102" i="105" s="1"/>
  <c r="I102" i="105"/>
  <c r="M49" i="91"/>
  <c r="S49" i="91" s="1"/>
  <c r="W84" i="91"/>
  <c r="L49" i="91"/>
  <c r="P49" i="91" s="1"/>
  <c r="N49" i="91" s="1"/>
  <c r="M65" i="100"/>
  <c r="S65" i="100" s="1"/>
  <c r="BA95" i="75"/>
  <c r="AZ95" i="75"/>
  <c r="AV101" i="75"/>
  <c r="AT32" i="59"/>
  <c r="AR32" i="59" s="1"/>
  <c r="AO32" i="59" s="1"/>
  <c r="Q103" i="88"/>
  <c r="M103" i="88"/>
  <c r="R103" i="88"/>
  <c r="T103" i="78"/>
  <c r="U102" i="78"/>
  <c r="R99" i="100"/>
  <c r="M99" i="100"/>
  <c r="Q99" i="100"/>
  <c r="BH101" i="100"/>
  <c r="BI100" i="100"/>
  <c r="M72" i="105"/>
  <c r="S72" i="105"/>
  <c r="L72" i="105"/>
  <c r="P72" i="105" s="1"/>
  <c r="N72" i="105" s="1"/>
  <c r="W107" i="105"/>
  <c r="AM89" i="88"/>
  <c r="AO50" i="88"/>
  <c r="AS50" i="88"/>
  <c r="W167" i="66"/>
  <c r="O166" i="66"/>
  <c r="Q31" i="59"/>
  <c r="U78" i="59"/>
  <c r="Q100" i="86"/>
  <c r="M100" i="86"/>
  <c r="R100" i="86"/>
  <c r="R104" i="91"/>
  <c r="Q104" i="91"/>
  <c r="M104" i="91"/>
  <c r="AZ93" i="100"/>
  <c r="AV99" i="100"/>
  <c r="BA93" i="100"/>
  <c r="AU84" i="100"/>
  <c r="AY84" i="100" s="1"/>
  <c r="AW84" i="100" s="1"/>
  <c r="BL129" i="100"/>
  <c r="BG84" i="100"/>
  <c r="AU51" i="88"/>
  <c r="AY51" i="88" s="1"/>
  <c r="AW51" i="88" s="1"/>
  <c r="AT51" i="88" s="1"/>
  <c r="BL96" i="88"/>
  <c r="BJ100" i="109"/>
  <c r="BI101" i="109"/>
  <c r="AW99" i="109"/>
  <c r="BB93" i="109"/>
  <c r="BA93" i="109"/>
  <c r="AT93" i="109" s="1"/>
  <c r="R100" i="110"/>
  <c r="S99" i="110"/>
  <c r="R100" i="109"/>
  <c r="M100" i="109"/>
  <c r="Q100" i="109"/>
  <c r="J100" i="109" s="1"/>
  <c r="V101" i="109"/>
  <c r="U102" i="109"/>
  <c r="AT29" i="112"/>
  <c r="J53" i="75"/>
  <c r="X88" i="75"/>
  <c r="BK53" i="75"/>
  <c r="M53" i="75"/>
  <c r="S53" i="75" s="1"/>
  <c r="E106" i="111"/>
  <c r="J105" i="111"/>
  <c r="F105" i="111"/>
  <c r="AZ105" i="111" s="1"/>
  <c r="AV29" i="111"/>
  <c r="AU29" i="111"/>
  <c r="AT29" i="111"/>
  <c r="AR29" i="111" s="1"/>
  <c r="AO29" i="111" s="1"/>
  <c r="AL29" i="111" s="1"/>
  <c r="AX103" i="111"/>
  <c r="L41" i="94"/>
  <c r="P41" i="94" s="1"/>
  <c r="N41" i="94" s="1"/>
  <c r="X76" i="94"/>
  <c r="BL44" i="109"/>
  <c r="Y79" i="109"/>
  <c r="J44" i="109"/>
  <c r="M44" i="109"/>
  <c r="S44" i="109" s="1"/>
  <c r="L45" i="109" s="1"/>
  <c r="U101" i="94"/>
  <c r="V100" i="94"/>
  <c r="Q99" i="94"/>
  <c r="J99" i="94" s="1"/>
  <c r="M99" i="94"/>
  <c r="R99" i="94"/>
  <c r="AO29" i="110"/>
  <c r="AQ29" i="110" s="1"/>
  <c r="AW29" i="110" s="1"/>
  <c r="I31" i="112"/>
  <c r="V72" i="112"/>
  <c r="U71" i="112"/>
  <c r="AR29" i="112"/>
  <c r="AO29" i="112" s="1"/>
  <c r="O31" i="112"/>
  <c r="P31" i="112"/>
  <c r="AO148" i="109"/>
  <c r="AN148" i="109"/>
  <c r="E104" i="112"/>
  <c r="J103" i="112"/>
  <c r="F103" i="112"/>
  <c r="AZ103" i="112" s="1"/>
  <c r="AM105" i="112"/>
  <c r="AN104" i="112"/>
  <c r="AX103" i="112"/>
  <c r="BJ101" i="94"/>
  <c r="BI102" i="94"/>
  <c r="AW100" i="94"/>
  <c r="BA94" i="94"/>
  <c r="AT94" i="94" s="1"/>
  <c r="BB94" i="94"/>
  <c r="AU101" i="94"/>
  <c r="AR101" i="94"/>
  <c r="AQ102" i="94"/>
  <c r="G102" i="94"/>
  <c r="W101" i="94"/>
  <c r="H101" i="94"/>
  <c r="BK101" i="94" s="1"/>
  <c r="K101" i="94"/>
  <c r="T101" i="94"/>
  <c r="I101" i="94"/>
  <c r="AN139" i="94"/>
  <c r="AP100" i="94"/>
  <c r="BL100" i="94"/>
  <c r="Y135" i="94"/>
  <c r="AV83" i="109"/>
  <c r="AZ83" i="109" s="1"/>
  <c r="AX83" i="109" s="1"/>
  <c r="AW83" i="109" s="1"/>
  <c r="BH83" i="109" s="1"/>
  <c r="BM128" i="109"/>
  <c r="O32" i="110"/>
  <c r="P32" i="110"/>
  <c r="V73" i="110"/>
  <c r="U72" i="110"/>
  <c r="I32" i="110"/>
  <c r="AV81" i="94"/>
  <c r="AZ81" i="94" s="1"/>
  <c r="AX81" i="94" s="1"/>
  <c r="AW81" i="94" s="1"/>
  <c r="BH81" i="94" s="1"/>
  <c r="BM126" i="94"/>
  <c r="AT32" i="103"/>
  <c r="AR32" i="103" s="1"/>
  <c r="AS33" i="103" s="1"/>
  <c r="P27" i="61"/>
  <c r="T57" i="61"/>
  <c r="M50" i="91" l="1"/>
  <c r="S50" i="91" s="1"/>
  <c r="L50" i="91"/>
  <c r="P50" i="91" s="1"/>
  <c r="N50" i="91" s="1"/>
  <c r="K50" i="91" s="1"/>
  <c r="W85" i="91"/>
  <c r="AU85" i="105"/>
  <c r="AY85" i="105" s="1"/>
  <c r="AW85" i="105" s="1"/>
  <c r="AV85" i="105" s="1"/>
  <c r="BG85" i="105" s="1"/>
  <c r="BL130" i="105"/>
  <c r="AU49" i="86"/>
  <c r="AY49" i="86" s="1"/>
  <c r="AW49" i="86" s="1"/>
  <c r="AT49" i="86" s="1"/>
  <c r="BL94" i="86"/>
  <c r="AS51" i="88"/>
  <c r="AO51" i="88"/>
  <c r="AM90" i="88"/>
  <c r="AO55" i="91"/>
  <c r="AM94" i="91"/>
  <c r="AS55" i="91"/>
  <c r="W92" i="78"/>
  <c r="K52" i="78"/>
  <c r="O52" i="78" s="1"/>
  <c r="M52" i="78" s="1"/>
  <c r="N53" i="78" s="1"/>
  <c r="F112" i="107"/>
  <c r="G112" i="107" s="1"/>
  <c r="D112" i="107" s="1"/>
  <c r="C113" i="107" s="1"/>
  <c r="E112" i="107"/>
  <c r="K49" i="91"/>
  <c r="L64" i="106"/>
  <c r="P64" i="106" s="1"/>
  <c r="N64" i="106" s="1"/>
  <c r="M64" i="106"/>
  <c r="S64" i="106" s="1"/>
  <c r="W99" i="106"/>
  <c r="AJ71" i="59"/>
  <c r="AL32" i="59"/>
  <c r="BI103" i="75"/>
  <c r="BH104" i="75"/>
  <c r="E133" i="110"/>
  <c r="J132" i="110"/>
  <c r="F132" i="110"/>
  <c r="AV101" i="105"/>
  <c r="AZ95" i="105"/>
  <c r="BA95" i="105"/>
  <c r="AV103" i="91"/>
  <c r="BA97" i="91"/>
  <c r="AZ97" i="91"/>
  <c r="V101" i="105"/>
  <c r="U102" i="105"/>
  <c r="Q101" i="86"/>
  <c r="R101" i="86"/>
  <c r="M101" i="86"/>
  <c r="AU85" i="100"/>
  <c r="AY85" i="100" s="1"/>
  <c r="AW85" i="100" s="1"/>
  <c r="BL130" i="100"/>
  <c r="BG85" i="100"/>
  <c r="S32" i="59"/>
  <c r="J32" i="59"/>
  <c r="T79" i="59"/>
  <c r="AZ94" i="86"/>
  <c r="AV100" i="86"/>
  <c r="BA94" i="86"/>
  <c r="BH105" i="91"/>
  <c r="BI104" i="91"/>
  <c r="H102" i="88"/>
  <c r="BJ102" i="88" s="1"/>
  <c r="G103" i="88"/>
  <c r="E107" i="103"/>
  <c r="J106" i="103"/>
  <c r="F106" i="103"/>
  <c r="AZ106" i="103" s="1"/>
  <c r="W102" i="109"/>
  <c r="G103" i="109"/>
  <c r="T102" i="109"/>
  <c r="K102" i="109"/>
  <c r="H102" i="109"/>
  <c r="BK102" i="109" s="1"/>
  <c r="I102" i="109"/>
  <c r="U103" i="86"/>
  <c r="V102" i="86"/>
  <c r="G107" i="91"/>
  <c r="H106" i="91"/>
  <c r="BJ106" i="91" s="1"/>
  <c r="M73" i="105"/>
  <c r="S73" i="105" s="1"/>
  <c r="L73" i="105"/>
  <c r="P73" i="105" s="1"/>
  <c r="N73" i="105" s="1"/>
  <c r="W108" i="105"/>
  <c r="Q102" i="78"/>
  <c r="P102" i="78"/>
  <c r="AV100" i="106"/>
  <c r="BA94" i="106"/>
  <c r="AZ94" i="106"/>
  <c r="I102" i="100"/>
  <c r="G103" i="100"/>
  <c r="H102" i="100"/>
  <c r="BJ102" i="100" s="1"/>
  <c r="G104" i="78"/>
  <c r="H103" i="78"/>
  <c r="BH109" i="78" s="1"/>
  <c r="BI101" i="86"/>
  <c r="BH102" i="86"/>
  <c r="AV55" i="78"/>
  <c r="U103" i="78"/>
  <c r="T104" i="78"/>
  <c r="G104" i="105"/>
  <c r="I103" i="105"/>
  <c r="H103" i="105"/>
  <c r="BJ103" i="105" s="1"/>
  <c r="BH102" i="106"/>
  <c r="BI101" i="106"/>
  <c r="G105" i="75"/>
  <c r="H104" i="75"/>
  <c r="BJ104" i="75" s="1"/>
  <c r="U104" i="75"/>
  <c r="V103" i="75"/>
  <c r="J49" i="86"/>
  <c r="BK49" i="86"/>
  <c r="X84" i="86"/>
  <c r="M107" i="66"/>
  <c r="L107" i="66"/>
  <c r="N107" i="66"/>
  <c r="U107" i="106"/>
  <c r="V106" i="106"/>
  <c r="AQ32" i="59"/>
  <c r="BB32" i="59" s="1"/>
  <c r="K50" i="88"/>
  <c r="M50" i="88" s="1"/>
  <c r="S50" i="88" s="1"/>
  <c r="W168" i="66"/>
  <c r="O167" i="66"/>
  <c r="AV100" i="100"/>
  <c r="AZ94" i="100"/>
  <c r="BA94" i="100"/>
  <c r="AU72" i="106"/>
  <c r="AY72" i="106" s="1"/>
  <c r="BL117" i="106"/>
  <c r="BG72" i="106"/>
  <c r="AS48" i="86"/>
  <c r="AM87" i="86"/>
  <c r="AO48" i="86"/>
  <c r="Q102" i="75"/>
  <c r="M102" i="75"/>
  <c r="R102" i="75"/>
  <c r="U108" i="66"/>
  <c r="G108" i="66"/>
  <c r="F109" i="66"/>
  <c r="AA108" i="66"/>
  <c r="AP104" i="88"/>
  <c r="AQ103" i="88"/>
  <c r="Q105" i="106"/>
  <c r="M105" i="106"/>
  <c r="R105" i="106"/>
  <c r="H104" i="106"/>
  <c r="BJ104" i="106" s="1"/>
  <c r="G105" i="106"/>
  <c r="K104" i="106"/>
  <c r="F76" i="108"/>
  <c r="G76" i="108"/>
  <c r="D76" i="108" s="1"/>
  <c r="C77" i="108" s="1"/>
  <c r="E76" i="108"/>
  <c r="Y136" i="109"/>
  <c r="BL101" i="109"/>
  <c r="BI101" i="100"/>
  <c r="BH102" i="100"/>
  <c r="L66" i="100"/>
  <c r="P66" i="100" s="1"/>
  <c r="N66" i="100" s="1"/>
  <c r="W101" i="100"/>
  <c r="Q100" i="100"/>
  <c r="R100" i="100"/>
  <c r="M100" i="100"/>
  <c r="R104" i="88"/>
  <c r="M104" i="88"/>
  <c r="Q104" i="88"/>
  <c r="AP104" i="100"/>
  <c r="AQ103" i="100"/>
  <c r="AP107" i="86"/>
  <c r="AQ106" i="86"/>
  <c r="AQ102" i="105"/>
  <c r="AP103" i="105"/>
  <c r="B117" i="108"/>
  <c r="A118" i="108"/>
  <c r="AX55" i="78"/>
  <c r="AW55" i="78" s="1"/>
  <c r="AU55" i="78" s="1"/>
  <c r="AR55" i="78" s="1"/>
  <c r="AT55" i="78"/>
  <c r="AY55" i="78"/>
  <c r="BE55" i="78"/>
  <c r="J103" i="106"/>
  <c r="X138" i="106"/>
  <c r="BK103" i="106"/>
  <c r="Q33" i="66"/>
  <c r="AM93" i="78"/>
  <c r="AO54" i="78"/>
  <c r="G105" i="86"/>
  <c r="H104" i="86"/>
  <c r="BJ104" i="86" s="1"/>
  <c r="AS33" i="59"/>
  <c r="AV51" i="88"/>
  <c r="BG51" i="88" s="1"/>
  <c r="U102" i="100"/>
  <c r="V101" i="100"/>
  <c r="U106" i="88"/>
  <c r="V105" i="88"/>
  <c r="AQ104" i="91"/>
  <c r="AP105" i="91"/>
  <c r="S31" i="111"/>
  <c r="H31" i="111"/>
  <c r="I31" i="111" s="1"/>
  <c r="T72" i="111"/>
  <c r="BI103" i="88"/>
  <c r="BH104" i="88"/>
  <c r="J51" i="78"/>
  <c r="Q105" i="91"/>
  <c r="R105" i="91"/>
  <c r="M105" i="91"/>
  <c r="AZ96" i="75"/>
  <c r="AV102" i="75"/>
  <c r="BA96" i="75"/>
  <c r="BH103" i="105"/>
  <c r="BI102" i="105"/>
  <c r="H32" i="66"/>
  <c r="O32" i="66" s="1"/>
  <c r="Q100" i="105"/>
  <c r="R100" i="105"/>
  <c r="M100" i="105"/>
  <c r="A121" i="107"/>
  <c r="B120" i="107"/>
  <c r="AU56" i="91"/>
  <c r="AY56" i="91" s="1"/>
  <c r="AW56" i="91" s="1"/>
  <c r="AT56" i="91" s="1"/>
  <c r="BL101" i="91"/>
  <c r="BG56" i="91"/>
  <c r="AZ96" i="88"/>
  <c r="AV102" i="88"/>
  <c r="BA96" i="88"/>
  <c r="V106" i="91"/>
  <c r="U107" i="91"/>
  <c r="AQ103" i="106"/>
  <c r="AP104" i="106"/>
  <c r="M49" i="86"/>
  <c r="S49" i="86" s="1"/>
  <c r="AU51" i="75"/>
  <c r="AY51" i="75" s="1"/>
  <c r="AW51" i="75" s="1"/>
  <c r="AT51" i="75" s="1"/>
  <c r="BL96" i="75"/>
  <c r="BI102" i="109"/>
  <c r="BJ101" i="109"/>
  <c r="BB94" i="109"/>
  <c r="BA94" i="109"/>
  <c r="AT94" i="109" s="1"/>
  <c r="AW100" i="109"/>
  <c r="R101" i="110"/>
  <c r="S100" i="110"/>
  <c r="V102" i="109"/>
  <c r="U103" i="109"/>
  <c r="M101" i="109"/>
  <c r="Q101" i="109"/>
  <c r="J101" i="109" s="1"/>
  <c r="R101" i="109"/>
  <c r="L54" i="75"/>
  <c r="P54" i="75" s="1"/>
  <c r="N54" i="75" s="1"/>
  <c r="W89" i="75"/>
  <c r="AQ29" i="111"/>
  <c r="AW29" i="111" s="1"/>
  <c r="J106" i="111"/>
  <c r="E107" i="111"/>
  <c r="F106" i="111"/>
  <c r="AZ106" i="111" s="1"/>
  <c r="AS30" i="111"/>
  <c r="AX104" i="111"/>
  <c r="K41" i="94"/>
  <c r="X80" i="109"/>
  <c r="P45" i="109"/>
  <c r="N45" i="109" s="1"/>
  <c r="R100" i="94"/>
  <c r="Q100" i="94"/>
  <c r="J100" i="94" s="1"/>
  <c r="M100" i="94"/>
  <c r="V101" i="94"/>
  <c r="U102" i="94"/>
  <c r="AI71" i="110"/>
  <c r="BB76" i="110"/>
  <c r="AP30" i="110"/>
  <c r="AY30" i="110"/>
  <c r="AL29" i="110"/>
  <c r="AJ70" i="110"/>
  <c r="AS30" i="112"/>
  <c r="AQ29" i="112"/>
  <c r="AW29" i="112" s="1"/>
  <c r="AP30" i="112" s="1"/>
  <c r="N31" i="112"/>
  <c r="L31" i="112" s="1"/>
  <c r="G31" i="112" s="1"/>
  <c r="AM106" i="112"/>
  <c r="AN105" i="112"/>
  <c r="AX104" i="112"/>
  <c r="J104" i="112"/>
  <c r="E105" i="112"/>
  <c r="F104" i="112"/>
  <c r="AZ104" i="112" s="1"/>
  <c r="AL29" i="112"/>
  <c r="AJ70" i="112"/>
  <c r="BJ102" i="94"/>
  <c r="BI103" i="94"/>
  <c r="AW101" i="94"/>
  <c r="BB95" i="94"/>
  <c r="BA95" i="94"/>
  <c r="AT95" i="94" s="1"/>
  <c r="AI71" i="111"/>
  <c r="AJ70" i="111"/>
  <c r="BL101" i="94"/>
  <c r="Y136" i="94"/>
  <c r="AU102" i="94"/>
  <c r="AR102" i="94"/>
  <c r="AQ103" i="94"/>
  <c r="W102" i="94"/>
  <c r="G103" i="94"/>
  <c r="K102" i="94"/>
  <c r="T102" i="94"/>
  <c r="H102" i="94"/>
  <c r="BK102" i="94" s="1"/>
  <c r="I102" i="94"/>
  <c r="AP101" i="94"/>
  <c r="AN140" i="94"/>
  <c r="BM129" i="109"/>
  <c r="AV84" i="109"/>
  <c r="AZ84" i="109" s="1"/>
  <c r="AX84" i="109" s="1"/>
  <c r="AW84" i="109" s="1"/>
  <c r="BH84" i="109" s="1"/>
  <c r="N32" i="110"/>
  <c r="L32" i="110" s="1"/>
  <c r="M33" i="110" s="1"/>
  <c r="BM127" i="94"/>
  <c r="AV82" i="94"/>
  <c r="AZ82" i="94" s="1"/>
  <c r="AX82" i="94" s="1"/>
  <c r="AW82" i="94" s="1"/>
  <c r="BH82" i="94" s="1"/>
  <c r="AO32" i="103"/>
  <c r="AQ32" i="103" s="1"/>
  <c r="AW32" i="103" s="1"/>
  <c r="I28" i="61"/>
  <c r="S58" i="61"/>
  <c r="R28" i="61"/>
  <c r="M66" i="100" l="1"/>
  <c r="S66" i="100" s="1"/>
  <c r="F113" i="107"/>
  <c r="E113" i="107"/>
  <c r="G113" i="107" s="1"/>
  <c r="D113" i="107" s="1"/>
  <c r="C114" i="107" s="1"/>
  <c r="M51" i="91"/>
  <c r="S51" i="91" s="1"/>
  <c r="W86" i="91"/>
  <c r="L51" i="91"/>
  <c r="P51" i="91" s="1"/>
  <c r="N51" i="91" s="1"/>
  <c r="K51" i="91"/>
  <c r="L51" i="88"/>
  <c r="P51" i="88" s="1"/>
  <c r="N51" i="88" s="1"/>
  <c r="M51" i="88" s="1"/>
  <c r="S51" i="88" s="1"/>
  <c r="K51" i="88"/>
  <c r="W86" i="88"/>
  <c r="AO49" i="86"/>
  <c r="AS49" i="86"/>
  <c r="AM88" i="86"/>
  <c r="AO51" i="75"/>
  <c r="AS51" i="75"/>
  <c r="AM90" i="75"/>
  <c r="V32" i="66"/>
  <c r="Z32" i="66"/>
  <c r="L65" i="106"/>
  <c r="P65" i="106" s="1"/>
  <c r="N65" i="106" s="1"/>
  <c r="W100" i="106"/>
  <c r="AU86" i="105"/>
  <c r="AY86" i="105" s="1"/>
  <c r="AW86" i="105" s="1"/>
  <c r="BL131" i="105"/>
  <c r="AV86" i="105"/>
  <c r="BG86" i="105" s="1"/>
  <c r="AO56" i="91"/>
  <c r="AS56" i="91"/>
  <c r="AM95" i="91"/>
  <c r="AM94" i="78"/>
  <c r="AO55" i="78"/>
  <c r="G77" i="108"/>
  <c r="F77" i="108"/>
  <c r="E77" i="108"/>
  <c r="L74" i="105"/>
  <c r="P74" i="105" s="1"/>
  <c r="N74" i="105" s="1"/>
  <c r="W109" i="105"/>
  <c r="X85" i="91"/>
  <c r="J50" i="91"/>
  <c r="BK50" i="91"/>
  <c r="BA97" i="88"/>
  <c r="AZ97" i="88"/>
  <c r="AV103" i="88"/>
  <c r="R101" i="100"/>
  <c r="Q101" i="100"/>
  <c r="M101" i="100"/>
  <c r="L67" i="100"/>
  <c r="P67" i="100" s="1"/>
  <c r="N67" i="100" s="1"/>
  <c r="M67" i="100"/>
  <c r="S67" i="100" s="1"/>
  <c r="W102" i="100"/>
  <c r="AV51" i="75"/>
  <c r="BG51" i="75" s="1"/>
  <c r="V107" i="91"/>
  <c r="U108" i="91"/>
  <c r="U71" i="111"/>
  <c r="V72" i="111"/>
  <c r="V102" i="100"/>
  <c r="U103" i="100"/>
  <c r="U109" i="66"/>
  <c r="G109" i="66"/>
  <c r="F110" i="66"/>
  <c r="AA109" i="66"/>
  <c r="P103" i="78"/>
  <c r="Q103" i="78"/>
  <c r="M102" i="86"/>
  <c r="R102" i="86"/>
  <c r="Q102" i="86"/>
  <c r="E134" i="110"/>
  <c r="J133" i="110"/>
  <c r="F133" i="110"/>
  <c r="M106" i="91"/>
  <c r="Q106" i="91"/>
  <c r="R106" i="91"/>
  <c r="AU52" i="88"/>
  <c r="AY52" i="88" s="1"/>
  <c r="AW52" i="88" s="1"/>
  <c r="AT52" i="88" s="1"/>
  <c r="BL97" i="88"/>
  <c r="BH62" i="78"/>
  <c r="AS56" i="78"/>
  <c r="BJ101" i="78"/>
  <c r="BI102" i="100"/>
  <c r="BH103" i="100"/>
  <c r="N108" i="66"/>
  <c r="L108" i="66"/>
  <c r="M108" i="66"/>
  <c r="AU73" i="106"/>
  <c r="AY73" i="106" s="1"/>
  <c r="BL118" i="106"/>
  <c r="BG73" i="106"/>
  <c r="U104" i="86"/>
  <c r="V103" i="86"/>
  <c r="H103" i="88"/>
  <c r="BJ103" i="88" s="1"/>
  <c r="G104" i="88"/>
  <c r="BH105" i="75"/>
  <c r="BI104" i="75"/>
  <c r="BK49" i="91"/>
  <c r="J49" i="91"/>
  <c r="X84" i="91"/>
  <c r="AV102" i="105"/>
  <c r="AZ96" i="105"/>
  <c r="BA96" i="105"/>
  <c r="O31" i="111"/>
  <c r="N31" i="111" s="1"/>
  <c r="L31" i="111" s="1"/>
  <c r="P31" i="111"/>
  <c r="H105" i="86"/>
  <c r="BJ105" i="86" s="1"/>
  <c r="G106" i="86"/>
  <c r="AP108" i="86"/>
  <c r="AQ108" i="86" s="1"/>
  <c r="AQ107" i="86"/>
  <c r="AZ95" i="100"/>
  <c r="AV101" i="100"/>
  <c r="BA95" i="100"/>
  <c r="W169" i="66"/>
  <c r="O168" i="66"/>
  <c r="E108" i="103"/>
  <c r="J107" i="103"/>
  <c r="F107" i="103"/>
  <c r="AZ107" i="103" s="1"/>
  <c r="AZ97" i="75"/>
  <c r="BA97" i="75"/>
  <c r="AV103" i="75"/>
  <c r="L52" i="78"/>
  <c r="R52" i="78" s="1"/>
  <c r="A122" i="107"/>
  <c r="B121" i="107"/>
  <c r="BI103" i="105"/>
  <c r="BH104" i="105"/>
  <c r="AP106" i="91"/>
  <c r="AQ105" i="91"/>
  <c r="BK50" i="88"/>
  <c r="J50" i="88"/>
  <c r="X85" i="88"/>
  <c r="H105" i="75"/>
  <c r="BJ105" i="75" s="1"/>
  <c r="G106" i="75"/>
  <c r="AZ98" i="91"/>
  <c r="AV104" i="91"/>
  <c r="BA98" i="91"/>
  <c r="N32" i="59"/>
  <c r="L32" i="59" s="1"/>
  <c r="I32" i="59" s="1"/>
  <c r="BF38" i="59" s="1"/>
  <c r="U79" i="59"/>
  <c r="AV49" i="86"/>
  <c r="BG49" i="86" s="1"/>
  <c r="AP105" i="100"/>
  <c r="AQ104" i="100"/>
  <c r="X139" i="106"/>
  <c r="BK104" i="106"/>
  <c r="J104" i="106"/>
  <c r="BD39" i="59"/>
  <c r="BG78" i="59"/>
  <c r="AP33" i="59"/>
  <c r="BI102" i="86"/>
  <c r="BH103" i="86"/>
  <c r="Y137" i="109"/>
  <c r="BL102" i="109"/>
  <c r="BH106" i="91"/>
  <c r="BI105" i="91"/>
  <c r="P32" i="59"/>
  <c r="O32" i="59"/>
  <c r="K32" i="59"/>
  <c r="Q32" i="59"/>
  <c r="V102" i="105"/>
  <c r="U103" i="105"/>
  <c r="BA95" i="106"/>
  <c r="AV101" i="106"/>
  <c r="AZ95" i="106"/>
  <c r="G105" i="78"/>
  <c r="H104" i="78"/>
  <c r="BH110" i="78" s="1"/>
  <c r="W85" i="86"/>
  <c r="L50" i="86"/>
  <c r="P50" i="86" s="1"/>
  <c r="N50" i="86" s="1"/>
  <c r="M50" i="86" s="1"/>
  <c r="S50" i="86" s="1"/>
  <c r="K50" i="86"/>
  <c r="X91" i="78"/>
  <c r="BI57" i="78"/>
  <c r="Q105" i="88"/>
  <c r="R105" i="88"/>
  <c r="M105" i="88"/>
  <c r="B118" i="108"/>
  <c r="A119" i="108"/>
  <c r="H105" i="106"/>
  <c r="BJ105" i="106" s="1"/>
  <c r="K105" i="106"/>
  <c r="G106" i="106"/>
  <c r="AP105" i="88"/>
  <c r="AQ104" i="88"/>
  <c r="R106" i="106"/>
  <c r="M106" i="106"/>
  <c r="Q106" i="106"/>
  <c r="Q103" i="75"/>
  <c r="R103" i="75"/>
  <c r="M103" i="75"/>
  <c r="BI102" i="106"/>
  <c r="BH103" i="106"/>
  <c r="AZ95" i="86"/>
  <c r="AV101" i="86"/>
  <c r="BA95" i="86"/>
  <c r="AU86" i="100"/>
  <c r="AY86" i="100" s="1"/>
  <c r="AW86" i="100" s="1"/>
  <c r="BL131" i="100"/>
  <c r="BG86" i="100"/>
  <c r="Q101" i="105"/>
  <c r="R101" i="105"/>
  <c r="M101" i="105"/>
  <c r="AV56" i="78"/>
  <c r="AQ104" i="106"/>
  <c r="AP105" i="106"/>
  <c r="AU57" i="91"/>
  <c r="AY57" i="91" s="1"/>
  <c r="AW57" i="91" s="1"/>
  <c r="AT57" i="91" s="1"/>
  <c r="BL102" i="91"/>
  <c r="BG57" i="91"/>
  <c r="BH105" i="88"/>
  <c r="BI104" i="88"/>
  <c r="V106" i="88"/>
  <c r="U107" i="88"/>
  <c r="U108" i="106"/>
  <c r="V107" i="106"/>
  <c r="V104" i="75"/>
  <c r="U105" i="75"/>
  <c r="H104" i="105"/>
  <c r="BJ104" i="105" s="1"/>
  <c r="G105" i="105"/>
  <c r="I104" i="105"/>
  <c r="G108" i="91"/>
  <c r="H107" i="91"/>
  <c r="BJ107" i="91" s="1"/>
  <c r="G104" i="109"/>
  <c r="W103" i="109"/>
  <c r="K103" i="109"/>
  <c r="T103" i="109"/>
  <c r="H103" i="109"/>
  <c r="BK103" i="109" s="1"/>
  <c r="I103" i="109"/>
  <c r="AP104" i="105"/>
  <c r="AQ103" i="105"/>
  <c r="U104" i="78"/>
  <c r="T105" i="78"/>
  <c r="I103" i="100"/>
  <c r="G104" i="100"/>
  <c r="H103" i="100"/>
  <c r="BJ103" i="100" s="1"/>
  <c r="J52" i="78"/>
  <c r="BB95" i="109"/>
  <c r="AW101" i="109"/>
  <c r="BA95" i="109"/>
  <c r="AT95" i="109" s="1"/>
  <c r="BJ102" i="109"/>
  <c r="BI103" i="109"/>
  <c r="R102" i="110"/>
  <c r="S101" i="110"/>
  <c r="V103" i="109"/>
  <c r="U104" i="109"/>
  <c r="Q102" i="109"/>
  <c r="J102" i="109" s="1"/>
  <c r="R102" i="109"/>
  <c r="M102" i="109"/>
  <c r="K54" i="75"/>
  <c r="M54" i="75" s="1"/>
  <c r="S54" i="75" s="1"/>
  <c r="J107" i="111"/>
  <c r="E108" i="111"/>
  <c r="F107" i="111"/>
  <c r="AZ107" i="111" s="1"/>
  <c r="BB76" i="111"/>
  <c r="AP30" i="111"/>
  <c r="AY30" i="111"/>
  <c r="AX105" i="111"/>
  <c r="J41" i="94"/>
  <c r="Y76" i="94"/>
  <c r="BL41" i="94"/>
  <c r="M41" i="94"/>
  <c r="S41" i="94" s="1"/>
  <c r="AY30" i="112"/>
  <c r="AV30" i="112" s="1"/>
  <c r="K45" i="109"/>
  <c r="M101" i="94"/>
  <c r="Q101" i="94"/>
  <c r="J101" i="94" s="1"/>
  <c r="R101" i="94"/>
  <c r="U103" i="94"/>
  <c r="V102" i="94"/>
  <c r="AV30" i="110"/>
  <c r="AU30" i="110"/>
  <c r="AK71" i="110"/>
  <c r="AI71" i="112"/>
  <c r="AK71" i="112" s="1"/>
  <c r="BB76" i="112"/>
  <c r="K31" i="112"/>
  <c r="Q31" i="112" s="1"/>
  <c r="BA31" i="112"/>
  <c r="M32" i="112"/>
  <c r="J105" i="112"/>
  <c r="E106" i="112"/>
  <c r="F105" i="112"/>
  <c r="AZ105" i="112" s="1"/>
  <c r="AM107" i="112"/>
  <c r="AN106" i="112"/>
  <c r="AX105" i="112"/>
  <c r="BI104" i="94"/>
  <c r="BJ103" i="94"/>
  <c r="BB96" i="94"/>
  <c r="AW102" i="94"/>
  <c r="BA96" i="94"/>
  <c r="AT96" i="94" s="1"/>
  <c r="AK71" i="111"/>
  <c r="AU103" i="94"/>
  <c r="AR103" i="94"/>
  <c r="AQ104" i="94"/>
  <c r="BL102" i="94"/>
  <c r="Y137" i="94"/>
  <c r="G104" i="94"/>
  <c r="W103" i="94"/>
  <c r="H103" i="94"/>
  <c r="BK103" i="94" s="1"/>
  <c r="K103" i="94"/>
  <c r="T103" i="94"/>
  <c r="I103" i="94"/>
  <c r="AN141" i="94"/>
  <c r="AP102" i="94"/>
  <c r="BM130" i="109"/>
  <c r="AV85" i="109"/>
  <c r="AZ85" i="109" s="1"/>
  <c r="AX85" i="109" s="1"/>
  <c r="AW85" i="109" s="1"/>
  <c r="BH85" i="109" s="1"/>
  <c r="G32" i="110"/>
  <c r="K32" i="110" s="1"/>
  <c r="Q32" i="110" s="1"/>
  <c r="AP33" i="103"/>
  <c r="BB79" i="103"/>
  <c r="AI74" i="103"/>
  <c r="AY33" i="103"/>
  <c r="BM128" i="94"/>
  <c r="AV83" i="94"/>
  <c r="AZ83" i="94" s="1"/>
  <c r="AX83" i="94" s="1"/>
  <c r="AW83" i="94" s="1"/>
  <c r="BH83" i="94" s="1"/>
  <c r="AL32" i="103"/>
  <c r="AJ73" i="103"/>
  <c r="O28" i="61"/>
  <c r="N28" i="61"/>
  <c r="W87" i="88" l="1"/>
  <c r="L52" i="88"/>
  <c r="P52" i="88" s="1"/>
  <c r="N52" i="88" s="1"/>
  <c r="AU87" i="105"/>
  <c r="AY87" i="105" s="1"/>
  <c r="AW87" i="105" s="1"/>
  <c r="AV87" i="105" s="1"/>
  <c r="BG87" i="105" s="1"/>
  <c r="BL132" i="105"/>
  <c r="AS52" i="88"/>
  <c r="AM91" i="88"/>
  <c r="AO52" i="88"/>
  <c r="AV52" i="88"/>
  <c r="BG52" i="88" s="1"/>
  <c r="M32" i="111"/>
  <c r="G31" i="111"/>
  <c r="BA31" i="111" s="1"/>
  <c r="AS57" i="91"/>
  <c r="AO57" i="91"/>
  <c r="AM96" i="91"/>
  <c r="M52" i="91"/>
  <c r="S52" i="91"/>
  <c r="L52" i="91"/>
  <c r="P52" i="91" s="1"/>
  <c r="N52" i="91" s="1"/>
  <c r="K52" i="91" s="1"/>
  <c r="W87" i="91"/>
  <c r="W86" i="86"/>
  <c r="L51" i="86"/>
  <c r="P51" i="86" s="1"/>
  <c r="N51" i="86" s="1"/>
  <c r="K51" i="86" s="1"/>
  <c r="E114" i="107"/>
  <c r="F114" i="107"/>
  <c r="G114" i="107"/>
  <c r="D114" i="107" s="1"/>
  <c r="C115" i="107" s="1"/>
  <c r="Q104" i="75"/>
  <c r="M104" i="75"/>
  <c r="R104" i="75"/>
  <c r="BK105" i="106"/>
  <c r="X140" i="106"/>
  <c r="J105" i="106"/>
  <c r="M107" i="106"/>
  <c r="R107" i="106"/>
  <c r="Q107" i="106"/>
  <c r="BH104" i="106"/>
  <c r="BI103" i="106"/>
  <c r="BH107" i="91"/>
  <c r="BI106" i="91"/>
  <c r="AU33" i="59"/>
  <c r="AV33" i="59"/>
  <c r="G107" i="75"/>
  <c r="H106" i="75"/>
  <c r="BJ106" i="75" s="1"/>
  <c r="BA97" i="105"/>
  <c r="AZ97" i="105"/>
  <c r="AV103" i="105"/>
  <c r="Q103" i="86"/>
  <c r="R103" i="86"/>
  <c r="M103" i="86"/>
  <c r="BI103" i="100"/>
  <c r="BH104" i="100"/>
  <c r="M65" i="106"/>
  <c r="S65" i="106" s="1"/>
  <c r="BI58" i="78"/>
  <c r="X92" i="78"/>
  <c r="AU87" i="100"/>
  <c r="AY87" i="100" s="1"/>
  <c r="AW87" i="100" s="1"/>
  <c r="BL132" i="100"/>
  <c r="BG87" i="100"/>
  <c r="BA96" i="106"/>
  <c r="AZ96" i="106"/>
  <c r="AV102" i="106"/>
  <c r="B119" i="108"/>
  <c r="A120" i="108"/>
  <c r="BK50" i="86"/>
  <c r="J50" i="86"/>
  <c r="X85" i="86"/>
  <c r="U104" i="105"/>
  <c r="V103" i="105"/>
  <c r="U105" i="86"/>
  <c r="V104" i="86"/>
  <c r="BA96" i="100"/>
  <c r="AZ96" i="100"/>
  <c r="AV102" i="100"/>
  <c r="E135" i="110"/>
  <c r="J134" i="110"/>
  <c r="F134" i="110"/>
  <c r="BL103" i="109"/>
  <c r="Y138" i="109"/>
  <c r="V107" i="88"/>
  <c r="U108" i="88"/>
  <c r="AP106" i="106"/>
  <c r="AQ105" i="106"/>
  <c r="AP106" i="88"/>
  <c r="AQ105" i="88"/>
  <c r="M102" i="105"/>
  <c r="Q102" i="105"/>
  <c r="R102" i="105"/>
  <c r="B122" i="107"/>
  <c r="A123" i="107"/>
  <c r="E109" i="103"/>
  <c r="J108" i="103"/>
  <c r="F108" i="103"/>
  <c r="AU74" i="106"/>
  <c r="AY74" i="106" s="1"/>
  <c r="BL119" i="106"/>
  <c r="BG74" i="106"/>
  <c r="Q106" i="88"/>
  <c r="M106" i="88"/>
  <c r="R106" i="88"/>
  <c r="BH104" i="86"/>
  <c r="BI103" i="86"/>
  <c r="L53" i="78"/>
  <c r="R53" i="78"/>
  <c r="K53" i="78"/>
  <c r="O53" i="78" s="1"/>
  <c r="M53" i="78" s="1"/>
  <c r="N54" i="78" s="1"/>
  <c r="W93" i="78"/>
  <c r="G107" i="86"/>
  <c r="H106" i="86"/>
  <c r="BJ106" i="86" s="1"/>
  <c r="G110" i="66"/>
  <c r="F111" i="66"/>
  <c r="U110" i="66"/>
  <c r="AA110" i="66"/>
  <c r="M107" i="91"/>
  <c r="Q107" i="91"/>
  <c r="R107" i="91"/>
  <c r="J33" i="66"/>
  <c r="I33" i="66" s="1"/>
  <c r="K33" i="66"/>
  <c r="X33" i="66"/>
  <c r="X86" i="88"/>
  <c r="BK51" i="88"/>
  <c r="J51" i="88"/>
  <c r="U105" i="78"/>
  <c r="T106" i="78"/>
  <c r="S33" i="59"/>
  <c r="J33" i="59"/>
  <c r="T80" i="59"/>
  <c r="G105" i="100"/>
  <c r="I104" i="100"/>
  <c r="H104" i="100"/>
  <c r="BJ104" i="100" s="1"/>
  <c r="Q104" i="78"/>
  <c r="P104" i="78"/>
  <c r="G105" i="109"/>
  <c r="W104" i="109"/>
  <c r="T104" i="109"/>
  <c r="K104" i="109"/>
  <c r="H104" i="109"/>
  <c r="BK104" i="109" s="1"/>
  <c r="I104" i="109"/>
  <c r="H108" i="91"/>
  <c r="BJ108" i="91" s="1"/>
  <c r="G106" i="105"/>
  <c r="H105" i="105"/>
  <c r="BJ105" i="105" s="1"/>
  <c r="I105" i="105"/>
  <c r="BA98" i="88"/>
  <c r="AZ98" i="88"/>
  <c r="AV104" i="88"/>
  <c r="G106" i="78"/>
  <c r="H105" i="78"/>
  <c r="BH111" i="78" s="1"/>
  <c r="AZ96" i="86"/>
  <c r="BA96" i="86"/>
  <c r="AV102" i="86"/>
  <c r="N109" i="66"/>
  <c r="M109" i="66"/>
  <c r="L109" i="66"/>
  <c r="AU52" i="75"/>
  <c r="AY52" i="75" s="1"/>
  <c r="AW52" i="75" s="1"/>
  <c r="BL97" i="75"/>
  <c r="D77" i="108"/>
  <c r="C78" i="108" s="1"/>
  <c r="BI105" i="88"/>
  <c r="BH106" i="88"/>
  <c r="G107" i="106"/>
  <c r="K106" i="106"/>
  <c r="H106" i="106"/>
  <c r="BJ106" i="106" s="1"/>
  <c r="M33" i="59"/>
  <c r="AP106" i="100"/>
  <c r="AQ105" i="100"/>
  <c r="AX56" i="78"/>
  <c r="BE56" i="78"/>
  <c r="AT56" i="78"/>
  <c r="AY56" i="78"/>
  <c r="AP105" i="105"/>
  <c r="AQ104" i="105"/>
  <c r="U106" i="75"/>
  <c r="V105" i="75"/>
  <c r="AU58" i="91"/>
  <c r="AY58" i="91" s="1"/>
  <c r="AW58" i="91" s="1"/>
  <c r="AT58" i="91" s="1"/>
  <c r="BL103" i="91"/>
  <c r="BG58" i="91"/>
  <c r="AT33" i="59"/>
  <c r="AR33" i="59" s="1"/>
  <c r="AO33" i="59" s="1"/>
  <c r="AU50" i="86"/>
  <c r="AY50" i="86" s="1"/>
  <c r="AW50" i="86" s="1"/>
  <c r="AT50" i="86" s="1"/>
  <c r="BL95" i="86"/>
  <c r="AP107" i="91"/>
  <c r="AQ106" i="91"/>
  <c r="O169" i="66"/>
  <c r="W170" i="66"/>
  <c r="AZ98" i="75"/>
  <c r="AV104" i="75"/>
  <c r="BA98" i="75"/>
  <c r="H104" i="88"/>
  <c r="BJ104" i="88" s="1"/>
  <c r="G105" i="88"/>
  <c r="U104" i="100"/>
  <c r="V103" i="100"/>
  <c r="M74" i="105"/>
  <c r="S74" i="105" s="1"/>
  <c r="BA99" i="91"/>
  <c r="AZ99" i="91"/>
  <c r="AV105" i="91"/>
  <c r="BI104" i="105"/>
  <c r="BH105" i="105"/>
  <c r="BI105" i="75"/>
  <c r="BH106" i="75"/>
  <c r="R102" i="100"/>
  <c r="Q102" i="100"/>
  <c r="M102" i="100"/>
  <c r="L68" i="100"/>
  <c r="P68" i="100" s="1"/>
  <c r="N68" i="100" s="1"/>
  <c r="W103" i="100"/>
  <c r="X86" i="91"/>
  <c r="BK51" i="91"/>
  <c r="J51" i="91"/>
  <c r="BA96" i="109"/>
  <c r="AT96" i="109" s="1"/>
  <c r="AW102" i="109"/>
  <c r="BB96" i="109"/>
  <c r="BJ103" i="109"/>
  <c r="BI104" i="109"/>
  <c r="R103" i="110"/>
  <c r="S102" i="110"/>
  <c r="V104" i="109"/>
  <c r="U105" i="109"/>
  <c r="R103" i="109"/>
  <c r="M103" i="109"/>
  <c r="Q103" i="109"/>
  <c r="J103" i="109" s="1"/>
  <c r="AU30" i="112"/>
  <c r="AT30" i="112" s="1"/>
  <c r="AR30" i="112" s="1"/>
  <c r="AS31" i="112" s="1"/>
  <c r="W90" i="75"/>
  <c r="L55" i="75"/>
  <c r="P55" i="75" s="1"/>
  <c r="N55" i="75" s="1"/>
  <c r="J54" i="75"/>
  <c r="BK54" i="75"/>
  <c r="X89" i="75"/>
  <c r="AU30" i="111"/>
  <c r="AT30" i="111" s="1"/>
  <c r="AR30" i="111" s="1"/>
  <c r="AO30" i="111" s="1"/>
  <c r="AL30" i="111" s="1"/>
  <c r="AV30" i="111"/>
  <c r="E109" i="111"/>
  <c r="J108" i="111"/>
  <c r="F108" i="111"/>
  <c r="K31" i="111"/>
  <c r="Q31" i="111" s="1"/>
  <c r="AX106" i="111"/>
  <c r="X77" i="94"/>
  <c r="L42" i="94"/>
  <c r="P42" i="94" s="1"/>
  <c r="N42" i="94" s="1"/>
  <c r="Y80" i="109"/>
  <c r="J45" i="109"/>
  <c r="BL45" i="109"/>
  <c r="M45" i="109"/>
  <c r="S45" i="109" s="1"/>
  <c r="L46" i="109" s="1"/>
  <c r="U104" i="94"/>
  <c r="V103" i="94"/>
  <c r="Q102" i="94"/>
  <c r="J102" i="94" s="1"/>
  <c r="M102" i="94"/>
  <c r="R102" i="94"/>
  <c r="AT30" i="110"/>
  <c r="AR30" i="110" s="1"/>
  <c r="AS31" i="110" s="1"/>
  <c r="S32" i="112"/>
  <c r="T73" i="112"/>
  <c r="H32" i="112"/>
  <c r="I32" i="112" s="1"/>
  <c r="AX106" i="112"/>
  <c r="AM108" i="112"/>
  <c r="AN107" i="112"/>
  <c r="E107" i="112"/>
  <c r="J106" i="112"/>
  <c r="F106" i="112"/>
  <c r="AZ106" i="112" s="1"/>
  <c r="AW103" i="94"/>
  <c r="BB97" i="94"/>
  <c r="BA97" i="94"/>
  <c r="AT97" i="94" s="1"/>
  <c r="BJ104" i="94"/>
  <c r="BI105" i="94"/>
  <c r="W104" i="94"/>
  <c r="G105" i="94"/>
  <c r="T104" i="94"/>
  <c r="H104" i="94"/>
  <c r="BK104" i="94" s="1"/>
  <c r="K104" i="94"/>
  <c r="I104" i="94"/>
  <c r="AR104" i="94"/>
  <c r="AQ105" i="94"/>
  <c r="AU104" i="94"/>
  <c r="BL103" i="94"/>
  <c r="Y138" i="94"/>
  <c r="AN142" i="94"/>
  <c r="AP103" i="94"/>
  <c r="T74" i="110"/>
  <c r="V74" i="110" s="1"/>
  <c r="H33" i="110"/>
  <c r="AV86" i="109"/>
  <c r="AZ86" i="109" s="1"/>
  <c r="AX86" i="109" s="1"/>
  <c r="AW86" i="109" s="1"/>
  <c r="BH86" i="109" s="1"/>
  <c r="BM131" i="109"/>
  <c r="BA32" i="110"/>
  <c r="BM129" i="94"/>
  <c r="AV84" i="94"/>
  <c r="AZ84" i="94" s="1"/>
  <c r="AX84" i="94" s="1"/>
  <c r="AW84" i="94" s="1"/>
  <c r="BH84" i="94" s="1"/>
  <c r="AV33" i="103"/>
  <c r="AU33" i="103"/>
  <c r="AK74" i="103"/>
  <c r="M28" i="61"/>
  <c r="K28" i="61" s="1"/>
  <c r="X87" i="91" l="1"/>
  <c r="BK52" i="91"/>
  <c r="J52" i="91"/>
  <c r="F115" i="107"/>
  <c r="E115" i="107"/>
  <c r="G115" i="107" s="1"/>
  <c r="D115" i="107" s="1"/>
  <c r="C116" i="107" s="1"/>
  <c r="AM97" i="91"/>
  <c r="AS58" i="91"/>
  <c r="AO58" i="91"/>
  <c r="J51" i="86"/>
  <c r="BK51" i="86"/>
  <c r="X86" i="86"/>
  <c r="AU88" i="105"/>
  <c r="AY88" i="105" s="1"/>
  <c r="AW88" i="105" s="1"/>
  <c r="AV88" i="105" s="1"/>
  <c r="BG88" i="105" s="1"/>
  <c r="BL133" i="105"/>
  <c r="AM89" i="86"/>
  <c r="AO50" i="86"/>
  <c r="AS50" i="86"/>
  <c r="AV50" i="86"/>
  <c r="BG50" i="86" s="1"/>
  <c r="J106" i="106"/>
  <c r="X141" i="106"/>
  <c r="BK106" i="106"/>
  <c r="AT52" i="75"/>
  <c r="P33" i="59"/>
  <c r="O33" i="59"/>
  <c r="AP107" i="106"/>
  <c r="AQ106" i="106"/>
  <c r="AZ97" i="100"/>
  <c r="BA97" i="100"/>
  <c r="AV103" i="100"/>
  <c r="M51" i="86"/>
  <c r="S51" i="86" s="1"/>
  <c r="R105" i="75"/>
  <c r="M105" i="75"/>
  <c r="Q105" i="75"/>
  <c r="G108" i="106"/>
  <c r="K107" i="106"/>
  <c r="H107" i="106"/>
  <c r="BJ107" i="106" s="1"/>
  <c r="W105" i="109"/>
  <c r="K105" i="109"/>
  <c r="G106" i="109"/>
  <c r="T105" i="109"/>
  <c r="H105" i="109"/>
  <c r="BK105" i="109" s="1"/>
  <c r="I105" i="109"/>
  <c r="T107" i="78"/>
  <c r="U106" i="78"/>
  <c r="K54" i="78"/>
  <c r="O54" i="78" s="1"/>
  <c r="M54" i="78" s="1"/>
  <c r="N55" i="78" s="1"/>
  <c r="W94" i="78"/>
  <c r="AU75" i="106"/>
  <c r="AY75" i="106" s="1"/>
  <c r="BL120" i="106"/>
  <c r="BG75" i="106"/>
  <c r="AU88" i="100"/>
  <c r="AY88" i="100" s="1"/>
  <c r="AW88" i="100" s="1"/>
  <c r="BL133" i="100"/>
  <c r="BG88" i="100"/>
  <c r="AS34" i="59"/>
  <c r="BI106" i="75"/>
  <c r="BH107" i="75"/>
  <c r="L75" i="105"/>
  <c r="P75" i="105" s="1"/>
  <c r="N75" i="105" s="1"/>
  <c r="W110" i="105"/>
  <c r="O170" i="66"/>
  <c r="W171" i="66"/>
  <c r="V106" i="75"/>
  <c r="U107" i="75"/>
  <c r="AP107" i="100"/>
  <c r="AQ106" i="100"/>
  <c r="BI106" i="88"/>
  <c r="BH107" i="88"/>
  <c r="Q105" i="78"/>
  <c r="P105" i="78"/>
  <c r="M107" i="88"/>
  <c r="R107" i="88"/>
  <c r="Q107" i="88"/>
  <c r="AZ100" i="91"/>
  <c r="AV106" i="91"/>
  <c r="BA100" i="91"/>
  <c r="M68" i="100"/>
  <c r="S68" i="100" s="1"/>
  <c r="AV105" i="75"/>
  <c r="AZ99" i="75"/>
  <c r="BA99" i="75"/>
  <c r="R103" i="100"/>
  <c r="M103" i="100"/>
  <c r="Q103" i="100"/>
  <c r="AV105" i="88"/>
  <c r="BA99" i="88"/>
  <c r="AZ99" i="88"/>
  <c r="U111" i="66"/>
  <c r="G111" i="66"/>
  <c r="F112" i="66"/>
  <c r="AA111" i="66"/>
  <c r="AZ97" i="86"/>
  <c r="AV103" i="86"/>
  <c r="BA97" i="86"/>
  <c r="B120" i="108"/>
  <c r="A121" i="108"/>
  <c r="BI107" i="91"/>
  <c r="BH108" i="91"/>
  <c r="AU53" i="88"/>
  <c r="AY53" i="88" s="1"/>
  <c r="AW53" i="88" s="1"/>
  <c r="AV53" i="88" s="1"/>
  <c r="BG53" i="88" s="1"/>
  <c r="AT53" i="88"/>
  <c r="BL98" i="88"/>
  <c r="K52" i="88"/>
  <c r="M52" i="88" s="1"/>
  <c r="S52" i="88" s="1"/>
  <c r="BI105" i="105"/>
  <c r="BH106" i="105"/>
  <c r="U105" i="100"/>
  <c r="V104" i="100"/>
  <c r="G106" i="88"/>
  <c r="H105" i="88"/>
  <c r="BJ105" i="88" s="1"/>
  <c r="AL33" i="59"/>
  <c r="AJ72" i="59"/>
  <c r="AP106" i="105"/>
  <c r="AQ105" i="105"/>
  <c r="E78" i="108"/>
  <c r="F78" i="108"/>
  <c r="G78" i="108"/>
  <c r="G107" i="105"/>
  <c r="I106" i="105"/>
  <c r="H106" i="105"/>
  <c r="BJ106" i="105" s="1"/>
  <c r="I105" i="100"/>
  <c r="G106" i="100"/>
  <c r="H105" i="100"/>
  <c r="BJ105" i="100" s="1"/>
  <c r="N110" i="66"/>
  <c r="M110" i="66"/>
  <c r="L110" i="66"/>
  <c r="BH105" i="86"/>
  <c r="BI104" i="86"/>
  <c r="Q104" i="86"/>
  <c r="R104" i="86"/>
  <c r="M104" i="86"/>
  <c r="AV103" i="106"/>
  <c r="BA97" i="106"/>
  <c r="AZ97" i="106"/>
  <c r="M53" i="91"/>
  <c r="S53" i="91" s="1"/>
  <c r="W88" i="91"/>
  <c r="L53" i="91"/>
  <c r="P53" i="91" s="1"/>
  <c r="N53" i="91" s="1"/>
  <c r="K53" i="91" s="1"/>
  <c r="AV104" i="105"/>
  <c r="AZ98" i="105"/>
  <c r="BA98" i="105"/>
  <c r="AU59" i="91"/>
  <c r="AY59" i="91" s="1"/>
  <c r="AW59" i="91" s="1"/>
  <c r="AT59" i="91"/>
  <c r="BL104" i="91"/>
  <c r="BG59" i="91"/>
  <c r="AW56" i="78"/>
  <c r="AU56" i="78" s="1"/>
  <c r="AR56" i="78" s="1"/>
  <c r="G108" i="86"/>
  <c r="H107" i="86"/>
  <c r="BJ107" i="86" s="1"/>
  <c r="V105" i="86"/>
  <c r="U106" i="86"/>
  <c r="G108" i="75"/>
  <c r="H107" i="75"/>
  <c r="BJ107" i="75" s="1"/>
  <c r="BI104" i="106"/>
  <c r="BH105" i="106"/>
  <c r="AP108" i="91"/>
  <c r="AQ108" i="91" s="1"/>
  <c r="AQ107" i="91"/>
  <c r="BL104" i="109"/>
  <c r="Y139" i="109"/>
  <c r="N33" i="59"/>
  <c r="L33" i="59" s="1"/>
  <c r="I33" i="59" s="1"/>
  <c r="BF39" i="59" s="1"/>
  <c r="E110" i="103"/>
  <c r="J109" i="103"/>
  <c r="F109" i="103"/>
  <c r="AP107" i="88"/>
  <c r="AQ106" i="88"/>
  <c r="M103" i="105"/>
  <c r="Q103" i="105"/>
  <c r="R103" i="105"/>
  <c r="L66" i="106"/>
  <c r="P66" i="106" s="1"/>
  <c r="N66" i="106" s="1"/>
  <c r="W101" i="106"/>
  <c r="BH63" i="78"/>
  <c r="AS57" i="78"/>
  <c r="BJ102" i="78"/>
  <c r="G107" i="78"/>
  <c r="H106" i="78"/>
  <c r="BH112" i="78" s="1"/>
  <c r="S33" i="66"/>
  <c r="R33" i="66" s="1"/>
  <c r="P33" i="66" s="1"/>
  <c r="T33" i="66"/>
  <c r="J53" i="78"/>
  <c r="B123" i="107"/>
  <c r="A124" i="107"/>
  <c r="E136" i="110"/>
  <c r="J135" i="110"/>
  <c r="F135" i="110"/>
  <c r="V104" i="105"/>
  <c r="U105" i="105"/>
  <c r="BI104" i="100"/>
  <c r="BH105" i="100"/>
  <c r="AQ33" i="59"/>
  <c r="BB33" i="59" s="1"/>
  <c r="BA97" i="109"/>
  <c r="AT97" i="109" s="1"/>
  <c r="AW103" i="109"/>
  <c r="BB97" i="109"/>
  <c r="BI105" i="109"/>
  <c r="BJ104" i="109"/>
  <c r="R104" i="110"/>
  <c r="S103" i="110"/>
  <c r="V105" i="109"/>
  <c r="U106" i="109"/>
  <c r="M104" i="109"/>
  <c r="Q104" i="109"/>
  <c r="J104" i="109" s="1"/>
  <c r="R104" i="109"/>
  <c r="K55" i="75"/>
  <c r="M55" i="75" s="1"/>
  <c r="S55" i="75" s="1"/>
  <c r="S32" i="111"/>
  <c r="H32" i="111"/>
  <c r="T73" i="111"/>
  <c r="E110" i="111"/>
  <c r="J109" i="111"/>
  <c r="F109" i="111"/>
  <c r="AS31" i="111"/>
  <c r="AQ30" i="111"/>
  <c r="AW30" i="111" s="1"/>
  <c r="AX107" i="111"/>
  <c r="K42" i="94"/>
  <c r="P46" i="109"/>
  <c r="N46" i="109" s="1"/>
  <c r="X81" i="109"/>
  <c r="M103" i="94"/>
  <c r="R103" i="94"/>
  <c r="Q103" i="94"/>
  <c r="J103" i="94" s="1"/>
  <c r="U105" i="94"/>
  <c r="V104" i="94"/>
  <c r="AO30" i="110"/>
  <c r="AQ30" i="110" s="1"/>
  <c r="AW30" i="110" s="1"/>
  <c r="V73" i="112"/>
  <c r="U72" i="112"/>
  <c r="P32" i="112"/>
  <c r="O32" i="112"/>
  <c r="E108" i="112"/>
  <c r="J107" i="112"/>
  <c r="F107" i="112"/>
  <c r="AZ107" i="112" s="1"/>
  <c r="AM109" i="112"/>
  <c r="AN108" i="112"/>
  <c r="AO30" i="112"/>
  <c r="AX107" i="112"/>
  <c r="AW104" i="94"/>
  <c r="BB98" i="94"/>
  <c r="BA98" i="94"/>
  <c r="AT98" i="94" s="1"/>
  <c r="BI106" i="94"/>
  <c r="BJ105" i="94"/>
  <c r="AJ71" i="111"/>
  <c r="AQ106" i="94"/>
  <c r="AU105" i="94"/>
  <c r="AR105" i="94"/>
  <c r="G106" i="94"/>
  <c r="W105" i="94"/>
  <c r="K105" i="94"/>
  <c r="T105" i="94"/>
  <c r="H105" i="94"/>
  <c r="BK105" i="94" s="1"/>
  <c r="I105" i="94"/>
  <c r="AN143" i="94"/>
  <c r="AP104" i="94"/>
  <c r="BL104" i="94"/>
  <c r="Y139" i="94"/>
  <c r="AV87" i="109"/>
  <c r="AZ87" i="109" s="1"/>
  <c r="AX87" i="109" s="1"/>
  <c r="AW87" i="109" s="1"/>
  <c r="BH87" i="109" s="1"/>
  <c r="BM132" i="109"/>
  <c r="I33" i="110"/>
  <c r="U73" i="110"/>
  <c r="O33" i="110"/>
  <c r="N33" i="110" s="1"/>
  <c r="L33" i="110" s="1"/>
  <c r="P33" i="110"/>
  <c r="BM130" i="94"/>
  <c r="AV85" i="94"/>
  <c r="AZ85" i="94" s="1"/>
  <c r="AX85" i="94" s="1"/>
  <c r="AW85" i="94" s="1"/>
  <c r="BH85" i="94" s="1"/>
  <c r="AT33" i="103"/>
  <c r="AR33" i="103" s="1"/>
  <c r="H28" i="61"/>
  <c r="J28" i="61" s="1"/>
  <c r="L29" i="61"/>
  <c r="M54" i="91" l="1"/>
  <c r="S54" i="91" s="1"/>
  <c r="W89" i="91"/>
  <c r="L54" i="91"/>
  <c r="P54" i="91" s="1"/>
  <c r="N54" i="91" s="1"/>
  <c r="K54" i="91" s="1"/>
  <c r="H33" i="66"/>
  <c r="O33" i="66" s="1"/>
  <c r="AU54" i="88"/>
  <c r="AY54" i="88" s="1"/>
  <c r="AW54" i="88" s="1"/>
  <c r="AV54" i="88" s="1"/>
  <c r="BG54" i="88" s="1"/>
  <c r="AT54" i="88"/>
  <c r="BL99" i="88"/>
  <c r="E116" i="107"/>
  <c r="G116" i="107" s="1"/>
  <c r="D116" i="107" s="1"/>
  <c r="C117" i="107" s="1"/>
  <c r="F116" i="107"/>
  <c r="AU89" i="105"/>
  <c r="AY89" i="105" s="1"/>
  <c r="AW89" i="105" s="1"/>
  <c r="BL134" i="105"/>
  <c r="AV89" i="105"/>
  <c r="BG89" i="105" s="1"/>
  <c r="X88" i="91"/>
  <c r="BK53" i="91"/>
  <c r="J53" i="91"/>
  <c r="W88" i="88"/>
  <c r="L53" i="88"/>
  <c r="P53" i="88" s="1"/>
  <c r="N53" i="88" s="1"/>
  <c r="AP107" i="105"/>
  <c r="AQ106" i="105"/>
  <c r="L111" i="66"/>
  <c r="M111" i="66"/>
  <c r="N111" i="66"/>
  <c r="AP108" i="100"/>
  <c r="AQ108" i="100" s="1"/>
  <c r="AQ107" i="100"/>
  <c r="M75" i="105"/>
  <c r="S75" i="105" s="1"/>
  <c r="AU76" i="106"/>
  <c r="AY76" i="106" s="1"/>
  <c r="BL121" i="106"/>
  <c r="BG76" i="106"/>
  <c r="P106" i="78"/>
  <c r="Q106" i="78"/>
  <c r="K33" i="59"/>
  <c r="AV57" i="78"/>
  <c r="AM98" i="91"/>
  <c r="AS59" i="91"/>
  <c r="AO59" i="91"/>
  <c r="V107" i="75"/>
  <c r="U108" i="75"/>
  <c r="T108" i="78"/>
  <c r="U107" i="78"/>
  <c r="W87" i="86"/>
  <c r="L52" i="86"/>
  <c r="P52" i="86" s="1"/>
  <c r="N52" i="86" s="1"/>
  <c r="AU51" i="86"/>
  <c r="AY51" i="86" s="1"/>
  <c r="AW51" i="86" s="1"/>
  <c r="AT51" i="86" s="1"/>
  <c r="BL96" i="86"/>
  <c r="E137" i="110"/>
  <c r="J136" i="110"/>
  <c r="F136" i="110"/>
  <c r="BE57" i="78"/>
  <c r="AY57" i="78"/>
  <c r="AX57" i="78"/>
  <c r="AT57" i="78"/>
  <c r="G108" i="105"/>
  <c r="I107" i="105"/>
  <c r="H107" i="105"/>
  <c r="BJ107" i="105" s="1"/>
  <c r="G107" i="88"/>
  <c r="H106" i="88"/>
  <c r="BJ106" i="88" s="1"/>
  <c r="M106" i="75"/>
  <c r="R106" i="75"/>
  <c r="Q106" i="75"/>
  <c r="BI107" i="75"/>
  <c r="BH108" i="75"/>
  <c r="M34" i="59"/>
  <c r="BD40" i="59"/>
  <c r="AP34" i="59"/>
  <c r="BG79" i="59"/>
  <c r="A125" i="107"/>
  <c r="B124" i="107"/>
  <c r="H108" i="75"/>
  <c r="BJ108" i="75" s="1"/>
  <c r="G107" i="100"/>
  <c r="I106" i="100"/>
  <c r="H106" i="100"/>
  <c r="BJ106" i="100" s="1"/>
  <c r="Q104" i="100"/>
  <c r="M104" i="100"/>
  <c r="R104" i="100"/>
  <c r="AO53" i="88"/>
  <c r="AM92" i="88"/>
  <c r="AS53" i="88"/>
  <c r="AV106" i="75"/>
  <c r="BA100" i="75"/>
  <c r="AZ100" i="75"/>
  <c r="BI105" i="100"/>
  <c r="BH106" i="100"/>
  <c r="M66" i="106"/>
  <c r="S66" i="106" s="1"/>
  <c r="AP108" i="88"/>
  <c r="AQ108" i="88" s="1"/>
  <c r="AQ107" i="88"/>
  <c r="U107" i="86"/>
  <c r="V106" i="86"/>
  <c r="AV104" i="86"/>
  <c r="BA98" i="86"/>
  <c r="AZ98" i="86"/>
  <c r="D78" i="108"/>
  <c r="C79" i="108" s="1"/>
  <c r="U106" i="100"/>
  <c r="V105" i="100"/>
  <c r="O171" i="66"/>
  <c r="W172" i="66"/>
  <c r="J54" i="78"/>
  <c r="X142" i="106"/>
  <c r="J107" i="106"/>
  <c r="BK107" i="106"/>
  <c r="AS52" i="75"/>
  <c r="AM91" i="75"/>
  <c r="AO52" i="75"/>
  <c r="AZ98" i="100"/>
  <c r="AV104" i="100"/>
  <c r="BA98" i="100"/>
  <c r="X93" i="78"/>
  <c r="BJ59" i="78"/>
  <c r="Q105" i="86"/>
  <c r="R105" i="86"/>
  <c r="M105" i="86"/>
  <c r="H108" i="86"/>
  <c r="BJ108" i="86" s="1"/>
  <c r="BI105" i="86"/>
  <c r="BH106" i="86"/>
  <c r="BH107" i="105"/>
  <c r="BI106" i="105"/>
  <c r="BH109" i="91"/>
  <c r="BI108" i="91"/>
  <c r="BH108" i="88"/>
  <c r="BI107" i="88"/>
  <c r="AU89" i="100"/>
  <c r="AY89" i="100" s="1"/>
  <c r="AW89" i="100" s="1"/>
  <c r="BL134" i="100"/>
  <c r="BG89" i="100"/>
  <c r="W106" i="109"/>
  <c r="T106" i="109"/>
  <c r="K106" i="109"/>
  <c r="G107" i="109"/>
  <c r="H106" i="109"/>
  <c r="BK106" i="109" s="1"/>
  <c r="I106" i="109"/>
  <c r="K108" i="106"/>
  <c r="H108" i="106"/>
  <c r="BJ108" i="106" s="1"/>
  <c r="U106" i="105"/>
  <c r="V105" i="105"/>
  <c r="G108" i="78"/>
  <c r="H107" i="78"/>
  <c r="BH113" i="78" s="1"/>
  <c r="BH106" i="106"/>
  <c r="BI105" i="106"/>
  <c r="AM95" i="78"/>
  <c r="AO56" i="78"/>
  <c r="BA99" i="105"/>
  <c r="AV105" i="105"/>
  <c r="AZ99" i="105"/>
  <c r="AV107" i="91"/>
  <c r="BA101" i="91"/>
  <c r="AZ101" i="91"/>
  <c r="L69" i="100"/>
  <c r="P69" i="100" s="1"/>
  <c r="N69" i="100" s="1"/>
  <c r="W104" i="100"/>
  <c r="BA100" i="88"/>
  <c r="AZ100" i="88"/>
  <c r="AV106" i="88"/>
  <c r="BL105" i="109"/>
  <c r="Y140" i="109"/>
  <c r="AV52" i="75"/>
  <c r="BG52" i="75" s="1"/>
  <c r="Q104" i="105"/>
  <c r="R104" i="105"/>
  <c r="M104" i="105"/>
  <c r="Q34" i="66"/>
  <c r="E111" i="103"/>
  <c r="J110" i="103"/>
  <c r="F110" i="103"/>
  <c r="BA98" i="106"/>
  <c r="AV104" i="106"/>
  <c r="AZ98" i="106"/>
  <c r="AU60" i="91"/>
  <c r="AY60" i="91" s="1"/>
  <c r="AW60" i="91" s="1"/>
  <c r="AT60" i="91" s="1"/>
  <c r="BL105" i="91"/>
  <c r="BG60" i="91"/>
  <c r="X87" i="88"/>
  <c r="J52" i="88"/>
  <c r="BK52" i="88"/>
  <c r="B121" i="108"/>
  <c r="A122" i="108"/>
  <c r="AA112" i="66"/>
  <c r="F113" i="66"/>
  <c r="U112" i="66"/>
  <c r="G112" i="66"/>
  <c r="L54" i="78"/>
  <c r="R54" i="78" s="1"/>
  <c r="AP108" i="106"/>
  <c r="AQ108" i="106" s="1"/>
  <c r="AQ107" i="106"/>
  <c r="BJ105" i="109"/>
  <c r="BI106" i="109"/>
  <c r="BB98" i="109"/>
  <c r="BA98" i="109"/>
  <c r="AT98" i="109" s="1"/>
  <c r="AW104" i="109"/>
  <c r="R105" i="110"/>
  <c r="S104" i="110"/>
  <c r="K46" i="109"/>
  <c r="M46" i="109" s="1"/>
  <c r="S46" i="109" s="1"/>
  <c r="V106" i="109"/>
  <c r="U107" i="109"/>
  <c r="Q105" i="109"/>
  <c r="J105" i="109" s="1"/>
  <c r="R105" i="109"/>
  <c r="M105" i="109"/>
  <c r="L56" i="75"/>
  <c r="P56" i="75" s="1"/>
  <c r="N56" i="75" s="1"/>
  <c r="K56" i="75" s="1"/>
  <c r="W91" i="75"/>
  <c r="X90" i="75"/>
  <c r="BK55" i="75"/>
  <c r="J55" i="75"/>
  <c r="V73" i="111"/>
  <c r="U72" i="111"/>
  <c r="AP31" i="111"/>
  <c r="BB77" i="111"/>
  <c r="AY31" i="111"/>
  <c r="I32" i="111"/>
  <c r="J110" i="111"/>
  <c r="E111" i="111"/>
  <c r="F110" i="111"/>
  <c r="O32" i="111"/>
  <c r="P32" i="111"/>
  <c r="AX108" i="111"/>
  <c r="Y77" i="94"/>
  <c r="BL42" i="94"/>
  <c r="J42" i="94"/>
  <c r="M42" i="94"/>
  <c r="S42" i="94" s="1"/>
  <c r="U106" i="94"/>
  <c r="V105" i="94"/>
  <c r="R104" i="94"/>
  <c r="Q104" i="94"/>
  <c r="J104" i="94" s="1"/>
  <c r="M104" i="94"/>
  <c r="AY31" i="110"/>
  <c r="BB77" i="110"/>
  <c r="AI72" i="110"/>
  <c r="AP31" i="110"/>
  <c r="AL30" i="110"/>
  <c r="AJ71" i="110"/>
  <c r="N32" i="112"/>
  <c r="L32" i="112" s="1"/>
  <c r="G32" i="112" s="1"/>
  <c r="AL30" i="112"/>
  <c r="AJ71" i="112"/>
  <c r="J108" i="112"/>
  <c r="E109" i="112"/>
  <c r="F108" i="112"/>
  <c r="AM110" i="112"/>
  <c r="AN109" i="112"/>
  <c r="AX108" i="112"/>
  <c r="AQ30" i="112"/>
  <c r="AW30" i="112" s="1"/>
  <c r="BI107" i="94"/>
  <c r="BJ106" i="94"/>
  <c r="AW105" i="94"/>
  <c r="BB99" i="94"/>
  <c r="BA99" i="94"/>
  <c r="AT99" i="94" s="1"/>
  <c r="AI72" i="111"/>
  <c r="W106" i="94"/>
  <c r="G107" i="94"/>
  <c r="K106" i="94"/>
  <c r="T106" i="94"/>
  <c r="H106" i="94"/>
  <c r="BK106" i="94" s="1"/>
  <c r="I106" i="94"/>
  <c r="BL105" i="94"/>
  <c r="Y140" i="94"/>
  <c r="AN144" i="94"/>
  <c r="AP105" i="94"/>
  <c r="AU106" i="94"/>
  <c r="AR106" i="94"/>
  <c r="AQ107" i="94"/>
  <c r="G33" i="110"/>
  <c r="BA33" i="110" s="1"/>
  <c r="BM133" i="109"/>
  <c r="AV88" i="109"/>
  <c r="AZ88" i="109" s="1"/>
  <c r="AX88" i="109" s="1"/>
  <c r="AW88" i="109" s="1"/>
  <c r="BH88" i="109" s="1"/>
  <c r="M34" i="110"/>
  <c r="BM131" i="94"/>
  <c r="AV86" i="94"/>
  <c r="AZ86" i="94" s="1"/>
  <c r="AX86" i="94" s="1"/>
  <c r="AW86" i="94" s="1"/>
  <c r="BH86" i="94" s="1"/>
  <c r="AO33" i="103"/>
  <c r="AQ33" i="103" s="1"/>
  <c r="AW33" i="103" s="1"/>
  <c r="AS34" i="103"/>
  <c r="P28" i="61"/>
  <c r="T58" i="61"/>
  <c r="F117" i="107" l="1"/>
  <c r="E117" i="107"/>
  <c r="G117" i="107"/>
  <c r="D117" i="107" s="1"/>
  <c r="C118" i="107" s="1"/>
  <c r="AU55" i="88"/>
  <c r="AY55" i="88" s="1"/>
  <c r="AW55" i="88" s="1"/>
  <c r="BL100" i="88"/>
  <c r="AU90" i="105"/>
  <c r="AY90" i="105" s="1"/>
  <c r="AW90" i="105" s="1"/>
  <c r="BL135" i="105"/>
  <c r="AV90" i="105"/>
  <c r="BG90" i="105" s="1"/>
  <c r="V33" i="66"/>
  <c r="Z33" i="66"/>
  <c r="BK54" i="91"/>
  <c r="J54" i="91"/>
  <c r="X89" i="91"/>
  <c r="AM99" i="91"/>
  <c r="AS60" i="91"/>
  <c r="AO60" i="91"/>
  <c r="AS51" i="86"/>
  <c r="AM90" i="86"/>
  <c r="AO51" i="86"/>
  <c r="M55" i="91"/>
  <c r="S55" i="91" s="1"/>
  <c r="W90" i="91"/>
  <c r="L55" i="91"/>
  <c r="P55" i="91" s="1"/>
  <c r="N55" i="91" s="1"/>
  <c r="K55" i="91" s="1"/>
  <c r="E112" i="103"/>
  <c r="J111" i="103"/>
  <c r="F111" i="103"/>
  <c r="A123" i="108"/>
  <c r="B122" i="108"/>
  <c r="BI109" i="91"/>
  <c r="BH110" i="91"/>
  <c r="R105" i="100"/>
  <c r="M105" i="100"/>
  <c r="Q105" i="100"/>
  <c r="U108" i="86"/>
  <c r="V107" i="86"/>
  <c r="AV106" i="105"/>
  <c r="AZ100" i="105"/>
  <c r="BA100" i="105"/>
  <c r="U107" i="100"/>
  <c r="V106" i="100"/>
  <c r="G108" i="100"/>
  <c r="I107" i="100"/>
  <c r="H107" i="100"/>
  <c r="BJ107" i="100" s="1"/>
  <c r="G108" i="88"/>
  <c r="H107" i="88"/>
  <c r="BJ107" i="88" s="1"/>
  <c r="E138" i="110"/>
  <c r="J137" i="110"/>
  <c r="F137" i="110"/>
  <c r="K52" i="86"/>
  <c r="AU77" i="106"/>
  <c r="AY77" i="106" s="1"/>
  <c r="BL122" i="106"/>
  <c r="BG77" i="106"/>
  <c r="K55" i="78"/>
  <c r="O55" i="78" s="1"/>
  <c r="M55" i="78" s="1"/>
  <c r="N56" i="78" s="1"/>
  <c r="W95" i="78"/>
  <c r="X143" i="106"/>
  <c r="BK108" i="106"/>
  <c r="K109" i="106"/>
  <c r="AU90" i="100"/>
  <c r="AY90" i="100" s="1"/>
  <c r="AW90" i="100" s="1"/>
  <c r="BL135" i="100"/>
  <c r="BG90" i="100"/>
  <c r="BH108" i="105"/>
  <c r="BI107" i="105"/>
  <c r="E79" i="108"/>
  <c r="G79" i="108"/>
  <c r="F79" i="108"/>
  <c r="AT34" i="59"/>
  <c r="AR34" i="59" s="1"/>
  <c r="AO34" i="59" s="1"/>
  <c r="I108" i="105"/>
  <c r="H108" i="105"/>
  <c r="BJ108" i="105" s="1"/>
  <c r="AV51" i="86"/>
  <c r="BG51" i="86" s="1"/>
  <c r="AV105" i="106"/>
  <c r="BA99" i="106"/>
  <c r="AZ99" i="106"/>
  <c r="H108" i="78"/>
  <c r="BH114" i="78" s="1"/>
  <c r="BI106" i="86"/>
  <c r="BH107" i="86"/>
  <c r="M67" i="106"/>
  <c r="S67" i="106"/>
  <c r="L67" i="106"/>
  <c r="P67" i="106" s="1"/>
  <c r="N67" i="106" s="1"/>
  <c r="W102" i="106"/>
  <c r="AU34" i="59"/>
  <c r="AV34" i="59"/>
  <c r="AQ107" i="105"/>
  <c r="AP108" i="105"/>
  <c r="AQ108" i="105" s="1"/>
  <c r="L112" i="66"/>
  <c r="M112" i="66"/>
  <c r="N112" i="66"/>
  <c r="BH107" i="100"/>
  <c r="BI106" i="100"/>
  <c r="Q107" i="78"/>
  <c r="P107" i="78"/>
  <c r="AW57" i="78"/>
  <c r="AU57" i="78" s="1"/>
  <c r="AR57" i="78" s="1"/>
  <c r="M76" i="105"/>
  <c r="S76" i="105" s="1"/>
  <c r="L76" i="105"/>
  <c r="P76" i="105" s="1"/>
  <c r="N76" i="105" s="1"/>
  <c r="W111" i="105"/>
  <c r="BI106" i="106"/>
  <c r="BH107" i="106"/>
  <c r="AZ99" i="86"/>
  <c r="AV105" i="86"/>
  <c r="BA99" i="86"/>
  <c r="AU61" i="91"/>
  <c r="AY61" i="91" s="1"/>
  <c r="AW61" i="91" s="1"/>
  <c r="AT61" i="91" s="1"/>
  <c r="BL106" i="91"/>
  <c r="BG61" i="91"/>
  <c r="AU53" i="75"/>
  <c r="AY53" i="75" s="1"/>
  <c r="AW53" i="75" s="1"/>
  <c r="BL98" i="75"/>
  <c r="V106" i="105"/>
  <c r="U107" i="105"/>
  <c r="AV107" i="88"/>
  <c r="AZ101" i="88"/>
  <c r="BA101" i="88"/>
  <c r="AZ99" i="100"/>
  <c r="AV105" i="100"/>
  <c r="BA99" i="100"/>
  <c r="BI108" i="75"/>
  <c r="BH109" i="75"/>
  <c r="R105" i="105"/>
  <c r="Q105" i="105"/>
  <c r="M105" i="105"/>
  <c r="X94" i="78"/>
  <c r="BJ60" i="78"/>
  <c r="AA113" i="66"/>
  <c r="U113" i="66"/>
  <c r="F114" i="66"/>
  <c r="G113" i="66"/>
  <c r="M69" i="100"/>
  <c r="S69" i="100" s="1"/>
  <c r="G108" i="109"/>
  <c r="T107" i="109"/>
  <c r="K107" i="109"/>
  <c r="W107" i="109"/>
  <c r="H107" i="109"/>
  <c r="BK107" i="109" s="1"/>
  <c r="I107" i="109"/>
  <c r="BI108" i="88"/>
  <c r="BH109" i="88"/>
  <c r="W173" i="66"/>
  <c r="O172" i="66"/>
  <c r="AV107" i="75"/>
  <c r="AZ101" i="75"/>
  <c r="BA101" i="75"/>
  <c r="BH64" i="78"/>
  <c r="AS58" i="78"/>
  <c r="BJ103" i="78"/>
  <c r="Q33" i="59"/>
  <c r="U80" i="59"/>
  <c r="K53" i="88"/>
  <c r="Y141" i="109"/>
  <c r="BL106" i="109"/>
  <c r="BA102" i="91"/>
  <c r="AZ102" i="91"/>
  <c r="AV108" i="91"/>
  <c r="AV109" i="91" s="1"/>
  <c r="Q106" i="86"/>
  <c r="R106" i="86"/>
  <c r="M106" i="86"/>
  <c r="A126" i="107"/>
  <c r="B125" i="107"/>
  <c r="R107" i="75"/>
  <c r="M107" i="75"/>
  <c r="Q107" i="75"/>
  <c r="AO54" i="88"/>
  <c r="AS54" i="88"/>
  <c r="AM93" i="88"/>
  <c r="BI107" i="109"/>
  <c r="BJ106" i="109"/>
  <c r="BA99" i="109"/>
  <c r="AT99" i="109" s="1"/>
  <c r="BB99" i="109"/>
  <c r="AW105" i="109"/>
  <c r="R106" i="110"/>
  <c r="S105" i="110"/>
  <c r="L47" i="109"/>
  <c r="P47" i="109" s="1"/>
  <c r="N47" i="109" s="1"/>
  <c r="X82" i="109"/>
  <c r="J46" i="109"/>
  <c r="BL46" i="109"/>
  <c r="Y81" i="109"/>
  <c r="V107" i="109"/>
  <c r="U108" i="109"/>
  <c r="Q106" i="109"/>
  <c r="J106" i="109" s="1"/>
  <c r="R106" i="109"/>
  <c r="M106" i="109"/>
  <c r="X91" i="75"/>
  <c r="BK56" i="75"/>
  <c r="J56" i="75"/>
  <c r="M56" i="75"/>
  <c r="S56" i="75" s="1"/>
  <c r="N32" i="111"/>
  <c r="L32" i="111" s="1"/>
  <c r="J111" i="111"/>
  <c r="E112" i="111"/>
  <c r="F111" i="111"/>
  <c r="AV31" i="111"/>
  <c r="AU31" i="111"/>
  <c r="AT31" i="111" s="1"/>
  <c r="AR31" i="111" s="1"/>
  <c r="AX109" i="111"/>
  <c r="L43" i="94"/>
  <c r="P43" i="94" s="1"/>
  <c r="N43" i="94" s="1"/>
  <c r="X78" i="94"/>
  <c r="K47" i="109"/>
  <c r="BL47" i="109" s="1"/>
  <c r="M105" i="94"/>
  <c r="Q105" i="94"/>
  <c r="J105" i="94" s="1"/>
  <c r="R105" i="94"/>
  <c r="V106" i="94"/>
  <c r="U107" i="94"/>
  <c r="AK72" i="110"/>
  <c r="AV31" i="110"/>
  <c r="AU31" i="110"/>
  <c r="M33" i="112"/>
  <c r="K32" i="112"/>
  <c r="Q32" i="112" s="1"/>
  <c r="BA32" i="112"/>
  <c r="AY31" i="112"/>
  <c r="AI72" i="112"/>
  <c r="BB77" i="112"/>
  <c r="AP31" i="112"/>
  <c r="AX109" i="112"/>
  <c r="AM111" i="112"/>
  <c r="AN110" i="112"/>
  <c r="J109" i="112"/>
  <c r="E110" i="112"/>
  <c r="F109" i="112"/>
  <c r="AW106" i="94"/>
  <c r="BA100" i="94"/>
  <c r="AT100" i="94" s="1"/>
  <c r="BB100" i="94"/>
  <c r="BJ107" i="94"/>
  <c r="BI108" i="94"/>
  <c r="AK72" i="111"/>
  <c r="AU107" i="94"/>
  <c r="AR107" i="94"/>
  <c r="AQ108" i="94"/>
  <c r="BL106" i="94"/>
  <c r="Y141" i="94"/>
  <c r="AN145" i="94"/>
  <c r="AP106" i="94"/>
  <c r="G108" i="94"/>
  <c r="W107" i="94"/>
  <c r="K107" i="94"/>
  <c r="T107" i="94"/>
  <c r="H107" i="94"/>
  <c r="BK107" i="94" s="1"/>
  <c r="I107" i="94"/>
  <c r="AV89" i="109"/>
  <c r="AZ89" i="109" s="1"/>
  <c r="AX89" i="109" s="1"/>
  <c r="AW89" i="109" s="1"/>
  <c r="BH89" i="109" s="1"/>
  <c r="BM134" i="109"/>
  <c r="K33" i="110"/>
  <c r="Q33" i="110" s="1"/>
  <c r="BM132" i="94"/>
  <c r="AV87" i="94"/>
  <c r="AZ87" i="94" s="1"/>
  <c r="AX87" i="94" s="1"/>
  <c r="AW87" i="94" s="1"/>
  <c r="BH87" i="94" s="1"/>
  <c r="AI75" i="103"/>
  <c r="AP34" i="103"/>
  <c r="BB80" i="103"/>
  <c r="AY34" i="103"/>
  <c r="AL33" i="103"/>
  <c r="AJ74" i="103"/>
  <c r="I29" i="61"/>
  <c r="R29" i="61"/>
  <c r="S59" i="61"/>
  <c r="AU91" i="105" l="1"/>
  <c r="AY91" i="105" s="1"/>
  <c r="AW91" i="105" s="1"/>
  <c r="AV91" i="105" s="1"/>
  <c r="BG91" i="105" s="1"/>
  <c r="BL136" i="105"/>
  <c r="X90" i="91"/>
  <c r="BK55" i="91"/>
  <c r="J55" i="91"/>
  <c r="M56" i="91"/>
  <c r="S56" i="91" s="1"/>
  <c r="W91" i="91"/>
  <c r="K56" i="91"/>
  <c r="L56" i="91"/>
  <c r="P56" i="91" s="1"/>
  <c r="N56" i="91" s="1"/>
  <c r="AM100" i="91"/>
  <c r="AS61" i="91"/>
  <c r="AO61" i="91"/>
  <c r="M77" i="105"/>
  <c r="L77" i="105"/>
  <c r="P77" i="105" s="1"/>
  <c r="N77" i="105" s="1"/>
  <c r="W112" i="105"/>
  <c r="S77" i="105"/>
  <c r="E118" i="107"/>
  <c r="G118" i="107" s="1"/>
  <c r="D118" i="107" s="1"/>
  <c r="C119" i="107" s="1"/>
  <c r="F118" i="107"/>
  <c r="M113" i="66"/>
  <c r="L113" i="66"/>
  <c r="N113" i="66"/>
  <c r="AU52" i="86"/>
  <c r="AY52" i="86" s="1"/>
  <c r="AW52" i="86" s="1"/>
  <c r="AT52" i="86" s="1"/>
  <c r="BL97" i="86"/>
  <c r="AJ73" i="59"/>
  <c r="AL34" i="59"/>
  <c r="I108" i="100"/>
  <c r="H108" i="100"/>
  <c r="BJ108" i="100" s="1"/>
  <c r="E113" i="103"/>
  <c r="J112" i="103"/>
  <c r="F112" i="103"/>
  <c r="U114" i="66"/>
  <c r="G114" i="66"/>
  <c r="F115" i="66"/>
  <c r="AA114" i="66"/>
  <c r="AT53" i="75"/>
  <c r="AV53" i="75" s="1"/>
  <c r="BG53" i="75" s="1"/>
  <c r="AO57" i="78"/>
  <c r="AM96" i="78"/>
  <c r="S34" i="59"/>
  <c r="J34" i="59"/>
  <c r="T81" i="59"/>
  <c r="BH110" i="75"/>
  <c r="BI109" i="75"/>
  <c r="L68" i="106"/>
  <c r="P68" i="106" s="1"/>
  <c r="N68" i="106" s="1"/>
  <c r="W103" i="106"/>
  <c r="BK109" i="106"/>
  <c r="BK115" i="106" s="1"/>
  <c r="C22" i="106"/>
  <c r="L55" i="78"/>
  <c r="R55" i="78" s="1"/>
  <c r="E139" i="110"/>
  <c r="J138" i="110"/>
  <c r="F138" i="110"/>
  <c r="H108" i="88"/>
  <c r="BJ108" i="88" s="1"/>
  <c r="BI110" i="91"/>
  <c r="BH111" i="91"/>
  <c r="J34" i="66"/>
  <c r="I34" i="66" s="1"/>
  <c r="K34" i="66"/>
  <c r="X34" i="66"/>
  <c r="BL107" i="109"/>
  <c r="Y142" i="109"/>
  <c r="BA102" i="75"/>
  <c r="AZ102" i="75"/>
  <c r="AV108" i="75"/>
  <c r="AU62" i="91"/>
  <c r="AY62" i="91" s="1"/>
  <c r="AW62" i="91" s="1"/>
  <c r="AT62" i="91" s="1"/>
  <c r="BL107" i="91"/>
  <c r="BG62" i="91"/>
  <c r="BI107" i="106"/>
  <c r="BH108" i="106"/>
  <c r="D79" i="108"/>
  <c r="C80" i="108" s="1"/>
  <c r="Q107" i="86"/>
  <c r="M107" i="86"/>
  <c r="R107" i="86"/>
  <c r="BA103" i="91"/>
  <c r="AZ103" i="91"/>
  <c r="AT55" i="88"/>
  <c r="V107" i="105"/>
  <c r="U108" i="105"/>
  <c r="BA100" i="106"/>
  <c r="AZ100" i="106"/>
  <c r="AV106" i="106"/>
  <c r="AV58" i="78"/>
  <c r="BI107" i="86"/>
  <c r="BH108" i="86"/>
  <c r="AU78" i="106"/>
  <c r="AY78" i="106" s="1"/>
  <c r="BL123" i="106"/>
  <c r="BG78" i="106"/>
  <c r="M106" i="100"/>
  <c r="R106" i="100"/>
  <c r="Q106" i="100"/>
  <c r="A127" i="107"/>
  <c r="B126" i="107"/>
  <c r="O173" i="66"/>
  <c r="W174" i="66"/>
  <c r="T108" i="109"/>
  <c r="W108" i="109"/>
  <c r="K108" i="109"/>
  <c r="H108" i="109"/>
  <c r="BK108" i="109" s="1"/>
  <c r="I108" i="109"/>
  <c r="R106" i="105"/>
  <c r="M106" i="105"/>
  <c r="Q106" i="105"/>
  <c r="BA100" i="100"/>
  <c r="AZ100" i="100"/>
  <c r="AV106" i="100"/>
  <c r="AQ34" i="59"/>
  <c r="BB34" i="59" s="1"/>
  <c r="AV106" i="86"/>
  <c r="BA100" i="86"/>
  <c r="AZ100" i="86"/>
  <c r="AV107" i="105"/>
  <c r="BA101" i="105"/>
  <c r="AZ101" i="105"/>
  <c r="Y144" i="106"/>
  <c r="X144" i="106"/>
  <c r="V107" i="100"/>
  <c r="U108" i="100"/>
  <c r="A124" i="108"/>
  <c r="B123" i="108"/>
  <c r="X88" i="88"/>
  <c r="J53" i="88"/>
  <c r="BK53" i="88"/>
  <c r="BE58" i="78"/>
  <c r="AY58" i="78"/>
  <c r="AX58" i="78"/>
  <c r="AW58" i="78" s="1"/>
  <c r="AU58" i="78" s="1"/>
  <c r="AR58" i="78" s="1"/>
  <c r="AT58" i="78"/>
  <c r="BI109" i="88"/>
  <c r="BH110" i="88"/>
  <c r="M70" i="100"/>
  <c r="S70" i="100"/>
  <c r="L70" i="100"/>
  <c r="P70" i="100" s="1"/>
  <c r="N70" i="100" s="1"/>
  <c r="W105" i="100"/>
  <c r="BH108" i="100"/>
  <c r="BI107" i="100"/>
  <c r="BI108" i="105"/>
  <c r="BH109" i="105"/>
  <c r="J55" i="78"/>
  <c r="M53" i="88"/>
  <c r="S53" i="88" s="1"/>
  <c r="AZ102" i="88"/>
  <c r="AV108" i="88"/>
  <c r="BA102" i="88"/>
  <c r="AS35" i="59"/>
  <c r="AU91" i="100"/>
  <c r="AY91" i="100" s="1"/>
  <c r="AW91" i="100" s="1"/>
  <c r="BL136" i="100"/>
  <c r="BG91" i="100"/>
  <c r="J52" i="86"/>
  <c r="BK52" i="86"/>
  <c r="X87" i="86"/>
  <c r="M52" i="86"/>
  <c r="S52" i="86" s="1"/>
  <c r="BB100" i="109"/>
  <c r="BA100" i="109"/>
  <c r="AT100" i="109" s="1"/>
  <c r="AW106" i="109"/>
  <c r="BJ107" i="109"/>
  <c r="BI108" i="109"/>
  <c r="R107" i="110"/>
  <c r="S106" i="110"/>
  <c r="Q107" i="109"/>
  <c r="J107" i="109" s="1"/>
  <c r="R107" i="109"/>
  <c r="M107" i="109"/>
  <c r="Y82" i="109"/>
  <c r="J47" i="109"/>
  <c r="M47" i="109"/>
  <c r="S47" i="109" s="1"/>
  <c r="L48" i="109" s="1"/>
  <c r="W92" i="75"/>
  <c r="L57" i="75"/>
  <c r="P57" i="75" s="1"/>
  <c r="N57" i="75" s="1"/>
  <c r="K57" i="75" s="1"/>
  <c r="AO31" i="111"/>
  <c r="AL31" i="111" s="1"/>
  <c r="E113" i="111"/>
  <c r="J112" i="111"/>
  <c r="F112" i="111"/>
  <c r="G32" i="111"/>
  <c r="K32" i="111" s="1"/>
  <c r="Q32" i="111" s="1"/>
  <c r="AS32" i="111"/>
  <c r="M33" i="111"/>
  <c r="AX110" i="111"/>
  <c r="K43" i="94"/>
  <c r="V107" i="94"/>
  <c r="U108" i="94"/>
  <c r="R106" i="94"/>
  <c r="Q106" i="94"/>
  <c r="J106" i="94" s="1"/>
  <c r="M106" i="94"/>
  <c r="AT31" i="110"/>
  <c r="AR31" i="110" s="1"/>
  <c r="AS32" i="110" s="1"/>
  <c r="S33" i="112"/>
  <c r="T74" i="112"/>
  <c r="H33" i="112"/>
  <c r="E111" i="112"/>
  <c r="J110" i="112"/>
  <c r="F110" i="112"/>
  <c r="AX110" i="112"/>
  <c r="AK72" i="112"/>
  <c r="AM112" i="112"/>
  <c r="AN111" i="112"/>
  <c r="AV31" i="112"/>
  <c r="AU31" i="112"/>
  <c r="BA101" i="94"/>
  <c r="AT101" i="94" s="1"/>
  <c r="AW107" i="94"/>
  <c r="BB101" i="94"/>
  <c r="BJ108" i="94"/>
  <c r="BI109" i="94"/>
  <c r="Y142" i="94"/>
  <c r="BL107" i="94"/>
  <c r="AU108" i="94"/>
  <c r="AR108" i="94"/>
  <c r="W108" i="94"/>
  <c r="T108" i="94"/>
  <c r="H108" i="94"/>
  <c r="BK108" i="94" s="1"/>
  <c r="K108" i="94"/>
  <c r="I108" i="94"/>
  <c r="AP107" i="94"/>
  <c r="AN146" i="94"/>
  <c r="H34" i="110"/>
  <c r="T75" i="110"/>
  <c r="BM135" i="109"/>
  <c r="AV90" i="109"/>
  <c r="AZ90" i="109" s="1"/>
  <c r="AX90" i="109" s="1"/>
  <c r="AW90" i="109" s="1"/>
  <c r="BH90" i="109" s="1"/>
  <c r="BM133" i="94"/>
  <c r="AV88" i="94"/>
  <c r="AZ88" i="94" s="1"/>
  <c r="AX88" i="94" s="1"/>
  <c r="AW88" i="94" s="1"/>
  <c r="BH88" i="94" s="1"/>
  <c r="AK75" i="103"/>
  <c r="AU34" i="103"/>
  <c r="AT34" i="103" s="1"/>
  <c r="AV34" i="103"/>
  <c r="O29" i="61"/>
  <c r="N29" i="61"/>
  <c r="AS52" i="86" l="1"/>
  <c r="AO52" i="86"/>
  <c r="AM91" i="86"/>
  <c r="M57" i="91"/>
  <c r="S57" i="91" s="1"/>
  <c r="W92" i="91"/>
  <c r="L57" i="91"/>
  <c r="P57" i="91" s="1"/>
  <c r="N57" i="91" s="1"/>
  <c r="K57" i="91" s="1"/>
  <c r="AO58" i="78"/>
  <c r="AM97" i="78"/>
  <c r="F119" i="107"/>
  <c r="E119" i="107"/>
  <c r="G119" i="107" s="1"/>
  <c r="D119" i="107" s="1"/>
  <c r="C120" i="107" s="1"/>
  <c r="AU54" i="75"/>
  <c r="AY54" i="75" s="1"/>
  <c r="AW54" i="75" s="1"/>
  <c r="BL99" i="75"/>
  <c r="AU92" i="105"/>
  <c r="AY92" i="105" s="1"/>
  <c r="AW92" i="105" s="1"/>
  <c r="BL137" i="105"/>
  <c r="BG92" i="105"/>
  <c r="AV92" i="105"/>
  <c r="AM101" i="91"/>
  <c r="AS62" i="91"/>
  <c r="AO62" i="91"/>
  <c r="W175" i="66"/>
  <c r="O174" i="66"/>
  <c r="BA104" i="91"/>
  <c r="AZ104" i="91"/>
  <c r="M68" i="106"/>
  <c r="S68" i="106" s="1"/>
  <c r="L114" i="66"/>
  <c r="N114" i="66"/>
  <c r="M114" i="66"/>
  <c r="AV52" i="86"/>
  <c r="BG52" i="86" s="1"/>
  <c r="L71" i="100"/>
  <c r="P71" i="100" s="1"/>
  <c r="N71" i="100" s="1"/>
  <c r="M71" i="100"/>
  <c r="S71" i="100" s="1"/>
  <c r="W106" i="100"/>
  <c r="X95" i="78"/>
  <c r="BJ61" i="78"/>
  <c r="BD41" i="59"/>
  <c r="BG80" i="59"/>
  <c r="AP35" i="59"/>
  <c r="AU79" i="106"/>
  <c r="AY79" i="106" s="1"/>
  <c r="BL124" i="106"/>
  <c r="BG79" i="106"/>
  <c r="BI108" i="100"/>
  <c r="BH109" i="100"/>
  <c r="AU92" i="100"/>
  <c r="AY92" i="100" s="1"/>
  <c r="AW92" i="100" s="1"/>
  <c r="BL137" i="100"/>
  <c r="BG92" i="100"/>
  <c r="BI109" i="105"/>
  <c r="BH110" i="105"/>
  <c r="BH111" i="88"/>
  <c r="BI110" i="88"/>
  <c r="S34" i="66"/>
  <c r="T34" i="66"/>
  <c r="E140" i="110"/>
  <c r="J139" i="110"/>
  <c r="F139" i="110"/>
  <c r="AS55" i="88"/>
  <c r="AO55" i="88"/>
  <c r="AM94" i="88"/>
  <c r="W89" i="88"/>
  <c r="L54" i="88"/>
  <c r="P54" i="88" s="1"/>
  <c r="N54" i="88" s="1"/>
  <c r="AQ31" i="111"/>
  <c r="AW31" i="111" s="1"/>
  <c r="AZ102" i="105"/>
  <c r="BA102" i="105"/>
  <c r="AV108" i="105"/>
  <c r="AV109" i="105" s="1"/>
  <c r="AZ103" i="88"/>
  <c r="BA103" i="88"/>
  <c r="L56" i="78"/>
  <c r="R56" i="78"/>
  <c r="W96" i="78"/>
  <c r="K56" i="78"/>
  <c r="O56" i="78" s="1"/>
  <c r="M56" i="78" s="1"/>
  <c r="N57" i="78" s="1"/>
  <c r="J56" i="78"/>
  <c r="AZ103" i="75"/>
  <c r="BA103" i="75"/>
  <c r="W88" i="86"/>
  <c r="L53" i="86"/>
  <c r="P53" i="86" s="1"/>
  <c r="N53" i="86" s="1"/>
  <c r="K53" i="86" s="1"/>
  <c r="AV107" i="100"/>
  <c r="AZ101" i="100"/>
  <c r="BA101" i="100"/>
  <c r="B124" i="108"/>
  <c r="A125" i="108"/>
  <c r="Y143" i="109"/>
  <c r="BL108" i="109"/>
  <c r="B127" i="107"/>
  <c r="A128" i="107"/>
  <c r="BH109" i="86"/>
  <c r="BI108" i="86"/>
  <c r="Q107" i="105"/>
  <c r="M107" i="105"/>
  <c r="R107" i="105"/>
  <c r="F80" i="108"/>
  <c r="E80" i="108"/>
  <c r="G80" i="108"/>
  <c r="BH111" i="75"/>
  <c r="BI110" i="75"/>
  <c r="AM92" i="75"/>
  <c r="AS53" i="75"/>
  <c r="AO53" i="75"/>
  <c r="E114" i="103"/>
  <c r="J113" i="103"/>
  <c r="F113" i="103"/>
  <c r="L78" i="105"/>
  <c r="P78" i="105" s="1"/>
  <c r="N78" i="105" s="1"/>
  <c r="M78" i="105"/>
  <c r="S78" i="105" s="1"/>
  <c r="W113" i="105"/>
  <c r="X91" i="91"/>
  <c r="BK56" i="91"/>
  <c r="J56" i="91"/>
  <c r="AZ101" i="86"/>
  <c r="AV107" i="86"/>
  <c r="BA101" i="86"/>
  <c r="R34" i="66"/>
  <c r="P34" i="66" s="1"/>
  <c r="AW59" i="78"/>
  <c r="BI108" i="106"/>
  <c r="BH109" i="106"/>
  <c r="R107" i="100"/>
  <c r="M107" i="100"/>
  <c r="Q107" i="100"/>
  <c r="BA101" i="106"/>
  <c r="AZ101" i="106"/>
  <c r="AV107" i="106"/>
  <c r="N34" i="59"/>
  <c r="L34" i="59" s="1"/>
  <c r="I34" i="59" s="1"/>
  <c r="BF40" i="59" s="1"/>
  <c r="BH65" i="78"/>
  <c r="AT59" i="78"/>
  <c r="BJ104" i="78"/>
  <c r="AU63" i="91"/>
  <c r="AY63" i="91" s="1"/>
  <c r="AW63" i="91" s="1"/>
  <c r="AT63" i="91" s="1"/>
  <c r="BL108" i="91"/>
  <c r="BG63" i="91"/>
  <c r="BI111" i="91"/>
  <c r="BH112" i="91"/>
  <c r="O34" i="59"/>
  <c r="P34" i="59"/>
  <c r="K34" i="59"/>
  <c r="U81" i="59" s="1"/>
  <c r="U115" i="66"/>
  <c r="G115" i="66"/>
  <c r="F116" i="66"/>
  <c r="AA115" i="66"/>
  <c r="AV55" i="88"/>
  <c r="BG55" i="88" s="1"/>
  <c r="AW107" i="109"/>
  <c r="BB101" i="109"/>
  <c r="BA101" i="109"/>
  <c r="AT101" i="109" s="1"/>
  <c r="BI109" i="109"/>
  <c r="BJ108" i="109"/>
  <c r="R108" i="110"/>
  <c r="S107" i="110"/>
  <c r="P48" i="109"/>
  <c r="N48" i="109" s="1"/>
  <c r="X83" i="109"/>
  <c r="J57" i="75"/>
  <c r="BK57" i="75"/>
  <c r="X92" i="75"/>
  <c r="M57" i="75"/>
  <c r="S57" i="75" s="1"/>
  <c r="S33" i="111"/>
  <c r="H33" i="111"/>
  <c r="T74" i="111"/>
  <c r="V74" i="111" s="1"/>
  <c r="AP32" i="111"/>
  <c r="BB78" i="111"/>
  <c r="AY32" i="111"/>
  <c r="BA32" i="111"/>
  <c r="E114" i="111"/>
  <c r="J113" i="111"/>
  <c r="F113" i="111"/>
  <c r="AX111" i="111"/>
  <c r="J43" i="94"/>
  <c r="BL43" i="94"/>
  <c r="Y78" i="94"/>
  <c r="M43" i="94"/>
  <c r="S43" i="94" s="1"/>
  <c r="M107" i="94"/>
  <c r="R107" i="94"/>
  <c r="Q107" i="94"/>
  <c r="J107" i="94" s="1"/>
  <c r="AO31" i="110"/>
  <c r="AQ31" i="110" s="1"/>
  <c r="AW31" i="110" s="1"/>
  <c r="I33" i="112"/>
  <c r="V74" i="112"/>
  <c r="U73" i="112"/>
  <c r="O33" i="112"/>
  <c r="N33" i="112" s="1"/>
  <c r="L33" i="112" s="1"/>
  <c r="P33" i="112"/>
  <c r="AM113" i="112"/>
  <c r="AN112" i="112"/>
  <c r="AT31" i="112"/>
  <c r="AR31" i="112" s="1"/>
  <c r="AS32" i="112" s="1"/>
  <c r="AX111" i="112"/>
  <c r="E112" i="112"/>
  <c r="J111" i="112"/>
  <c r="F111" i="112"/>
  <c r="BB102" i="94"/>
  <c r="AW108" i="94"/>
  <c r="BA102" i="94"/>
  <c r="AT102" i="94" s="1"/>
  <c r="BI110" i="94"/>
  <c r="BJ109" i="94"/>
  <c r="AJ72" i="111"/>
  <c r="AN147" i="94"/>
  <c r="AP108" i="94"/>
  <c r="AP7" i="94" s="1"/>
  <c r="AU109" i="94"/>
  <c r="BL108" i="94"/>
  <c r="Y143" i="94"/>
  <c r="BM136" i="109"/>
  <c r="AV91" i="109"/>
  <c r="AZ91" i="109" s="1"/>
  <c r="AX91" i="109" s="1"/>
  <c r="AW91" i="109" s="1"/>
  <c r="BH91" i="109" s="1"/>
  <c r="O34" i="110"/>
  <c r="N34" i="110" s="1"/>
  <c r="L34" i="110" s="1"/>
  <c r="G34" i="110" s="1"/>
  <c r="BA34" i="110" s="1"/>
  <c r="P34" i="110"/>
  <c r="V75" i="110"/>
  <c r="U74" i="110"/>
  <c r="I34" i="110"/>
  <c r="AR34" i="103"/>
  <c r="AO34" i="103" s="1"/>
  <c r="AL34" i="103" s="1"/>
  <c r="BM134" i="94"/>
  <c r="AV89" i="94"/>
  <c r="AZ89" i="94" s="1"/>
  <c r="AX89" i="94" s="1"/>
  <c r="AW89" i="94" s="1"/>
  <c r="BH89" i="94" s="1"/>
  <c r="M29" i="61"/>
  <c r="K29" i="61" s="1"/>
  <c r="J57" i="91" l="1"/>
  <c r="X92" i="91"/>
  <c r="BK57" i="91"/>
  <c r="L79" i="105"/>
  <c r="P79" i="105" s="1"/>
  <c r="N79" i="105" s="1"/>
  <c r="W114" i="105"/>
  <c r="M58" i="91"/>
  <c r="S58" i="91" s="1"/>
  <c r="W93" i="91"/>
  <c r="L58" i="91"/>
  <c r="P58" i="91" s="1"/>
  <c r="N58" i="91" s="1"/>
  <c r="K58" i="91" s="1"/>
  <c r="AS63" i="91"/>
  <c r="AM102" i="91"/>
  <c r="AO63" i="91"/>
  <c r="X88" i="86"/>
  <c r="BK53" i="86"/>
  <c r="J53" i="86"/>
  <c r="F120" i="107"/>
  <c r="E120" i="107"/>
  <c r="G120" i="107"/>
  <c r="D120" i="107" s="1"/>
  <c r="C121" i="107" s="1"/>
  <c r="Q34" i="59"/>
  <c r="BH110" i="106"/>
  <c r="BI109" i="106"/>
  <c r="BI111" i="75"/>
  <c r="BH112" i="75"/>
  <c r="A126" i="108"/>
  <c r="B125" i="108"/>
  <c r="K57" i="78"/>
  <c r="O57" i="78" s="1"/>
  <c r="M57" i="78" s="1"/>
  <c r="N58" i="78" s="1"/>
  <c r="W97" i="78"/>
  <c r="BI110" i="105"/>
  <c r="BH111" i="105"/>
  <c r="L69" i="106"/>
  <c r="P69" i="106" s="1"/>
  <c r="N69" i="106" s="1"/>
  <c r="W104" i="106"/>
  <c r="AU56" i="88"/>
  <c r="AY56" i="88" s="1"/>
  <c r="AW56" i="88" s="1"/>
  <c r="AT56" i="88" s="1"/>
  <c r="BL101" i="88"/>
  <c r="AZ102" i="106"/>
  <c r="AV108" i="106"/>
  <c r="AV109" i="106" s="1"/>
  <c r="BA102" i="106"/>
  <c r="AZ103" i="105"/>
  <c r="BA103" i="105"/>
  <c r="M72" i="100"/>
  <c r="S72" i="100" s="1"/>
  <c r="L72" i="100"/>
  <c r="P72" i="100" s="1"/>
  <c r="N72" i="100" s="1"/>
  <c r="W107" i="100"/>
  <c r="AT54" i="75"/>
  <c r="M35" i="59"/>
  <c r="D80" i="108"/>
  <c r="C81" i="108" s="1"/>
  <c r="BA102" i="86"/>
  <c r="AV108" i="86"/>
  <c r="AZ102" i="86"/>
  <c r="M53" i="86"/>
  <c r="S53" i="86" s="1"/>
  <c r="K54" i="88"/>
  <c r="M54" i="88" s="1"/>
  <c r="S54" i="88" s="1"/>
  <c r="BL138" i="100"/>
  <c r="AU93" i="100"/>
  <c r="AY93" i="100" s="1"/>
  <c r="AW93" i="100" s="1"/>
  <c r="AT93" i="100" s="1"/>
  <c r="BG93" i="100"/>
  <c r="BL138" i="105"/>
  <c r="AU93" i="105"/>
  <c r="AY93" i="105" s="1"/>
  <c r="AW93" i="105" s="1"/>
  <c r="AT93" i="105" s="1"/>
  <c r="BG93" i="105"/>
  <c r="BH113" i="91"/>
  <c r="BI112" i="91"/>
  <c r="E115" i="103"/>
  <c r="J114" i="103"/>
  <c r="F114" i="103"/>
  <c r="BH110" i="86"/>
  <c r="BI109" i="86"/>
  <c r="E141" i="110"/>
  <c r="J140" i="110"/>
  <c r="F140" i="110"/>
  <c r="U116" i="66"/>
  <c r="AA116" i="66"/>
  <c r="F117" i="66"/>
  <c r="G116" i="66"/>
  <c r="AU53" i="86"/>
  <c r="AY53" i="86" s="1"/>
  <c r="AW53" i="86" s="1"/>
  <c r="AT53" i="86" s="1"/>
  <c r="BL98" i="86"/>
  <c r="BA104" i="75"/>
  <c r="AZ104" i="75"/>
  <c r="BF59" i="78"/>
  <c r="AZ59" i="78"/>
  <c r="AU59" i="78"/>
  <c r="AY59" i="78"/>
  <c r="A129" i="107"/>
  <c r="B128" i="107"/>
  <c r="N115" i="66"/>
  <c r="L115" i="66"/>
  <c r="M115" i="66"/>
  <c r="AU64" i="91"/>
  <c r="AY64" i="91" s="1"/>
  <c r="AW64" i="91" s="1"/>
  <c r="AT64" i="91" s="1"/>
  <c r="BL109" i="91"/>
  <c r="BG64" i="91"/>
  <c r="H34" i="66"/>
  <c r="O34" i="66" s="1"/>
  <c r="X96" i="78"/>
  <c r="BJ62" i="78"/>
  <c r="Q35" i="66"/>
  <c r="BH110" i="100"/>
  <c r="BI109" i="100"/>
  <c r="AV35" i="59"/>
  <c r="AU35" i="59"/>
  <c r="AT35" i="59" s="1"/>
  <c r="AR35" i="59" s="1"/>
  <c r="W176" i="66"/>
  <c r="O175" i="66"/>
  <c r="AZ105" i="91"/>
  <c r="BA105" i="91"/>
  <c r="BA104" i="88"/>
  <c r="AZ104" i="88"/>
  <c r="AZ102" i="100"/>
  <c r="AV108" i="100"/>
  <c r="AV109" i="100" s="1"/>
  <c r="BA102" i="100"/>
  <c r="BH112" i="88"/>
  <c r="BI111" i="88"/>
  <c r="AU80" i="106"/>
  <c r="AY80" i="106" s="1"/>
  <c r="BL125" i="106"/>
  <c r="BG80" i="106"/>
  <c r="BJ109" i="109"/>
  <c r="BI110" i="109"/>
  <c r="BB102" i="109"/>
  <c r="AW108" i="109"/>
  <c r="BA102" i="109"/>
  <c r="AT102" i="109" s="1"/>
  <c r="R109" i="110"/>
  <c r="S108" i="110"/>
  <c r="K48" i="109"/>
  <c r="M48" i="109" s="1"/>
  <c r="S48" i="109" s="1"/>
  <c r="L49" i="109" s="1"/>
  <c r="L58" i="75"/>
  <c r="P58" i="75" s="1"/>
  <c r="N58" i="75" s="1"/>
  <c r="K58" i="75" s="1"/>
  <c r="W93" i="75"/>
  <c r="E115" i="111"/>
  <c r="J114" i="111"/>
  <c r="F114" i="111"/>
  <c r="AU32" i="111"/>
  <c r="AV32" i="111"/>
  <c r="I33" i="111"/>
  <c r="U73" i="111"/>
  <c r="O33" i="111"/>
  <c r="P33" i="111"/>
  <c r="AX112" i="111"/>
  <c r="L44" i="94"/>
  <c r="P44" i="94" s="1"/>
  <c r="N44" i="94" s="1"/>
  <c r="X79" i="94"/>
  <c r="BB78" i="110"/>
  <c r="AY32" i="110"/>
  <c r="AP32" i="110"/>
  <c r="AI73" i="110"/>
  <c r="AL31" i="110"/>
  <c r="AJ72" i="110"/>
  <c r="M34" i="112"/>
  <c r="G33" i="112"/>
  <c r="E113" i="112"/>
  <c r="J112" i="112"/>
  <c r="F112" i="112"/>
  <c r="AM114" i="112"/>
  <c r="AN113" i="112"/>
  <c r="AO31" i="112"/>
  <c r="AQ31" i="112" s="1"/>
  <c r="AW31" i="112" s="1"/>
  <c r="AX112" i="112"/>
  <c r="BJ110" i="94"/>
  <c r="BI111" i="94"/>
  <c r="BA103" i="94"/>
  <c r="AT103" i="94" s="1"/>
  <c r="BB103" i="94"/>
  <c r="AI73" i="111"/>
  <c r="AO148" i="94"/>
  <c r="AN148" i="94"/>
  <c r="K34" i="110"/>
  <c r="Q34" i="110" s="1"/>
  <c r="BH92" i="109"/>
  <c r="AW92" i="109"/>
  <c r="AV92" i="109"/>
  <c r="AZ92" i="109" s="1"/>
  <c r="AX92" i="109" s="1"/>
  <c r="BM137" i="109"/>
  <c r="M35" i="110"/>
  <c r="AQ34" i="103"/>
  <c r="AW34" i="103" s="1"/>
  <c r="BB81" i="103" s="1"/>
  <c r="AJ75" i="103"/>
  <c r="AS35" i="103"/>
  <c r="BM135" i="94"/>
  <c r="AV90" i="94"/>
  <c r="AZ90" i="94" s="1"/>
  <c r="AX90" i="94" s="1"/>
  <c r="AW90" i="94" s="1"/>
  <c r="BH90" i="94" s="1"/>
  <c r="H29" i="61"/>
  <c r="J29" i="61" s="1"/>
  <c r="L30" i="61"/>
  <c r="BK58" i="91" l="1"/>
  <c r="J58" i="91"/>
  <c r="X93" i="91"/>
  <c r="AM92" i="86"/>
  <c r="AO53" i="86"/>
  <c r="AS53" i="86"/>
  <c r="AV53" i="86"/>
  <c r="BG53" i="86" s="1"/>
  <c r="AS93" i="105"/>
  <c r="AM132" i="105"/>
  <c r="AO93" i="105"/>
  <c r="M59" i="91"/>
  <c r="S59" i="91"/>
  <c r="L59" i="91"/>
  <c r="P59" i="91" s="1"/>
  <c r="N59" i="91" s="1"/>
  <c r="K59" i="91" s="1"/>
  <c r="W94" i="91"/>
  <c r="AO35" i="59"/>
  <c r="AO56" i="88"/>
  <c r="AS56" i="88"/>
  <c r="AM95" i="88"/>
  <c r="AM132" i="100"/>
  <c r="AS93" i="100"/>
  <c r="AO93" i="100"/>
  <c r="AS64" i="91"/>
  <c r="AO64" i="91"/>
  <c r="AM103" i="91"/>
  <c r="V34" i="66"/>
  <c r="Z34" i="66"/>
  <c r="K55" i="88"/>
  <c r="W90" i="88"/>
  <c r="L55" i="88"/>
  <c r="P55" i="88" s="1"/>
  <c r="N55" i="88" s="1"/>
  <c r="F121" i="107"/>
  <c r="E121" i="107"/>
  <c r="G121" i="107" s="1"/>
  <c r="D121" i="107" s="1"/>
  <c r="C122" i="107" s="1"/>
  <c r="M69" i="106"/>
  <c r="S69" i="106" s="1"/>
  <c r="L57" i="78"/>
  <c r="R57" i="78" s="1"/>
  <c r="BH113" i="88"/>
  <c r="BI112" i="88"/>
  <c r="AZ103" i="100"/>
  <c r="BA103" i="100"/>
  <c r="E116" i="103"/>
  <c r="J115" i="103"/>
  <c r="F115" i="103"/>
  <c r="BL139" i="100"/>
  <c r="AU94" i="100"/>
  <c r="AY94" i="100" s="1"/>
  <c r="AW94" i="100" s="1"/>
  <c r="AT94" i="100" s="1"/>
  <c r="BG94" i="100"/>
  <c r="BH112" i="105"/>
  <c r="BI111" i="105"/>
  <c r="B126" i="108"/>
  <c r="A127" i="108"/>
  <c r="BI110" i="100"/>
  <c r="BH111" i="100"/>
  <c r="AX59" i="78"/>
  <c r="AV59" i="78" s="1"/>
  <c r="AS59" i="78" s="1"/>
  <c r="AV56" i="88"/>
  <c r="AZ104" i="105"/>
  <c r="BA104" i="105"/>
  <c r="BH113" i="75"/>
  <c r="BI112" i="75"/>
  <c r="M79" i="105"/>
  <c r="S79" i="105" s="1"/>
  <c r="BA105" i="88"/>
  <c r="AZ105" i="88"/>
  <c r="AU65" i="91"/>
  <c r="AY65" i="91" s="1"/>
  <c r="AW65" i="91" s="1"/>
  <c r="AT65" i="91" s="1"/>
  <c r="BL110" i="91"/>
  <c r="BG65" i="91"/>
  <c r="L73" i="100"/>
  <c r="P73" i="100" s="1"/>
  <c r="N73" i="100" s="1"/>
  <c r="M73" i="100"/>
  <c r="S73" i="100" s="1"/>
  <c r="W108" i="100"/>
  <c r="BA106" i="91"/>
  <c r="AZ106" i="91"/>
  <c r="G81" i="108"/>
  <c r="E81" i="108"/>
  <c r="F81" i="108"/>
  <c r="AZ105" i="75"/>
  <c r="BA105" i="75"/>
  <c r="B129" i="107"/>
  <c r="A130" i="107"/>
  <c r="W177" i="66"/>
  <c r="O176" i="66"/>
  <c r="BH66" i="78"/>
  <c r="AT60" i="78"/>
  <c r="BJ105" i="78"/>
  <c r="E142" i="110"/>
  <c r="J141" i="110"/>
  <c r="F141" i="110"/>
  <c r="BH114" i="91"/>
  <c r="BI114" i="91" s="1"/>
  <c r="BI113" i="91"/>
  <c r="BA103" i="106"/>
  <c r="AZ103" i="106"/>
  <c r="AW109" i="109"/>
  <c r="AU81" i="106"/>
  <c r="AY81" i="106" s="1"/>
  <c r="BL126" i="106"/>
  <c r="BG81" i="106"/>
  <c r="AS36" i="59"/>
  <c r="M116" i="66"/>
  <c r="L116" i="66"/>
  <c r="N116" i="66"/>
  <c r="BA103" i="86"/>
  <c r="AZ103" i="86"/>
  <c r="BL139" i="105"/>
  <c r="AU94" i="105"/>
  <c r="AY94" i="105" s="1"/>
  <c r="AW94" i="105" s="1"/>
  <c r="AT94" i="105" s="1"/>
  <c r="BG94" i="105"/>
  <c r="J54" i="88"/>
  <c r="X89" i="88"/>
  <c r="BK54" i="88"/>
  <c r="AS54" i="75"/>
  <c r="AM93" i="75"/>
  <c r="AO54" i="75"/>
  <c r="J57" i="78"/>
  <c r="BI110" i="106"/>
  <c r="BH111" i="106"/>
  <c r="F118" i="66"/>
  <c r="G117" i="66"/>
  <c r="U117" i="66"/>
  <c r="AA117" i="66"/>
  <c r="BI110" i="86"/>
  <c r="BH111" i="86"/>
  <c r="W89" i="86"/>
  <c r="L54" i="86"/>
  <c r="P54" i="86" s="1"/>
  <c r="N54" i="86" s="1"/>
  <c r="M54" i="86" s="1"/>
  <c r="S54" i="86" s="1"/>
  <c r="K54" i="86"/>
  <c r="T82" i="59"/>
  <c r="J35" i="59"/>
  <c r="S35" i="59"/>
  <c r="AV54" i="75"/>
  <c r="BJ110" i="109"/>
  <c r="BI111" i="109"/>
  <c r="BA103" i="109"/>
  <c r="AT103" i="109" s="1"/>
  <c r="BB103" i="109"/>
  <c r="R110" i="110"/>
  <c r="S109" i="110"/>
  <c r="BL48" i="109"/>
  <c r="Y83" i="109"/>
  <c r="J48" i="109"/>
  <c r="P49" i="109"/>
  <c r="N49" i="109" s="1"/>
  <c r="X84" i="109"/>
  <c r="X93" i="75"/>
  <c r="BK58" i="75"/>
  <c r="J58" i="75"/>
  <c r="M58" i="75"/>
  <c r="S58" i="75" s="1"/>
  <c r="N33" i="111"/>
  <c r="L33" i="111" s="1"/>
  <c r="AT32" i="111"/>
  <c r="AR32" i="111" s="1"/>
  <c r="J115" i="111"/>
  <c r="E116" i="111"/>
  <c r="F115" i="111"/>
  <c r="AX113" i="111"/>
  <c r="K44" i="94"/>
  <c r="AK73" i="110"/>
  <c r="AU32" i="110"/>
  <c r="AV32" i="110"/>
  <c r="BA33" i="112"/>
  <c r="K33" i="112"/>
  <c r="Q33" i="112" s="1"/>
  <c r="AY32" i="112"/>
  <c r="AI73" i="112"/>
  <c r="AP32" i="112"/>
  <c r="BB78" i="112"/>
  <c r="AM115" i="112"/>
  <c r="AN114" i="112"/>
  <c r="E114" i="112"/>
  <c r="J113" i="112"/>
  <c r="F113" i="112"/>
  <c r="AX113" i="112"/>
  <c r="AL31" i="112"/>
  <c r="AJ72" i="112"/>
  <c r="BI112" i="94"/>
  <c r="BJ111" i="94"/>
  <c r="BA104" i="94"/>
  <c r="AT104" i="94" s="1"/>
  <c r="BB104" i="94"/>
  <c r="AK73" i="111"/>
  <c r="AY35" i="103"/>
  <c r="AV35" i="103" s="1"/>
  <c r="AP35" i="103"/>
  <c r="AI76" i="103"/>
  <c r="AK76" i="103" s="1"/>
  <c r="AV93" i="109"/>
  <c r="AZ93" i="109" s="1"/>
  <c r="AX93" i="109" s="1"/>
  <c r="BM138" i="109"/>
  <c r="BH93" i="109"/>
  <c r="H35" i="110"/>
  <c r="T76" i="110"/>
  <c r="BM136" i="94"/>
  <c r="AV91" i="94"/>
  <c r="AZ91" i="94" s="1"/>
  <c r="AX91" i="94" s="1"/>
  <c r="AW91" i="94" s="1"/>
  <c r="BH91" i="94" s="1"/>
  <c r="P29" i="61"/>
  <c r="T59" i="61"/>
  <c r="F122" i="107" l="1"/>
  <c r="E122" i="107"/>
  <c r="G122" i="107" s="1"/>
  <c r="D122" i="107" s="1"/>
  <c r="C123" i="107" s="1"/>
  <c r="X94" i="91"/>
  <c r="J59" i="91"/>
  <c r="BK59" i="91"/>
  <c r="W90" i="86"/>
  <c r="L55" i="86"/>
  <c r="P55" i="86" s="1"/>
  <c r="N55" i="86" s="1"/>
  <c r="K55" i="86" s="1"/>
  <c r="AS65" i="91"/>
  <c r="AO65" i="91"/>
  <c r="AM104" i="91"/>
  <c r="AO94" i="105"/>
  <c r="AM133" i="105"/>
  <c r="AS94" i="105"/>
  <c r="AS94" i="100"/>
  <c r="AO94" i="100"/>
  <c r="AM133" i="100"/>
  <c r="BA108" i="91"/>
  <c r="AZ108" i="91"/>
  <c r="AZ109" i="91" s="1"/>
  <c r="BA106" i="75"/>
  <c r="AZ106" i="75"/>
  <c r="B127" i="108"/>
  <c r="A128" i="108"/>
  <c r="BI113" i="88"/>
  <c r="BH114" i="88"/>
  <c r="BI114" i="88" s="1"/>
  <c r="AJ74" i="59"/>
  <c r="AL35" i="59"/>
  <c r="AU66" i="91"/>
  <c r="AY66" i="91" s="1"/>
  <c r="AW66" i="91" s="1"/>
  <c r="AT66" i="91" s="1"/>
  <c r="BL111" i="91"/>
  <c r="BG66" i="91"/>
  <c r="X90" i="88"/>
  <c r="J55" i="88"/>
  <c r="BK55" i="88"/>
  <c r="AU54" i="86"/>
  <c r="AY54" i="86" s="1"/>
  <c r="AW54" i="86" s="1"/>
  <c r="BL99" i="86"/>
  <c r="O177" i="66"/>
  <c r="W178" i="66"/>
  <c r="D81" i="108"/>
  <c r="C82" i="108" s="1"/>
  <c r="AZ105" i="105"/>
  <c r="BA105" i="105"/>
  <c r="S70" i="106"/>
  <c r="M70" i="106"/>
  <c r="L70" i="106"/>
  <c r="P70" i="106" s="1"/>
  <c r="N70" i="106" s="1"/>
  <c r="W105" i="106"/>
  <c r="N117" i="66"/>
  <c r="L117" i="66"/>
  <c r="M117" i="66"/>
  <c r="E143" i="110"/>
  <c r="J142" i="110"/>
  <c r="F142" i="110"/>
  <c r="A131" i="107"/>
  <c r="B130" i="107"/>
  <c r="BI112" i="105"/>
  <c r="BH113" i="105"/>
  <c r="E117" i="103"/>
  <c r="J116" i="103"/>
  <c r="F116" i="103"/>
  <c r="M55" i="88"/>
  <c r="S55" i="88" s="1"/>
  <c r="BG54" i="75"/>
  <c r="U118" i="66"/>
  <c r="AA118" i="66"/>
  <c r="G118" i="66"/>
  <c r="F119" i="66"/>
  <c r="BG56" i="88"/>
  <c r="AW60" i="78"/>
  <c r="M60" i="91"/>
  <c r="S60" i="91" s="1"/>
  <c r="L60" i="91"/>
  <c r="P60" i="91" s="1"/>
  <c r="N60" i="91" s="1"/>
  <c r="K60" i="91" s="1"/>
  <c r="W95" i="91"/>
  <c r="BK54" i="86"/>
  <c r="X89" i="86"/>
  <c r="J54" i="86"/>
  <c r="AU82" i="106"/>
  <c r="AY82" i="106" s="1"/>
  <c r="BL127" i="106"/>
  <c r="BG82" i="106"/>
  <c r="BI113" i="75"/>
  <c r="BH114" i="75"/>
  <c r="BI114" i="75" s="1"/>
  <c r="O35" i="59"/>
  <c r="P35" i="59"/>
  <c r="BI111" i="106"/>
  <c r="BH112" i="106"/>
  <c r="AP59" i="78"/>
  <c r="AM98" i="78"/>
  <c r="AU95" i="100"/>
  <c r="AY95" i="100" s="1"/>
  <c r="AW95" i="100" s="1"/>
  <c r="AT95" i="100" s="1"/>
  <c r="BL140" i="100"/>
  <c r="BG95" i="100"/>
  <c r="K35" i="66"/>
  <c r="J35" i="66"/>
  <c r="I35" i="66" s="1"/>
  <c r="X35" i="66"/>
  <c r="L58" i="78"/>
  <c r="R58" i="78" s="1"/>
  <c r="W98" i="78"/>
  <c r="K58" i="78"/>
  <c r="O58" i="78" s="1"/>
  <c r="M58" i="78" s="1"/>
  <c r="N59" i="78" s="1"/>
  <c r="BH112" i="86"/>
  <c r="BI111" i="86"/>
  <c r="AZ104" i="106"/>
  <c r="BA104" i="106"/>
  <c r="AU95" i="105"/>
  <c r="AY95" i="105" s="1"/>
  <c r="AW95" i="105" s="1"/>
  <c r="AT95" i="105"/>
  <c r="BL140" i="105"/>
  <c r="BG95" i="105"/>
  <c r="BI111" i="100"/>
  <c r="BH112" i="100"/>
  <c r="N35" i="59"/>
  <c r="L35" i="59" s="1"/>
  <c r="I35" i="59" s="1"/>
  <c r="BF41" i="59" s="1"/>
  <c r="AZ104" i="86"/>
  <c r="BA104" i="86"/>
  <c r="BJ63" i="78"/>
  <c r="X97" i="78"/>
  <c r="BA107" i="91"/>
  <c r="AZ107" i="91"/>
  <c r="AY60" i="78"/>
  <c r="AU60" i="78"/>
  <c r="BF60" i="78"/>
  <c r="AZ60" i="78"/>
  <c r="M74" i="100"/>
  <c r="S74" i="100" s="1"/>
  <c r="L74" i="100"/>
  <c r="P74" i="100" s="1"/>
  <c r="N74" i="100" s="1"/>
  <c r="W109" i="100"/>
  <c r="L80" i="105"/>
  <c r="P80" i="105" s="1"/>
  <c r="N80" i="105" s="1"/>
  <c r="W115" i="105"/>
  <c r="AZ104" i="100"/>
  <c r="BA104" i="100"/>
  <c r="BA106" i="88"/>
  <c r="AZ106" i="88"/>
  <c r="AQ35" i="59"/>
  <c r="BB35" i="59" s="1"/>
  <c r="BJ111" i="109"/>
  <c r="BI112" i="109"/>
  <c r="BB104" i="109"/>
  <c r="BA104" i="109"/>
  <c r="AT104" i="109" s="1"/>
  <c r="R111" i="110"/>
  <c r="S110" i="110"/>
  <c r="K49" i="109"/>
  <c r="M49" i="109" s="1"/>
  <c r="S49" i="109" s="1"/>
  <c r="L59" i="75"/>
  <c r="P59" i="75" s="1"/>
  <c r="N59" i="75" s="1"/>
  <c r="K59" i="75" s="1"/>
  <c r="W94" i="75"/>
  <c r="AO32" i="111"/>
  <c r="AL32" i="111" s="1"/>
  <c r="J116" i="111"/>
  <c r="E117" i="111"/>
  <c r="F116" i="111"/>
  <c r="G33" i="111"/>
  <c r="K33" i="111" s="1"/>
  <c r="Q33" i="111" s="1"/>
  <c r="AS33" i="111"/>
  <c r="M34" i="111"/>
  <c r="AX114" i="111"/>
  <c r="Y79" i="94"/>
  <c r="J44" i="94"/>
  <c r="BL44" i="94"/>
  <c r="M44" i="94"/>
  <c r="S44" i="94" s="1"/>
  <c r="AT32" i="110"/>
  <c r="AR32" i="110" s="1"/>
  <c r="AS33" i="110" s="1"/>
  <c r="S34" i="112"/>
  <c r="T75" i="112"/>
  <c r="H34" i="112"/>
  <c r="J114" i="112"/>
  <c r="E115" i="112"/>
  <c r="F114" i="112"/>
  <c r="AX114" i="112"/>
  <c r="AM116" i="112"/>
  <c r="AN115" i="112"/>
  <c r="AK73" i="112"/>
  <c r="AV32" i="112"/>
  <c r="AU32" i="112"/>
  <c r="BB105" i="94"/>
  <c r="BA105" i="94"/>
  <c r="AT105" i="94" s="1"/>
  <c r="BJ112" i="94"/>
  <c r="BI113" i="94"/>
  <c r="AU35" i="103"/>
  <c r="AT35" i="103" s="1"/>
  <c r="AR35" i="103" s="1"/>
  <c r="AO35" i="103" s="1"/>
  <c r="AJ76" i="103" s="1"/>
  <c r="O35" i="110"/>
  <c r="N35" i="110" s="1"/>
  <c r="L35" i="110" s="1"/>
  <c r="G35" i="110" s="1"/>
  <c r="BA35" i="110" s="1"/>
  <c r="P35" i="110"/>
  <c r="I35" i="110"/>
  <c r="AV94" i="109"/>
  <c r="AZ94" i="109" s="1"/>
  <c r="AX94" i="109" s="1"/>
  <c r="BM139" i="109"/>
  <c r="BH94" i="109"/>
  <c r="V76" i="110"/>
  <c r="U75" i="110"/>
  <c r="AW92" i="94"/>
  <c r="AW109" i="94" s="1"/>
  <c r="AV92" i="94"/>
  <c r="AZ92" i="94" s="1"/>
  <c r="AX92" i="94" s="1"/>
  <c r="BH92" i="94"/>
  <c r="BM137" i="94"/>
  <c r="I30" i="61"/>
  <c r="S60" i="61"/>
  <c r="R30" i="61"/>
  <c r="BK55" i="86" l="1"/>
  <c r="X90" i="86"/>
  <c r="J55" i="86"/>
  <c r="AM105" i="91"/>
  <c r="AS66" i="91"/>
  <c r="AO66" i="91"/>
  <c r="X95" i="91"/>
  <c r="BK60" i="91"/>
  <c r="J60" i="91"/>
  <c r="F123" i="107"/>
  <c r="E123" i="107"/>
  <c r="G123" i="107"/>
  <c r="D123" i="107" s="1"/>
  <c r="C124" i="107" s="1"/>
  <c r="L75" i="100"/>
  <c r="P75" i="100" s="1"/>
  <c r="N75" i="100" s="1"/>
  <c r="M75" i="100"/>
  <c r="W110" i="100"/>
  <c r="S75" i="100"/>
  <c r="W99" i="78"/>
  <c r="K59" i="78"/>
  <c r="O59" i="78" s="1"/>
  <c r="M59" i="78" s="1"/>
  <c r="N60" i="78" s="1"/>
  <c r="M61" i="91"/>
  <c r="S61" i="91" s="1"/>
  <c r="W96" i="91"/>
  <c r="L61" i="91"/>
  <c r="P61" i="91" s="1"/>
  <c r="N61" i="91" s="1"/>
  <c r="K61" i="91" s="1"/>
  <c r="AV54" i="86"/>
  <c r="M80" i="105"/>
  <c r="S80" i="105" s="1"/>
  <c r="AU96" i="100"/>
  <c r="AY96" i="100" s="1"/>
  <c r="AW96" i="100" s="1"/>
  <c r="AT96" i="100" s="1"/>
  <c r="BL141" i="100"/>
  <c r="BG96" i="100"/>
  <c r="AZ105" i="106"/>
  <c r="BA105" i="106"/>
  <c r="N118" i="66"/>
  <c r="M118" i="66"/>
  <c r="L118" i="66"/>
  <c r="E118" i="103"/>
  <c r="J117" i="103"/>
  <c r="F117" i="103"/>
  <c r="AT54" i="86"/>
  <c r="M55" i="86"/>
  <c r="S55" i="86" s="1"/>
  <c r="BD42" i="59"/>
  <c r="BG81" i="59"/>
  <c r="AP36" i="59"/>
  <c r="AO95" i="100"/>
  <c r="AS95" i="100"/>
  <c r="AM134" i="100"/>
  <c r="K35" i="59"/>
  <c r="BI112" i="100"/>
  <c r="BH113" i="100"/>
  <c r="AZ106" i="105"/>
  <c r="BA106" i="105"/>
  <c r="W179" i="66"/>
  <c r="O178" i="66"/>
  <c r="F82" i="108"/>
  <c r="G82" i="108"/>
  <c r="E82" i="108"/>
  <c r="AZ105" i="100"/>
  <c r="BA105" i="100"/>
  <c r="AZ105" i="86"/>
  <c r="BA105" i="86"/>
  <c r="T35" i="66"/>
  <c r="S35" i="66"/>
  <c r="BA108" i="88"/>
  <c r="AZ108" i="88"/>
  <c r="AZ109" i="88" s="1"/>
  <c r="AW61" i="78"/>
  <c r="AX60" i="78"/>
  <c r="AV60" i="78" s="1"/>
  <c r="AS60" i="78" s="1"/>
  <c r="BH113" i="86"/>
  <c r="BI112" i="86"/>
  <c r="M36" i="59"/>
  <c r="AU57" i="88"/>
  <c r="AY57" i="88" s="1"/>
  <c r="AW57" i="88" s="1"/>
  <c r="AT57" i="88" s="1"/>
  <c r="BL102" i="88"/>
  <c r="AU55" i="75"/>
  <c r="AY55" i="75" s="1"/>
  <c r="AW55" i="75" s="1"/>
  <c r="AT55" i="75" s="1"/>
  <c r="BL100" i="75"/>
  <c r="A132" i="107"/>
  <c r="B131" i="107"/>
  <c r="AZ107" i="88"/>
  <c r="BA107" i="88"/>
  <c r="AU96" i="105"/>
  <c r="AY96" i="105" s="1"/>
  <c r="AW96" i="105" s="1"/>
  <c r="BL141" i="105"/>
  <c r="AT96" i="105"/>
  <c r="BG96" i="105"/>
  <c r="J58" i="78"/>
  <c r="BA108" i="75"/>
  <c r="AZ108" i="75"/>
  <c r="W91" i="88"/>
  <c r="L56" i="88"/>
  <c r="P56" i="88" s="1"/>
  <c r="N56" i="88" s="1"/>
  <c r="AU67" i="91"/>
  <c r="AY67" i="91" s="1"/>
  <c r="AW67" i="91" s="1"/>
  <c r="AT67" i="91" s="1"/>
  <c r="BL112" i="91"/>
  <c r="BG67" i="91"/>
  <c r="A129" i="108"/>
  <c r="B128" i="108"/>
  <c r="BI113" i="105"/>
  <c r="BH114" i="105"/>
  <c r="BI114" i="105" s="1"/>
  <c r="AQ32" i="111"/>
  <c r="AW32" i="111" s="1"/>
  <c r="AZ107" i="75"/>
  <c r="BA107" i="75"/>
  <c r="L71" i="106"/>
  <c r="P71" i="106" s="1"/>
  <c r="N71" i="106" s="1"/>
  <c r="M71" i="106"/>
  <c r="S71" i="106"/>
  <c r="W106" i="106"/>
  <c r="BG67" i="78"/>
  <c r="AT61" i="78"/>
  <c r="BJ106" i="78"/>
  <c r="AM134" i="105"/>
  <c r="AS95" i="105"/>
  <c r="AO95" i="105"/>
  <c r="BH113" i="106"/>
  <c r="BI112" i="106"/>
  <c r="AU83" i="106"/>
  <c r="AY83" i="106" s="1"/>
  <c r="BL128" i="106"/>
  <c r="BG83" i="106"/>
  <c r="G119" i="66"/>
  <c r="U119" i="66"/>
  <c r="F120" i="66"/>
  <c r="AA119" i="66"/>
  <c r="E144" i="110"/>
  <c r="J143" i="110"/>
  <c r="F143" i="110"/>
  <c r="BI113" i="109"/>
  <c r="BJ112" i="109"/>
  <c r="BB105" i="109"/>
  <c r="BA105" i="109"/>
  <c r="AT105" i="109" s="1"/>
  <c r="R112" i="110"/>
  <c r="S111" i="110"/>
  <c r="L50" i="109"/>
  <c r="P50" i="109" s="1"/>
  <c r="N50" i="109" s="1"/>
  <c r="BL49" i="109"/>
  <c r="Y84" i="109"/>
  <c r="J49" i="109"/>
  <c r="X85" i="109"/>
  <c r="X94" i="75"/>
  <c r="J59" i="75"/>
  <c r="BK59" i="75"/>
  <c r="M59" i="75"/>
  <c r="S59" i="75" s="1"/>
  <c r="S34" i="111"/>
  <c r="H34" i="111"/>
  <c r="T75" i="111"/>
  <c r="V75" i="111" s="1"/>
  <c r="E118" i="111"/>
  <c r="J117" i="111"/>
  <c r="F117" i="111"/>
  <c r="AP33" i="111"/>
  <c r="BB79" i="111"/>
  <c r="AY33" i="111"/>
  <c r="BA33" i="111"/>
  <c r="U74" i="111"/>
  <c r="AX115" i="111"/>
  <c r="X80" i="94"/>
  <c r="L45" i="94"/>
  <c r="P45" i="94" s="1"/>
  <c r="N45" i="94" s="1"/>
  <c r="AO32" i="110"/>
  <c r="AQ32" i="110" s="1"/>
  <c r="AW32" i="110" s="1"/>
  <c r="I34" i="112"/>
  <c r="V75" i="112"/>
  <c r="U74" i="112"/>
  <c r="P34" i="112"/>
  <c r="O34" i="112"/>
  <c r="AX115" i="112"/>
  <c r="AT32" i="112"/>
  <c r="AR32" i="112" s="1"/>
  <c r="AM117" i="112"/>
  <c r="AN116" i="112"/>
  <c r="E116" i="112"/>
  <c r="J115" i="112"/>
  <c r="F115" i="112"/>
  <c r="BI114" i="94"/>
  <c r="BJ114" i="94" s="1"/>
  <c r="BJ113" i="94"/>
  <c r="BB106" i="94"/>
  <c r="BA106" i="94"/>
  <c r="AT106" i="94" s="1"/>
  <c r="AJ73" i="111"/>
  <c r="AL35" i="103"/>
  <c r="AV95" i="109"/>
  <c r="AZ95" i="109" s="1"/>
  <c r="AX95" i="109" s="1"/>
  <c r="BM140" i="109"/>
  <c r="BH95" i="109"/>
  <c r="M36" i="110"/>
  <c r="K35" i="110"/>
  <c r="Q35" i="110" s="1"/>
  <c r="AQ35" i="103"/>
  <c r="AW35" i="103" s="1"/>
  <c r="BB82" i="103" s="1"/>
  <c r="AS36" i="103"/>
  <c r="BM138" i="94"/>
  <c r="BH93" i="94"/>
  <c r="AV93" i="94"/>
  <c r="AZ93" i="94" s="1"/>
  <c r="AX93" i="94" s="1"/>
  <c r="N30" i="61"/>
  <c r="M30" i="61" s="1"/>
  <c r="K30" i="61" s="1"/>
  <c r="O30" i="61"/>
  <c r="AM135" i="100" l="1"/>
  <c r="AS96" i="100"/>
  <c r="AO96" i="100"/>
  <c r="J61" i="91"/>
  <c r="BK61" i="91"/>
  <c r="X96" i="91"/>
  <c r="AO55" i="75"/>
  <c r="AS55" i="75"/>
  <c r="AM94" i="75"/>
  <c r="F124" i="107"/>
  <c r="E124" i="107"/>
  <c r="G124" i="107" s="1"/>
  <c r="D124" i="107" s="1"/>
  <c r="C125" i="107" s="1"/>
  <c r="AS67" i="91"/>
  <c r="AO67" i="91"/>
  <c r="AM106" i="91"/>
  <c r="M62" i="91"/>
  <c r="S62" i="91"/>
  <c r="W97" i="91"/>
  <c r="L62" i="91"/>
  <c r="P62" i="91" s="1"/>
  <c r="N62" i="91" s="1"/>
  <c r="K62" i="91" s="1"/>
  <c r="AO57" i="88"/>
  <c r="AM96" i="88"/>
  <c r="AS57" i="88"/>
  <c r="AV57" i="88"/>
  <c r="BH114" i="106"/>
  <c r="BI114" i="106" s="1"/>
  <c r="BI113" i="106"/>
  <c r="BJ64" i="78"/>
  <c r="X98" i="78"/>
  <c r="AZ106" i="106"/>
  <c r="BA106" i="106"/>
  <c r="AY61" i="78"/>
  <c r="BF61" i="78"/>
  <c r="AZ61" i="78"/>
  <c r="AU61" i="78"/>
  <c r="BA108" i="105"/>
  <c r="AZ108" i="105"/>
  <c r="W180" i="66"/>
  <c r="O179" i="66"/>
  <c r="G120" i="66"/>
  <c r="AA120" i="66"/>
  <c r="U120" i="66"/>
  <c r="F121" i="66"/>
  <c r="M72" i="106"/>
  <c r="S72" i="106" s="1"/>
  <c r="L72" i="106"/>
  <c r="P72" i="106" s="1"/>
  <c r="N72" i="106" s="1"/>
  <c r="W107" i="106"/>
  <c r="K56" i="88"/>
  <c r="AU97" i="105"/>
  <c r="AY97" i="105" s="1"/>
  <c r="AW97" i="105" s="1"/>
  <c r="AT97" i="105" s="1"/>
  <c r="BL142" i="105"/>
  <c r="BG97" i="105"/>
  <c r="J59" i="78"/>
  <c r="E119" i="103"/>
  <c r="J118" i="103"/>
  <c r="F118" i="103"/>
  <c r="A130" i="108"/>
  <c r="B129" i="108"/>
  <c r="AS96" i="105"/>
  <c r="AO96" i="105"/>
  <c r="AM135" i="105"/>
  <c r="AV55" i="75"/>
  <c r="D82" i="108"/>
  <c r="C83" i="108" s="1"/>
  <c r="BH114" i="100"/>
  <c r="BI114" i="100" s="1"/>
  <c r="BI113" i="100"/>
  <c r="M81" i="105"/>
  <c r="S81" i="105" s="1"/>
  <c r="L81" i="105"/>
  <c r="P81" i="105" s="1"/>
  <c r="N81" i="105" s="1"/>
  <c r="W116" i="105"/>
  <c r="B132" i="107"/>
  <c r="A133" i="107"/>
  <c r="M119" i="66"/>
  <c r="L119" i="66"/>
  <c r="N119" i="66"/>
  <c r="AU68" i="91"/>
  <c r="AY68" i="91" s="1"/>
  <c r="AW68" i="91" s="1"/>
  <c r="AT68" i="91" s="1"/>
  <c r="BL113" i="91"/>
  <c r="BG68" i="91"/>
  <c r="Q36" i="66"/>
  <c r="BA106" i="100"/>
  <c r="AZ106" i="100"/>
  <c r="AV36" i="59"/>
  <c r="AU36" i="59"/>
  <c r="BG54" i="86"/>
  <c r="BA107" i="105"/>
  <c r="AZ107" i="105"/>
  <c r="AU84" i="106"/>
  <c r="AY84" i="106" s="1"/>
  <c r="BL129" i="106"/>
  <c r="BG84" i="106"/>
  <c r="AZ109" i="75"/>
  <c r="AZ106" i="86"/>
  <c r="BA106" i="86"/>
  <c r="Q35" i="59"/>
  <c r="U82" i="59"/>
  <c r="W91" i="86"/>
  <c r="L56" i="86"/>
  <c r="P56" i="86" s="1"/>
  <c r="N56" i="86" s="1"/>
  <c r="K56" i="86" s="1"/>
  <c r="BI113" i="86"/>
  <c r="BH114" i="86"/>
  <c r="BI114" i="86" s="1"/>
  <c r="AS54" i="86"/>
  <c r="AO54" i="86"/>
  <c r="AM93" i="86"/>
  <c r="L59" i="78"/>
  <c r="R59" i="78" s="1"/>
  <c r="E145" i="110"/>
  <c r="J144" i="110"/>
  <c r="F144" i="110"/>
  <c r="AX61" i="78"/>
  <c r="AV61" i="78" s="1"/>
  <c r="AS61" i="78" s="1"/>
  <c r="R35" i="66"/>
  <c r="P35" i="66" s="1"/>
  <c r="AM99" i="78"/>
  <c r="AP60" i="78"/>
  <c r="BL142" i="100"/>
  <c r="AU97" i="100"/>
  <c r="AY97" i="100" s="1"/>
  <c r="AW97" i="100" s="1"/>
  <c r="AT97" i="100" s="1"/>
  <c r="BG97" i="100"/>
  <c r="L76" i="100"/>
  <c r="P76" i="100" s="1"/>
  <c r="N76" i="100" s="1"/>
  <c r="M76" i="100"/>
  <c r="W111" i="100"/>
  <c r="S76" i="100"/>
  <c r="BB106" i="109"/>
  <c r="BA106" i="109"/>
  <c r="AT106" i="109" s="1"/>
  <c r="BJ113" i="109"/>
  <c r="BI114" i="109"/>
  <c r="BJ114" i="109" s="1"/>
  <c r="R113" i="110"/>
  <c r="S112" i="110"/>
  <c r="K50" i="109"/>
  <c r="M50" i="109" s="1"/>
  <c r="S50" i="109" s="1"/>
  <c r="L51" i="109" s="1"/>
  <c r="W95" i="75"/>
  <c r="L60" i="75"/>
  <c r="P60" i="75" s="1"/>
  <c r="N60" i="75" s="1"/>
  <c r="K60" i="75" s="1"/>
  <c r="E119" i="111"/>
  <c r="J118" i="111"/>
  <c r="F118" i="111"/>
  <c r="I34" i="111"/>
  <c r="AV33" i="111"/>
  <c r="AU33" i="111"/>
  <c r="O34" i="111"/>
  <c r="P34" i="111"/>
  <c r="AX116" i="111"/>
  <c r="K45" i="94"/>
  <c r="AP33" i="110"/>
  <c r="AI74" i="110"/>
  <c r="BB79" i="110"/>
  <c r="AY33" i="110"/>
  <c r="AL32" i="110"/>
  <c r="AJ73" i="110"/>
  <c r="N34" i="112"/>
  <c r="L34" i="112" s="1"/>
  <c r="M35" i="112" s="1"/>
  <c r="AM118" i="112"/>
  <c r="AN117" i="112"/>
  <c r="AO32" i="112"/>
  <c r="AQ32" i="112" s="1"/>
  <c r="AW32" i="112" s="1"/>
  <c r="AX116" i="112"/>
  <c r="E117" i="112"/>
  <c r="J116" i="112"/>
  <c r="F116" i="112"/>
  <c r="AS33" i="112"/>
  <c r="BA107" i="94"/>
  <c r="AT107" i="94" s="1"/>
  <c r="BB107" i="94"/>
  <c r="BB108" i="94"/>
  <c r="BA108" i="94"/>
  <c r="AI74" i="111"/>
  <c r="AP36" i="103"/>
  <c r="AY36" i="103"/>
  <c r="AU36" i="103" s="1"/>
  <c r="AI77" i="103"/>
  <c r="AK77" i="103" s="1"/>
  <c r="H36" i="110"/>
  <c r="T77" i="110"/>
  <c r="AV96" i="109"/>
  <c r="AZ96" i="109" s="1"/>
  <c r="AX96" i="109" s="1"/>
  <c r="BM141" i="109"/>
  <c r="BH96" i="109"/>
  <c r="AV94" i="94"/>
  <c r="AZ94" i="94" s="1"/>
  <c r="AX94" i="94" s="1"/>
  <c r="BH94" i="94"/>
  <c r="BM139" i="94"/>
  <c r="H30" i="61"/>
  <c r="J30" i="61" s="1"/>
  <c r="L31" i="61"/>
  <c r="AS97" i="100" l="1"/>
  <c r="AO97" i="100"/>
  <c r="AM136" i="100"/>
  <c r="L82" i="105"/>
  <c r="P82" i="105" s="1"/>
  <c r="N82" i="105" s="1"/>
  <c r="M82" i="105"/>
  <c r="W117" i="105"/>
  <c r="S82" i="105"/>
  <c r="AO97" i="105"/>
  <c r="AS97" i="105"/>
  <c r="AM136" i="105"/>
  <c r="AO68" i="91"/>
  <c r="AM107" i="91"/>
  <c r="AS68" i="91"/>
  <c r="F125" i="107"/>
  <c r="E125" i="107"/>
  <c r="G125" i="107" s="1"/>
  <c r="D125" i="107" s="1"/>
  <c r="C126" i="107" s="1"/>
  <c r="BK62" i="91"/>
  <c r="X97" i="91"/>
  <c r="J62" i="91"/>
  <c r="J56" i="86"/>
  <c r="X91" i="86"/>
  <c r="BK56" i="86"/>
  <c r="M56" i="86"/>
  <c r="S56" i="86" s="1"/>
  <c r="M73" i="106"/>
  <c r="S73" i="106"/>
  <c r="L73" i="106"/>
  <c r="P73" i="106" s="1"/>
  <c r="N73" i="106" s="1"/>
  <c r="W108" i="106"/>
  <c r="X86" i="109"/>
  <c r="M77" i="100"/>
  <c r="L77" i="100"/>
  <c r="P77" i="100" s="1"/>
  <c r="N77" i="100" s="1"/>
  <c r="W112" i="100"/>
  <c r="S77" i="100"/>
  <c r="BL143" i="105"/>
  <c r="AU98" i="105"/>
  <c r="AY98" i="105" s="1"/>
  <c r="AW98" i="105" s="1"/>
  <c r="AT98" i="105" s="1"/>
  <c r="BG98" i="105"/>
  <c r="W181" i="66"/>
  <c r="O180" i="66"/>
  <c r="H35" i="66"/>
  <c r="O35" i="66" s="1"/>
  <c r="BA107" i="100"/>
  <c r="AZ107" i="100"/>
  <c r="A131" i="108"/>
  <c r="B130" i="108"/>
  <c r="AZ109" i="105"/>
  <c r="AP61" i="78"/>
  <c r="AM100" i="78"/>
  <c r="BA108" i="86"/>
  <c r="AZ108" i="86"/>
  <c r="S36" i="59"/>
  <c r="T83" i="59"/>
  <c r="J36" i="59"/>
  <c r="BA108" i="100"/>
  <c r="AZ108" i="100"/>
  <c r="AZ109" i="100" s="1"/>
  <c r="G121" i="66"/>
  <c r="F122" i="66"/>
  <c r="AA121" i="66"/>
  <c r="U121" i="66"/>
  <c r="BL143" i="100"/>
  <c r="AU98" i="100"/>
  <c r="AY98" i="100" s="1"/>
  <c r="AW98" i="100" s="1"/>
  <c r="AT98" i="100" s="1"/>
  <c r="BG98" i="100"/>
  <c r="AZ107" i="86"/>
  <c r="BA107" i="86"/>
  <c r="A134" i="107"/>
  <c r="B133" i="107"/>
  <c r="F83" i="108"/>
  <c r="G83" i="108"/>
  <c r="E83" i="108"/>
  <c r="BA107" i="106"/>
  <c r="AZ107" i="106"/>
  <c r="AU55" i="86"/>
  <c r="AY55" i="86" s="1"/>
  <c r="AW55" i="86" s="1"/>
  <c r="BL100" i="86"/>
  <c r="AU69" i="91"/>
  <c r="AY69" i="91" s="1"/>
  <c r="AW69" i="91" s="1"/>
  <c r="AT69" i="91" s="1"/>
  <c r="BL114" i="91"/>
  <c r="BG69" i="91"/>
  <c r="BG55" i="75"/>
  <c r="E120" i="103"/>
  <c r="J119" i="103"/>
  <c r="F119" i="103"/>
  <c r="BK56" i="88"/>
  <c r="J56" i="88"/>
  <c r="X91" i="88"/>
  <c r="AZ108" i="106"/>
  <c r="BA108" i="106"/>
  <c r="E146" i="110"/>
  <c r="J145" i="110"/>
  <c r="F145" i="110"/>
  <c r="AT36" i="59"/>
  <c r="AR36" i="59" s="1"/>
  <c r="N120" i="66"/>
  <c r="L120" i="66"/>
  <c r="M120" i="66"/>
  <c r="BG68" i="78"/>
  <c r="BJ107" i="78"/>
  <c r="AT62" i="78"/>
  <c r="M56" i="88"/>
  <c r="S56" i="88" s="1"/>
  <c r="M63" i="91"/>
  <c r="S63" i="91" s="1"/>
  <c r="W98" i="91"/>
  <c r="L63" i="91"/>
  <c r="P63" i="91" s="1"/>
  <c r="N63" i="91" s="1"/>
  <c r="K63" i="91" s="1"/>
  <c r="L60" i="78"/>
  <c r="R60" i="78" s="1"/>
  <c r="W100" i="78"/>
  <c r="K60" i="78"/>
  <c r="O60" i="78" s="1"/>
  <c r="M60" i="78" s="1"/>
  <c r="N61" i="78" s="1"/>
  <c r="AU85" i="106"/>
  <c r="AY85" i="106" s="1"/>
  <c r="BL130" i="106"/>
  <c r="BG85" i="106"/>
  <c r="BJ65" i="78"/>
  <c r="X99" i="78"/>
  <c r="AW62" i="78"/>
  <c r="BG57" i="88"/>
  <c r="BB108" i="109"/>
  <c r="BA108" i="109"/>
  <c r="AT108" i="109" s="1"/>
  <c r="BB107" i="109"/>
  <c r="BA107" i="109"/>
  <c r="J50" i="109"/>
  <c r="BL50" i="109"/>
  <c r="K51" i="109"/>
  <c r="BL51" i="109" s="1"/>
  <c r="Y85" i="109"/>
  <c r="R114" i="110"/>
  <c r="S113" i="110"/>
  <c r="J51" i="109"/>
  <c r="P51" i="109"/>
  <c r="N51" i="109" s="1"/>
  <c r="M51" i="109"/>
  <c r="S51" i="109" s="1"/>
  <c r="L52" i="109" s="1"/>
  <c r="J60" i="75"/>
  <c r="BK60" i="75"/>
  <c r="X95" i="75"/>
  <c r="M60" i="75"/>
  <c r="S60" i="75" s="1"/>
  <c r="J119" i="111"/>
  <c r="E120" i="111"/>
  <c r="F119" i="111"/>
  <c r="N34" i="111"/>
  <c r="L34" i="111" s="1"/>
  <c r="AT33" i="111"/>
  <c r="AR33" i="111" s="1"/>
  <c r="AS34" i="111" s="1"/>
  <c r="AX117" i="111"/>
  <c r="M45" i="94"/>
  <c r="S45" i="94" s="1"/>
  <c r="Y80" i="94"/>
  <c r="J45" i="94"/>
  <c r="BL45" i="94"/>
  <c r="AV33" i="110"/>
  <c r="AU33" i="110"/>
  <c r="AK74" i="110"/>
  <c r="G34" i="112"/>
  <c r="K34" i="112" s="1"/>
  <c r="Q34" i="112" s="1"/>
  <c r="AY33" i="112"/>
  <c r="AI74" i="112"/>
  <c r="BB79" i="112"/>
  <c r="AP33" i="112"/>
  <c r="AL32" i="112"/>
  <c r="AJ73" i="112"/>
  <c r="J117" i="112"/>
  <c r="E118" i="112"/>
  <c r="F117" i="112"/>
  <c r="AX117" i="112"/>
  <c r="AM119" i="112"/>
  <c r="AN118" i="112"/>
  <c r="BA109" i="94"/>
  <c r="AT108" i="94"/>
  <c r="AT109" i="94" s="1"/>
  <c r="AK74" i="111"/>
  <c r="AV36" i="103"/>
  <c r="AT36" i="103"/>
  <c r="O36" i="110"/>
  <c r="N36" i="110" s="1"/>
  <c r="L36" i="110" s="1"/>
  <c r="G36" i="110" s="1"/>
  <c r="BA36" i="110" s="1"/>
  <c r="P36" i="110"/>
  <c r="V77" i="110"/>
  <c r="U76" i="110"/>
  <c r="I36" i="110"/>
  <c r="BH97" i="109"/>
  <c r="AV97" i="109"/>
  <c r="AZ97" i="109" s="1"/>
  <c r="AX97" i="109" s="1"/>
  <c r="BM142" i="109"/>
  <c r="AV95" i="94"/>
  <c r="AZ95" i="94" s="1"/>
  <c r="AX95" i="94" s="1"/>
  <c r="BH95" i="94"/>
  <c r="BM140" i="94"/>
  <c r="P30" i="61"/>
  <c r="T60" i="61"/>
  <c r="BK63" i="91" l="1"/>
  <c r="X98" i="91"/>
  <c r="J63" i="91"/>
  <c r="E126" i="107"/>
  <c r="G126" i="107" s="1"/>
  <c r="D126" i="107" s="1"/>
  <c r="C127" i="107" s="1"/>
  <c r="F126" i="107"/>
  <c r="M64" i="91"/>
  <c r="S64" i="91" s="1"/>
  <c r="W99" i="91"/>
  <c r="L64" i="91"/>
  <c r="P64" i="91" s="1"/>
  <c r="N64" i="91" s="1"/>
  <c r="K64" i="91" s="1"/>
  <c r="V35" i="66"/>
  <c r="Z35" i="66"/>
  <c r="AM108" i="91"/>
  <c r="AS69" i="91"/>
  <c r="AO69" i="91"/>
  <c r="W101" i="78"/>
  <c r="K61" i="78"/>
  <c r="O61" i="78" s="1"/>
  <c r="M61" i="78" s="1"/>
  <c r="N62" i="78" s="1"/>
  <c r="J61" i="78"/>
  <c r="AO98" i="105"/>
  <c r="AS98" i="105"/>
  <c r="AM137" i="105"/>
  <c r="AU56" i="75"/>
  <c r="AY56" i="75" s="1"/>
  <c r="AW56" i="75" s="1"/>
  <c r="AT56" i="75" s="1"/>
  <c r="BL101" i="75"/>
  <c r="L57" i="86"/>
  <c r="P57" i="86" s="1"/>
  <c r="N57" i="86" s="1"/>
  <c r="M57" i="86" s="1"/>
  <c r="S57" i="86" s="1"/>
  <c r="W92" i="86"/>
  <c r="K57" i="86"/>
  <c r="AU58" i="88"/>
  <c r="AY58" i="88" s="1"/>
  <c r="AW58" i="88" s="1"/>
  <c r="BL103" i="88"/>
  <c r="AT55" i="86"/>
  <c r="N36" i="59"/>
  <c r="L36" i="59" s="1"/>
  <c r="I36" i="59" s="1"/>
  <c r="BF42" i="59" s="1"/>
  <c r="L83" i="105"/>
  <c r="P83" i="105" s="1"/>
  <c r="N83" i="105" s="1"/>
  <c r="M83" i="105"/>
  <c r="S83" i="105" s="1"/>
  <c r="W118" i="105"/>
  <c r="AU70" i="91"/>
  <c r="AY70" i="91" s="1"/>
  <c r="AW70" i="91" s="1"/>
  <c r="AT70" i="91" s="1"/>
  <c r="BL115" i="91"/>
  <c r="BG70" i="91"/>
  <c r="B134" i="107"/>
  <c r="A135" i="107"/>
  <c r="A132" i="108"/>
  <c r="B131" i="108"/>
  <c r="O181" i="66"/>
  <c r="W182" i="66"/>
  <c r="J60" i="78"/>
  <c r="W92" i="88"/>
  <c r="L57" i="88"/>
  <c r="P57" i="88" s="1"/>
  <c r="N57" i="88" s="1"/>
  <c r="K57" i="88" s="1"/>
  <c r="AO36" i="59"/>
  <c r="AQ36" i="59" s="1"/>
  <c r="BB36" i="59" s="1"/>
  <c r="K36" i="59"/>
  <c r="U83" i="59" s="1"/>
  <c r="P36" i="59"/>
  <c r="O36" i="59"/>
  <c r="BL144" i="105"/>
  <c r="AU99" i="105"/>
  <c r="AY99" i="105" s="1"/>
  <c r="AW99" i="105" s="1"/>
  <c r="AT99" i="105"/>
  <c r="BG99" i="105"/>
  <c r="AS37" i="59"/>
  <c r="U122" i="66"/>
  <c r="G122" i="66"/>
  <c r="F123" i="66"/>
  <c r="AA122" i="66"/>
  <c r="AZ109" i="86"/>
  <c r="BL144" i="100"/>
  <c r="AU99" i="100"/>
  <c r="AY99" i="100" s="1"/>
  <c r="AW99" i="100" s="1"/>
  <c r="AT99" i="100" s="1"/>
  <c r="BG99" i="100"/>
  <c r="N121" i="66"/>
  <c r="M121" i="66"/>
  <c r="L121" i="66"/>
  <c r="Y86" i="109"/>
  <c r="AU86" i="106"/>
  <c r="AY86" i="106" s="1"/>
  <c r="BL131" i="106"/>
  <c r="BG86" i="106"/>
  <c r="AM137" i="100"/>
  <c r="AS98" i="100"/>
  <c r="AO98" i="100"/>
  <c r="L74" i="106"/>
  <c r="P74" i="106" s="1"/>
  <c r="N74" i="106" s="1"/>
  <c r="M74" i="106"/>
  <c r="S74" i="106"/>
  <c r="W109" i="106"/>
  <c r="AU62" i="78"/>
  <c r="BF62" i="78"/>
  <c r="AZ62" i="78"/>
  <c r="AY62" i="78"/>
  <c r="AX62" i="78" s="1"/>
  <c r="AV62" i="78" s="1"/>
  <c r="AS62" i="78" s="1"/>
  <c r="E147" i="110"/>
  <c r="J146" i="110"/>
  <c r="F146" i="110"/>
  <c r="E121" i="103"/>
  <c r="J120" i="103"/>
  <c r="F120" i="103"/>
  <c r="D83" i="108"/>
  <c r="C84" i="108" s="1"/>
  <c r="L78" i="100"/>
  <c r="P78" i="100" s="1"/>
  <c r="N78" i="100" s="1"/>
  <c r="M78" i="100"/>
  <c r="W113" i="100"/>
  <c r="S78" i="100"/>
  <c r="AT107" i="109"/>
  <c r="AT109" i="109" s="1"/>
  <c r="BA109" i="109"/>
  <c r="R115" i="110"/>
  <c r="S114" i="110"/>
  <c r="X87" i="109"/>
  <c r="W96" i="75"/>
  <c r="L61" i="75"/>
  <c r="P61" i="75" s="1"/>
  <c r="N61" i="75" s="1"/>
  <c r="K61" i="75" s="1"/>
  <c r="J120" i="111"/>
  <c r="E121" i="111"/>
  <c r="F120" i="111"/>
  <c r="AO33" i="111"/>
  <c r="AL33" i="111" s="1"/>
  <c r="G34" i="111"/>
  <c r="K34" i="111"/>
  <c r="Q34" i="111" s="1"/>
  <c r="M35" i="111"/>
  <c r="AX118" i="111"/>
  <c r="L46" i="94"/>
  <c r="P46" i="94" s="1"/>
  <c r="N46" i="94" s="1"/>
  <c r="X81" i="94"/>
  <c r="AT33" i="110"/>
  <c r="AR33" i="110" s="1"/>
  <c r="AO33" i="110" s="1"/>
  <c r="S35" i="112"/>
  <c r="H35" i="112"/>
  <c r="I35" i="112" s="1"/>
  <c r="T76" i="112"/>
  <c r="V76" i="112" s="1"/>
  <c r="BA34" i="112"/>
  <c r="AM120" i="112"/>
  <c r="AN119" i="112"/>
  <c r="J118" i="112"/>
  <c r="E119" i="112"/>
  <c r="F118" i="112"/>
  <c r="AX118" i="112"/>
  <c r="AK74" i="112"/>
  <c r="AU33" i="112"/>
  <c r="AT33" i="112" s="1"/>
  <c r="AV33" i="112"/>
  <c r="AR36" i="103"/>
  <c r="AO36" i="103" s="1"/>
  <c r="AQ36" i="103" s="1"/>
  <c r="AW36" i="103" s="1"/>
  <c r="AP37" i="103" s="1"/>
  <c r="AV98" i="109"/>
  <c r="AZ98" i="109" s="1"/>
  <c r="AX98" i="109" s="1"/>
  <c r="BM143" i="109"/>
  <c r="BH98" i="109"/>
  <c r="K36" i="110"/>
  <c r="Q36" i="110" s="1"/>
  <c r="M37" i="110"/>
  <c r="BM141" i="94"/>
  <c r="BH96" i="94"/>
  <c r="AV96" i="94"/>
  <c r="AZ96" i="94" s="1"/>
  <c r="AX96" i="94" s="1"/>
  <c r="I31" i="61"/>
  <c r="S61" i="61"/>
  <c r="R31" i="61"/>
  <c r="AM109" i="91" l="1"/>
  <c r="AO70" i="91"/>
  <c r="AS70" i="91"/>
  <c r="J64" i="91"/>
  <c r="BK64" i="91"/>
  <c r="X99" i="91"/>
  <c r="W93" i="86"/>
  <c r="L58" i="86"/>
  <c r="P58" i="86" s="1"/>
  <c r="N58" i="86" s="1"/>
  <c r="K58" i="86" s="1"/>
  <c r="M65" i="91"/>
  <c r="S65" i="91" s="1"/>
  <c r="W100" i="91"/>
  <c r="L65" i="91"/>
  <c r="P65" i="91" s="1"/>
  <c r="N65" i="91" s="1"/>
  <c r="K65" i="91" s="1"/>
  <c r="AM101" i="78"/>
  <c r="AP62" i="78"/>
  <c r="F127" i="107"/>
  <c r="E127" i="107"/>
  <c r="G127" i="107" s="1"/>
  <c r="D127" i="107" s="1"/>
  <c r="C128" i="107" s="1"/>
  <c r="L84" i="105"/>
  <c r="P84" i="105" s="1"/>
  <c r="N84" i="105" s="1"/>
  <c r="W119" i="105"/>
  <c r="X92" i="88"/>
  <c r="J57" i="88"/>
  <c r="BK57" i="88"/>
  <c r="AS56" i="75"/>
  <c r="AM95" i="75"/>
  <c r="AO56" i="75"/>
  <c r="AS99" i="100"/>
  <c r="AO99" i="100"/>
  <c r="AM138" i="100"/>
  <c r="BD43" i="59"/>
  <c r="BG82" i="59"/>
  <c r="AP37" i="59"/>
  <c r="BG69" i="78"/>
  <c r="BJ108" i="78"/>
  <c r="AT63" i="78"/>
  <c r="BL145" i="100"/>
  <c r="AU100" i="100"/>
  <c r="AY100" i="100" s="1"/>
  <c r="AW100" i="100" s="1"/>
  <c r="AT100" i="100" s="1"/>
  <c r="BG100" i="100"/>
  <c r="U123" i="66"/>
  <c r="F124" i="66"/>
  <c r="AA123" i="66"/>
  <c r="G123" i="66"/>
  <c r="M37" i="59"/>
  <c r="A133" i="108"/>
  <c r="B132" i="108"/>
  <c r="B135" i="107"/>
  <c r="A136" i="107"/>
  <c r="E122" i="103"/>
  <c r="J121" i="103"/>
  <c r="F121" i="103"/>
  <c r="Q36" i="59"/>
  <c r="M57" i="88"/>
  <c r="S57" i="88" s="1"/>
  <c r="AT58" i="88"/>
  <c r="AV56" i="75"/>
  <c r="AU87" i="106"/>
  <c r="AY87" i="106" s="1"/>
  <c r="BL132" i="106"/>
  <c r="BG87" i="106"/>
  <c r="L79" i="100"/>
  <c r="P79" i="100" s="1"/>
  <c r="N79" i="100" s="1"/>
  <c r="M79" i="100"/>
  <c r="W114" i="100"/>
  <c r="S79" i="100"/>
  <c r="L75" i="106"/>
  <c r="P75" i="106" s="1"/>
  <c r="N75" i="106" s="1"/>
  <c r="M75" i="106"/>
  <c r="S75" i="106"/>
  <c r="W110" i="106"/>
  <c r="BJ66" i="78"/>
  <c r="X100" i="78"/>
  <c r="AU71" i="91"/>
  <c r="AY71" i="91" s="1"/>
  <c r="AW71" i="91" s="1"/>
  <c r="AT71" i="91" s="1"/>
  <c r="BL116" i="91"/>
  <c r="BG71" i="91"/>
  <c r="K36" i="66"/>
  <c r="J36" i="66"/>
  <c r="I36" i="66" s="1"/>
  <c r="X36" i="66"/>
  <c r="AU100" i="105"/>
  <c r="AY100" i="105" s="1"/>
  <c r="AW100" i="105" s="1"/>
  <c r="AT100" i="105" s="1"/>
  <c r="BL145" i="105"/>
  <c r="BG100" i="105"/>
  <c r="W183" i="66"/>
  <c r="O182" i="66"/>
  <c r="J57" i="86"/>
  <c r="X92" i="86"/>
  <c r="BK57" i="86"/>
  <c r="L61" i="78"/>
  <c r="R61" i="78" s="1"/>
  <c r="N122" i="66"/>
  <c r="M122" i="66"/>
  <c r="L122" i="66"/>
  <c r="E148" i="110"/>
  <c r="J147" i="110"/>
  <c r="F147" i="110"/>
  <c r="AO99" i="105"/>
  <c r="AM138" i="105"/>
  <c r="AS99" i="105"/>
  <c r="AJ75" i="59"/>
  <c r="AL36" i="59"/>
  <c r="AM94" i="86"/>
  <c r="AO55" i="86"/>
  <c r="AS55" i="86"/>
  <c r="BI67" i="78"/>
  <c r="X101" i="78"/>
  <c r="AW63" i="78"/>
  <c r="AV55" i="86"/>
  <c r="E84" i="108"/>
  <c r="F84" i="108"/>
  <c r="G84" i="108"/>
  <c r="R116" i="110"/>
  <c r="S115" i="110"/>
  <c r="K52" i="109"/>
  <c r="P52" i="109"/>
  <c r="N52" i="109" s="1"/>
  <c r="X96" i="75"/>
  <c r="BK61" i="75"/>
  <c r="J61" i="75"/>
  <c r="M61" i="75"/>
  <c r="S61" i="75" s="1"/>
  <c r="AQ33" i="111"/>
  <c r="AW33" i="111" s="1"/>
  <c r="E122" i="111"/>
  <c r="J121" i="111"/>
  <c r="F121" i="111"/>
  <c r="S35" i="111"/>
  <c r="H35" i="111"/>
  <c r="T76" i="111"/>
  <c r="V76" i="111" s="1"/>
  <c r="BA34" i="111"/>
  <c r="AX119" i="111"/>
  <c r="K46" i="94"/>
  <c r="AS34" i="110"/>
  <c r="AQ33" i="110"/>
  <c r="AW33" i="110" s="1"/>
  <c r="AL33" i="110"/>
  <c r="AJ74" i="110"/>
  <c r="AR33" i="112"/>
  <c r="AO33" i="112" s="1"/>
  <c r="U75" i="112"/>
  <c r="O35" i="112"/>
  <c r="P35" i="112"/>
  <c r="AX119" i="112"/>
  <c r="J119" i="112"/>
  <c r="E120" i="112"/>
  <c r="F119" i="112"/>
  <c r="AM121" i="112"/>
  <c r="AN120" i="112"/>
  <c r="AJ74" i="111"/>
  <c r="AJ77" i="103"/>
  <c r="AY37" i="103"/>
  <c r="AV37" i="103" s="1"/>
  <c r="AL36" i="103"/>
  <c r="AI78" i="103"/>
  <c r="AK78" i="103" s="1"/>
  <c r="BB83" i="103"/>
  <c r="AS37" i="103"/>
  <c r="BH99" i="109"/>
  <c r="AV99" i="109"/>
  <c r="AZ99" i="109" s="1"/>
  <c r="AX99" i="109" s="1"/>
  <c r="BM144" i="109"/>
  <c r="T78" i="110"/>
  <c r="H37" i="110"/>
  <c r="AV97" i="94"/>
  <c r="AZ97" i="94" s="1"/>
  <c r="AX97" i="94" s="1"/>
  <c r="BH97" i="94"/>
  <c r="BM142" i="94"/>
  <c r="O31" i="61"/>
  <c r="N31" i="61"/>
  <c r="M31" i="61" s="1"/>
  <c r="K31" i="61" s="1"/>
  <c r="BK58" i="86" l="1"/>
  <c r="J58" i="86"/>
  <c r="X93" i="86"/>
  <c r="M58" i="86"/>
  <c r="S58" i="86" s="1"/>
  <c r="F128" i="107"/>
  <c r="E128" i="107"/>
  <c r="G128" i="107"/>
  <c r="D128" i="107" s="1"/>
  <c r="C129" i="107" s="1"/>
  <c r="BK65" i="91"/>
  <c r="J65" i="91"/>
  <c r="X100" i="91"/>
  <c r="AM139" i="105"/>
  <c r="AO100" i="105"/>
  <c r="AS100" i="105"/>
  <c r="AS71" i="91"/>
  <c r="AO71" i="91"/>
  <c r="AM110" i="91"/>
  <c r="M66" i="91"/>
  <c r="S66" i="91"/>
  <c r="W101" i="91"/>
  <c r="L66" i="91"/>
  <c r="P66" i="91" s="1"/>
  <c r="N66" i="91" s="1"/>
  <c r="K66" i="91" s="1"/>
  <c r="M80" i="100"/>
  <c r="L80" i="100"/>
  <c r="P80" i="100" s="1"/>
  <c r="N80" i="100" s="1"/>
  <c r="W115" i="100"/>
  <c r="S80" i="100"/>
  <c r="AM97" i="88"/>
  <c r="AO58" i="88"/>
  <c r="AS58" i="88"/>
  <c r="BL146" i="100"/>
  <c r="AU101" i="100"/>
  <c r="AY101" i="100" s="1"/>
  <c r="AW101" i="100" s="1"/>
  <c r="AT101" i="100" s="1"/>
  <c r="BG101" i="100"/>
  <c r="AV58" i="88"/>
  <c r="M84" i="105"/>
  <c r="S84" i="105" s="1"/>
  <c r="BG55" i="86"/>
  <c r="S37" i="59"/>
  <c r="T84" i="59"/>
  <c r="J37" i="59"/>
  <c r="O183" i="66"/>
  <c r="W184" i="66"/>
  <c r="E149" i="110"/>
  <c r="J148" i="110"/>
  <c r="F148" i="110"/>
  <c r="BL146" i="105"/>
  <c r="AU101" i="105"/>
  <c r="AY101" i="105" s="1"/>
  <c r="AW101" i="105" s="1"/>
  <c r="AT101" i="105" s="1"/>
  <c r="BG101" i="105"/>
  <c r="AU88" i="106"/>
  <c r="AY88" i="106" s="1"/>
  <c r="BL133" i="106"/>
  <c r="BG88" i="106"/>
  <c r="N123" i="66"/>
  <c r="M123" i="66"/>
  <c r="L123" i="66"/>
  <c r="AV37" i="59"/>
  <c r="AU37" i="59"/>
  <c r="AS100" i="100"/>
  <c r="AO100" i="100"/>
  <c r="AM139" i="100"/>
  <c r="W102" i="78"/>
  <c r="K62" i="78"/>
  <c r="O62" i="78" s="1"/>
  <c r="M62" i="78" s="1"/>
  <c r="N63" i="78" s="1"/>
  <c r="J62" i="78"/>
  <c r="M76" i="106"/>
  <c r="L76" i="106"/>
  <c r="P76" i="106" s="1"/>
  <c r="N76" i="106" s="1"/>
  <c r="S76" i="106"/>
  <c r="W111" i="106"/>
  <c r="E123" i="103"/>
  <c r="J122" i="103"/>
  <c r="F122" i="103"/>
  <c r="AX63" i="78"/>
  <c r="AV63" i="78" s="1"/>
  <c r="AS63" i="78" s="1"/>
  <c r="L58" i="88"/>
  <c r="P58" i="88" s="1"/>
  <c r="N58" i="88" s="1"/>
  <c r="W93" i="88"/>
  <c r="B133" i="108"/>
  <c r="A134" i="108"/>
  <c r="AU72" i="91"/>
  <c r="AY72" i="91" s="1"/>
  <c r="AW72" i="91" s="1"/>
  <c r="AT72" i="91" s="1"/>
  <c r="BL117" i="91"/>
  <c r="BG72" i="91"/>
  <c r="A137" i="107"/>
  <c r="B136" i="107"/>
  <c r="F125" i="66"/>
  <c r="AA124" i="66"/>
  <c r="U124" i="66"/>
  <c r="G124" i="66"/>
  <c r="T36" i="66"/>
  <c r="S36" i="66"/>
  <c r="R36" i="66" s="1"/>
  <c r="P36" i="66" s="1"/>
  <c r="D84" i="108"/>
  <c r="C85" i="108" s="1"/>
  <c r="BG56" i="75"/>
  <c r="AZ63" i="78"/>
  <c r="AY63" i="78"/>
  <c r="AU63" i="78"/>
  <c r="BF63" i="78"/>
  <c r="R117" i="110"/>
  <c r="S116" i="110"/>
  <c r="BL52" i="109"/>
  <c r="M52" i="109"/>
  <c r="S52" i="109" s="1"/>
  <c r="L53" i="109" s="1"/>
  <c r="J52" i="109"/>
  <c r="Y87" i="109"/>
  <c r="W97" i="75"/>
  <c r="L62" i="75"/>
  <c r="P62" i="75" s="1"/>
  <c r="N62" i="75" s="1"/>
  <c r="K62" i="75" s="1"/>
  <c r="U75" i="111"/>
  <c r="P35" i="111"/>
  <c r="O35" i="111"/>
  <c r="E123" i="111"/>
  <c r="J122" i="111"/>
  <c r="F122" i="111"/>
  <c r="I35" i="111"/>
  <c r="N35" i="111"/>
  <c r="L35" i="111" s="1"/>
  <c r="G35" i="111" s="1"/>
  <c r="BA35" i="111" s="1"/>
  <c r="BB80" i="111"/>
  <c r="AP34" i="111"/>
  <c r="AY34" i="111"/>
  <c r="AX120" i="111"/>
  <c r="Y81" i="94"/>
  <c r="BL46" i="94"/>
  <c r="J46" i="94"/>
  <c r="M46" i="94"/>
  <c r="S46" i="94" s="1"/>
  <c r="AI75" i="110"/>
  <c r="AY34" i="110"/>
  <c r="BB80" i="110"/>
  <c r="AP34" i="110"/>
  <c r="AS34" i="112"/>
  <c r="AL33" i="112"/>
  <c r="AQ33" i="112"/>
  <c r="AW33" i="112" s="1"/>
  <c r="AP34" i="112" s="1"/>
  <c r="AJ74" i="112"/>
  <c r="N35" i="112"/>
  <c r="L35" i="112" s="1"/>
  <c r="M36" i="112" s="1"/>
  <c r="AM122" i="112"/>
  <c r="AN121" i="112"/>
  <c r="AX120" i="112"/>
  <c r="J120" i="112"/>
  <c r="E121" i="112"/>
  <c r="F120" i="112"/>
  <c r="AI75" i="111"/>
  <c r="AU37" i="103"/>
  <c r="AT37" i="103" s="1"/>
  <c r="AR37" i="103" s="1"/>
  <c r="O37" i="110"/>
  <c r="N37" i="110" s="1"/>
  <c r="L37" i="110" s="1"/>
  <c r="G37" i="110" s="1"/>
  <c r="BA37" i="110" s="1"/>
  <c r="P37" i="110"/>
  <c r="I37" i="110"/>
  <c r="V78" i="110"/>
  <c r="U77" i="110"/>
  <c r="BH100" i="109"/>
  <c r="AV100" i="109"/>
  <c r="AZ100" i="109" s="1"/>
  <c r="AX100" i="109" s="1"/>
  <c r="BM145" i="109"/>
  <c r="AV98" i="94"/>
  <c r="AZ98" i="94" s="1"/>
  <c r="AX98" i="94" s="1"/>
  <c r="BH98" i="94"/>
  <c r="BM143" i="94"/>
  <c r="H31" i="61"/>
  <c r="J31" i="61" s="1"/>
  <c r="L32" i="61"/>
  <c r="O36" i="66" l="1"/>
  <c r="H36" i="66"/>
  <c r="AS72" i="91"/>
  <c r="AO72" i="91"/>
  <c r="AM111" i="91"/>
  <c r="F129" i="107"/>
  <c r="E129" i="107"/>
  <c r="G129" i="107" s="1"/>
  <c r="D129" i="107" s="1"/>
  <c r="C130" i="107" s="1"/>
  <c r="AO101" i="100"/>
  <c r="AS101" i="100"/>
  <c r="AM140" i="100"/>
  <c r="AM140" i="105"/>
  <c r="AO101" i="105"/>
  <c r="AS101" i="105"/>
  <c r="J66" i="91"/>
  <c r="X101" i="91"/>
  <c r="BK66" i="91"/>
  <c r="BI68" i="78"/>
  <c r="X102" i="78"/>
  <c r="AU57" i="75"/>
  <c r="AY57" i="75" s="1"/>
  <c r="AW57" i="75" s="1"/>
  <c r="BL102" i="75"/>
  <c r="A135" i="108"/>
  <c r="B134" i="108"/>
  <c r="P37" i="59"/>
  <c r="O37" i="59"/>
  <c r="G125" i="66"/>
  <c r="F126" i="66"/>
  <c r="AA125" i="66"/>
  <c r="U125" i="66"/>
  <c r="E150" i="110"/>
  <c r="J149" i="110"/>
  <c r="F149" i="110"/>
  <c r="G85" i="108"/>
  <c r="E85" i="108"/>
  <c r="F85" i="108"/>
  <c r="E124" i="103"/>
  <c r="J123" i="103"/>
  <c r="F123" i="103"/>
  <c r="L62" i="78"/>
  <c r="R62" i="78" s="1"/>
  <c r="W185" i="66"/>
  <c r="O184" i="66"/>
  <c r="AU56" i="86"/>
  <c r="AY56" i="86" s="1"/>
  <c r="AW56" i="86" s="1"/>
  <c r="BL101" i="86"/>
  <c r="BG56" i="86"/>
  <c r="AV56" i="86"/>
  <c r="AV109" i="86" s="1"/>
  <c r="Q37" i="66"/>
  <c r="A138" i="107"/>
  <c r="B137" i="107"/>
  <c r="K58" i="88"/>
  <c r="BL147" i="105"/>
  <c r="AU102" i="105"/>
  <c r="AY102" i="105" s="1"/>
  <c r="AW102" i="105" s="1"/>
  <c r="AT102" i="105" s="1"/>
  <c r="BG102" i="105"/>
  <c r="BG70" i="78"/>
  <c r="AT64" i="78"/>
  <c r="BJ109" i="78"/>
  <c r="AU73" i="91"/>
  <c r="AY73" i="91" s="1"/>
  <c r="AW73" i="91" s="1"/>
  <c r="AT73" i="91" s="1"/>
  <c r="BL118" i="91"/>
  <c r="BG73" i="91"/>
  <c r="AT37" i="59"/>
  <c r="AR37" i="59" s="1"/>
  <c r="AS38" i="59" s="1"/>
  <c r="L85" i="105"/>
  <c r="P85" i="105" s="1"/>
  <c r="N85" i="105" s="1"/>
  <c r="W120" i="105"/>
  <c r="M67" i="91"/>
  <c r="S67" i="91"/>
  <c r="W102" i="91"/>
  <c r="L67" i="91"/>
  <c r="P67" i="91" s="1"/>
  <c r="N67" i="91" s="1"/>
  <c r="K67" i="91" s="1"/>
  <c r="M77" i="106"/>
  <c r="L77" i="106"/>
  <c r="P77" i="106" s="1"/>
  <c r="N77" i="106" s="1"/>
  <c r="S77" i="106"/>
  <c r="W112" i="106"/>
  <c r="M59" i="86"/>
  <c r="S59" i="86" s="1"/>
  <c r="L59" i="86"/>
  <c r="P59" i="86" s="1"/>
  <c r="N59" i="86" s="1"/>
  <c r="K59" i="86"/>
  <c r="W94" i="86"/>
  <c r="AW64" i="78"/>
  <c r="N124" i="66"/>
  <c r="L124" i="66"/>
  <c r="M124" i="66"/>
  <c r="AU89" i="106"/>
  <c r="AY89" i="106" s="1"/>
  <c r="BL134" i="106"/>
  <c r="BG89" i="106"/>
  <c r="N37" i="59"/>
  <c r="L37" i="59" s="1"/>
  <c r="I37" i="59" s="1"/>
  <c r="BF43" i="59" s="1"/>
  <c r="BG58" i="88"/>
  <c r="M81" i="100"/>
  <c r="L81" i="100"/>
  <c r="P81" i="100" s="1"/>
  <c r="N81" i="100" s="1"/>
  <c r="W116" i="100"/>
  <c r="S81" i="100"/>
  <c r="AP63" i="78"/>
  <c r="AM102" i="78"/>
  <c r="AU102" i="100"/>
  <c r="AY102" i="100" s="1"/>
  <c r="AW102" i="100" s="1"/>
  <c r="AT102" i="100" s="1"/>
  <c r="BL147" i="100"/>
  <c r="BG102" i="100"/>
  <c r="R118" i="110"/>
  <c r="S117" i="110"/>
  <c r="X88" i="109"/>
  <c r="P53" i="109"/>
  <c r="N53" i="109" s="1"/>
  <c r="J62" i="75"/>
  <c r="BK62" i="75"/>
  <c r="X97" i="75"/>
  <c r="M62" i="75"/>
  <c r="S62" i="75" s="1"/>
  <c r="AU34" i="111"/>
  <c r="AV34" i="111"/>
  <c r="AQ34" i="111"/>
  <c r="AW34" i="111" s="1"/>
  <c r="K35" i="111"/>
  <c r="Q35" i="111" s="1"/>
  <c r="AT34" i="111"/>
  <c r="AR34" i="111" s="1"/>
  <c r="AO34" i="111" s="1"/>
  <c r="AL34" i="111" s="1"/>
  <c r="J123" i="111"/>
  <c r="E124" i="111"/>
  <c r="F123" i="111"/>
  <c r="M36" i="111"/>
  <c r="AX121" i="111"/>
  <c r="L47" i="94"/>
  <c r="P47" i="94" s="1"/>
  <c r="N47" i="94" s="1"/>
  <c r="X82" i="94"/>
  <c r="AU34" i="110"/>
  <c r="AT34" i="110" s="1"/>
  <c r="AV34" i="110"/>
  <c r="AK75" i="110"/>
  <c r="AI75" i="112"/>
  <c r="AK75" i="112" s="1"/>
  <c r="AY34" i="112"/>
  <c r="BB80" i="112"/>
  <c r="G35" i="112"/>
  <c r="K35" i="112" s="1"/>
  <c r="Q35" i="112" s="1"/>
  <c r="J121" i="112"/>
  <c r="E122" i="112"/>
  <c r="F121" i="112"/>
  <c r="AX121" i="112"/>
  <c r="AM123" i="112"/>
  <c r="AN122" i="112"/>
  <c r="AK75" i="111"/>
  <c r="M38" i="110"/>
  <c r="K37" i="110"/>
  <c r="Q37" i="110" s="1"/>
  <c r="BM146" i="109"/>
  <c r="BH101" i="109"/>
  <c r="AV101" i="109"/>
  <c r="AZ101" i="109" s="1"/>
  <c r="AX101" i="109" s="1"/>
  <c r="AO37" i="103"/>
  <c r="AQ37" i="103" s="1"/>
  <c r="AW37" i="103" s="1"/>
  <c r="AS38" i="103"/>
  <c r="AV99" i="94"/>
  <c r="AZ99" i="94" s="1"/>
  <c r="AX99" i="94" s="1"/>
  <c r="BM144" i="94"/>
  <c r="BH99" i="94"/>
  <c r="P31" i="61"/>
  <c r="T61" i="61"/>
  <c r="BK67" i="91" l="1"/>
  <c r="J67" i="91"/>
  <c r="X102" i="91"/>
  <c r="E130" i="107"/>
  <c r="G130" i="107" s="1"/>
  <c r="D130" i="107" s="1"/>
  <c r="C131" i="107" s="1"/>
  <c r="F130" i="107"/>
  <c r="L60" i="86"/>
  <c r="P60" i="86" s="1"/>
  <c r="N60" i="86" s="1"/>
  <c r="K60" i="86" s="1"/>
  <c r="W95" i="86"/>
  <c r="AM112" i="91"/>
  <c r="AS73" i="91"/>
  <c r="AO73" i="91"/>
  <c r="AM141" i="105"/>
  <c r="AS102" i="105"/>
  <c r="AO102" i="105"/>
  <c r="AM141" i="100"/>
  <c r="AS102" i="100"/>
  <c r="AO102" i="100"/>
  <c r="AT56" i="86"/>
  <c r="W103" i="78"/>
  <c r="K63" i="78"/>
  <c r="O63" i="78" s="1"/>
  <c r="M63" i="78" s="1"/>
  <c r="N64" i="78" s="1"/>
  <c r="AU59" i="88"/>
  <c r="AY59" i="88" s="1"/>
  <c r="AW59" i="88" s="1"/>
  <c r="BL104" i="88"/>
  <c r="AU57" i="86"/>
  <c r="AY57" i="86" s="1"/>
  <c r="AW57" i="86" s="1"/>
  <c r="AT57" i="86" s="1"/>
  <c r="BL102" i="86"/>
  <c r="BG57" i="86"/>
  <c r="M38" i="59"/>
  <c r="M78" i="106"/>
  <c r="L78" i="106"/>
  <c r="P78" i="106" s="1"/>
  <c r="N78" i="106" s="1"/>
  <c r="S78" i="106"/>
  <c r="W113" i="106"/>
  <c r="E151" i="110"/>
  <c r="J150" i="110"/>
  <c r="F150" i="110"/>
  <c r="AT57" i="75"/>
  <c r="AV57" i="75" s="1"/>
  <c r="BG57" i="75" s="1"/>
  <c r="M68" i="91"/>
  <c r="S68" i="91" s="1"/>
  <c r="W103" i="91"/>
  <c r="K68" i="91"/>
  <c r="L68" i="91"/>
  <c r="P68" i="91" s="1"/>
  <c r="N68" i="91" s="1"/>
  <c r="E125" i="103"/>
  <c r="J124" i="103"/>
  <c r="F124" i="103"/>
  <c r="K37" i="59"/>
  <c r="BK58" i="88"/>
  <c r="X93" i="88"/>
  <c r="J58" i="88"/>
  <c r="M58" i="88"/>
  <c r="S58" i="88" s="1"/>
  <c r="L82" i="100"/>
  <c r="P82" i="100" s="1"/>
  <c r="N82" i="100" s="1"/>
  <c r="M82" i="100"/>
  <c r="W117" i="100"/>
  <c r="S82" i="100"/>
  <c r="AU90" i="106"/>
  <c r="AY90" i="106" s="1"/>
  <c r="BL135" i="106"/>
  <c r="BG90" i="106"/>
  <c r="BK59" i="86"/>
  <c r="X94" i="86"/>
  <c r="J59" i="86"/>
  <c r="M85" i="105"/>
  <c r="S85" i="105" s="1"/>
  <c r="B135" i="108"/>
  <c r="A136" i="108"/>
  <c r="AO37" i="59"/>
  <c r="AQ37" i="59" s="1"/>
  <c r="BB37" i="59" s="1"/>
  <c r="AU64" i="78"/>
  <c r="BF64" i="78"/>
  <c r="AZ64" i="78"/>
  <c r="AY64" i="78"/>
  <c r="B138" i="107"/>
  <c r="A139" i="107"/>
  <c r="U126" i="66"/>
  <c r="G126" i="66"/>
  <c r="F127" i="66"/>
  <c r="AA126" i="66"/>
  <c r="AU103" i="100"/>
  <c r="AY103" i="100" s="1"/>
  <c r="AW103" i="100" s="1"/>
  <c r="AT103" i="100" s="1"/>
  <c r="BL148" i="100"/>
  <c r="BG103" i="100"/>
  <c r="AT74" i="91"/>
  <c r="AU74" i="91"/>
  <c r="AY74" i="91" s="1"/>
  <c r="AW74" i="91" s="1"/>
  <c r="BL119" i="91"/>
  <c r="BG74" i="91"/>
  <c r="BL148" i="105"/>
  <c r="AU103" i="105"/>
  <c r="AY103" i="105" s="1"/>
  <c r="AW103" i="105" s="1"/>
  <c r="AT103" i="105" s="1"/>
  <c r="BG103" i="105"/>
  <c r="W186" i="66"/>
  <c r="O185" i="66"/>
  <c r="D85" i="108"/>
  <c r="C86" i="108" s="1"/>
  <c r="N125" i="66"/>
  <c r="M125" i="66"/>
  <c r="L125" i="66"/>
  <c r="V36" i="66"/>
  <c r="Z36" i="66"/>
  <c r="R119" i="110"/>
  <c r="S118" i="110"/>
  <c r="K53" i="109"/>
  <c r="M53" i="109" s="1"/>
  <c r="S53" i="109" s="1"/>
  <c r="L54" i="109" s="1"/>
  <c r="W98" i="75"/>
  <c r="L63" i="75"/>
  <c r="P63" i="75" s="1"/>
  <c r="N63" i="75" s="1"/>
  <c r="K63" i="75" s="1"/>
  <c r="AP35" i="111"/>
  <c r="BB81" i="111"/>
  <c r="AY35" i="111"/>
  <c r="J124" i="111"/>
  <c r="E125" i="111"/>
  <c r="F124" i="111"/>
  <c r="S36" i="111"/>
  <c r="H36" i="111"/>
  <c r="T77" i="111"/>
  <c r="AS35" i="111"/>
  <c r="AX122" i="111"/>
  <c r="K47" i="94"/>
  <c r="M47" i="94" s="1"/>
  <c r="S47" i="94" s="1"/>
  <c r="X83" i="94" s="1"/>
  <c r="AR34" i="110"/>
  <c r="AO34" i="110" s="1"/>
  <c r="AJ75" i="110" s="1"/>
  <c r="AV34" i="112"/>
  <c r="AU34" i="112"/>
  <c r="S36" i="112"/>
  <c r="T77" i="112"/>
  <c r="V77" i="112" s="1"/>
  <c r="H36" i="112"/>
  <c r="I36" i="112" s="1"/>
  <c r="BA35" i="112"/>
  <c r="AX122" i="112"/>
  <c r="J122" i="112"/>
  <c r="E123" i="112"/>
  <c r="F122" i="112"/>
  <c r="AM124" i="112"/>
  <c r="AN123" i="112"/>
  <c r="T79" i="110"/>
  <c r="H38" i="110"/>
  <c r="AV102" i="109"/>
  <c r="AZ102" i="109" s="1"/>
  <c r="AX102" i="109" s="1"/>
  <c r="BM147" i="109"/>
  <c r="BH102" i="109"/>
  <c r="BB84" i="103"/>
  <c r="AI79" i="103"/>
  <c r="AP38" i="103"/>
  <c r="AY38" i="103"/>
  <c r="AL37" i="103"/>
  <c r="AJ78" i="103"/>
  <c r="AV100" i="94"/>
  <c r="AZ100" i="94" s="1"/>
  <c r="AX100" i="94" s="1"/>
  <c r="BH100" i="94"/>
  <c r="BM145" i="94"/>
  <c r="I32" i="61"/>
  <c r="S62" i="61"/>
  <c r="R32" i="61"/>
  <c r="AO103" i="105" l="1"/>
  <c r="AM142" i="105"/>
  <c r="AS103" i="105"/>
  <c r="X95" i="86"/>
  <c r="J60" i="86"/>
  <c r="BK60" i="86"/>
  <c r="AS57" i="86"/>
  <c r="AO57" i="86"/>
  <c r="AM96" i="86"/>
  <c r="F131" i="107"/>
  <c r="E131" i="107"/>
  <c r="G131" i="107" s="1"/>
  <c r="D131" i="107" s="1"/>
  <c r="C132" i="107" s="1"/>
  <c r="BD44" i="59"/>
  <c r="AP38" i="59"/>
  <c r="BG83" i="59"/>
  <c r="M69" i="91"/>
  <c r="S69" i="91" s="1"/>
  <c r="L69" i="91"/>
  <c r="P69" i="91" s="1"/>
  <c r="N69" i="91" s="1"/>
  <c r="K69" i="91"/>
  <c r="W104" i="91"/>
  <c r="AO103" i="100"/>
  <c r="AS103" i="100"/>
  <c r="AM142" i="100"/>
  <c r="AU58" i="75"/>
  <c r="AY58" i="75" s="1"/>
  <c r="AW58" i="75" s="1"/>
  <c r="AT58" i="75" s="1"/>
  <c r="BL103" i="75"/>
  <c r="AW65" i="78"/>
  <c r="AX64" i="78"/>
  <c r="AV64" i="78" s="1"/>
  <c r="AS64" i="78" s="1"/>
  <c r="M83" i="100"/>
  <c r="L83" i="100"/>
  <c r="P83" i="100" s="1"/>
  <c r="N83" i="100" s="1"/>
  <c r="W118" i="100"/>
  <c r="S83" i="100"/>
  <c r="U84" i="59"/>
  <c r="Q37" i="59"/>
  <c r="L63" i="78"/>
  <c r="R63" i="78" s="1"/>
  <c r="M60" i="86"/>
  <c r="S60" i="86" s="1"/>
  <c r="AS56" i="86"/>
  <c r="AO56" i="86"/>
  <c r="AM95" i="86"/>
  <c r="BG71" i="78"/>
  <c r="AT65" i="78"/>
  <c r="BJ110" i="78"/>
  <c r="AU58" i="86"/>
  <c r="AY58" i="86" s="1"/>
  <c r="AW58" i="86" s="1"/>
  <c r="AT58" i="86" s="1"/>
  <c r="BL103" i="86"/>
  <c r="BG58" i="86"/>
  <c r="W187" i="66"/>
  <c r="O186" i="66"/>
  <c r="F128" i="66"/>
  <c r="G127" i="66"/>
  <c r="AA127" i="66"/>
  <c r="U127" i="66"/>
  <c r="E126" i="103"/>
  <c r="J125" i="103"/>
  <c r="F125" i="103"/>
  <c r="AT59" i="88"/>
  <c r="E86" i="108"/>
  <c r="F86" i="108"/>
  <c r="G86" i="108"/>
  <c r="AU75" i="91"/>
  <c r="AY75" i="91" s="1"/>
  <c r="AW75" i="91" s="1"/>
  <c r="AT75" i="91" s="1"/>
  <c r="BL120" i="91"/>
  <c r="BG75" i="91"/>
  <c r="L86" i="105"/>
  <c r="P86" i="105" s="1"/>
  <c r="N86" i="105" s="1"/>
  <c r="W121" i="105"/>
  <c r="AO57" i="75"/>
  <c r="AS57" i="75"/>
  <c r="AM96" i="75"/>
  <c r="AM113" i="91"/>
  <c r="AS74" i="91"/>
  <c r="AO74" i="91"/>
  <c r="L126" i="66"/>
  <c r="N126" i="66"/>
  <c r="M126" i="66"/>
  <c r="L59" i="88"/>
  <c r="P59" i="88" s="1"/>
  <c r="N59" i="88" s="1"/>
  <c r="K59" i="88" s="1"/>
  <c r="W94" i="88"/>
  <c r="E152" i="110"/>
  <c r="J151" i="110"/>
  <c r="F151" i="110"/>
  <c r="J63" i="78"/>
  <c r="J37" i="66"/>
  <c r="I37" i="66" s="1"/>
  <c r="K37" i="66"/>
  <c r="X37" i="66"/>
  <c r="AU104" i="105"/>
  <c r="AY104" i="105" s="1"/>
  <c r="AW104" i="105" s="1"/>
  <c r="AT104" i="105" s="1"/>
  <c r="BL149" i="105"/>
  <c r="BG104" i="105"/>
  <c r="BL149" i="100"/>
  <c r="AU104" i="100"/>
  <c r="AY104" i="100" s="1"/>
  <c r="AW104" i="100" s="1"/>
  <c r="AT104" i="100" s="1"/>
  <c r="BG104" i="100"/>
  <c r="AL37" i="59"/>
  <c r="AJ76" i="59"/>
  <c r="AU91" i="106"/>
  <c r="AY91" i="106" s="1"/>
  <c r="BL136" i="106"/>
  <c r="BG91" i="106"/>
  <c r="J68" i="91"/>
  <c r="X103" i="91"/>
  <c r="BK68" i="91"/>
  <c r="A140" i="107"/>
  <c r="B139" i="107"/>
  <c r="B136" i="108"/>
  <c r="A137" i="108"/>
  <c r="M79" i="106"/>
  <c r="L79" i="106"/>
  <c r="P79" i="106" s="1"/>
  <c r="N79" i="106" s="1"/>
  <c r="S79" i="106"/>
  <c r="W114" i="106"/>
  <c r="R120" i="110"/>
  <c r="S119" i="110"/>
  <c r="J53" i="109"/>
  <c r="Y88" i="109"/>
  <c r="X89" i="109"/>
  <c r="P54" i="109"/>
  <c r="N54" i="109" s="1"/>
  <c r="K54" i="109"/>
  <c r="J54" i="109" s="1"/>
  <c r="BL53" i="109"/>
  <c r="BK63" i="75"/>
  <c r="J63" i="75"/>
  <c r="X98" i="75"/>
  <c r="M63" i="75"/>
  <c r="S63" i="75" s="1"/>
  <c r="I36" i="111"/>
  <c r="E126" i="111"/>
  <c r="J125" i="111"/>
  <c r="F125" i="111"/>
  <c r="AV35" i="111"/>
  <c r="AU35" i="111"/>
  <c r="AT35" i="111" s="1"/>
  <c r="AR35" i="111" s="1"/>
  <c r="AO35" i="111" s="1"/>
  <c r="AL35" i="111" s="1"/>
  <c r="O36" i="111"/>
  <c r="P36" i="111"/>
  <c r="V77" i="111"/>
  <c r="U76" i="111"/>
  <c r="J47" i="94"/>
  <c r="BL47" i="94"/>
  <c r="AX123" i="111"/>
  <c r="Y82" i="94"/>
  <c r="L48" i="94"/>
  <c r="AS35" i="110"/>
  <c r="AL34" i="110"/>
  <c r="AQ34" i="110"/>
  <c r="AW34" i="110" s="1"/>
  <c r="AI76" i="110" s="1"/>
  <c r="AT34" i="112"/>
  <c r="AR34" i="112" s="1"/>
  <c r="AO34" i="112" s="1"/>
  <c r="U76" i="112"/>
  <c r="O36" i="112"/>
  <c r="P36" i="112"/>
  <c r="AX123" i="112"/>
  <c r="AM125" i="112"/>
  <c r="AN124" i="112"/>
  <c r="J123" i="112"/>
  <c r="E124" i="112"/>
  <c r="F123" i="112"/>
  <c r="I38" i="110"/>
  <c r="AV103" i="109"/>
  <c r="AZ103" i="109" s="1"/>
  <c r="AX103" i="109" s="1"/>
  <c r="BM148" i="109"/>
  <c r="BH103" i="109"/>
  <c r="V79" i="110"/>
  <c r="U78" i="110"/>
  <c r="O38" i="110"/>
  <c r="N38" i="110" s="1"/>
  <c r="L38" i="110" s="1"/>
  <c r="P38" i="110"/>
  <c r="AV38" i="103"/>
  <c r="AU38" i="103"/>
  <c r="AT38" i="103" s="1"/>
  <c r="AV101" i="94"/>
  <c r="AZ101" i="94" s="1"/>
  <c r="AX101" i="94" s="1"/>
  <c r="BH101" i="94"/>
  <c r="BM146" i="94"/>
  <c r="AK79" i="103"/>
  <c r="N32" i="61"/>
  <c r="M32" i="61" s="1"/>
  <c r="K32" i="61" s="1"/>
  <c r="O32" i="61"/>
  <c r="AO75" i="91" l="1"/>
  <c r="AS75" i="91"/>
  <c r="AM114" i="91"/>
  <c r="AM97" i="86"/>
  <c r="AO58" i="86"/>
  <c r="AS58" i="86"/>
  <c r="AM143" i="105"/>
  <c r="AS104" i="105"/>
  <c r="AO104" i="105"/>
  <c r="AS58" i="75"/>
  <c r="AO58" i="75"/>
  <c r="AM97" i="75"/>
  <c r="AV58" i="75"/>
  <c r="BG58" i="75" s="1"/>
  <c r="J59" i="88"/>
  <c r="BK59" i="88"/>
  <c r="X94" i="88"/>
  <c r="M59" i="88"/>
  <c r="S59" i="88" s="1"/>
  <c r="F132" i="107"/>
  <c r="E132" i="107"/>
  <c r="G132" i="107"/>
  <c r="D132" i="107" s="1"/>
  <c r="C133" i="107" s="1"/>
  <c r="M70" i="91"/>
  <c r="S70" i="91"/>
  <c r="W105" i="91"/>
  <c r="L70" i="91"/>
  <c r="P70" i="91" s="1"/>
  <c r="N70" i="91" s="1"/>
  <c r="K70" i="91" s="1"/>
  <c r="AS104" i="100"/>
  <c r="AO104" i="100"/>
  <c r="AM143" i="100"/>
  <c r="BL150" i="105"/>
  <c r="AT105" i="105"/>
  <c r="AU105" i="105"/>
  <c r="AY105" i="105" s="1"/>
  <c r="AW105" i="105" s="1"/>
  <c r="BG105" i="105"/>
  <c r="BL121" i="91"/>
  <c r="AU76" i="91"/>
  <c r="AY76" i="91" s="1"/>
  <c r="AW76" i="91" s="1"/>
  <c r="AT76" i="91" s="1"/>
  <c r="BG76" i="91"/>
  <c r="AS59" i="88"/>
  <c r="AO59" i="88"/>
  <c r="AM98" i="88"/>
  <c r="U128" i="66"/>
  <c r="G128" i="66"/>
  <c r="AA128" i="66"/>
  <c r="F129" i="66"/>
  <c r="L64" i="78"/>
  <c r="R64" i="78" s="1"/>
  <c r="W104" i="78"/>
  <c r="K64" i="78"/>
  <c r="O64" i="78" s="1"/>
  <c r="M64" i="78" s="1"/>
  <c r="N65" i="78" s="1"/>
  <c r="AX65" i="78"/>
  <c r="AV65" i="78" s="1"/>
  <c r="AS65" i="78" s="1"/>
  <c r="X104" i="91"/>
  <c r="J69" i="91"/>
  <c r="BK69" i="91"/>
  <c r="E127" i="103"/>
  <c r="J126" i="103"/>
  <c r="F126" i="103"/>
  <c r="W188" i="66"/>
  <c r="O187" i="66"/>
  <c r="AU65" i="78"/>
  <c r="AY65" i="78"/>
  <c r="BF65" i="78"/>
  <c r="AZ65" i="78"/>
  <c r="M84" i="100"/>
  <c r="L84" i="100"/>
  <c r="P84" i="100" s="1"/>
  <c r="N84" i="100" s="1"/>
  <c r="W119" i="100"/>
  <c r="S84" i="100"/>
  <c r="BI69" i="78"/>
  <c r="X103" i="78"/>
  <c r="L80" i="106"/>
  <c r="P80" i="106" s="1"/>
  <c r="N80" i="106" s="1"/>
  <c r="M80" i="106"/>
  <c r="S80" i="106"/>
  <c r="W115" i="106"/>
  <c r="AU105" i="100"/>
  <c r="AY105" i="100" s="1"/>
  <c r="AW105" i="100" s="1"/>
  <c r="AT105" i="100" s="1"/>
  <c r="BL150" i="100"/>
  <c r="BG105" i="100"/>
  <c r="D86" i="108"/>
  <c r="C87" i="108" s="1"/>
  <c r="AU59" i="86"/>
  <c r="AY59" i="86" s="1"/>
  <c r="AW59" i="86" s="1"/>
  <c r="AT59" i="86" s="1"/>
  <c r="BL104" i="86"/>
  <c r="BG59" i="86"/>
  <c r="T37" i="66"/>
  <c r="S37" i="66"/>
  <c r="E153" i="110"/>
  <c r="J152" i="110"/>
  <c r="F152" i="110"/>
  <c r="T85" i="59"/>
  <c r="J38" i="59"/>
  <c r="S38" i="59"/>
  <c r="M86" i="105"/>
  <c r="S86" i="105" s="1"/>
  <c r="AV59" i="88"/>
  <c r="BG59" i="88" s="1"/>
  <c r="AU38" i="59"/>
  <c r="AT38" i="59" s="1"/>
  <c r="AR38" i="59" s="1"/>
  <c r="AV38" i="59"/>
  <c r="B140" i="107"/>
  <c r="A141" i="107"/>
  <c r="A138" i="108"/>
  <c r="B137" i="108"/>
  <c r="AU92" i="106"/>
  <c r="AY92" i="106" s="1"/>
  <c r="BL137" i="106"/>
  <c r="BG92" i="106"/>
  <c r="M127" i="66"/>
  <c r="L127" i="66"/>
  <c r="N127" i="66"/>
  <c r="L61" i="86"/>
  <c r="P61" i="86" s="1"/>
  <c r="N61" i="86" s="1"/>
  <c r="M61" i="86" s="1"/>
  <c r="S61" i="86" s="1"/>
  <c r="W96" i="86"/>
  <c r="AM103" i="78"/>
  <c r="AP64" i="78"/>
  <c r="R121" i="110"/>
  <c r="S120" i="110"/>
  <c r="Y89" i="109"/>
  <c r="M54" i="109"/>
  <c r="S54" i="109" s="1"/>
  <c r="L55" i="109" s="1"/>
  <c r="P55" i="109" s="1"/>
  <c r="N55" i="109" s="1"/>
  <c r="BL54" i="109"/>
  <c r="BB81" i="110"/>
  <c r="L64" i="75"/>
  <c r="P64" i="75" s="1"/>
  <c r="N64" i="75" s="1"/>
  <c r="K64" i="75" s="1"/>
  <c r="W99" i="75"/>
  <c r="AS36" i="111"/>
  <c r="N36" i="111"/>
  <c r="L36" i="111" s="1"/>
  <c r="AQ35" i="111"/>
  <c r="AW35" i="111" s="1"/>
  <c r="E127" i="111"/>
  <c r="J126" i="111"/>
  <c r="F126" i="111"/>
  <c r="AX124" i="111"/>
  <c r="P48" i="94"/>
  <c r="N48" i="94" s="1"/>
  <c r="K48" i="94"/>
  <c r="AY35" i="110"/>
  <c r="AV35" i="110" s="1"/>
  <c r="AP35" i="110"/>
  <c r="AK76" i="110"/>
  <c r="AS35" i="112"/>
  <c r="AQ34" i="112"/>
  <c r="AW34" i="112" s="1"/>
  <c r="AJ75" i="112"/>
  <c r="AL34" i="112"/>
  <c r="N36" i="112"/>
  <c r="L36" i="112" s="1"/>
  <c r="M37" i="112" s="1"/>
  <c r="J124" i="112"/>
  <c r="E125" i="112"/>
  <c r="F124" i="112"/>
  <c r="AM126" i="112"/>
  <c r="AN125" i="112"/>
  <c r="AX124" i="112"/>
  <c r="AI76" i="111"/>
  <c r="AJ75" i="111"/>
  <c r="AR38" i="103"/>
  <c r="AO38" i="103" s="1"/>
  <c r="AL38" i="103" s="1"/>
  <c r="G38" i="110"/>
  <c r="BA38" i="110" s="1"/>
  <c r="AV104" i="109"/>
  <c r="AZ104" i="109" s="1"/>
  <c r="AX104" i="109" s="1"/>
  <c r="BM149" i="109"/>
  <c r="BH104" i="109"/>
  <c r="M39" i="110"/>
  <c r="BM147" i="94"/>
  <c r="AV102" i="94"/>
  <c r="AZ102" i="94" s="1"/>
  <c r="AX102" i="94" s="1"/>
  <c r="BH102" i="94"/>
  <c r="H32" i="61"/>
  <c r="J32" i="61" s="1"/>
  <c r="L33" i="61"/>
  <c r="X105" i="91" l="1"/>
  <c r="BK70" i="91"/>
  <c r="J70" i="91"/>
  <c r="AO38" i="59"/>
  <c r="AQ38" i="59" s="1"/>
  <c r="BB38" i="59" s="1"/>
  <c r="F133" i="107"/>
  <c r="E133" i="107"/>
  <c r="G133" i="107" s="1"/>
  <c r="D133" i="107" s="1"/>
  <c r="C134" i="107" s="1"/>
  <c r="M62" i="86"/>
  <c r="S62" i="86"/>
  <c r="L62" i="86"/>
  <c r="P62" i="86" s="1"/>
  <c r="N62" i="86" s="1"/>
  <c r="K62" i="86" s="1"/>
  <c r="W97" i="86"/>
  <c r="L65" i="78"/>
  <c r="R65" i="78" s="1"/>
  <c r="W105" i="78"/>
  <c r="K65" i="78"/>
  <c r="O65" i="78" s="1"/>
  <c r="M65" i="78" s="1"/>
  <c r="N66" i="78" s="1"/>
  <c r="AO59" i="86"/>
  <c r="AS59" i="86"/>
  <c r="AM98" i="86"/>
  <c r="AS76" i="91"/>
  <c r="AO76" i="91"/>
  <c r="AM115" i="91"/>
  <c r="B141" i="107"/>
  <c r="A142" i="107"/>
  <c r="O38" i="59"/>
  <c r="P38" i="59"/>
  <c r="AO105" i="105"/>
  <c r="AM144" i="105"/>
  <c r="AS105" i="105"/>
  <c r="AU60" i="86"/>
  <c r="AY60" i="86" s="1"/>
  <c r="AW60" i="86" s="1"/>
  <c r="AT60" i="86"/>
  <c r="BL105" i="86"/>
  <c r="BG60" i="86"/>
  <c r="AM104" i="78"/>
  <c r="AP65" i="78"/>
  <c r="G129" i="66"/>
  <c r="U129" i="66"/>
  <c r="F130" i="66"/>
  <c r="AA129" i="66"/>
  <c r="AS105" i="100"/>
  <c r="AO105" i="100"/>
  <c r="AM144" i="100"/>
  <c r="W189" i="66"/>
  <c r="O188" i="66"/>
  <c r="AT59" i="75"/>
  <c r="AU59" i="75"/>
  <c r="AY59" i="75" s="1"/>
  <c r="AW59" i="75" s="1"/>
  <c r="AV59" i="75" s="1"/>
  <c r="BG59" i="75" s="1"/>
  <c r="BL104" i="75"/>
  <c r="K61" i="86"/>
  <c r="L81" i="106"/>
  <c r="P81" i="106" s="1"/>
  <c r="N81" i="106" s="1"/>
  <c r="M81" i="106"/>
  <c r="S81" i="106"/>
  <c r="W116" i="106"/>
  <c r="M128" i="66"/>
  <c r="N128" i="66"/>
  <c r="L128" i="66"/>
  <c r="M85" i="100"/>
  <c r="L85" i="100"/>
  <c r="P85" i="100" s="1"/>
  <c r="N85" i="100" s="1"/>
  <c r="W120" i="100"/>
  <c r="S85" i="100"/>
  <c r="M71" i="91"/>
  <c r="S71" i="91"/>
  <c r="W106" i="91"/>
  <c r="L71" i="91"/>
  <c r="P71" i="91" s="1"/>
  <c r="N71" i="91" s="1"/>
  <c r="K71" i="91" s="1"/>
  <c r="AS39" i="59"/>
  <c r="R37" i="66"/>
  <c r="P37" i="66" s="1"/>
  <c r="Q38" i="66" s="1"/>
  <c r="E87" i="108"/>
  <c r="G87" i="108"/>
  <c r="F87" i="108"/>
  <c r="BG72" i="78"/>
  <c r="AT66" i="78"/>
  <c r="BJ111" i="78"/>
  <c r="E128" i="103"/>
  <c r="J127" i="103"/>
  <c r="F127" i="103"/>
  <c r="J64" i="78"/>
  <c r="AU77" i="91"/>
  <c r="AY77" i="91" s="1"/>
  <c r="AW77" i="91" s="1"/>
  <c r="AT77" i="91" s="1"/>
  <c r="BL122" i="91"/>
  <c r="BG77" i="91"/>
  <c r="AU93" i="106"/>
  <c r="AY93" i="106" s="1"/>
  <c r="AW93" i="106" s="1"/>
  <c r="BL138" i="106"/>
  <c r="BG93" i="106"/>
  <c r="AU60" i="88"/>
  <c r="AY60" i="88" s="1"/>
  <c r="AW60" i="88" s="1"/>
  <c r="AT60" i="88"/>
  <c r="AV60" i="88" s="1"/>
  <c r="BG60" i="88" s="1"/>
  <c r="BL105" i="88"/>
  <c r="B138" i="108"/>
  <c r="A139" i="108"/>
  <c r="L87" i="105"/>
  <c r="P87" i="105" s="1"/>
  <c r="N87" i="105" s="1"/>
  <c r="M87" i="105"/>
  <c r="W122" i="105"/>
  <c r="S87" i="105"/>
  <c r="J153" i="110"/>
  <c r="E154" i="110"/>
  <c r="F153" i="110"/>
  <c r="BL151" i="100"/>
  <c r="AU106" i="100"/>
  <c r="AY106" i="100" s="1"/>
  <c r="AW106" i="100" s="1"/>
  <c r="AT106" i="100" s="1"/>
  <c r="BG106" i="100"/>
  <c r="AW66" i="78"/>
  <c r="BL151" i="105"/>
  <c r="AU106" i="105"/>
  <c r="AY106" i="105" s="1"/>
  <c r="AW106" i="105" s="1"/>
  <c r="AT106" i="105" s="1"/>
  <c r="BG106" i="105"/>
  <c r="W95" i="88"/>
  <c r="L60" i="88"/>
  <c r="P60" i="88" s="1"/>
  <c r="N60" i="88" s="1"/>
  <c r="M60" i="88" s="1"/>
  <c r="S60" i="88" s="1"/>
  <c r="K60" i="88"/>
  <c r="R122" i="110"/>
  <c r="S121" i="110"/>
  <c r="X90" i="109"/>
  <c r="K55" i="109"/>
  <c r="M55" i="109" s="1"/>
  <c r="S55" i="109" s="1"/>
  <c r="L56" i="109" s="1"/>
  <c r="X99" i="75"/>
  <c r="BK64" i="75"/>
  <c r="J64" i="75"/>
  <c r="M64" i="75"/>
  <c r="S64" i="75" s="1"/>
  <c r="G36" i="111"/>
  <c r="K36" i="111" s="1"/>
  <c r="Q36" i="111" s="1"/>
  <c r="J127" i="111"/>
  <c r="E128" i="111"/>
  <c r="F127" i="111"/>
  <c r="M37" i="111"/>
  <c r="AP36" i="111"/>
  <c r="BB82" i="111"/>
  <c r="AY36" i="111"/>
  <c r="AX125" i="111"/>
  <c r="BL48" i="94"/>
  <c r="Y83" i="94"/>
  <c r="J48" i="94"/>
  <c r="M48" i="94"/>
  <c r="S48" i="94" s="1"/>
  <c r="AU35" i="110"/>
  <c r="AT35" i="110" s="1"/>
  <c r="AR35" i="110" s="1"/>
  <c r="AS36" i="110" s="1"/>
  <c r="AY35" i="112"/>
  <c r="AP35" i="112"/>
  <c r="AI76" i="112"/>
  <c r="AK76" i="112" s="1"/>
  <c r="BB81" i="112"/>
  <c r="G36" i="112"/>
  <c r="K36" i="112" s="1"/>
  <c r="Q36" i="112" s="1"/>
  <c r="J125" i="112"/>
  <c r="E126" i="112"/>
  <c r="F125" i="112"/>
  <c r="AM127" i="112"/>
  <c r="AN126" i="112"/>
  <c r="AX125" i="112"/>
  <c r="AK76" i="111"/>
  <c r="AS39" i="103"/>
  <c r="AQ38" i="103"/>
  <c r="AW38" i="103" s="1"/>
  <c r="AP39" i="103" s="1"/>
  <c r="AJ79" i="103"/>
  <c r="BM150" i="109"/>
  <c r="BH105" i="109"/>
  <c r="AV105" i="109"/>
  <c r="AZ105" i="109" s="1"/>
  <c r="AX105" i="109" s="1"/>
  <c r="K38" i="110"/>
  <c r="Q38" i="110" s="1"/>
  <c r="BM148" i="94"/>
  <c r="AV103" i="94"/>
  <c r="AZ103" i="94" s="1"/>
  <c r="AX103" i="94" s="1"/>
  <c r="BH103" i="94"/>
  <c r="P32" i="61"/>
  <c r="T62" i="61"/>
  <c r="AU61" i="88" l="1"/>
  <c r="AY61" i="88" s="1"/>
  <c r="AW61" i="88" s="1"/>
  <c r="AT61" i="88" s="1"/>
  <c r="BL106" i="88"/>
  <c r="F134" i="107"/>
  <c r="E134" i="107"/>
  <c r="G134" i="107" s="1"/>
  <c r="D134" i="107" s="1"/>
  <c r="C135" i="107" s="1"/>
  <c r="X106" i="91"/>
  <c r="BK71" i="91"/>
  <c r="J71" i="91"/>
  <c r="BD45" i="59"/>
  <c r="AP39" i="59"/>
  <c r="BG84" i="59"/>
  <c r="AU60" i="75"/>
  <c r="AY60" i="75" s="1"/>
  <c r="AW60" i="75" s="1"/>
  <c r="AV60" i="75" s="1"/>
  <c r="BG60" i="75" s="1"/>
  <c r="AT60" i="75"/>
  <c r="BL105" i="75"/>
  <c r="W106" i="78"/>
  <c r="K66" i="78"/>
  <c r="O66" i="78" s="1"/>
  <c r="M66" i="78" s="1"/>
  <c r="N67" i="78" s="1"/>
  <c r="W96" i="88"/>
  <c r="L61" i="88"/>
  <c r="P61" i="88" s="1"/>
  <c r="N61" i="88" s="1"/>
  <c r="AS106" i="105"/>
  <c r="AO106" i="105"/>
  <c r="AM145" i="105"/>
  <c r="AM116" i="91"/>
  <c r="AS77" i="91"/>
  <c r="AO77" i="91"/>
  <c r="J62" i="86"/>
  <c r="X97" i="86"/>
  <c r="BK62" i="86"/>
  <c r="E155" i="110"/>
  <c r="J154" i="110"/>
  <c r="F154" i="110"/>
  <c r="E129" i="103"/>
  <c r="J128" i="103"/>
  <c r="F128" i="103"/>
  <c r="L86" i="100"/>
  <c r="P86" i="100" s="1"/>
  <c r="N86" i="100" s="1"/>
  <c r="M86" i="100"/>
  <c r="W121" i="100"/>
  <c r="S86" i="100"/>
  <c r="M82" i="106"/>
  <c r="L82" i="106"/>
  <c r="P82" i="106" s="1"/>
  <c r="N82" i="106" s="1"/>
  <c r="S82" i="106"/>
  <c r="W117" i="106"/>
  <c r="M88" i="105"/>
  <c r="S88" i="105" s="1"/>
  <c r="L88" i="105"/>
  <c r="P88" i="105" s="1"/>
  <c r="N88" i="105" s="1"/>
  <c r="W123" i="105"/>
  <c r="F131" i="66"/>
  <c r="U130" i="66"/>
  <c r="AA130" i="66"/>
  <c r="G130" i="66"/>
  <c r="BL152" i="100"/>
  <c r="AU107" i="100"/>
  <c r="AY107" i="100" s="1"/>
  <c r="AW107" i="100" s="1"/>
  <c r="AT107" i="100" s="1"/>
  <c r="BG107" i="100"/>
  <c r="AM99" i="88"/>
  <c r="AO60" i="88"/>
  <c r="AS60" i="88"/>
  <c r="AS59" i="75"/>
  <c r="AO59" i="75"/>
  <c r="AM98" i="75"/>
  <c r="AM145" i="100"/>
  <c r="AS106" i="100"/>
  <c r="AO106" i="100"/>
  <c r="AY66" i="78"/>
  <c r="AU66" i="78"/>
  <c r="BF66" i="78"/>
  <c r="AZ66" i="78"/>
  <c r="J61" i="86"/>
  <c r="BK61" i="86"/>
  <c r="X96" i="86"/>
  <c r="W190" i="66"/>
  <c r="O189" i="66"/>
  <c r="L129" i="66"/>
  <c r="N129" i="66"/>
  <c r="M129" i="66"/>
  <c r="N38" i="59"/>
  <c r="L38" i="59" s="1"/>
  <c r="AL38" i="59"/>
  <c r="AJ77" i="59"/>
  <c r="BK60" i="88"/>
  <c r="J60" i="88"/>
  <c r="X95" i="88"/>
  <c r="BL123" i="91"/>
  <c r="AU78" i="91"/>
  <c r="AY78" i="91" s="1"/>
  <c r="AW78" i="91" s="1"/>
  <c r="AT78" i="91" s="1"/>
  <c r="BG78" i="91"/>
  <c r="AS60" i="86"/>
  <c r="AM99" i="86"/>
  <c r="AO60" i="86"/>
  <c r="BG94" i="106"/>
  <c r="BL139" i="106"/>
  <c r="AU94" i="106"/>
  <c r="AY94" i="106" s="1"/>
  <c r="AW94" i="106" s="1"/>
  <c r="AT94" i="106" s="1"/>
  <c r="BI70" i="78"/>
  <c r="X104" i="78"/>
  <c r="B142" i="107"/>
  <c r="A143" i="107"/>
  <c r="M63" i="86"/>
  <c r="S63" i="86" s="1"/>
  <c r="W98" i="86"/>
  <c r="L63" i="86"/>
  <c r="P63" i="86" s="1"/>
  <c r="N63" i="86" s="1"/>
  <c r="K63" i="86"/>
  <c r="AU107" i="105"/>
  <c r="AY107" i="105" s="1"/>
  <c r="AW107" i="105" s="1"/>
  <c r="BL152" i="105"/>
  <c r="AT107" i="105"/>
  <c r="BG107" i="105"/>
  <c r="A140" i="108"/>
  <c r="B139" i="108"/>
  <c r="AT93" i="106"/>
  <c r="M72" i="91"/>
  <c r="S72" i="91" s="1"/>
  <c r="W107" i="91"/>
  <c r="L72" i="91"/>
  <c r="P72" i="91" s="1"/>
  <c r="N72" i="91" s="1"/>
  <c r="K72" i="91" s="1"/>
  <c r="H37" i="66"/>
  <c r="O37" i="66" s="1"/>
  <c r="BB85" i="103"/>
  <c r="D87" i="108"/>
  <c r="C88" i="108" s="1"/>
  <c r="AU61" i="86"/>
  <c r="AY61" i="86" s="1"/>
  <c r="AW61" i="86" s="1"/>
  <c r="AT61" i="86" s="1"/>
  <c r="BL106" i="86"/>
  <c r="BG61" i="86"/>
  <c r="J65" i="78"/>
  <c r="R123" i="110"/>
  <c r="S122" i="110"/>
  <c r="J55" i="109"/>
  <c r="Y90" i="109"/>
  <c r="BL55" i="109"/>
  <c r="AO35" i="110"/>
  <c r="AL35" i="110" s="1"/>
  <c r="X91" i="109"/>
  <c r="W100" i="75"/>
  <c r="L65" i="75"/>
  <c r="P65" i="75" s="1"/>
  <c r="N65" i="75" s="1"/>
  <c r="K65" i="75" s="1"/>
  <c r="S37" i="111"/>
  <c r="H37" i="111"/>
  <c r="T78" i="111"/>
  <c r="V78" i="111" s="1"/>
  <c r="AU36" i="111"/>
  <c r="AV36" i="111"/>
  <c r="AT36" i="111"/>
  <c r="J128" i="111"/>
  <c r="E129" i="111"/>
  <c r="F128" i="111"/>
  <c r="BA36" i="111"/>
  <c r="AX126" i="111"/>
  <c r="X84" i="94"/>
  <c r="L49" i="94"/>
  <c r="P49" i="94" s="1"/>
  <c r="N49" i="94" s="1"/>
  <c r="AY39" i="103"/>
  <c r="AI80" i="103"/>
  <c r="AU35" i="112"/>
  <c r="AT35" i="112" s="1"/>
  <c r="AV35" i="112"/>
  <c r="H37" i="112"/>
  <c r="S37" i="112"/>
  <c r="T78" i="112"/>
  <c r="V78" i="112" s="1"/>
  <c r="BA36" i="112"/>
  <c r="AX126" i="112"/>
  <c r="AM128" i="112"/>
  <c r="AN127" i="112"/>
  <c r="J126" i="112"/>
  <c r="E127" i="112"/>
  <c r="F126" i="112"/>
  <c r="BM151" i="109"/>
  <c r="BH106" i="109"/>
  <c r="AV106" i="109"/>
  <c r="AZ106" i="109" s="1"/>
  <c r="AX106" i="109" s="1"/>
  <c r="T80" i="110"/>
  <c r="H39" i="110"/>
  <c r="AV104" i="94"/>
  <c r="AZ104" i="94" s="1"/>
  <c r="AX104" i="94" s="1"/>
  <c r="BM149" i="94"/>
  <c r="BH104" i="94"/>
  <c r="AK80" i="103"/>
  <c r="AV39" i="103"/>
  <c r="AU39" i="103"/>
  <c r="AT39" i="103" s="1"/>
  <c r="I33" i="61"/>
  <c r="S63" i="61"/>
  <c r="R33" i="61"/>
  <c r="AO61" i="88" l="1"/>
  <c r="AM100" i="88"/>
  <c r="AS61" i="88"/>
  <c r="J72" i="91"/>
  <c r="X107" i="91"/>
  <c r="BK72" i="91"/>
  <c r="AM146" i="100"/>
  <c r="AS107" i="100"/>
  <c r="AO107" i="100"/>
  <c r="M73" i="91"/>
  <c r="S73" i="91" s="1"/>
  <c r="W108" i="91"/>
  <c r="L73" i="91"/>
  <c r="P73" i="91" s="1"/>
  <c r="N73" i="91" s="1"/>
  <c r="K73" i="91" s="1"/>
  <c r="AM133" i="106"/>
  <c r="AS94" i="106"/>
  <c r="AO94" i="106"/>
  <c r="L89" i="105"/>
  <c r="P89" i="105" s="1"/>
  <c r="N89" i="105" s="1"/>
  <c r="W124" i="105"/>
  <c r="AO78" i="91"/>
  <c r="AM117" i="91"/>
  <c r="AS78" i="91"/>
  <c r="AO61" i="86"/>
  <c r="AM100" i="86"/>
  <c r="AS61" i="86"/>
  <c r="AU61" i="75"/>
  <c r="AY61" i="75" s="1"/>
  <c r="AW61" i="75" s="1"/>
  <c r="AT61" i="75" s="1"/>
  <c r="BL106" i="75"/>
  <c r="V37" i="66"/>
  <c r="Z37" i="66"/>
  <c r="F135" i="107"/>
  <c r="E135" i="107"/>
  <c r="G135" i="107"/>
  <c r="D135" i="107" s="1"/>
  <c r="C136" i="107" s="1"/>
  <c r="M64" i="86"/>
  <c r="S64" i="86" s="1"/>
  <c r="L64" i="86"/>
  <c r="P64" i="86" s="1"/>
  <c r="N64" i="86" s="1"/>
  <c r="K64" i="86" s="1"/>
  <c r="W99" i="86"/>
  <c r="J63" i="86"/>
  <c r="BK63" i="86"/>
  <c r="X98" i="86"/>
  <c r="W191" i="66"/>
  <c r="O190" i="66"/>
  <c r="AX66" i="78"/>
  <c r="AV66" i="78" s="1"/>
  <c r="AS66" i="78" s="1"/>
  <c r="L130" i="66"/>
  <c r="N130" i="66"/>
  <c r="M130" i="66"/>
  <c r="AO93" i="106"/>
  <c r="AS93" i="106"/>
  <c r="AM132" i="106"/>
  <c r="AU79" i="91"/>
  <c r="AY79" i="91" s="1"/>
  <c r="AW79" i="91" s="1"/>
  <c r="AT79" i="91"/>
  <c r="BL124" i="91"/>
  <c r="BG79" i="91"/>
  <c r="L83" i="106"/>
  <c r="P83" i="106" s="1"/>
  <c r="N83" i="106" s="1"/>
  <c r="M83" i="106"/>
  <c r="S83" i="106"/>
  <c r="W118" i="106"/>
  <c r="L66" i="78"/>
  <c r="R66" i="78" s="1"/>
  <c r="AT39" i="59"/>
  <c r="I38" i="59"/>
  <c r="BF44" i="59" s="1"/>
  <c r="E130" i="103"/>
  <c r="J129" i="103"/>
  <c r="F129" i="103"/>
  <c r="K61" i="88"/>
  <c r="AU39" i="59"/>
  <c r="AV39" i="59"/>
  <c r="BI71" i="78"/>
  <c r="X105" i="78"/>
  <c r="B140" i="108"/>
  <c r="A141" i="108"/>
  <c r="AU108" i="100"/>
  <c r="BL153" i="100"/>
  <c r="BL154" i="100" s="1"/>
  <c r="BG108" i="100"/>
  <c r="U131" i="66"/>
  <c r="G131" i="66"/>
  <c r="F132" i="66"/>
  <c r="AA131" i="66"/>
  <c r="AU62" i="86"/>
  <c r="AY62" i="86" s="1"/>
  <c r="AW62" i="86" s="1"/>
  <c r="AT62" i="86" s="1"/>
  <c r="BL107" i="86"/>
  <c r="BG62" i="86"/>
  <c r="AU108" i="105"/>
  <c r="BL153" i="105"/>
  <c r="BG108" i="105"/>
  <c r="M87" i="100"/>
  <c r="L87" i="100"/>
  <c r="P87" i="100" s="1"/>
  <c r="N87" i="100" s="1"/>
  <c r="W122" i="100"/>
  <c r="S87" i="100"/>
  <c r="AV61" i="88"/>
  <c r="BG61" i="88" s="1"/>
  <c r="F88" i="108"/>
  <c r="G88" i="108"/>
  <c r="E88" i="108"/>
  <c r="AS107" i="105"/>
  <c r="AM146" i="105"/>
  <c r="AO107" i="105"/>
  <c r="A144" i="107"/>
  <c r="B143" i="107"/>
  <c r="BL140" i="106"/>
  <c r="AU95" i="106"/>
  <c r="AY95" i="106" s="1"/>
  <c r="AW95" i="106" s="1"/>
  <c r="AT95" i="106" s="1"/>
  <c r="BG95" i="106"/>
  <c r="BG73" i="78"/>
  <c r="BJ112" i="78"/>
  <c r="AS67" i="78"/>
  <c r="AM99" i="75"/>
  <c r="AS60" i="75"/>
  <c r="AO60" i="75"/>
  <c r="M39" i="59"/>
  <c r="E156" i="110"/>
  <c r="J155" i="110"/>
  <c r="F155" i="110"/>
  <c r="J66" i="78"/>
  <c r="R124" i="110"/>
  <c r="S123" i="110"/>
  <c r="AQ35" i="110"/>
  <c r="AW35" i="110" s="1"/>
  <c r="AY36" i="110" s="1"/>
  <c r="AJ76" i="110"/>
  <c r="K56" i="109"/>
  <c r="P56" i="109"/>
  <c r="N56" i="109" s="1"/>
  <c r="X100" i="75"/>
  <c r="J65" i="75"/>
  <c r="BK65" i="75"/>
  <c r="M65" i="75"/>
  <c r="S65" i="75" s="1"/>
  <c r="I37" i="111"/>
  <c r="U77" i="111"/>
  <c r="E130" i="111"/>
  <c r="J129" i="111"/>
  <c r="F129" i="111"/>
  <c r="AR36" i="111"/>
  <c r="O37" i="111"/>
  <c r="P37" i="111"/>
  <c r="AX127" i="111"/>
  <c r="K49" i="94"/>
  <c r="AR35" i="112"/>
  <c r="AS36" i="112" s="1"/>
  <c r="O37" i="112"/>
  <c r="N37" i="112" s="1"/>
  <c r="L37" i="112" s="1"/>
  <c r="G37" i="112" s="1"/>
  <c r="BA37" i="112" s="1"/>
  <c r="P37" i="112"/>
  <c r="U77" i="112"/>
  <c r="I37" i="112"/>
  <c r="J127" i="112"/>
  <c r="E128" i="112"/>
  <c r="F127" i="112"/>
  <c r="AM129" i="112"/>
  <c r="AN129" i="112" s="1"/>
  <c r="AN128" i="112"/>
  <c r="AX127" i="112"/>
  <c r="AJ76" i="111"/>
  <c r="I39" i="110"/>
  <c r="V80" i="110"/>
  <c r="U79" i="110"/>
  <c r="O39" i="110"/>
  <c r="P39" i="110"/>
  <c r="AV107" i="109"/>
  <c r="AZ107" i="109" s="1"/>
  <c r="AX107" i="109" s="1"/>
  <c r="BM152" i="109"/>
  <c r="BH107" i="109"/>
  <c r="AR39" i="103"/>
  <c r="AS40" i="103" s="1"/>
  <c r="BM150" i="94"/>
  <c r="BH105" i="94"/>
  <c r="AV105" i="94"/>
  <c r="AZ105" i="94" s="1"/>
  <c r="AX105" i="94" s="1"/>
  <c r="N33" i="61"/>
  <c r="M33" i="61" s="1"/>
  <c r="K33" i="61" s="1"/>
  <c r="O33" i="61"/>
  <c r="AM100" i="75" l="1"/>
  <c r="AO61" i="75"/>
  <c r="AS61" i="75"/>
  <c r="F136" i="107"/>
  <c r="E136" i="107"/>
  <c r="G136" i="107" s="1"/>
  <c r="D136" i="107" s="1"/>
  <c r="C137" i="107" s="1"/>
  <c r="X99" i="86"/>
  <c r="BK64" i="86"/>
  <c r="J64" i="86"/>
  <c r="J73" i="91"/>
  <c r="X108" i="91"/>
  <c r="BK73" i="91"/>
  <c r="M65" i="86"/>
  <c r="S65" i="86" s="1"/>
  <c r="W100" i="86"/>
  <c r="L65" i="86"/>
  <c r="P65" i="86" s="1"/>
  <c r="N65" i="86" s="1"/>
  <c r="K65" i="86" s="1"/>
  <c r="M74" i="91"/>
  <c r="S74" i="91" s="1"/>
  <c r="L74" i="91"/>
  <c r="P74" i="91" s="1"/>
  <c r="N74" i="91" s="1"/>
  <c r="K74" i="91" s="1"/>
  <c r="W109" i="91"/>
  <c r="AO62" i="86"/>
  <c r="AM101" i="86"/>
  <c r="AS62" i="86"/>
  <c r="E157" i="110"/>
  <c r="J156" i="110"/>
  <c r="F156" i="110"/>
  <c r="AU62" i="88"/>
  <c r="AY62" i="88" s="1"/>
  <c r="AW62" i="88" s="1"/>
  <c r="AV62" i="88" s="1"/>
  <c r="BG62" i="88" s="1"/>
  <c r="AT62" i="88"/>
  <c r="BL107" i="88"/>
  <c r="AU63" i="86"/>
  <c r="AY63" i="86" s="1"/>
  <c r="AW63" i="86" s="1"/>
  <c r="AT63" i="86"/>
  <c r="BL108" i="86"/>
  <c r="BG63" i="86"/>
  <c r="M131" i="66"/>
  <c r="N131" i="66"/>
  <c r="L131" i="66"/>
  <c r="O191" i="66"/>
  <c r="AV61" i="75"/>
  <c r="BG61" i="75" s="1"/>
  <c r="K38" i="59"/>
  <c r="AT80" i="91"/>
  <c r="BL125" i="91"/>
  <c r="AU80" i="91"/>
  <c r="AY80" i="91" s="1"/>
  <c r="AW80" i="91" s="1"/>
  <c r="BG80" i="91"/>
  <c r="BE67" i="78"/>
  <c r="AX67" i="78"/>
  <c r="AW67" i="78" s="1"/>
  <c r="AU67" i="78" s="1"/>
  <c r="AR67" i="78" s="1"/>
  <c r="AY67" i="78"/>
  <c r="AT67" i="78"/>
  <c r="M88" i="100"/>
  <c r="L88" i="100"/>
  <c r="P88" i="100" s="1"/>
  <c r="N88" i="100" s="1"/>
  <c r="W123" i="100"/>
  <c r="S88" i="100"/>
  <c r="E131" i="103"/>
  <c r="J130" i="103"/>
  <c r="F130" i="103"/>
  <c r="BL141" i="106"/>
  <c r="AU96" i="106"/>
  <c r="AY96" i="106" s="1"/>
  <c r="AW96" i="106" s="1"/>
  <c r="AT96" i="106" s="1"/>
  <c r="BG96" i="106"/>
  <c r="AS95" i="106"/>
  <c r="AO95" i="106"/>
  <c r="AM134" i="106"/>
  <c r="AY108" i="100"/>
  <c r="AW108" i="100" s="1"/>
  <c r="AU109" i="100"/>
  <c r="D28" i="100" s="1"/>
  <c r="D31" i="100" s="1"/>
  <c r="D33" i="100" s="1"/>
  <c r="AR39" i="59"/>
  <c r="AS40" i="59" s="1"/>
  <c r="AM118" i="91"/>
  <c r="AO79" i="91"/>
  <c r="AS79" i="91"/>
  <c r="AP66" i="78"/>
  <c r="AM105" i="78"/>
  <c r="D88" i="108"/>
  <c r="C89" i="108" s="1"/>
  <c r="L67" i="78"/>
  <c r="R67" i="78" s="1"/>
  <c r="K67" i="78"/>
  <c r="O67" i="78" s="1"/>
  <c r="M67" i="78" s="1"/>
  <c r="N68" i="78" s="1"/>
  <c r="W107" i="78"/>
  <c r="AV67" i="78"/>
  <c r="M89" i="105"/>
  <c r="S89" i="105" s="1"/>
  <c r="BI72" i="78"/>
  <c r="X106" i="78"/>
  <c r="B141" i="108"/>
  <c r="A142" i="108"/>
  <c r="J61" i="88"/>
  <c r="X96" i="88"/>
  <c r="BK61" i="88"/>
  <c r="K38" i="66"/>
  <c r="J38" i="66"/>
  <c r="I38" i="66" s="1"/>
  <c r="X38" i="66"/>
  <c r="M61" i="88"/>
  <c r="S61" i="88" s="1"/>
  <c r="B144" i="107"/>
  <c r="A145" i="107"/>
  <c r="AY108" i="105"/>
  <c r="AW108" i="105" s="1"/>
  <c r="AU109" i="105"/>
  <c r="D28" i="105" s="1"/>
  <c r="D31" i="105" s="1"/>
  <c r="AA132" i="66"/>
  <c r="G132" i="66"/>
  <c r="F133" i="66"/>
  <c r="U132" i="66"/>
  <c r="L84" i="106"/>
  <c r="P84" i="106" s="1"/>
  <c r="N84" i="106" s="1"/>
  <c r="M84" i="106"/>
  <c r="S84" i="106"/>
  <c r="W119" i="106"/>
  <c r="AI77" i="110"/>
  <c r="AP36" i="110"/>
  <c r="R125" i="110"/>
  <c r="S124" i="110"/>
  <c r="BB82" i="110"/>
  <c r="J56" i="109"/>
  <c r="Y91" i="109"/>
  <c r="BL56" i="109"/>
  <c r="M56" i="109"/>
  <c r="S56" i="109" s="1"/>
  <c r="L57" i="109" s="1"/>
  <c r="L66" i="75"/>
  <c r="P66" i="75" s="1"/>
  <c r="N66" i="75" s="1"/>
  <c r="W101" i="75"/>
  <c r="AO36" i="111"/>
  <c r="AL36" i="111" s="1"/>
  <c r="AQ36" i="111"/>
  <c r="AW36" i="111" s="1"/>
  <c r="E131" i="111"/>
  <c r="J130" i="111"/>
  <c r="F130" i="111"/>
  <c r="AS37" i="111"/>
  <c r="N37" i="111"/>
  <c r="L37" i="111" s="1"/>
  <c r="AX128" i="111"/>
  <c r="BL49" i="94"/>
  <c r="J49" i="94"/>
  <c r="Y84" i="94"/>
  <c r="M49" i="94"/>
  <c r="S49" i="94" s="1"/>
  <c r="AU36" i="110"/>
  <c r="AV36" i="110"/>
  <c r="AK77" i="110"/>
  <c r="AO35" i="112"/>
  <c r="AJ76" i="112" s="1"/>
  <c r="K37" i="112"/>
  <c r="Q37" i="112" s="1"/>
  <c r="M38" i="112"/>
  <c r="AX128" i="112"/>
  <c r="J128" i="112"/>
  <c r="E129" i="112"/>
  <c r="F128" i="112"/>
  <c r="AI77" i="111"/>
  <c r="AV108" i="109"/>
  <c r="BM153" i="109"/>
  <c r="BH108" i="109"/>
  <c r="N39" i="110"/>
  <c r="L39" i="110" s="1"/>
  <c r="BM151" i="94"/>
  <c r="BH106" i="94"/>
  <c r="AV106" i="94"/>
  <c r="AZ106" i="94" s="1"/>
  <c r="AX106" i="94" s="1"/>
  <c r="AO39" i="103"/>
  <c r="AQ39" i="103" s="1"/>
  <c r="AW39" i="103" s="1"/>
  <c r="H33" i="61"/>
  <c r="J33" i="61" s="1"/>
  <c r="L34" i="61"/>
  <c r="X109" i="91" l="1"/>
  <c r="J74" i="91"/>
  <c r="BK74" i="91"/>
  <c r="W110" i="91"/>
  <c r="L75" i="91"/>
  <c r="P75" i="91" s="1"/>
  <c r="N75" i="91" s="1"/>
  <c r="K75" i="91" s="1"/>
  <c r="S75" i="91"/>
  <c r="X100" i="86"/>
  <c r="BK65" i="86"/>
  <c r="J65" i="86"/>
  <c r="F137" i="107"/>
  <c r="G137" i="107" s="1"/>
  <c r="D137" i="107" s="1"/>
  <c r="C138" i="107" s="1"/>
  <c r="E137" i="107"/>
  <c r="M66" i="86"/>
  <c r="S66" i="86"/>
  <c r="L66" i="86"/>
  <c r="P66" i="86" s="1"/>
  <c r="N66" i="86" s="1"/>
  <c r="K66" i="86" s="1"/>
  <c r="W101" i="86"/>
  <c r="AU63" i="88"/>
  <c r="AY63" i="88" s="1"/>
  <c r="AW63" i="88" s="1"/>
  <c r="AV63" i="88" s="1"/>
  <c r="BG63" i="88" s="1"/>
  <c r="AT63" i="88"/>
  <c r="BL108" i="88"/>
  <c r="AO67" i="78"/>
  <c r="AM106" i="78"/>
  <c r="K68" i="78"/>
  <c r="O68" i="78" s="1"/>
  <c r="M68" i="78" s="1"/>
  <c r="N69" i="78" s="1"/>
  <c r="W108" i="78"/>
  <c r="AO96" i="106"/>
  <c r="AS96" i="106"/>
  <c r="AM135" i="106"/>
  <c r="AM101" i="88"/>
  <c r="AO62" i="88"/>
  <c r="AS62" i="88"/>
  <c r="AW109" i="105"/>
  <c r="AT108" i="105"/>
  <c r="D34" i="100"/>
  <c r="D35" i="100"/>
  <c r="D36" i="100" s="1"/>
  <c r="AS80" i="91"/>
  <c r="AM119" i="91"/>
  <c r="AO80" i="91"/>
  <c r="AT64" i="86"/>
  <c r="AU64" i="86"/>
  <c r="AY64" i="86" s="1"/>
  <c r="AW64" i="86" s="1"/>
  <c r="BL109" i="86"/>
  <c r="BG64" i="86"/>
  <c r="A146" i="107"/>
  <c r="B145" i="107"/>
  <c r="M90" i="105"/>
  <c r="S90" i="105" s="1"/>
  <c r="L90" i="105"/>
  <c r="P90" i="105" s="1"/>
  <c r="N90" i="105" s="1"/>
  <c r="W125" i="105"/>
  <c r="G89" i="108"/>
  <c r="E89" i="108"/>
  <c r="F89" i="108"/>
  <c r="AW109" i="100"/>
  <c r="AT108" i="100"/>
  <c r="U85" i="59"/>
  <c r="Q38" i="59"/>
  <c r="AU62" i="75"/>
  <c r="AY62" i="75" s="1"/>
  <c r="AW62" i="75" s="1"/>
  <c r="AT62" i="75" s="1"/>
  <c r="BL107" i="75"/>
  <c r="AM102" i="86"/>
  <c r="AO63" i="86"/>
  <c r="AS63" i="86"/>
  <c r="R38" i="66"/>
  <c r="P38" i="66" s="1"/>
  <c r="AO39" i="59"/>
  <c r="AQ39" i="59"/>
  <c r="BB39" i="59" s="1"/>
  <c r="L62" i="88"/>
  <c r="P62" i="88" s="1"/>
  <c r="N62" i="88" s="1"/>
  <c r="W97" i="88"/>
  <c r="AV68" i="78"/>
  <c r="AA133" i="66"/>
  <c r="G133" i="66"/>
  <c r="U133" i="66"/>
  <c r="F134" i="66"/>
  <c r="E132" i="103"/>
  <c r="J131" i="103"/>
  <c r="F131" i="103"/>
  <c r="BG74" i="78"/>
  <c r="AS68" i="78"/>
  <c r="BJ113" i="78"/>
  <c r="E158" i="110"/>
  <c r="J157" i="110"/>
  <c r="F157" i="110"/>
  <c r="M85" i="106"/>
  <c r="L85" i="106"/>
  <c r="P85" i="106" s="1"/>
  <c r="N85" i="106" s="1"/>
  <c r="S85" i="106"/>
  <c r="W120" i="106"/>
  <c r="L132" i="66"/>
  <c r="N132" i="66"/>
  <c r="M132" i="66"/>
  <c r="S38" i="66"/>
  <c r="T38" i="66"/>
  <c r="B142" i="108"/>
  <c r="A143" i="108"/>
  <c r="J67" i="78"/>
  <c r="L89" i="100"/>
  <c r="P89" i="100" s="1"/>
  <c r="N89" i="100" s="1"/>
  <c r="M89" i="100"/>
  <c r="W124" i="100"/>
  <c r="S89" i="100"/>
  <c r="BL126" i="91"/>
  <c r="AU81" i="91"/>
  <c r="AY81" i="91" s="1"/>
  <c r="AW81" i="91" s="1"/>
  <c r="AT81" i="91" s="1"/>
  <c r="BG81" i="91"/>
  <c r="D33" i="105"/>
  <c r="BL142" i="106"/>
  <c r="AU97" i="106"/>
  <c r="AY97" i="106" s="1"/>
  <c r="AW97" i="106" s="1"/>
  <c r="AT97" i="106"/>
  <c r="BG97" i="106"/>
  <c r="R126" i="110"/>
  <c r="S125" i="110"/>
  <c r="X92" i="109"/>
  <c r="P57" i="109"/>
  <c r="N57" i="109" s="1"/>
  <c r="K57" i="109"/>
  <c r="M57" i="109" s="1"/>
  <c r="S57" i="109" s="1"/>
  <c r="L58" i="109" s="1"/>
  <c r="K66" i="75"/>
  <c r="G37" i="111"/>
  <c r="K37" i="111" s="1"/>
  <c r="Q37" i="111" s="1"/>
  <c r="AP37" i="111"/>
  <c r="BB83" i="111"/>
  <c r="AY37" i="111"/>
  <c r="M38" i="111"/>
  <c r="J131" i="111"/>
  <c r="E132" i="111"/>
  <c r="F131" i="111"/>
  <c r="AX129" i="111"/>
  <c r="L50" i="94"/>
  <c r="P50" i="94" s="1"/>
  <c r="N50" i="94" s="1"/>
  <c r="X85" i="94"/>
  <c r="AL35" i="112"/>
  <c r="AQ35" i="112"/>
  <c r="AW35" i="112" s="1"/>
  <c r="AP36" i="112" s="1"/>
  <c r="AT36" i="110"/>
  <c r="AR36" i="110" s="1"/>
  <c r="AS37" i="110" s="1"/>
  <c r="H38" i="112"/>
  <c r="T79" i="112"/>
  <c r="S38" i="112"/>
  <c r="AX129" i="112"/>
  <c r="J129" i="112"/>
  <c r="E130" i="112"/>
  <c r="F129" i="112"/>
  <c r="AK77" i="111"/>
  <c r="K57" i="94"/>
  <c r="G39" i="110"/>
  <c r="K39" i="110" s="1"/>
  <c r="Q39" i="110" s="1"/>
  <c r="AZ108" i="109"/>
  <c r="AX108" i="109" s="1"/>
  <c r="AX109" i="109" s="1"/>
  <c r="AV109" i="109"/>
  <c r="D28" i="109" s="1"/>
  <c r="D31" i="109" s="1"/>
  <c r="M40" i="110"/>
  <c r="BB86" i="103"/>
  <c r="AP40" i="103"/>
  <c r="AI81" i="103"/>
  <c r="AY40" i="103"/>
  <c r="AL39" i="103"/>
  <c r="AJ80" i="103"/>
  <c r="BM152" i="94"/>
  <c r="BH107" i="94"/>
  <c r="AV107" i="94"/>
  <c r="AZ107" i="94" s="1"/>
  <c r="AX107" i="94" s="1"/>
  <c r="P33" i="61"/>
  <c r="T63" i="61"/>
  <c r="AU64" i="88" l="1"/>
  <c r="AY64" i="88" s="1"/>
  <c r="AW64" i="88" s="1"/>
  <c r="AT64" i="88" s="1"/>
  <c r="BL109" i="88"/>
  <c r="X101" i="86"/>
  <c r="J66" i="86"/>
  <c r="BK66" i="86"/>
  <c r="AS81" i="91"/>
  <c r="AM120" i="91"/>
  <c r="AO81" i="91"/>
  <c r="X110" i="91"/>
  <c r="BK75" i="91"/>
  <c r="J75" i="91"/>
  <c r="AS62" i="75"/>
  <c r="AM101" i="75"/>
  <c r="AO62" i="75"/>
  <c r="L91" i="105"/>
  <c r="P91" i="105" s="1"/>
  <c r="N91" i="105" s="1"/>
  <c r="W126" i="105"/>
  <c r="F138" i="107"/>
  <c r="E138" i="107"/>
  <c r="G138" i="107" s="1"/>
  <c r="D138" i="107" s="1"/>
  <c r="C139" i="107" s="1"/>
  <c r="D89" i="108"/>
  <c r="C90" i="108" s="1"/>
  <c r="AS108" i="105"/>
  <c r="AS109" i="105" s="1"/>
  <c r="AM147" i="105"/>
  <c r="AO108" i="105"/>
  <c r="AO7" i="105" s="1"/>
  <c r="AT109" i="105"/>
  <c r="D30" i="105" s="1"/>
  <c r="AC51" i="105" s="1"/>
  <c r="AB47" i="105" s="1"/>
  <c r="W111" i="91"/>
  <c r="L76" i="91"/>
  <c r="P76" i="91" s="1"/>
  <c r="N76" i="91" s="1"/>
  <c r="K76" i="91" s="1"/>
  <c r="S76" i="91"/>
  <c r="D34" i="105"/>
  <c r="D35" i="105"/>
  <c r="D36" i="105" s="1"/>
  <c r="E159" i="110"/>
  <c r="J158" i="110"/>
  <c r="F158" i="110"/>
  <c r="AZ108" i="110" s="1"/>
  <c r="E133" i="103"/>
  <c r="J132" i="103"/>
  <c r="F132" i="103"/>
  <c r="K62" i="88"/>
  <c r="M62" i="88" s="1"/>
  <c r="S62" i="88" s="1"/>
  <c r="J39" i="59"/>
  <c r="S39" i="59"/>
  <c r="T86" i="59"/>
  <c r="H38" i="66"/>
  <c r="O38" i="66" s="1"/>
  <c r="X107" i="78"/>
  <c r="BI73" i="78"/>
  <c r="AO64" i="86"/>
  <c r="AS64" i="86"/>
  <c r="AM103" i="86"/>
  <c r="J68" i="78"/>
  <c r="AS63" i="88"/>
  <c r="AO63" i="88"/>
  <c r="AM102" i="88"/>
  <c r="BL143" i="106"/>
  <c r="AU98" i="106"/>
  <c r="AY98" i="106" s="1"/>
  <c r="AW98" i="106" s="1"/>
  <c r="AT98" i="106" s="1"/>
  <c r="BG98" i="106"/>
  <c r="B143" i="108"/>
  <c r="A144" i="108"/>
  <c r="M86" i="106"/>
  <c r="L86" i="106"/>
  <c r="P86" i="106" s="1"/>
  <c r="N86" i="106" s="1"/>
  <c r="S86" i="106"/>
  <c r="W121" i="106"/>
  <c r="AO108" i="100"/>
  <c r="AO7" i="100" s="1"/>
  <c r="AS108" i="100"/>
  <c r="AS109" i="100" s="1"/>
  <c r="AM147" i="100"/>
  <c r="AT109" i="100"/>
  <c r="D30" i="100" s="1"/>
  <c r="AC51" i="100" s="1"/>
  <c r="AB47" i="100" s="1"/>
  <c r="U134" i="66"/>
  <c r="AA134" i="66"/>
  <c r="G134" i="66"/>
  <c r="F135" i="66"/>
  <c r="M133" i="66"/>
  <c r="N133" i="66"/>
  <c r="L133" i="66"/>
  <c r="BD46" i="59"/>
  <c r="BG85" i="59"/>
  <c r="AP40" i="59"/>
  <c r="AV62" i="75"/>
  <c r="BG62" i="75" s="1"/>
  <c r="L68" i="78"/>
  <c r="R68" i="78" s="1"/>
  <c r="M67" i="86"/>
  <c r="S67" i="86"/>
  <c r="W102" i="86"/>
  <c r="L67" i="86"/>
  <c r="P67" i="86" s="1"/>
  <c r="N67" i="86" s="1"/>
  <c r="K67" i="86" s="1"/>
  <c r="AM136" i="106"/>
  <c r="AS97" i="106"/>
  <c r="AO97" i="106"/>
  <c r="AY68" i="78"/>
  <c r="AX68" i="78"/>
  <c r="AW68" i="78" s="1"/>
  <c r="AU68" i="78" s="1"/>
  <c r="AR68" i="78" s="1"/>
  <c r="AT68" i="78"/>
  <c r="BE68" i="78"/>
  <c r="AJ78" i="59"/>
  <c r="AL39" i="59"/>
  <c r="AU65" i="86"/>
  <c r="AY65" i="86" s="1"/>
  <c r="AW65" i="86" s="1"/>
  <c r="AT65" i="86" s="1"/>
  <c r="BL110" i="86"/>
  <c r="BG65" i="86"/>
  <c r="AT82" i="91"/>
  <c r="AU82" i="91"/>
  <c r="AY82" i="91" s="1"/>
  <c r="AW82" i="91" s="1"/>
  <c r="BL127" i="91"/>
  <c r="BG82" i="91"/>
  <c r="L90" i="100"/>
  <c r="P90" i="100" s="1"/>
  <c r="N90" i="100" s="1"/>
  <c r="M90" i="100"/>
  <c r="W125" i="100"/>
  <c r="S90" i="100"/>
  <c r="Q39" i="66"/>
  <c r="A147" i="107"/>
  <c r="B146" i="107"/>
  <c r="R127" i="110"/>
  <c r="S126" i="110"/>
  <c r="P58" i="109"/>
  <c r="N58" i="109" s="1"/>
  <c r="X93" i="109"/>
  <c r="BL57" i="109"/>
  <c r="J57" i="109"/>
  <c r="Y92" i="109"/>
  <c r="BK66" i="75"/>
  <c r="J66" i="75"/>
  <c r="X101" i="75"/>
  <c r="M66" i="75"/>
  <c r="S66" i="75" s="1"/>
  <c r="S38" i="111"/>
  <c r="H38" i="111"/>
  <c r="T79" i="111"/>
  <c r="V79" i="111" s="1"/>
  <c r="J132" i="111"/>
  <c r="E133" i="111"/>
  <c r="F132" i="111"/>
  <c r="AV37" i="111"/>
  <c r="AU37" i="111"/>
  <c r="BA37" i="111"/>
  <c r="K50" i="94"/>
  <c r="AI77" i="112"/>
  <c r="AK77" i="112" s="1"/>
  <c r="AY36" i="112"/>
  <c r="AU36" i="112" s="1"/>
  <c r="BB82" i="112"/>
  <c r="AO36" i="110"/>
  <c r="AQ36" i="110" s="1"/>
  <c r="AW36" i="110" s="1"/>
  <c r="P38" i="112"/>
  <c r="O38" i="112"/>
  <c r="N38" i="112" s="1"/>
  <c r="L38" i="112" s="1"/>
  <c r="G38" i="112" s="1"/>
  <c r="BA38" i="112" s="1"/>
  <c r="V79" i="112"/>
  <c r="U78" i="112"/>
  <c r="I38" i="112"/>
  <c r="J130" i="112"/>
  <c r="E131" i="112"/>
  <c r="F130" i="112"/>
  <c r="J57" i="94"/>
  <c r="Y92" i="94"/>
  <c r="BL57" i="94"/>
  <c r="H40" i="110"/>
  <c r="T81" i="110"/>
  <c r="V81" i="110" s="1"/>
  <c r="BA39" i="110"/>
  <c r="D33" i="109"/>
  <c r="AV108" i="94"/>
  <c r="BH108" i="94"/>
  <c r="BM153" i="94"/>
  <c r="AU40" i="103"/>
  <c r="AT40" i="103" s="1"/>
  <c r="AV40" i="103"/>
  <c r="AK81" i="103"/>
  <c r="S64" i="61"/>
  <c r="I34" i="61"/>
  <c r="R34" i="61"/>
  <c r="AO65" i="86" l="1"/>
  <c r="AM104" i="86"/>
  <c r="AS65" i="86"/>
  <c r="V38" i="66"/>
  <c r="Z38" i="66"/>
  <c r="BK67" i="86"/>
  <c r="J67" i="86"/>
  <c r="X102" i="86"/>
  <c r="L63" i="88"/>
  <c r="P63" i="88" s="1"/>
  <c r="N63" i="88" s="1"/>
  <c r="W98" i="88"/>
  <c r="F139" i="107"/>
  <c r="G139" i="107" s="1"/>
  <c r="D139" i="107" s="1"/>
  <c r="C140" i="107" s="1"/>
  <c r="E139" i="107"/>
  <c r="AO68" i="78"/>
  <c r="AM107" i="78"/>
  <c r="J76" i="91"/>
  <c r="X111" i="91"/>
  <c r="BK76" i="91"/>
  <c r="AS64" i="88"/>
  <c r="AM103" i="88"/>
  <c r="AO64" i="88"/>
  <c r="AN148" i="100"/>
  <c r="AM148" i="100"/>
  <c r="P39" i="59"/>
  <c r="O39" i="59"/>
  <c r="J69" i="78"/>
  <c r="W109" i="78"/>
  <c r="K69" i="78"/>
  <c r="O69" i="78" s="1"/>
  <c r="M69" i="78" s="1"/>
  <c r="N70" i="78" s="1"/>
  <c r="AU99" i="106"/>
  <c r="AY99" i="106" s="1"/>
  <c r="AW99" i="106" s="1"/>
  <c r="AT99" i="106" s="1"/>
  <c r="BL144" i="106"/>
  <c r="BG99" i="106"/>
  <c r="BL128" i="91"/>
  <c r="AU83" i="91"/>
  <c r="AY83" i="91" s="1"/>
  <c r="AW83" i="91" s="1"/>
  <c r="AT83" i="91"/>
  <c r="BG83" i="91"/>
  <c r="AU63" i="75"/>
  <c r="AY63" i="75" s="1"/>
  <c r="AW63" i="75" s="1"/>
  <c r="AV63" i="75" s="1"/>
  <c r="BG63" i="75" s="1"/>
  <c r="AT63" i="75"/>
  <c r="BL108" i="75"/>
  <c r="AM137" i="106"/>
  <c r="AO98" i="106"/>
  <c r="AS98" i="106"/>
  <c r="N39" i="59"/>
  <c r="L39" i="59" s="1"/>
  <c r="I39" i="59" s="1"/>
  <c r="BF45" i="59" s="1"/>
  <c r="J159" i="110"/>
  <c r="F159" i="110"/>
  <c r="AZ109" i="110" s="1"/>
  <c r="G135" i="66"/>
  <c r="F136" i="66"/>
  <c r="U135" i="66"/>
  <c r="AA135" i="66"/>
  <c r="BK62" i="88"/>
  <c r="J62" i="88"/>
  <c r="X97" i="88"/>
  <c r="AM148" i="105"/>
  <c r="AN148" i="105"/>
  <c r="A148" i="107"/>
  <c r="B147" i="107"/>
  <c r="BG75" i="78"/>
  <c r="AS69" i="78"/>
  <c r="BJ114" i="78"/>
  <c r="M134" i="66"/>
  <c r="L134" i="66"/>
  <c r="N134" i="66"/>
  <c r="M87" i="106"/>
  <c r="L87" i="106"/>
  <c r="P87" i="106" s="1"/>
  <c r="N87" i="106" s="1"/>
  <c r="S87" i="106"/>
  <c r="W122" i="106"/>
  <c r="M91" i="105"/>
  <c r="S91" i="105" s="1"/>
  <c r="AV64" i="88"/>
  <c r="BG64" i="88" s="1"/>
  <c r="AS82" i="91"/>
  <c r="AM121" i="91"/>
  <c r="AO82" i="91"/>
  <c r="K77" i="91"/>
  <c r="W112" i="91"/>
  <c r="L77" i="91"/>
  <c r="P77" i="91" s="1"/>
  <c r="N77" i="91" s="1"/>
  <c r="S77" i="91"/>
  <c r="E90" i="108"/>
  <c r="C91" i="108"/>
  <c r="F90" i="108"/>
  <c r="G90" i="108"/>
  <c r="D90" i="108" s="1"/>
  <c r="U78" i="111"/>
  <c r="M91" i="100"/>
  <c r="L91" i="100"/>
  <c r="P91" i="100" s="1"/>
  <c r="N91" i="100" s="1"/>
  <c r="W126" i="100"/>
  <c r="S91" i="100"/>
  <c r="AT66" i="86"/>
  <c r="AU66" i="86"/>
  <c r="AY66" i="86" s="1"/>
  <c r="AW66" i="86" s="1"/>
  <c r="BL111" i="86"/>
  <c r="BG66" i="86"/>
  <c r="AV69" i="78"/>
  <c r="AV40" i="59"/>
  <c r="AU40" i="59"/>
  <c r="M68" i="86"/>
  <c r="S68" i="86"/>
  <c r="K68" i="86"/>
  <c r="W103" i="86"/>
  <c r="L68" i="86"/>
  <c r="P68" i="86" s="1"/>
  <c r="N68" i="86" s="1"/>
  <c r="B144" i="108"/>
  <c r="A145" i="108"/>
  <c r="X108" i="78"/>
  <c r="BI74" i="78"/>
  <c r="E134" i="103"/>
  <c r="J133" i="103"/>
  <c r="F133" i="103"/>
  <c r="R128" i="110"/>
  <c r="S127" i="110"/>
  <c r="AV36" i="112"/>
  <c r="K58" i="109"/>
  <c r="W102" i="75"/>
  <c r="L67" i="75"/>
  <c r="P67" i="75" s="1"/>
  <c r="N67" i="75" s="1"/>
  <c r="I38" i="111"/>
  <c r="E134" i="111"/>
  <c r="J133" i="111"/>
  <c r="F133" i="111"/>
  <c r="AT37" i="111"/>
  <c r="AR37" i="111" s="1"/>
  <c r="AS38" i="111" s="1"/>
  <c r="O38" i="111"/>
  <c r="P38" i="111"/>
  <c r="J50" i="94"/>
  <c r="Y85" i="94"/>
  <c r="BL50" i="94"/>
  <c r="M50" i="94"/>
  <c r="S50" i="94" s="1"/>
  <c r="BB83" i="110"/>
  <c r="AI78" i="110"/>
  <c r="AP37" i="110"/>
  <c r="AY37" i="110"/>
  <c r="AL36" i="110"/>
  <c r="AJ77" i="110"/>
  <c r="AT36" i="112"/>
  <c r="AR36" i="112" s="1"/>
  <c r="AO36" i="112" s="1"/>
  <c r="K38" i="112"/>
  <c r="Q38" i="112" s="1"/>
  <c r="M39" i="112"/>
  <c r="U80" i="110"/>
  <c r="E132" i="112"/>
  <c r="J131" i="112"/>
  <c r="F131" i="112"/>
  <c r="AR40" i="103"/>
  <c r="AO40" i="103" s="1"/>
  <c r="AL40" i="103" s="1"/>
  <c r="D35" i="109"/>
  <c r="D34" i="109"/>
  <c r="O40" i="110"/>
  <c r="P40" i="110"/>
  <c r="I40" i="110"/>
  <c r="AZ108" i="94"/>
  <c r="AX108" i="94" s="1"/>
  <c r="AX109" i="94" s="1"/>
  <c r="AV109" i="94"/>
  <c r="D28" i="94" s="1"/>
  <c r="D31" i="94" s="1"/>
  <c r="N34" i="61"/>
  <c r="M34" i="61" s="1"/>
  <c r="K34" i="61" s="1"/>
  <c r="O34" i="61"/>
  <c r="F140" i="107" l="1"/>
  <c r="E140" i="107"/>
  <c r="G140" i="107" s="1"/>
  <c r="D140" i="107" s="1"/>
  <c r="C141" i="107" s="1"/>
  <c r="AU64" i="75"/>
  <c r="AY64" i="75" s="1"/>
  <c r="AW64" i="75" s="1"/>
  <c r="AT64" i="75" s="1"/>
  <c r="BL109" i="75"/>
  <c r="BK68" i="86"/>
  <c r="X103" i="86"/>
  <c r="J68" i="86"/>
  <c r="M88" i="106"/>
  <c r="L88" i="106"/>
  <c r="P88" i="106" s="1"/>
  <c r="N88" i="106" s="1"/>
  <c r="S88" i="106"/>
  <c r="W123" i="106"/>
  <c r="M40" i="59"/>
  <c r="AU67" i="86"/>
  <c r="AY67" i="86" s="1"/>
  <c r="AW67" i="86" s="1"/>
  <c r="AT67" i="86" s="1"/>
  <c r="BL112" i="86"/>
  <c r="BG67" i="86"/>
  <c r="AM102" i="75"/>
  <c r="AS63" i="75"/>
  <c r="AO63" i="75"/>
  <c r="E135" i="103"/>
  <c r="J134" i="103"/>
  <c r="F134" i="103"/>
  <c r="M69" i="86"/>
  <c r="S69" i="86"/>
  <c r="W104" i="86"/>
  <c r="L69" i="86"/>
  <c r="P69" i="86" s="1"/>
  <c r="N69" i="86" s="1"/>
  <c r="K69" i="86" s="1"/>
  <c r="X112" i="91"/>
  <c r="BK77" i="91"/>
  <c r="J77" i="91"/>
  <c r="A149" i="107"/>
  <c r="B148" i="107"/>
  <c r="BL129" i="91"/>
  <c r="AU84" i="91"/>
  <c r="AY84" i="91" s="1"/>
  <c r="AW84" i="91" s="1"/>
  <c r="AT84" i="91" s="1"/>
  <c r="BG84" i="91"/>
  <c r="K63" i="88"/>
  <c r="K39" i="66"/>
  <c r="I39" i="66" s="1"/>
  <c r="J39" i="66"/>
  <c r="X39" i="66"/>
  <c r="AS99" i="106"/>
  <c r="AO99" i="106"/>
  <c r="AM138" i="106"/>
  <c r="E91" i="108"/>
  <c r="F91" i="108"/>
  <c r="G91" i="108"/>
  <c r="G136" i="66"/>
  <c r="F137" i="66"/>
  <c r="U136" i="66"/>
  <c r="AA136" i="66"/>
  <c r="BI75" i="78"/>
  <c r="X109" i="78"/>
  <c r="A146" i="108"/>
  <c r="B145" i="108"/>
  <c r="M92" i="100"/>
  <c r="L92" i="100"/>
  <c r="P92" i="100" s="1"/>
  <c r="N92" i="100" s="1"/>
  <c r="W127" i="100"/>
  <c r="S92" i="100"/>
  <c r="AU65" i="88"/>
  <c r="AY65" i="88" s="1"/>
  <c r="AW65" i="88" s="1"/>
  <c r="AT65" i="88" s="1"/>
  <c r="BL110" i="88"/>
  <c r="M135" i="66"/>
  <c r="L135" i="66"/>
  <c r="N135" i="66"/>
  <c r="AX69" i="78"/>
  <c r="AW69" i="78" s="1"/>
  <c r="AU69" i="78" s="1"/>
  <c r="AR69" i="78" s="1"/>
  <c r="AT69" i="78"/>
  <c r="BE69" i="78"/>
  <c r="AY69" i="78"/>
  <c r="AM105" i="86"/>
  <c r="AO66" i="86"/>
  <c r="AS66" i="86"/>
  <c r="L78" i="91"/>
  <c r="P78" i="91" s="1"/>
  <c r="N78" i="91" s="1"/>
  <c r="K78" i="91" s="1"/>
  <c r="W113" i="91"/>
  <c r="S78" i="91"/>
  <c r="L92" i="105"/>
  <c r="P92" i="105" s="1"/>
  <c r="N92" i="105" s="1"/>
  <c r="W127" i="105"/>
  <c r="S92" i="105"/>
  <c r="AT40" i="59"/>
  <c r="AR40" i="59" s="1"/>
  <c r="L69" i="78"/>
  <c r="R69" i="78" s="1"/>
  <c r="AO83" i="91"/>
  <c r="AM122" i="91"/>
  <c r="AS83" i="91"/>
  <c r="AU100" i="106"/>
  <c r="AY100" i="106" s="1"/>
  <c r="AW100" i="106" s="1"/>
  <c r="AT100" i="106" s="1"/>
  <c r="BL145" i="106"/>
  <c r="BG100" i="106"/>
  <c r="K39" i="59"/>
  <c r="R129" i="110"/>
  <c r="S128" i="110"/>
  <c r="Y93" i="109"/>
  <c r="J58" i="109"/>
  <c r="BL58" i="109"/>
  <c r="M58" i="109"/>
  <c r="S58" i="109" s="1"/>
  <c r="L59" i="109" s="1"/>
  <c r="K67" i="75"/>
  <c r="E135" i="111"/>
  <c r="J134" i="111"/>
  <c r="F134" i="111"/>
  <c r="N38" i="111"/>
  <c r="L38" i="111" s="1"/>
  <c r="AO37" i="111"/>
  <c r="AL37" i="111" s="1"/>
  <c r="L51" i="94"/>
  <c r="P51" i="94" s="1"/>
  <c r="N51" i="94" s="1"/>
  <c r="X86" i="94"/>
  <c r="AS41" i="103"/>
  <c r="AQ40" i="103"/>
  <c r="AW40" i="103" s="1"/>
  <c r="AY41" i="103" s="1"/>
  <c r="AJ81" i="103"/>
  <c r="AV37" i="110"/>
  <c r="AU37" i="110"/>
  <c r="AT37" i="110" s="1"/>
  <c r="AK78" i="110"/>
  <c r="AQ36" i="112"/>
  <c r="AW36" i="112" s="1"/>
  <c r="AL36" i="112"/>
  <c r="AJ77" i="112"/>
  <c r="AS37" i="112"/>
  <c r="T80" i="112"/>
  <c r="H39" i="112"/>
  <c r="S39" i="112"/>
  <c r="J132" i="112"/>
  <c r="E133" i="112"/>
  <c r="F132" i="112"/>
  <c r="AI78" i="111"/>
  <c r="AJ77" i="111"/>
  <c r="K58" i="94"/>
  <c r="BL58" i="94" s="1"/>
  <c r="N40" i="110"/>
  <c r="L40" i="110" s="1"/>
  <c r="M41" i="110" s="1"/>
  <c r="D36" i="109"/>
  <c r="D33" i="94"/>
  <c r="AP41" i="103"/>
  <c r="H34" i="61"/>
  <c r="J34" i="61" s="1"/>
  <c r="L35" i="61"/>
  <c r="AM104" i="88" l="1"/>
  <c r="AS65" i="88"/>
  <c r="AO65" i="88"/>
  <c r="AS84" i="91"/>
  <c r="AO84" i="91"/>
  <c r="AM123" i="91"/>
  <c r="AM108" i="78"/>
  <c r="AO69" i="78"/>
  <c r="AM106" i="86"/>
  <c r="AS67" i="86"/>
  <c r="AO67" i="86"/>
  <c r="BK78" i="91"/>
  <c r="J78" i="91"/>
  <c r="X113" i="91"/>
  <c r="AM103" i="75"/>
  <c r="AS64" i="75"/>
  <c r="AO64" i="75"/>
  <c r="F141" i="107"/>
  <c r="E141" i="107"/>
  <c r="G141" i="107"/>
  <c r="D141" i="107" s="1"/>
  <c r="C142" i="107" s="1"/>
  <c r="X104" i="86"/>
  <c r="J69" i="86"/>
  <c r="BK69" i="86"/>
  <c r="Q39" i="59"/>
  <c r="U86" i="59"/>
  <c r="AO40" i="59"/>
  <c r="AQ40" i="59" s="1"/>
  <c r="BB40" i="59" s="1"/>
  <c r="W128" i="100"/>
  <c r="L93" i="100"/>
  <c r="P93" i="100" s="1"/>
  <c r="N93" i="100" s="1"/>
  <c r="K93" i="100" s="1"/>
  <c r="S93" i="100"/>
  <c r="M89" i="106"/>
  <c r="L89" i="106"/>
  <c r="P89" i="106" s="1"/>
  <c r="N89" i="106" s="1"/>
  <c r="S89" i="106"/>
  <c r="W124" i="106"/>
  <c r="AV64" i="75"/>
  <c r="BG64" i="75" s="1"/>
  <c r="M70" i="86"/>
  <c r="S70" i="86" s="1"/>
  <c r="W105" i="86"/>
  <c r="L70" i="86"/>
  <c r="P70" i="86" s="1"/>
  <c r="N70" i="86" s="1"/>
  <c r="K70" i="86" s="1"/>
  <c r="BB87" i="103"/>
  <c r="AS41" i="59"/>
  <c r="A150" i="107"/>
  <c r="B150" i="107" s="1"/>
  <c r="B149" i="107"/>
  <c r="AS100" i="106"/>
  <c r="AM139" i="106"/>
  <c r="AO100" i="106"/>
  <c r="M92" i="105"/>
  <c r="U137" i="66"/>
  <c r="F138" i="66"/>
  <c r="G137" i="66"/>
  <c r="AA137" i="66"/>
  <c r="AU68" i="86"/>
  <c r="AY68" i="86" s="1"/>
  <c r="AW68" i="86" s="1"/>
  <c r="AT68" i="86" s="1"/>
  <c r="BL113" i="86"/>
  <c r="BG68" i="86"/>
  <c r="AI82" i="103"/>
  <c r="AV65" i="88"/>
  <c r="BG65" i="88" s="1"/>
  <c r="M136" i="66"/>
  <c r="N136" i="66"/>
  <c r="L136" i="66"/>
  <c r="J63" i="88"/>
  <c r="BK63" i="88"/>
  <c r="X98" i="88"/>
  <c r="W114" i="91"/>
  <c r="L79" i="91"/>
  <c r="P79" i="91" s="1"/>
  <c r="N79" i="91" s="1"/>
  <c r="K79" i="91" s="1"/>
  <c r="S79" i="91"/>
  <c r="BG76" i="78"/>
  <c r="AS70" i="78"/>
  <c r="BJ115" i="78"/>
  <c r="A147" i="108"/>
  <c r="B146" i="108"/>
  <c r="AU85" i="91"/>
  <c r="AY85" i="91" s="1"/>
  <c r="AW85" i="91" s="1"/>
  <c r="AT85" i="91" s="1"/>
  <c r="BL130" i="91"/>
  <c r="BG85" i="91"/>
  <c r="E136" i="103"/>
  <c r="J135" i="103"/>
  <c r="F135" i="103"/>
  <c r="AU101" i="106"/>
  <c r="AY101" i="106" s="1"/>
  <c r="AW101" i="106" s="1"/>
  <c r="AT101" i="106" s="1"/>
  <c r="BL146" i="106"/>
  <c r="BG101" i="106"/>
  <c r="W128" i="105"/>
  <c r="L93" i="105"/>
  <c r="P93" i="105" s="1"/>
  <c r="N93" i="105" s="1"/>
  <c r="K93" i="105" s="1"/>
  <c r="S93" i="105"/>
  <c r="D91" i="108"/>
  <c r="C92" i="108" s="1"/>
  <c r="M63" i="88"/>
  <c r="S63" i="88" s="1"/>
  <c r="W110" i="78"/>
  <c r="K70" i="78"/>
  <c r="O70" i="78" s="1"/>
  <c r="M70" i="78" s="1"/>
  <c r="N71" i="78" s="1"/>
  <c r="AV70" i="78"/>
  <c r="T39" i="66"/>
  <c r="S39" i="66"/>
  <c r="R130" i="110"/>
  <c r="S129" i="110"/>
  <c r="AR37" i="110"/>
  <c r="AO37" i="110" s="1"/>
  <c r="AQ37" i="110" s="1"/>
  <c r="AW37" i="110" s="1"/>
  <c r="X94" i="109"/>
  <c r="P59" i="109"/>
  <c r="N59" i="109" s="1"/>
  <c r="K59" i="109"/>
  <c r="J67" i="75"/>
  <c r="BK67" i="75"/>
  <c r="X102" i="75"/>
  <c r="M67" i="75"/>
  <c r="S67" i="75" s="1"/>
  <c r="G38" i="111"/>
  <c r="K38" i="111" s="1"/>
  <c r="Q38" i="111" s="1"/>
  <c r="J135" i="111"/>
  <c r="E136" i="111"/>
  <c r="F135" i="111"/>
  <c r="K51" i="94"/>
  <c r="M51" i="94" s="1"/>
  <c r="S51" i="94" s="1"/>
  <c r="AQ37" i="111"/>
  <c r="AW37" i="111" s="1"/>
  <c r="M39" i="111"/>
  <c r="Y86" i="94"/>
  <c r="AS38" i="110"/>
  <c r="BB83" i="112"/>
  <c r="AY37" i="112"/>
  <c r="AI78" i="112"/>
  <c r="AK78" i="112" s="1"/>
  <c r="AP37" i="112"/>
  <c r="P39" i="112"/>
  <c r="O39" i="112"/>
  <c r="N39" i="112" s="1"/>
  <c r="L39" i="112" s="1"/>
  <c r="G39" i="112" s="1"/>
  <c r="BA39" i="112" s="1"/>
  <c r="I39" i="112"/>
  <c r="V80" i="112"/>
  <c r="U79" i="112"/>
  <c r="E134" i="112"/>
  <c r="J133" i="112"/>
  <c r="F133" i="112"/>
  <c r="AK78" i="111"/>
  <c r="Y93" i="94"/>
  <c r="J58" i="94"/>
  <c r="G40" i="110"/>
  <c r="AK82" i="103"/>
  <c r="D34" i="94"/>
  <c r="D35" i="94"/>
  <c r="AV41" i="103"/>
  <c r="AU41" i="103"/>
  <c r="P34" i="61"/>
  <c r="T64" i="61"/>
  <c r="X128" i="105" l="1"/>
  <c r="BK93" i="105"/>
  <c r="J93" i="105"/>
  <c r="BK79" i="91"/>
  <c r="J79" i="91"/>
  <c r="X114" i="91"/>
  <c r="AS85" i="91"/>
  <c r="AO85" i="91"/>
  <c r="AM124" i="91"/>
  <c r="X105" i="86"/>
  <c r="BK70" i="86"/>
  <c r="J70" i="86"/>
  <c r="J93" i="100"/>
  <c r="BK93" i="100"/>
  <c r="X128" i="100"/>
  <c r="F142" i="107"/>
  <c r="E142" i="107"/>
  <c r="G142" i="107" s="1"/>
  <c r="D142" i="107" s="1"/>
  <c r="C143" i="107" s="1"/>
  <c r="M71" i="86"/>
  <c r="S71" i="86"/>
  <c r="W106" i="86"/>
  <c r="L71" i="86"/>
  <c r="P71" i="86" s="1"/>
  <c r="N71" i="86" s="1"/>
  <c r="K71" i="86" s="1"/>
  <c r="AS68" i="86"/>
  <c r="AM107" i="86"/>
  <c r="AO68" i="86"/>
  <c r="BD47" i="59"/>
  <c r="BG86" i="59"/>
  <c r="AP41" i="59"/>
  <c r="L64" i="88"/>
  <c r="P64" i="88" s="1"/>
  <c r="N64" i="88" s="1"/>
  <c r="W99" i="88"/>
  <c r="AS101" i="106"/>
  <c r="AO101" i="106"/>
  <c r="AM140" i="106"/>
  <c r="AU66" i="88"/>
  <c r="AY66" i="88" s="1"/>
  <c r="AW66" i="88" s="1"/>
  <c r="AT66" i="88" s="1"/>
  <c r="BL111" i="88"/>
  <c r="W129" i="100"/>
  <c r="L94" i="100"/>
  <c r="P94" i="100" s="1"/>
  <c r="N94" i="100" s="1"/>
  <c r="K94" i="100" s="1"/>
  <c r="S94" i="100"/>
  <c r="F92" i="108"/>
  <c r="E92" i="108"/>
  <c r="G92" i="108"/>
  <c r="A148" i="108"/>
  <c r="B147" i="108"/>
  <c r="S94" i="105"/>
  <c r="W129" i="105"/>
  <c r="L94" i="105"/>
  <c r="P94" i="105" s="1"/>
  <c r="N94" i="105" s="1"/>
  <c r="K94" i="105"/>
  <c r="AU69" i="86"/>
  <c r="AY69" i="86" s="1"/>
  <c r="AW69" i="86" s="1"/>
  <c r="AT69" i="86" s="1"/>
  <c r="BL114" i="86"/>
  <c r="BG69" i="86"/>
  <c r="E137" i="103"/>
  <c r="J136" i="103"/>
  <c r="F136" i="103"/>
  <c r="L137" i="66"/>
  <c r="N137" i="66"/>
  <c r="M137" i="66"/>
  <c r="AU65" i="75"/>
  <c r="AY65" i="75" s="1"/>
  <c r="AW65" i="75" s="1"/>
  <c r="AV65" i="75" s="1"/>
  <c r="BG65" i="75" s="1"/>
  <c r="BL110" i="75"/>
  <c r="AU86" i="91"/>
  <c r="AY86" i="91" s="1"/>
  <c r="AW86" i="91" s="1"/>
  <c r="AT86" i="91" s="1"/>
  <c r="BL131" i="91"/>
  <c r="BG86" i="91"/>
  <c r="U138" i="66"/>
  <c r="G138" i="66"/>
  <c r="AA138" i="66"/>
  <c r="F139" i="66"/>
  <c r="J70" i="78"/>
  <c r="AT70" i="78"/>
  <c r="AX70" i="78"/>
  <c r="AW70" i="78" s="1"/>
  <c r="AU70" i="78" s="1"/>
  <c r="AR70" i="78" s="1"/>
  <c r="AY70" i="78"/>
  <c r="BE70" i="78"/>
  <c r="L90" i="106"/>
  <c r="P90" i="106" s="1"/>
  <c r="N90" i="106" s="1"/>
  <c r="M90" i="106"/>
  <c r="S90" i="106"/>
  <c r="W125" i="106"/>
  <c r="AL40" i="59"/>
  <c r="AJ79" i="59"/>
  <c r="J51" i="94"/>
  <c r="BL147" i="106"/>
  <c r="AU102" i="106"/>
  <c r="AY102" i="106" s="1"/>
  <c r="AW102" i="106" s="1"/>
  <c r="AT102" i="106" s="1"/>
  <c r="BG102" i="106"/>
  <c r="W115" i="91"/>
  <c r="L80" i="91"/>
  <c r="P80" i="91" s="1"/>
  <c r="N80" i="91" s="1"/>
  <c r="K80" i="91" s="1"/>
  <c r="S80" i="91"/>
  <c r="L70" i="78"/>
  <c r="R70" i="78" s="1"/>
  <c r="R39" i="66"/>
  <c r="P39" i="66" s="1"/>
  <c r="Q40" i="66" s="1"/>
  <c r="T87" i="59"/>
  <c r="J40" i="59"/>
  <c r="S40" i="59"/>
  <c r="AJ78" i="110"/>
  <c r="R131" i="110"/>
  <c r="S130" i="110"/>
  <c r="AL37" i="110"/>
  <c r="M59" i="109"/>
  <c r="S59" i="109" s="1"/>
  <c r="BL59" i="109"/>
  <c r="Y94" i="109"/>
  <c r="J59" i="109"/>
  <c r="W103" i="75"/>
  <c r="L68" i="75"/>
  <c r="P68" i="75" s="1"/>
  <c r="N68" i="75" s="1"/>
  <c r="K68" i="75" s="1"/>
  <c r="L52" i="94"/>
  <c r="X87" i="94"/>
  <c r="S39" i="111"/>
  <c r="H39" i="111"/>
  <c r="T80" i="111"/>
  <c r="V80" i="111" s="1"/>
  <c r="BL51" i="94"/>
  <c r="BB84" i="111"/>
  <c r="AP38" i="111"/>
  <c r="AY38" i="111"/>
  <c r="J136" i="111"/>
  <c r="E137" i="111"/>
  <c r="F136" i="111"/>
  <c r="BA38" i="111"/>
  <c r="U79" i="111"/>
  <c r="P52" i="94"/>
  <c r="N52" i="94" s="1"/>
  <c r="K52" i="94"/>
  <c r="BL52" i="94" s="1"/>
  <c r="AP38" i="110"/>
  <c r="AI79" i="110"/>
  <c r="AY38" i="110"/>
  <c r="BB84" i="110"/>
  <c r="AU37" i="112"/>
  <c r="AV37" i="112"/>
  <c r="K39" i="112"/>
  <c r="Q39" i="112" s="1"/>
  <c r="M40" i="112"/>
  <c r="E135" i="112"/>
  <c r="J134" i="112"/>
  <c r="F134" i="112"/>
  <c r="BA40" i="110"/>
  <c r="K40" i="110"/>
  <c r="Q40" i="110" s="1"/>
  <c r="D36" i="94"/>
  <c r="AT41" i="103"/>
  <c r="AR41" i="103" s="1"/>
  <c r="S65" i="61"/>
  <c r="I35" i="61"/>
  <c r="R35" i="61"/>
  <c r="AU66" i="75" l="1"/>
  <c r="AY66" i="75" s="1"/>
  <c r="AW66" i="75" s="1"/>
  <c r="AT66" i="75" s="1"/>
  <c r="BL111" i="75"/>
  <c r="BG66" i="75"/>
  <c r="AM141" i="106"/>
  <c r="AS102" i="106"/>
  <c r="AO102" i="106"/>
  <c r="J71" i="86"/>
  <c r="X106" i="86"/>
  <c r="BK71" i="86"/>
  <c r="BK94" i="100"/>
  <c r="J94" i="100"/>
  <c r="X129" i="100"/>
  <c r="AO70" i="78"/>
  <c r="AM109" i="78"/>
  <c r="AS69" i="86"/>
  <c r="AM108" i="86"/>
  <c r="AO69" i="86"/>
  <c r="AO86" i="91"/>
  <c r="AS86" i="91"/>
  <c r="AM125" i="91"/>
  <c r="BK80" i="91"/>
  <c r="J80" i="91"/>
  <c r="X115" i="91"/>
  <c r="AM105" i="88"/>
  <c r="AO66" i="88"/>
  <c r="AS66" i="88"/>
  <c r="AV66" i="88"/>
  <c r="BG66" i="88" s="1"/>
  <c r="F143" i="107"/>
  <c r="E143" i="107"/>
  <c r="G143" i="107" s="1"/>
  <c r="D143" i="107" s="1"/>
  <c r="C144" i="107" s="1"/>
  <c r="E138" i="103"/>
  <c r="J137" i="103"/>
  <c r="F137" i="103"/>
  <c r="W130" i="105"/>
  <c r="L95" i="105"/>
  <c r="P95" i="105" s="1"/>
  <c r="N95" i="105" s="1"/>
  <c r="K95" i="105" s="1"/>
  <c r="S95" i="105"/>
  <c r="AU103" i="106"/>
  <c r="AY103" i="106" s="1"/>
  <c r="AW103" i="106" s="1"/>
  <c r="AT103" i="106" s="1"/>
  <c r="BL148" i="106"/>
  <c r="BG103" i="106"/>
  <c r="L91" i="106"/>
  <c r="P91" i="106" s="1"/>
  <c r="N91" i="106" s="1"/>
  <c r="M91" i="106"/>
  <c r="S91" i="106"/>
  <c r="W126" i="106"/>
  <c r="BI76" i="78"/>
  <c r="X110" i="78"/>
  <c r="D92" i="108"/>
  <c r="C93" i="108" s="1"/>
  <c r="AV41" i="59"/>
  <c r="AU41" i="59"/>
  <c r="M72" i="86"/>
  <c r="S72" i="86" s="1"/>
  <c r="L72" i="86"/>
  <c r="P72" i="86" s="1"/>
  <c r="N72" i="86" s="1"/>
  <c r="K72" i="86" s="1"/>
  <c r="W107" i="86"/>
  <c r="K64" i="88"/>
  <c r="O40" i="59"/>
  <c r="N40" i="59" s="1"/>
  <c r="L40" i="59" s="1"/>
  <c r="P40" i="59"/>
  <c r="AV71" i="78"/>
  <c r="H39" i="66"/>
  <c r="O39" i="66" s="1"/>
  <c r="U139" i="66"/>
  <c r="AA139" i="66"/>
  <c r="G139" i="66"/>
  <c r="F140" i="66"/>
  <c r="BK94" i="105"/>
  <c r="X129" i="105"/>
  <c r="J94" i="105"/>
  <c r="AT41" i="59"/>
  <c r="BL132" i="91"/>
  <c r="AU87" i="91"/>
  <c r="AY87" i="91" s="1"/>
  <c r="AW87" i="91" s="1"/>
  <c r="AT87" i="91" s="1"/>
  <c r="BG87" i="91"/>
  <c r="AT65" i="75"/>
  <c r="B148" i="108"/>
  <c r="A149" i="108"/>
  <c r="J52" i="94"/>
  <c r="Y87" i="94"/>
  <c r="W111" i="78"/>
  <c r="K71" i="78"/>
  <c r="O71" i="78" s="1"/>
  <c r="M71" i="78" s="1"/>
  <c r="N72" i="78" s="1"/>
  <c r="AU70" i="86"/>
  <c r="AY70" i="86" s="1"/>
  <c r="AW70" i="86" s="1"/>
  <c r="AT70" i="86" s="1"/>
  <c r="BL115" i="86"/>
  <c r="BG70" i="86"/>
  <c r="L81" i="91"/>
  <c r="P81" i="91" s="1"/>
  <c r="N81" i="91" s="1"/>
  <c r="K81" i="91"/>
  <c r="W116" i="91"/>
  <c r="S81" i="91"/>
  <c r="BG77" i="78"/>
  <c r="AS71" i="78"/>
  <c r="BJ116" i="78"/>
  <c r="L138" i="66"/>
  <c r="N138" i="66"/>
  <c r="M138" i="66"/>
  <c r="W130" i="100"/>
  <c r="L95" i="100"/>
  <c r="P95" i="100" s="1"/>
  <c r="N95" i="100" s="1"/>
  <c r="K95" i="100" s="1"/>
  <c r="S95" i="100"/>
  <c r="R132" i="110"/>
  <c r="S131" i="110"/>
  <c r="X95" i="109"/>
  <c r="L60" i="109"/>
  <c r="J68" i="75"/>
  <c r="X103" i="75"/>
  <c r="BK68" i="75"/>
  <c r="M68" i="75"/>
  <c r="S68" i="75" s="1"/>
  <c r="P39" i="111"/>
  <c r="O39" i="111"/>
  <c r="E138" i="111"/>
  <c r="J137" i="111"/>
  <c r="F137" i="111"/>
  <c r="AU38" i="111"/>
  <c r="AT38" i="111" s="1"/>
  <c r="AV38" i="111"/>
  <c r="I39" i="111"/>
  <c r="N39" i="111"/>
  <c r="L39" i="111" s="1"/>
  <c r="G39" i="111" s="1"/>
  <c r="BA39" i="111" s="1"/>
  <c r="M52" i="94"/>
  <c r="S52" i="94" s="1"/>
  <c r="AU38" i="110"/>
  <c r="AT38" i="110" s="1"/>
  <c r="AV38" i="110"/>
  <c r="AK79" i="110"/>
  <c r="AT37" i="112"/>
  <c r="AR37" i="112" s="1"/>
  <c r="AO37" i="112" s="1"/>
  <c r="S40" i="112"/>
  <c r="T81" i="112"/>
  <c r="H40" i="112"/>
  <c r="J135" i="112"/>
  <c r="E136" i="112"/>
  <c r="F135" i="112"/>
  <c r="AJ78" i="111"/>
  <c r="K59" i="94"/>
  <c r="J59" i="94" s="1"/>
  <c r="H41" i="110"/>
  <c r="T82" i="110"/>
  <c r="AO41" i="103"/>
  <c r="AQ41" i="103" s="1"/>
  <c r="AW41" i="103" s="1"/>
  <c r="AS42" i="103"/>
  <c r="N35" i="61"/>
  <c r="O35" i="61"/>
  <c r="M73" i="86" l="1"/>
  <c r="S73" i="86"/>
  <c r="W108" i="86"/>
  <c r="L73" i="86"/>
  <c r="P73" i="86" s="1"/>
  <c r="N73" i="86" s="1"/>
  <c r="K73" i="86" s="1"/>
  <c r="X130" i="100"/>
  <c r="BK95" i="100"/>
  <c r="J95" i="100"/>
  <c r="V39" i="66"/>
  <c r="Z39" i="66"/>
  <c r="F144" i="107"/>
  <c r="E144" i="107"/>
  <c r="G144" i="107" s="1"/>
  <c r="D144" i="107" s="1"/>
  <c r="C145" i="107" s="1"/>
  <c r="I40" i="59"/>
  <c r="BF46" i="59" s="1"/>
  <c r="AS70" i="86"/>
  <c r="AM109" i="86"/>
  <c r="AO70" i="86"/>
  <c r="BK95" i="105"/>
  <c r="X130" i="105"/>
  <c r="J95" i="105"/>
  <c r="AO87" i="91"/>
  <c r="AM126" i="91"/>
  <c r="AS87" i="91"/>
  <c r="BK72" i="86"/>
  <c r="J72" i="86"/>
  <c r="X107" i="86"/>
  <c r="AO66" i="75"/>
  <c r="AS66" i="75"/>
  <c r="AM105" i="75"/>
  <c r="AR41" i="59"/>
  <c r="J64" i="88"/>
  <c r="X99" i="88"/>
  <c r="BK64" i="88"/>
  <c r="M64" i="88"/>
  <c r="S64" i="88" s="1"/>
  <c r="K82" i="91"/>
  <c r="W117" i="91"/>
  <c r="L82" i="91"/>
  <c r="P82" i="91" s="1"/>
  <c r="N82" i="91" s="1"/>
  <c r="S82" i="91"/>
  <c r="J71" i="78"/>
  <c r="BL149" i="106"/>
  <c r="AU104" i="106"/>
  <c r="AY104" i="106" s="1"/>
  <c r="AW104" i="106" s="1"/>
  <c r="AT104" i="106" s="1"/>
  <c r="BG104" i="106"/>
  <c r="AU67" i="88"/>
  <c r="AY67" i="88" s="1"/>
  <c r="AW67" i="88" s="1"/>
  <c r="AT67" i="88" s="1"/>
  <c r="BL112" i="88"/>
  <c r="A150" i="108"/>
  <c r="B149" i="108"/>
  <c r="AO65" i="75"/>
  <c r="AS65" i="75"/>
  <c r="AM104" i="75"/>
  <c r="F93" i="108"/>
  <c r="G93" i="108"/>
  <c r="D93" i="108" s="1"/>
  <c r="C94" i="108" s="1"/>
  <c r="E93" i="108"/>
  <c r="AV66" i="75"/>
  <c r="X116" i="91"/>
  <c r="BK81" i="91"/>
  <c r="J81" i="91"/>
  <c r="AU88" i="91"/>
  <c r="AY88" i="91" s="1"/>
  <c r="AW88" i="91" s="1"/>
  <c r="AT88" i="91" s="1"/>
  <c r="BL133" i="91"/>
  <c r="BG88" i="91"/>
  <c r="AS103" i="106"/>
  <c r="AO103" i="106"/>
  <c r="AM142" i="106"/>
  <c r="AU67" i="75"/>
  <c r="AY67" i="75" s="1"/>
  <c r="AW67" i="75" s="1"/>
  <c r="AV67" i="75" s="1"/>
  <c r="AT67" i="75"/>
  <c r="BL112" i="75"/>
  <c r="BG67" i="75"/>
  <c r="E139" i="103"/>
  <c r="J138" i="103"/>
  <c r="F138" i="103"/>
  <c r="AY71" i="78"/>
  <c r="AX71" i="78"/>
  <c r="AT71" i="78"/>
  <c r="BE71" i="78"/>
  <c r="AU71" i="86"/>
  <c r="AY71" i="86" s="1"/>
  <c r="AW71" i="86" s="1"/>
  <c r="AT71" i="86" s="1"/>
  <c r="BL116" i="86"/>
  <c r="BG71" i="86"/>
  <c r="L71" i="78"/>
  <c r="R71" i="78" s="1"/>
  <c r="G140" i="66"/>
  <c r="F141" i="66"/>
  <c r="U140" i="66"/>
  <c r="AA140" i="66"/>
  <c r="W131" i="100"/>
  <c r="L96" i="100"/>
  <c r="P96" i="100" s="1"/>
  <c r="N96" i="100" s="1"/>
  <c r="K96" i="100" s="1"/>
  <c r="S96" i="100"/>
  <c r="N139" i="66"/>
  <c r="M139" i="66"/>
  <c r="L139" i="66"/>
  <c r="M41" i="59"/>
  <c r="AS42" i="59"/>
  <c r="M92" i="106"/>
  <c r="L92" i="106"/>
  <c r="P92" i="106" s="1"/>
  <c r="N92" i="106" s="1"/>
  <c r="S92" i="106"/>
  <c r="W127" i="106"/>
  <c r="L96" i="105"/>
  <c r="P96" i="105" s="1"/>
  <c r="N96" i="105" s="1"/>
  <c r="K96" i="105" s="1"/>
  <c r="W131" i="105"/>
  <c r="S96" i="105"/>
  <c r="R133" i="110"/>
  <c r="S132" i="110"/>
  <c r="P60" i="109"/>
  <c r="N60" i="109" s="1"/>
  <c r="K60" i="109"/>
  <c r="W104" i="75"/>
  <c r="L69" i="75"/>
  <c r="P69" i="75" s="1"/>
  <c r="N69" i="75" s="1"/>
  <c r="M40" i="111"/>
  <c r="AR38" i="111"/>
  <c r="AS39" i="111" s="1"/>
  <c r="E139" i="111"/>
  <c r="J138" i="111"/>
  <c r="F138" i="111"/>
  <c r="K39" i="111"/>
  <c r="Q39" i="111" s="1"/>
  <c r="L53" i="94"/>
  <c r="X88" i="94"/>
  <c r="AR38" i="110"/>
  <c r="AQ37" i="112"/>
  <c r="AW37" i="112" s="1"/>
  <c r="AL37" i="112"/>
  <c r="AJ78" i="112"/>
  <c r="AS38" i="112"/>
  <c r="I40" i="112"/>
  <c r="V81" i="112"/>
  <c r="U80" i="112"/>
  <c r="O40" i="112"/>
  <c r="N40" i="112" s="1"/>
  <c r="L40" i="112" s="1"/>
  <c r="G40" i="112" s="1"/>
  <c r="BA40" i="112" s="1"/>
  <c r="P40" i="112"/>
  <c r="J136" i="112"/>
  <c r="E137" i="112"/>
  <c r="F136" i="112"/>
  <c r="AI79" i="111"/>
  <c r="BL59" i="94"/>
  <c r="Y94" i="94"/>
  <c r="O41" i="110"/>
  <c r="N41" i="110" s="1"/>
  <c r="L41" i="110" s="1"/>
  <c r="G41" i="110" s="1"/>
  <c r="BA41" i="110" s="1"/>
  <c r="P41" i="110"/>
  <c r="V82" i="110"/>
  <c r="U81" i="110"/>
  <c r="I41" i="110"/>
  <c r="BB88" i="103"/>
  <c r="AP42" i="103"/>
  <c r="AI83" i="103"/>
  <c r="AY42" i="103"/>
  <c r="AL41" i="103"/>
  <c r="AJ82" i="103"/>
  <c r="M35" i="61"/>
  <c r="K35" i="61" s="1"/>
  <c r="AO71" i="86" l="1"/>
  <c r="AS71" i="86"/>
  <c r="AM110" i="86"/>
  <c r="AO104" i="106"/>
  <c r="AS104" i="106"/>
  <c r="AM143" i="106"/>
  <c r="X108" i="86"/>
  <c r="J73" i="86"/>
  <c r="BK73" i="86"/>
  <c r="F145" i="107"/>
  <c r="E145" i="107"/>
  <c r="G145" i="107" s="1"/>
  <c r="D145" i="107" s="1"/>
  <c r="C146" i="107" s="1"/>
  <c r="J96" i="105"/>
  <c r="X131" i="105"/>
  <c r="BK96" i="105"/>
  <c r="AM127" i="91"/>
  <c r="AS88" i="91"/>
  <c r="AO88" i="91"/>
  <c r="X131" i="100"/>
  <c r="BK96" i="100"/>
  <c r="J96" i="100"/>
  <c r="E94" i="108"/>
  <c r="F94" i="108"/>
  <c r="G94" i="108"/>
  <c r="AM106" i="88"/>
  <c r="AS67" i="88"/>
  <c r="AO67" i="88"/>
  <c r="L97" i="105"/>
  <c r="P97" i="105" s="1"/>
  <c r="N97" i="105" s="1"/>
  <c r="K97" i="105" s="1"/>
  <c r="W132" i="105"/>
  <c r="S97" i="105"/>
  <c r="J82" i="91"/>
  <c r="BK82" i="91"/>
  <c r="X117" i="91"/>
  <c r="W100" i="88"/>
  <c r="L65" i="88"/>
  <c r="P65" i="88" s="1"/>
  <c r="N65" i="88" s="1"/>
  <c r="BG78" i="78"/>
  <c r="AS72" i="78"/>
  <c r="BJ117" i="78"/>
  <c r="AT89" i="91"/>
  <c r="BL134" i="91"/>
  <c r="AU89" i="91"/>
  <c r="AY89" i="91" s="1"/>
  <c r="AW89" i="91" s="1"/>
  <c r="BG89" i="91"/>
  <c r="A151" i="108"/>
  <c r="B150" i="108"/>
  <c r="G141" i="66"/>
  <c r="AA141" i="66"/>
  <c r="F142" i="66"/>
  <c r="U141" i="66"/>
  <c r="AU68" i="75"/>
  <c r="AY68" i="75" s="1"/>
  <c r="AW68" i="75" s="1"/>
  <c r="AT68" i="75" s="1"/>
  <c r="BL113" i="75"/>
  <c r="BG68" i="75"/>
  <c r="AV68" i="75"/>
  <c r="AV109" i="75" s="1"/>
  <c r="AV67" i="88"/>
  <c r="BG67" i="88" s="1"/>
  <c r="L93" i="106"/>
  <c r="P93" i="106" s="1"/>
  <c r="N93" i="106" s="1"/>
  <c r="S93" i="106"/>
  <c r="W128" i="106"/>
  <c r="W132" i="100"/>
  <c r="L97" i="100"/>
  <c r="P97" i="100" s="1"/>
  <c r="N97" i="100" s="1"/>
  <c r="K97" i="100" s="1"/>
  <c r="S97" i="100"/>
  <c r="L140" i="66"/>
  <c r="N140" i="66"/>
  <c r="M140" i="66"/>
  <c r="BI77" i="78"/>
  <c r="X111" i="78"/>
  <c r="E140" i="103"/>
  <c r="J139" i="103"/>
  <c r="F139" i="103"/>
  <c r="AU105" i="106"/>
  <c r="AY105" i="106" s="1"/>
  <c r="AW105" i="106" s="1"/>
  <c r="AT105" i="106" s="1"/>
  <c r="BL150" i="106"/>
  <c r="BG105" i="106"/>
  <c r="W112" i="78"/>
  <c r="K72" i="78"/>
  <c r="O72" i="78" s="1"/>
  <c r="M72" i="78" s="1"/>
  <c r="N73" i="78" s="1"/>
  <c r="J72" i="78"/>
  <c r="AM106" i="75"/>
  <c r="AO67" i="75"/>
  <c r="AS67" i="75"/>
  <c r="L83" i="91"/>
  <c r="P83" i="91" s="1"/>
  <c r="N83" i="91" s="1"/>
  <c r="K83" i="91"/>
  <c r="W118" i="91"/>
  <c r="S83" i="91"/>
  <c r="AO41" i="59"/>
  <c r="AQ41" i="59" s="1"/>
  <c r="BB41" i="59" s="1"/>
  <c r="K40" i="66"/>
  <c r="J40" i="66"/>
  <c r="I40" i="66" s="1"/>
  <c r="X40" i="66"/>
  <c r="M74" i="86"/>
  <c r="S74" i="86" s="1"/>
  <c r="L74" i="86"/>
  <c r="P74" i="86" s="1"/>
  <c r="N74" i="86" s="1"/>
  <c r="K74" i="86" s="1"/>
  <c r="W109" i="86"/>
  <c r="AU72" i="86"/>
  <c r="AY72" i="86" s="1"/>
  <c r="AW72" i="86" s="1"/>
  <c r="AT72" i="86" s="1"/>
  <c r="BL117" i="86"/>
  <c r="BG72" i="86"/>
  <c r="AW71" i="78"/>
  <c r="AU71" i="78" s="1"/>
  <c r="AR71" i="78" s="1"/>
  <c r="K40" i="59"/>
  <c r="R134" i="110"/>
  <c r="S133" i="110"/>
  <c r="Y95" i="109"/>
  <c r="M60" i="109"/>
  <c r="S60" i="109" s="1"/>
  <c r="L61" i="109" s="1"/>
  <c r="J60" i="109"/>
  <c r="BL60" i="109"/>
  <c r="K69" i="75"/>
  <c r="AO38" i="111"/>
  <c r="AL38" i="111" s="1"/>
  <c r="AQ38" i="111"/>
  <c r="AW38" i="111" s="1"/>
  <c r="S40" i="111"/>
  <c r="H40" i="111"/>
  <c r="T81" i="111"/>
  <c r="J139" i="111"/>
  <c r="E140" i="111"/>
  <c r="F139" i="111"/>
  <c r="P53" i="94"/>
  <c r="N53" i="94" s="1"/>
  <c r="K53" i="94"/>
  <c r="AS39" i="110"/>
  <c r="AO38" i="110"/>
  <c r="AP38" i="112"/>
  <c r="BB84" i="112"/>
  <c r="AY38" i="112"/>
  <c r="AI79" i="112"/>
  <c r="AK79" i="112" s="1"/>
  <c r="K40" i="112"/>
  <c r="Q40" i="112" s="1"/>
  <c r="M41" i="112"/>
  <c r="E138" i="112"/>
  <c r="J137" i="112"/>
  <c r="F137" i="112"/>
  <c r="AK79" i="111"/>
  <c r="M42" i="110"/>
  <c r="K41" i="110"/>
  <c r="Q41" i="110" s="1"/>
  <c r="AK83" i="103"/>
  <c r="AV42" i="103"/>
  <c r="AU42" i="103"/>
  <c r="H35" i="61"/>
  <c r="J35" i="61" s="1"/>
  <c r="L36" i="61"/>
  <c r="BD48" i="59" l="1"/>
  <c r="AP42" i="59"/>
  <c r="BG87" i="59"/>
  <c r="AS68" i="75"/>
  <c r="AO68" i="75"/>
  <c r="AM107" i="75"/>
  <c r="AO72" i="86"/>
  <c r="AS72" i="86"/>
  <c r="AM111" i="86"/>
  <c r="X109" i="86"/>
  <c r="BK74" i="86"/>
  <c r="J74" i="86"/>
  <c r="W110" i="86"/>
  <c r="L75" i="86"/>
  <c r="P75" i="86" s="1"/>
  <c r="N75" i="86" s="1"/>
  <c r="K75" i="86" s="1"/>
  <c r="S75" i="86"/>
  <c r="E146" i="107"/>
  <c r="G146" i="107" s="1"/>
  <c r="D146" i="107" s="1"/>
  <c r="C147" i="107" s="1"/>
  <c r="F146" i="107"/>
  <c r="J97" i="105"/>
  <c r="BK97" i="105"/>
  <c r="X132" i="105"/>
  <c r="X132" i="100"/>
  <c r="BK97" i="100"/>
  <c r="J97" i="100"/>
  <c r="AM110" i="78"/>
  <c r="AO71" i="78"/>
  <c r="AS105" i="106"/>
  <c r="AM144" i="106"/>
  <c r="AO105" i="106"/>
  <c r="K65" i="88"/>
  <c r="AL41" i="59"/>
  <c r="AJ80" i="59"/>
  <c r="W133" i="100"/>
  <c r="L98" i="100"/>
  <c r="P98" i="100" s="1"/>
  <c r="N98" i="100" s="1"/>
  <c r="K98" i="100" s="1"/>
  <c r="S98" i="100"/>
  <c r="S40" i="66"/>
  <c r="T40" i="66"/>
  <c r="E141" i="103"/>
  <c r="J140" i="103"/>
  <c r="F140" i="103"/>
  <c r="AU69" i="75"/>
  <c r="AY69" i="75" s="1"/>
  <c r="AW69" i="75" s="1"/>
  <c r="AT69" i="75"/>
  <c r="BL114" i="75"/>
  <c r="BG69" i="75"/>
  <c r="M141" i="66"/>
  <c r="L141" i="66"/>
  <c r="N141" i="66"/>
  <c r="AU73" i="86"/>
  <c r="AY73" i="86" s="1"/>
  <c r="AW73" i="86" s="1"/>
  <c r="AT73" i="86"/>
  <c r="BL118" i="86"/>
  <c r="BG73" i="86"/>
  <c r="X118" i="91"/>
  <c r="BK83" i="91"/>
  <c r="J83" i="91"/>
  <c r="X112" i="78"/>
  <c r="BI78" i="78"/>
  <c r="L72" i="78"/>
  <c r="R72" i="78" s="1"/>
  <c r="A152" i="108"/>
  <c r="B151" i="108"/>
  <c r="AX72" i="78"/>
  <c r="AW72" i="78" s="1"/>
  <c r="AU72" i="78" s="1"/>
  <c r="AR72" i="78" s="1"/>
  <c r="AY72" i="78"/>
  <c r="AT72" i="78"/>
  <c r="BE72" i="78"/>
  <c r="AM128" i="91"/>
  <c r="AS89" i="91"/>
  <c r="AO89" i="91"/>
  <c r="R40" i="66"/>
  <c r="P40" i="66" s="1"/>
  <c r="AU106" i="106"/>
  <c r="AY106" i="106" s="1"/>
  <c r="AW106" i="106" s="1"/>
  <c r="AT106" i="106" s="1"/>
  <c r="BL151" i="106"/>
  <c r="BG106" i="106"/>
  <c r="AV72" i="78"/>
  <c r="BL135" i="91"/>
  <c r="AU90" i="91"/>
  <c r="AY90" i="91" s="1"/>
  <c r="AW90" i="91" s="1"/>
  <c r="AT90" i="91" s="1"/>
  <c r="BG90" i="91"/>
  <c r="D94" i="108"/>
  <c r="C95" i="108" s="1"/>
  <c r="AU68" i="88"/>
  <c r="AY68" i="88" s="1"/>
  <c r="AW68" i="88" s="1"/>
  <c r="BL113" i="88"/>
  <c r="AV68" i="88"/>
  <c r="AV109" i="88" s="1"/>
  <c r="BG68" i="88"/>
  <c r="U142" i="66"/>
  <c r="AA142" i="66"/>
  <c r="G142" i="66"/>
  <c r="F143" i="66"/>
  <c r="W119" i="91"/>
  <c r="L84" i="91"/>
  <c r="P84" i="91" s="1"/>
  <c r="N84" i="91" s="1"/>
  <c r="K84" i="91" s="1"/>
  <c r="S84" i="91"/>
  <c r="U87" i="59"/>
  <c r="Q40" i="59"/>
  <c r="L94" i="106"/>
  <c r="P94" i="106" s="1"/>
  <c r="N94" i="106" s="1"/>
  <c r="S94" i="106"/>
  <c r="W129" i="106"/>
  <c r="L98" i="105"/>
  <c r="P98" i="105" s="1"/>
  <c r="N98" i="105" s="1"/>
  <c r="K98" i="105" s="1"/>
  <c r="W133" i="105"/>
  <c r="S98" i="105"/>
  <c r="R135" i="110"/>
  <c r="S134" i="110"/>
  <c r="X96" i="109"/>
  <c r="BK69" i="75"/>
  <c r="J69" i="75"/>
  <c r="X104" i="75"/>
  <c r="M69" i="75"/>
  <c r="S69" i="75" s="1"/>
  <c r="J140" i="111"/>
  <c r="E141" i="111"/>
  <c r="F140" i="111"/>
  <c r="O40" i="111"/>
  <c r="P40" i="111"/>
  <c r="V81" i="111"/>
  <c r="U80" i="111"/>
  <c r="AP39" i="111"/>
  <c r="BB85" i="111"/>
  <c r="AY39" i="111"/>
  <c r="I40" i="111"/>
  <c r="N40" i="111"/>
  <c r="L40" i="111" s="1"/>
  <c r="G40" i="111" s="1"/>
  <c r="BA40" i="111" s="1"/>
  <c r="M53" i="94"/>
  <c r="S53" i="94" s="1"/>
  <c r="BL53" i="94"/>
  <c r="Y88" i="94"/>
  <c r="J53" i="94"/>
  <c r="AQ38" i="110"/>
  <c r="AW38" i="110" s="1"/>
  <c r="AL38" i="110"/>
  <c r="AJ79" i="110"/>
  <c r="AU38" i="112"/>
  <c r="AT38" i="112" s="1"/>
  <c r="AV38" i="112"/>
  <c r="H41" i="112"/>
  <c r="T82" i="112"/>
  <c r="S41" i="112"/>
  <c r="E139" i="112"/>
  <c r="J138" i="112"/>
  <c r="F138" i="112"/>
  <c r="K60" i="94"/>
  <c r="H42" i="110"/>
  <c r="T83" i="110"/>
  <c r="AT42" i="103"/>
  <c r="AR42" i="103" s="1"/>
  <c r="P35" i="61"/>
  <c r="T65" i="61"/>
  <c r="F147" i="107" l="1"/>
  <c r="E147" i="107"/>
  <c r="G147" i="107" s="1"/>
  <c r="D147" i="107" s="1"/>
  <c r="C148" i="107" s="1"/>
  <c r="J75" i="86"/>
  <c r="BK75" i="86"/>
  <c r="X110" i="86"/>
  <c r="X119" i="91"/>
  <c r="J84" i="91"/>
  <c r="BK84" i="91"/>
  <c r="AO72" i="78"/>
  <c r="AM111" i="78"/>
  <c r="X133" i="105"/>
  <c r="BK98" i="105"/>
  <c r="J98" i="105"/>
  <c r="AS90" i="91"/>
  <c r="AM129" i="91"/>
  <c r="AO90" i="91"/>
  <c r="B152" i="108"/>
  <c r="A153" i="108"/>
  <c r="W134" i="100"/>
  <c r="L99" i="100"/>
  <c r="P99" i="100" s="1"/>
  <c r="N99" i="100" s="1"/>
  <c r="K99" i="100" s="1"/>
  <c r="S99" i="100"/>
  <c r="L95" i="106"/>
  <c r="P95" i="106" s="1"/>
  <c r="N95" i="106" s="1"/>
  <c r="S95" i="106"/>
  <c r="W130" i="106"/>
  <c r="AU107" i="106"/>
  <c r="AY107" i="106" s="1"/>
  <c r="AW107" i="106" s="1"/>
  <c r="AT107" i="106" s="1"/>
  <c r="BL152" i="106"/>
  <c r="BG107" i="106"/>
  <c r="L73" i="78"/>
  <c r="R73" i="78" s="1"/>
  <c r="W113" i="78"/>
  <c r="K73" i="78"/>
  <c r="O73" i="78" s="1"/>
  <c r="M73" i="78" s="1"/>
  <c r="N74" i="78" s="1"/>
  <c r="J73" i="78"/>
  <c r="AS69" i="75"/>
  <c r="AO69" i="75"/>
  <c r="AM108" i="75"/>
  <c r="G143" i="66"/>
  <c r="AA143" i="66"/>
  <c r="F144" i="66"/>
  <c r="U143" i="66"/>
  <c r="BG79" i="78"/>
  <c r="BJ118" i="78"/>
  <c r="AS73" i="78"/>
  <c r="S41" i="59"/>
  <c r="T88" i="59"/>
  <c r="J41" i="59"/>
  <c r="M142" i="66"/>
  <c r="L142" i="66"/>
  <c r="N142" i="66"/>
  <c r="E95" i="108"/>
  <c r="F95" i="108"/>
  <c r="G95" i="108"/>
  <c r="AO106" i="106"/>
  <c r="AM145" i="106"/>
  <c r="AS106" i="106"/>
  <c r="X133" i="100"/>
  <c r="BK98" i="100"/>
  <c r="J98" i="100"/>
  <c r="W134" i="105"/>
  <c r="L99" i="105"/>
  <c r="P99" i="105" s="1"/>
  <c r="N99" i="105" s="1"/>
  <c r="K99" i="105"/>
  <c r="S99" i="105"/>
  <c r="BL136" i="91"/>
  <c r="AU91" i="91"/>
  <c r="AY91" i="91" s="1"/>
  <c r="AW91" i="91" s="1"/>
  <c r="AT91" i="91" s="1"/>
  <c r="BG91" i="91"/>
  <c r="H40" i="66"/>
  <c r="O40" i="66" s="1"/>
  <c r="E142" i="103"/>
  <c r="J141" i="103"/>
  <c r="F141" i="103"/>
  <c r="L85" i="91"/>
  <c r="P85" i="91" s="1"/>
  <c r="N85" i="91" s="1"/>
  <c r="K85" i="91" s="1"/>
  <c r="W120" i="91"/>
  <c r="S85" i="91"/>
  <c r="AV73" i="78"/>
  <c r="BK65" i="88"/>
  <c r="J65" i="88"/>
  <c r="X100" i="88"/>
  <c r="AM112" i="86"/>
  <c r="AO73" i="86"/>
  <c r="AS73" i="86"/>
  <c r="AU69" i="88"/>
  <c r="BG69" i="88"/>
  <c r="BL114" i="88"/>
  <c r="AU74" i="86"/>
  <c r="AY74" i="86" s="1"/>
  <c r="AW74" i="86" s="1"/>
  <c r="AT74" i="86" s="1"/>
  <c r="BL119" i="86"/>
  <c r="BG74" i="86"/>
  <c r="AU70" i="75"/>
  <c r="AY70" i="75" s="1"/>
  <c r="AW70" i="75" s="1"/>
  <c r="AT70" i="75"/>
  <c r="BL115" i="75"/>
  <c r="BG70" i="75"/>
  <c r="Q41" i="66"/>
  <c r="M65" i="88"/>
  <c r="S65" i="88" s="1"/>
  <c r="K76" i="86"/>
  <c r="W111" i="86"/>
  <c r="L76" i="86"/>
  <c r="P76" i="86" s="1"/>
  <c r="N76" i="86" s="1"/>
  <c r="S76" i="86"/>
  <c r="AV42" i="59"/>
  <c r="AU42" i="59"/>
  <c r="AT42" i="59" s="1"/>
  <c r="AR42" i="59" s="1"/>
  <c r="R136" i="110"/>
  <c r="S135" i="110"/>
  <c r="P61" i="109"/>
  <c r="N61" i="109" s="1"/>
  <c r="K61" i="109"/>
  <c r="W105" i="75"/>
  <c r="L70" i="75"/>
  <c r="P70" i="75" s="1"/>
  <c r="N70" i="75" s="1"/>
  <c r="M41" i="111"/>
  <c r="E142" i="111"/>
  <c r="J141" i="111"/>
  <c r="F141" i="111"/>
  <c r="K40" i="111"/>
  <c r="Q40" i="111" s="1"/>
  <c r="AU39" i="111"/>
  <c r="AV39" i="111"/>
  <c r="X89" i="94"/>
  <c r="L54" i="94"/>
  <c r="P54" i="94" s="1"/>
  <c r="N54" i="94" s="1"/>
  <c r="BL60" i="94"/>
  <c r="J60" i="94"/>
  <c r="BB85" i="110"/>
  <c r="AI80" i="110"/>
  <c r="AP39" i="110"/>
  <c r="AY39" i="110"/>
  <c r="AR38" i="112"/>
  <c r="AO38" i="112" s="1"/>
  <c r="AL38" i="112" s="1"/>
  <c r="V82" i="112"/>
  <c r="U81" i="112"/>
  <c r="P41" i="112"/>
  <c r="O41" i="112"/>
  <c r="N41" i="112" s="1"/>
  <c r="L41" i="112" s="1"/>
  <c r="I41" i="112"/>
  <c r="J139" i="112"/>
  <c r="E140" i="112"/>
  <c r="F139" i="112"/>
  <c r="Y95" i="94"/>
  <c r="O42" i="110"/>
  <c r="N42" i="110" s="1"/>
  <c r="L42" i="110" s="1"/>
  <c r="G42" i="110" s="1"/>
  <c r="BA42" i="110" s="1"/>
  <c r="P42" i="110"/>
  <c r="I42" i="110"/>
  <c r="V83" i="110"/>
  <c r="U82" i="110"/>
  <c r="AO42" i="103"/>
  <c r="AQ42" i="103" s="1"/>
  <c r="AW42" i="103" s="1"/>
  <c r="AS43" i="103"/>
  <c r="S66" i="61"/>
  <c r="I36" i="61"/>
  <c r="R36" i="61"/>
  <c r="V40" i="66" l="1"/>
  <c r="Z40" i="66"/>
  <c r="AO91" i="91"/>
  <c r="AM130" i="91"/>
  <c r="AS91" i="91"/>
  <c r="AO42" i="59"/>
  <c r="AQ42" i="59" s="1"/>
  <c r="BB42" i="59" s="1"/>
  <c r="X134" i="100"/>
  <c r="J99" i="100"/>
  <c r="BK99" i="100"/>
  <c r="J85" i="91"/>
  <c r="X120" i="91"/>
  <c r="BK85" i="91"/>
  <c r="L74" i="78"/>
  <c r="R74" i="78" s="1"/>
  <c r="W114" i="78"/>
  <c r="K74" i="78"/>
  <c r="O74" i="78" s="1"/>
  <c r="M74" i="78" s="1"/>
  <c r="N75" i="78" s="1"/>
  <c r="E148" i="107"/>
  <c r="G148" i="107" s="1"/>
  <c r="D148" i="107" s="1"/>
  <c r="C149" i="107" s="1"/>
  <c r="F148" i="107"/>
  <c r="AS74" i="86"/>
  <c r="AO74" i="86"/>
  <c r="AM113" i="86"/>
  <c r="J76" i="86"/>
  <c r="BK76" i="86"/>
  <c r="X111" i="86"/>
  <c r="W101" i="88"/>
  <c r="L66" i="88"/>
  <c r="P66" i="88" s="1"/>
  <c r="N66" i="88" s="1"/>
  <c r="AU92" i="91"/>
  <c r="AY92" i="91" s="1"/>
  <c r="AW92" i="91" s="1"/>
  <c r="AT92" i="91" s="1"/>
  <c r="BL137" i="91"/>
  <c r="BG92" i="91"/>
  <c r="O41" i="59"/>
  <c r="P41" i="59"/>
  <c r="W135" i="100"/>
  <c r="L100" i="100"/>
  <c r="P100" i="100" s="1"/>
  <c r="N100" i="100" s="1"/>
  <c r="K100" i="100" s="1"/>
  <c r="S100" i="100"/>
  <c r="N143" i="66"/>
  <c r="M143" i="66"/>
  <c r="L143" i="66"/>
  <c r="AS43" i="59"/>
  <c r="AU71" i="75"/>
  <c r="AY71" i="75" s="1"/>
  <c r="AW71" i="75" s="1"/>
  <c r="AT71" i="75" s="1"/>
  <c r="BL116" i="75"/>
  <c r="BG71" i="75"/>
  <c r="AW73" i="78"/>
  <c r="AU73" i="78" s="1"/>
  <c r="AR73" i="78" s="1"/>
  <c r="AU108" i="106"/>
  <c r="BL153" i="106"/>
  <c r="BG108" i="106"/>
  <c r="AU70" i="88"/>
  <c r="AY70" i="88" s="1"/>
  <c r="AW70" i="88" s="1"/>
  <c r="BL115" i="88"/>
  <c r="BG70" i="88"/>
  <c r="L77" i="86"/>
  <c r="P77" i="86" s="1"/>
  <c r="N77" i="86" s="1"/>
  <c r="K77" i="86" s="1"/>
  <c r="W112" i="86"/>
  <c r="S77" i="86"/>
  <c r="W135" i="105"/>
  <c r="L100" i="105"/>
  <c r="P100" i="105" s="1"/>
  <c r="N100" i="105" s="1"/>
  <c r="K100" i="105"/>
  <c r="S100" i="105"/>
  <c r="AT73" i="78"/>
  <c r="BE73" i="78"/>
  <c r="AY73" i="78"/>
  <c r="AX73" i="78"/>
  <c r="AM146" i="106"/>
  <c r="AO107" i="106"/>
  <c r="AS107" i="106"/>
  <c r="A154" i="108"/>
  <c r="B153" i="108"/>
  <c r="AY69" i="88"/>
  <c r="AW69" i="88" s="1"/>
  <c r="AT68" i="88"/>
  <c r="BK99" i="105"/>
  <c r="X134" i="105"/>
  <c r="J99" i="105"/>
  <c r="N41" i="59"/>
  <c r="L41" i="59" s="1"/>
  <c r="I41" i="59" s="1"/>
  <c r="BF47" i="59" s="1"/>
  <c r="BI79" i="78"/>
  <c r="X113" i="78"/>
  <c r="AM109" i="75"/>
  <c r="AO70" i="75"/>
  <c r="AS70" i="75"/>
  <c r="E143" i="103"/>
  <c r="J142" i="103"/>
  <c r="F142" i="103"/>
  <c r="AT75" i="86"/>
  <c r="BL120" i="86"/>
  <c r="AU75" i="86"/>
  <c r="AY75" i="86" s="1"/>
  <c r="AW75" i="86" s="1"/>
  <c r="BG75" i="86"/>
  <c r="W121" i="91"/>
  <c r="L86" i="91"/>
  <c r="P86" i="91" s="1"/>
  <c r="N86" i="91" s="1"/>
  <c r="K86" i="91" s="1"/>
  <c r="S86" i="91"/>
  <c r="D95" i="108"/>
  <c r="C96" i="108" s="1"/>
  <c r="L96" i="106"/>
  <c r="P96" i="106" s="1"/>
  <c r="N96" i="106" s="1"/>
  <c r="S96" i="106"/>
  <c r="W131" i="106"/>
  <c r="U144" i="66"/>
  <c r="F145" i="66"/>
  <c r="G144" i="66"/>
  <c r="AA144" i="66"/>
  <c r="R137" i="110"/>
  <c r="S136" i="110"/>
  <c r="BL61" i="109"/>
  <c r="Y96" i="109"/>
  <c r="J61" i="109"/>
  <c r="M61" i="109"/>
  <c r="S61" i="109" s="1"/>
  <c r="L62" i="109" s="1"/>
  <c r="K70" i="75"/>
  <c r="M70" i="75" s="1"/>
  <c r="S70" i="75" s="1"/>
  <c r="S41" i="111"/>
  <c r="H41" i="111"/>
  <c r="T82" i="111"/>
  <c r="E143" i="111"/>
  <c r="J142" i="111"/>
  <c r="F142" i="111"/>
  <c r="AT39" i="111"/>
  <c r="AR39" i="111" s="1"/>
  <c r="K54" i="94"/>
  <c r="M54" i="94" s="1"/>
  <c r="S54" i="94" s="1"/>
  <c r="AS39" i="112"/>
  <c r="AJ79" i="112"/>
  <c r="AK80" i="110"/>
  <c r="AV39" i="110"/>
  <c r="AU39" i="110"/>
  <c r="AQ38" i="112"/>
  <c r="AW38" i="112" s="1"/>
  <c r="BB85" i="112" s="1"/>
  <c r="M42" i="112"/>
  <c r="G41" i="112"/>
  <c r="J140" i="112"/>
  <c r="E141" i="112"/>
  <c r="F140" i="112"/>
  <c r="K61" i="94"/>
  <c r="AI80" i="111"/>
  <c r="AJ79" i="111"/>
  <c r="M43" i="110"/>
  <c r="K42" i="110"/>
  <c r="Q42" i="110" s="1"/>
  <c r="BB89" i="103"/>
  <c r="AP43" i="103"/>
  <c r="AI84" i="103"/>
  <c r="AY43" i="103"/>
  <c r="AL42" i="103"/>
  <c r="AJ83" i="103"/>
  <c r="N36" i="61"/>
  <c r="M36" i="61" s="1"/>
  <c r="K36" i="61" s="1"/>
  <c r="O36" i="61"/>
  <c r="E149" i="107" l="1"/>
  <c r="F149" i="107"/>
  <c r="G149" i="107"/>
  <c r="D149" i="107" s="1"/>
  <c r="C150" i="107" s="1"/>
  <c r="AO71" i="75"/>
  <c r="AM110" i="75"/>
  <c r="AS71" i="75"/>
  <c r="W115" i="78"/>
  <c r="K75" i="78"/>
  <c r="O75" i="78" s="1"/>
  <c r="M75" i="78" s="1"/>
  <c r="N76" i="78" s="1"/>
  <c r="BD49" i="59"/>
  <c r="AP43" i="59"/>
  <c r="BG88" i="59"/>
  <c r="X121" i="91"/>
  <c r="J86" i="91"/>
  <c r="BK86" i="91"/>
  <c r="AM131" i="91"/>
  <c r="AS92" i="91"/>
  <c r="AO92" i="91"/>
  <c r="X112" i="86"/>
  <c r="J77" i="86"/>
  <c r="BK77" i="86"/>
  <c r="E96" i="108"/>
  <c r="F96" i="108"/>
  <c r="G96" i="108"/>
  <c r="D96" i="108" s="1"/>
  <c r="C97" i="108" s="1"/>
  <c r="AY108" i="106"/>
  <c r="AW108" i="106" s="1"/>
  <c r="AU109" i="106"/>
  <c r="D21" i="106" s="1"/>
  <c r="D24" i="106" s="1"/>
  <c r="W122" i="91"/>
  <c r="L87" i="91"/>
  <c r="P87" i="91" s="1"/>
  <c r="N87" i="91" s="1"/>
  <c r="K87" i="91" s="1"/>
  <c r="S87" i="91"/>
  <c r="A155" i="108"/>
  <c r="B154" i="108"/>
  <c r="L101" i="105"/>
  <c r="P101" i="105" s="1"/>
  <c r="N101" i="105" s="1"/>
  <c r="K101" i="105" s="1"/>
  <c r="W136" i="105"/>
  <c r="S101" i="105"/>
  <c r="K66" i="88"/>
  <c r="X135" i="105"/>
  <c r="J100" i="105"/>
  <c r="BK100" i="105"/>
  <c r="AO73" i="78"/>
  <c r="AM112" i="78"/>
  <c r="M42" i="59"/>
  <c r="AJ81" i="59"/>
  <c r="AL42" i="59"/>
  <c r="F146" i="66"/>
  <c r="U145" i="66"/>
  <c r="G145" i="66"/>
  <c r="AA145" i="66"/>
  <c r="E144" i="103"/>
  <c r="J143" i="103"/>
  <c r="F143" i="103"/>
  <c r="AU72" i="75"/>
  <c r="AY72" i="75" s="1"/>
  <c r="AW72" i="75" s="1"/>
  <c r="AT72" i="75" s="1"/>
  <c r="BL117" i="75"/>
  <c r="BG72" i="75"/>
  <c r="W136" i="100"/>
  <c r="L101" i="100"/>
  <c r="P101" i="100" s="1"/>
  <c r="N101" i="100" s="1"/>
  <c r="K101" i="100" s="1"/>
  <c r="S101" i="100"/>
  <c r="AU93" i="91"/>
  <c r="AY93" i="91" s="1"/>
  <c r="AW93" i="91" s="1"/>
  <c r="AT93" i="91"/>
  <c r="BL138" i="91"/>
  <c r="BG93" i="91"/>
  <c r="AU71" i="88"/>
  <c r="AY71" i="88" s="1"/>
  <c r="AW71" i="88" s="1"/>
  <c r="BL116" i="88"/>
  <c r="BG71" i="88"/>
  <c r="M144" i="66"/>
  <c r="L144" i="66"/>
  <c r="N144" i="66"/>
  <c r="AU76" i="86"/>
  <c r="AY76" i="86" s="1"/>
  <c r="AW76" i="86" s="1"/>
  <c r="AT76" i="86" s="1"/>
  <c r="BL121" i="86"/>
  <c r="BG76" i="86"/>
  <c r="AV74" i="78"/>
  <c r="W113" i="86"/>
  <c r="L78" i="86"/>
  <c r="P78" i="86" s="1"/>
  <c r="N78" i="86" s="1"/>
  <c r="K78" i="86"/>
  <c r="S78" i="86"/>
  <c r="L97" i="106"/>
  <c r="P97" i="106" s="1"/>
  <c r="N97" i="106" s="1"/>
  <c r="S97" i="106"/>
  <c r="W132" i="106"/>
  <c r="AO68" i="88"/>
  <c r="AM107" i="88"/>
  <c r="AS68" i="88"/>
  <c r="X135" i="100"/>
  <c r="J100" i="100"/>
  <c r="BK100" i="100"/>
  <c r="AT69" i="88"/>
  <c r="AT70" i="88" s="1"/>
  <c r="BG80" i="78"/>
  <c r="AS74" i="78"/>
  <c r="BJ119" i="78"/>
  <c r="K41" i="59"/>
  <c r="J74" i="78"/>
  <c r="K41" i="66"/>
  <c r="J41" i="66"/>
  <c r="I41" i="66" s="1"/>
  <c r="X41" i="66"/>
  <c r="AO75" i="86"/>
  <c r="AM114" i="86"/>
  <c r="AS75" i="86"/>
  <c r="R138" i="110"/>
  <c r="S137" i="110"/>
  <c r="X97" i="109"/>
  <c r="P62" i="109"/>
  <c r="N62" i="109" s="1"/>
  <c r="K62" i="109"/>
  <c r="Y97" i="109" s="1"/>
  <c r="W106" i="75"/>
  <c r="L71" i="75"/>
  <c r="P71" i="75" s="1"/>
  <c r="N71" i="75" s="1"/>
  <c r="J70" i="75"/>
  <c r="BK70" i="75"/>
  <c r="X105" i="75"/>
  <c r="I41" i="111"/>
  <c r="AO39" i="111"/>
  <c r="AL39" i="111" s="1"/>
  <c r="AQ39" i="111"/>
  <c r="AW39" i="111" s="1"/>
  <c r="J143" i="111"/>
  <c r="E144" i="111"/>
  <c r="F143" i="111"/>
  <c r="O41" i="111"/>
  <c r="P41" i="111"/>
  <c r="V82" i="111"/>
  <c r="U81" i="111"/>
  <c r="AS40" i="111"/>
  <c r="X90" i="94"/>
  <c r="L55" i="94"/>
  <c r="P55" i="94" s="1"/>
  <c r="N55" i="94" s="1"/>
  <c r="Y89" i="94"/>
  <c r="BL54" i="94"/>
  <c r="J54" i="94"/>
  <c r="AI80" i="112"/>
  <c r="AK80" i="112" s="1"/>
  <c r="AY39" i="112"/>
  <c r="AU39" i="112" s="1"/>
  <c r="AT39" i="110"/>
  <c r="AR39" i="110" s="1"/>
  <c r="AS40" i="110" s="1"/>
  <c r="AP39" i="112"/>
  <c r="K41" i="112"/>
  <c r="Q41" i="112" s="1"/>
  <c r="BA41" i="112"/>
  <c r="E142" i="112"/>
  <c r="J141" i="112"/>
  <c r="F141" i="112"/>
  <c r="BL61" i="94"/>
  <c r="J61" i="94"/>
  <c r="Y96" i="94"/>
  <c r="AK80" i="111"/>
  <c r="H43" i="110"/>
  <c r="T84" i="110"/>
  <c r="AK84" i="103"/>
  <c r="AV43" i="103"/>
  <c r="AU43" i="103"/>
  <c r="H36" i="61"/>
  <c r="J36" i="61" s="1"/>
  <c r="L37" i="61"/>
  <c r="G97" i="108" l="1"/>
  <c r="F97" i="108"/>
  <c r="E97" i="108"/>
  <c r="J101" i="100"/>
  <c r="BK101" i="100"/>
  <c r="X136" i="100"/>
  <c r="AT71" i="88"/>
  <c r="BK87" i="91"/>
  <c r="J87" i="91"/>
  <c r="X122" i="91"/>
  <c r="AH50" i="91" s="1"/>
  <c r="F150" i="107"/>
  <c r="E150" i="107"/>
  <c r="G150" i="107"/>
  <c r="BK101" i="105"/>
  <c r="J101" i="105"/>
  <c r="X136" i="105"/>
  <c r="AO76" i="86"/>
  <c r="AM115" i="86"/>
  <c r="AS76" i="86"/>
  <c r="AS72" i="75"/>
  <c r="AO72" i="75"/>
  <c r="AM111" i="75"/>
  <c r="AS70" i="88"/>
  <c r="AM109" i="88"/>
  <c r="AO70" i="88"/>
  <c r="BI80" i="78"/>
  <c r="X114" i="78"/>
  <c r="L79" i="86"/>
  <c r="P79" i="86" s="1"/>
  <c r="N79" i="86" s="1"/>
  <c r="W114" i="86"/>
  <c r="K79" i="86"/>
  <c r="S79" i="86"/>
  <c r="BL139" i="91"/>
  <c r="AU94" i="91"/>
  <c r="AY94" i="91" s="1"/>
  <c r="AW94" i="91" s="1"/>
  <c r="AT94" i="91"/>
  <c r="BG94" i="91"/>
  <c r="AU73" i="75"/>
  <c r="AY73" i="75" s="1"/>
  <c r="AW73" i="75" s="1"/>
  <c r="AT73" i="75" s="1"/>
  <c r="BL118" i="75"/>
  <c r="BG73" i="75"/>
  <c r="AW109" i="106"/>
  <c r="AT108" i="106"/>
  <c r="L75" i="78"/>
  <c r="R75" i="78" s="1"/>
  <c r="Q41" i="59"/>
  <c r="U88" i="59"/>
  <c r="AO93" i="91"/>
  <c r="AM132" i="91"/>
  <c r="AS93" i="91"/>
  <c r="A156" i="108"/>
  <c r="B155" i="108"/>
  <c r="T41" i="66"/>
  <c r="S41" i="66"/>
  <c r="R41" i="66" s="1"/>
  <c r="P41" i="66" s="1"/>
  <c r="AW74" i="78"/>
  <c r="AU74" i="78" s="1"/>
  <c r="AR74" i="78" s="1"/>
  <c r="F147" i="66"/>
  <c r="U146" i="66"/>
  <c r="AA146" i="66"/>
  <c r="G146" i="66"/>
  <c r="W123" i="91"/>
  <c r="L88" i="91"/>
  <c r="P88" i="91" s="1"/>
  <c r="N88" i="91" s="1"/>
  <c r="K88" i="91" s="1"/>
  <c r="S88" i="91"/>
  <c r="AV43" i="59"/>
  <c r="AU43" i="59"/>
  <c r="L145" i="66"/>
  <c r="N145" i="66"/>
  <c r="M145" i="66"/>
  <c r="AU72" i="88"/>
  <c r="AY72" i="88" s="1"/>
  <c r="AW72" i="88" s="1"/>
  <c r="AT72" i="88"/>
  <c r="BL117" i="88"/>
  <c r="BG72" i="88"/>
  <c r="W137" i="100"/>
  <c r="L102" i="100"/>
  <c r="P102" i="100" s="1"/>
  <c r="N102" i="100" s="1"/>
  <c r="K102" i="100" s="1"/>
  <c r="S102" i="100"/>
  <c r="X101" i="88"/>
  <c r="BK66" i="88"/>
  <c r="J66" i="88"/>
  <c r="J75" i="78"/>
  <c r="AX74" i="78"/>
  <c r="BE74" i="78"/>
  <c r="AY74" i="78"/>
  <c r="AT74" i="78"/>
  <c r="BL122" i="86"/>
  <c r="AU77" i="86"/>
  <c r="AY77" i="86" s="1"/>
  <c r="AW77" i="86" s="1"/>
  <c r="AT77" i="86" s="1"/>
  <c r="BG77" i="86"/>
  <c r="W137" i="105"/>
  <c r="L102" i="105"/>
  <c r="P102" i="105" s="1"/>
  <c r="N102" i="105" s="1"/>
  <c r="K102" i="105" s="1"/>
  <c r="S102" i="105"/>
  <c r="M66" i="88"/>
  <c r="S66" i="88" s="1"/>
  <c r="AS69" i="88"/>
  <c r="AO69" i="88"/>
  <c r="AM108" i="88"/>
  <c r="L98" i="106"/>
  <c r="P98" i="106" s="1"/>
  <c r="N98" i="106" s="1"/>
  <c r="S98" i="106"/>
  <c r="W133" i="106"/>
  <c r="E145" i="103"/>
  <c r="J144" i="103"/>
  <c r="F144" i="103"/>
  <c r="J78" i="86"/>
  <c r="X113" i="86"/>
  <c r="BK78" i="86"/>
  <c r="D25" i="106"/>
  <c r="D26" i="106"/>
  <c r="D27" i="106" s="1"/>
  <c r="R139" i="110"/>
  <c r="S138" i="110"/>
  <c r="BL62" i="109"/>
  <c r="M62" i="109"/>
  <c r="S62" i="109" s="1"/>
  <c r="X98" i="109" s="1"/>
  <c r="J62" i="109"/>
  <c r="M71" i="75"/>
  <c r="S71" i="75" s="1"/>
  <c r="J144" i="111"/>
  <c r="E145" i="111"/>
  <c r="F144" i="111"/>
  <c r="AP40" i="111"/>
  <c r="BB86" i="111"/>
  <c r="AY40" i="111"/>
  <c r="N41" i="111"/>
  <c r="L41" i="111" s="1"/>
  <c r="K55" i="94"/>
  <c r="AV39" i="112"/>
  <c r="AO39" i="110"/>
  <c r="AQ39" i="110" s="1"/>
  <c r="AW39" i="110" s="1"/>
  <c r="AT39" i="112"/>
  <c r="T83" i="112"/>
  <c r="H42" i="112"/>
  <c r="S42" i="112"/>
  <c r="E143" i="112"/>
  <c r="J142" i="112"/>
  <c r="F142" i="112"/>
  <c r="V84" i="110"/>
  <c r="U83" i="110"/>
  <c r="I43" i="110"/>
  <c r="O43" i="110"/>
  <c r="P43" i="110"/>
  <c r="AT43" i="103"/>
  <c r="AR43" i="103" s="1"/>
  <c r="P36" i="61"/>
  <c r="T66" i="61"/>
  <c r="AM116" i="86" l="1"/>
  <c r="AO77" i="86"/>
  <c r="AS77" i="86"/>
  <c r="BK102" i="100"/>
  <c r="J102" i="100"/>
  <c r="X137" i="100"/>
  <c r="AO73" i="75"/>
  <c r="AS73" i="75"/>
  <c r="AM112" i="75"/>
  <c r="X137" i="105"/>
  <c r="J102" i="105"/>
  <c r="BK102" i="105"/>
  <c r="H41" i="66"/>
  <c r="O41" i="66" s="1"/>
  <c r="J88" i="91"/>
  <c r="BK88" i="91"/>
  <c r="X123" i="91"/>
  <c r="L99" i="106"/>
  <c r="P99" i="106" s="1"/>
  <c r="N99" i="106" s="1"/>
  <c r="S99" i="106"/>
  <c r="W134" i="106"/>
  <c r="W124" i="91"/>
  <c r="L89" i="91"/>
  <c r="P89" i="91" s="1"/>
  <c r="N89" i="91" s="1"/>
  <c r="K89" i="91" s="1"/>
  <c r="S89" i="91"/>
  <c r="U147" i="66"/>
  <c r="AA147" i="66"/>
  <c r="G147" i="66"/>
  <c r="F148" i="66"/>
  <c r="AT74" i="75"/>
  <c r="AU74" i="75"/>
  <c r="AY74" i="75" s="1"/>
  <c r="AW74" i="75" s="1"/>
  <c r="BL119" i="75"/>
  <c r="BG74" i="75"/>
  <c r="L80" i="86"/>
  <c r="P80" i="86" s="1"/>
  <c r="N80" i="86" s="1"/>
  <c r="K80" i="86"/>
  <c r="W115" i="86"/>
  <c r="S80" i="86"/>
  <c r="AM110" i="88"/>
  <c r="AO71" i="88"/>
  <c r="AS71" i="88"/>
  <c r="AO74" i="78"/>
  <c r="AM113" i="78"/>
  <c r="Q42" i="66"/>
  <c r="D150" i="107"/>
  <c r="D15" i="107"/>
  <c r="D16" i="107" s="1"/>
  <c r="AV75" i="78"/>
  <c r="AU78" i="86"/>
  <c r="AY78" i="86" s="1"/>
  <c r="AW78" i="86" s="1"/>
  <c r="AT78" i="86" s="1"/>
  <c r="BL123" i="86"/>
  <c r="BG78" i="86"/>
  <c r="BI81" i="78"/>
  <c r="X115" i="78"/>
  <c r="AU73" i="88"/>
  <c r="AY73" i="88" s="1"/>
  <c r="AW73" i="88" s="1"/>
  <c r="AT73" i="88" s="1"/>
  <c r="BL118" i="88"/>
  <c r="BG73" i="88"/>
  <c r="X114" i="86"/>
  <c r="J79" i="86"/>
  <c r="BK79" i="86"/>
  <c r="AT43" i="59"/>
  <c r="AR43" i="59" s="1"/>
  <c r="AS44" i="59" s="1"/>
  <c r="S42" i="59"/>
  <c r="T89" i="59"/>
  <c r="J42" i="59"/>
  <c r="BL140" i="91"/>
  <c r="AU95" i="91"/>
  <c r="AY95" i="91" s="1"/>
  <c r="AW95" i="91" s="1"/>
  <c r="AT95" i="91" s="1"/>
  <c r="BG95" i="91"/>
  <c r="BE75" i="78"/>
  <c r="BG81" i="78"/>
  <c r="AS75" i="78"/>
  <c r="BJ120" i="78"/>
  <c r="N146" i="66"/>
  <c r="M146" i="66"/>
  <c r="L146" i="66"/>
  <c r="L76" i="78"/>
  <c r="R76" i="78" s="1"/>
  <c r="K76" i="78"/>
  <c r="O76" i="78" s="1"/>
  <c r="M76" i="78" s="1"/>
  <c r="N77" i="78" s="1"/>
  <c r="W116" i="78"/>
  <c r="AS94" i="91"/>
  <c r="AM133" i="91"/>
  <c r="AO94" i="91"/>
  <c r="AO72" i="88"/>
  <c r="AM111" i="88"/>
  <c r="AS72" i="88"/>
  <c r="A157" i="108"/>
  <c r="B156" i="108"/>
  <c r="AM147" i="106"/>
  <c r="AS108" i="106"/>
  <c r="AO108" i="106"/>
  <c r="AO7" i="106" s="1"/>
  <c r="AT109" i="106"/>
  <c r="D22" i="106" s="1"/>
  <c r="AC51" i="106" s="1"/>
  <c r="AB47" i="106" s="1"/>
  <c r="W102" i="88"/>
  <c r="L67" i="88"/>
  <c r="P67" i="88" s="1"/>
  <c r="N67" i="88" s="1"/>
  <c r="E146" i="103"/>
  <c r="J145" i="103"/>
  <c r="F145" i="103"/>
  <c r="L103" i="105"/>
  <c r="P103" i="105" s="1"/>
  <c r="N103" i="105" s="1"/>
  <c r="K103" i="105" s="1"/>
  <c r="W138" i="105"/>
  <c r="S103" i="105"/>
  <c r="W138" i="100"/>
  <c r="L103" i="100"/>
  <c r="P103" i="100" s="1"/>
  <c r="N103" i="100" s="1"/>
  <c r="K103" i="100" s="1"/>
  <c r="S103" i="100"/>
  <c r="D97" i="108"/>
  <c r="C98" i="108" s="1"/>
  <c r="R140" i="110"/>
  <c r="S139" i="110"/>
  <c r="L63" i="109"/>
  <c r="P63" i="109" s="1"/>
  <c r="N63" i="109" s="1"/>
  <c r="AR39" i="112"/>
  <c r="AO39" i="112" s="1"/>
  <c r="L72" i="75"/>
  <c r="W107" i="75"/>
  <c r="M72" i="75"/>
  <c r="S72" i="75" s="1"/>
  <c r="AU40" i="111"/>
  <c r="AV40" i="111"/>
  <c r="E146" i="111"/>
  <c r="J145" i="111"/>
  <c r="F145" i="111"/>
  <c r="AT40" i="111"/>
  <c r="G41" i="111"/>
  <c r="K41" i="111" s="1"/>
  <c r="Q41" i="111" s="1"/>
  <c r="M42" i="111"/>
  <c r="BL55" i="94"/>
  <c r="J55" i="94"/>
  <c r="Y90" i="94"/>
  <c r="M55" i="94"/>
  <c r="S55" i="94" s="1"/>
  <c r="AY40" i="110"/>
  <c r="BB86" i="110"/>
  <c r="AI81" i="110"/>
  <c r="AP40" i="110"/>
  <c r="AL39" i="110"/>
  <c r="AJ80" i="110"/>
  <c r="P42" i="112"/>
  <c r="O42" i="112"/>
  <c r="N42" i="112" s="1"/>
  <c r="L42" i="112" s="1"/>
  <c r="I42" i="112"/>
  <c r="V83" i="112"/>
  <c r="U82" i="112"/>
  <c r="J143" i="112"/>
  <c r="E144" i="112"/>
  <c r="F143" i="112"/>
  <c r="K62" i="94"/>
  <c r="N43" i="110"/>
  <c r="L43" i="110" s="1"/>
  <c r="AO43" i="103"/>
  <c r="AQ43" i="103" s="1"/>
  <c r="AW43" i="103" s="1"/>
  <c r="AS44" i="103"/>
  <c r="S67" i="61"/>
  <c r="I37" i="61"/>
  <c r="R37" i="61"/>
  <c r="X138" i="100" l="1"/>
  <c r="BK103" i="100"/>
  <c r="J103" i="100"/>
  <c r="V41" i="66"/>
  <c r="Z41" i="66"/>
  <c r="AS78" i="86"/>
  <c r="AM117" i="86"/>
  <c r="AO78" i="86"/>
  <c r="BK89" i="91"/>
  <c r="J89" i="91"/>
  <c r="X124" i="91"/>
  <c r="AO95" i="91"/>
  <c r="AM134" i="91"/>
  <c r="AS95" i="91"/>
  <c r="K77" i="78"/>
  <c r="O77" i="78" s="1"/>
  <c r="M77" i="78" s="1"/>
  <c r="N78" i="78" s="1"/>
  <c r="W117" i="78"/>
  <c r="BK103" i="105"/>
  <c r="X138" i="105"/>
  <c r="J103" i="105"/>
  <c r="AO73" i="88"/>
  <c r="AM112" i="88"/>
  <c r="AS73" i="88"/>
  <c r="W139" i="100"/>
  <c r="L104" i="100"/>
  <c r="P104" i="100" s="1"/>
  <c r="N104" i="100" s="1"/>
  <c r="K104" i="100" s="1"/>
  <c r="S104" i="100"/>
  <c r="BE76" i="78"/>
  <c r="BG82" i="78"/>
  <c r="AS76" i="78"/>
  <c r="BJ121" i="78"/>
  <c r="P42" i="59"/>
  <c r="O42" i="59"/>
  <c r="E147" i="103"/>
  <c r="J146" i="103"/>
  <c r="F146" i="103"/>
  <c r="W116" i="86"/>
  <c r="L81" i="86"/>
  <c r="P81" i="86" s="1"/>
  <c r="N81" i="86" s="1"/>
  <c r="K81" i="86" s="1"/>
  <c r="S81" i="86"/>
  <c r="K67" i="88"/>
  <c r="AN148" i="106"/>
  <c r="AM148" i="106"/>
  <c r="U148" i="66"/>
  <c r="AA148" i="66"/>
  <c r="G148" i="66"/>
  <c r="F149" i="66"/>
  <c r="BK80" i="86"/>
  <c r="X115" i="86"/>
  <c r="J80" i="86"/>
  <c r="M147" i="66"/>
  <c r="L147" i="66"/>
  <c r="N147" i="66"/>
  <c r="B157" i="108"/>
  <c r="A158" i="108"/>
  <c r="AU79" i="86"/>
  <c r="AY79" i="86" s="1"/>
  <c r="AW79" i="86" s="1"/>
  <c r="AT79" i="86" s="1"/>
  <c r="BL124" i="86"/>
  <c r="BG79" i="86"/>
  <c r="L100" i="106"/>
  <c r="P100" i="106" s="1"/>
  <c r="N100" i="106" s="1"/>
  <c r="S100" i="106"/>
  <c r="W135" i="106"/>
  <c r="AU96" i="91"/>
  <c r="AY96" i="91" s="1"/>
  <c r="AW96" i="91" s="1"/>
  <c r="BL141" i="91"/>
  <c r="AT96" i="91"/>
  <c r="BG96" i="91"/>
  <c r="AS74" i="75"/>
  <c r="AO74" i="75"/>
  <c r="AM113" i="75"/>
  <c r="W139" i="105"/>
  <c r="L104" i="105"/>
  <c r="P104" i="105" s="1"/>
  <c r="N104" i="105" s="1"/>
  <c r="K104" i="105" s="1"/>
  <c r="S104" i="105"/>
  <c r="J76" i="78"/>
  <c r="AY75" i="78"/>
  <c r="AX75" i="78"/>
  <c r="AW75" i="78" s="1"/>
  <c r="AU75" i="78" s="1"/>
  <c r="AR75" i="78" s="1"/>
  <c r="N42" i="59"/>
  <c r="L42" i="59" s="1"/>
  <c r="I42" i="59" s="1"/>
  <c r="BF48" i="59" s="1"/>
  <c r="BL120" i="75"/>
  <c r="AU75" i="75"/>
  <c r="AY75" i="75" s="1"/>
  <c r="AW75" i="75" s="1"/>
  <c r="AT75" i="75" s="1"/>
  <c r="BG75" i="75"/>
  <c r="AO43" i="59"/>
  <c r="AQ43" i="59" s="1"/>
  <c r="BB43" i="59" s="1"/>
  <c r="F98" i="108"/>
  <c r="G98" i="108"/>
  <c r="D98" i="108" s="1"/>
  <c r="E98" i="108"/>
  <c r="C99" i="108"/>
  <c r="AU74" i="88"/>
  <c r="AY74" i="88" s="1"/>
  <c r="AW74" i="88" s="1"/>
  <c r="AT74" i="88" s="1"/>
  <c r="BL119" i="88"/>
  <c r="BG74" i="88"/>
  <c r="W125" i="91"/>
  <c r="L90" i="91"/>
  <c r="P90" i="91" s="1"/>
  <c r="N90" i="91" s="1"/>
  <c r="K90" i="91" s="1"/>
  <c r="S90" i="91"/>
  <c r="R141" i="110"/>
  <c r="S140" i="110"/>
  <c r="K63" i="109"/>
  <c r="M63" i="109" s="1"/>
  <c r="S63" i="109" s="1"/>
  <c r="L64" i="109" s="1"/>
  <c r="P64" i="109" s="1"/>
  <c r="N64" i="109" s="1"/>
  <c r="AS40" i="112"/>
  <c r="W108" i="75"/>
  <c r="L73" i="75"/>
  <c r="P73" i="75" s="1"/>
  <c r="N73" i="75" s="1"/>
  <c r="M73" i="75"/>
  <c r="S73" i="75" s="1"/>
  <c r="P72" i="75"/>
  <c r="N72" i="75" s="1"/>
  <c r="K71" i="75"/>
  <c r="S42" i="111"/>
  <c r="H42" i="111"/>
  <c r="T83" i="111"/>
  <c r="V83" i="111" s="1"/>
  <c r="BA41" i="111"/>
  <c r="E147" i="111"/>
  <c r="J146" i="111"/>
  <c r="F146" i="111"/>
  <c r="AS41" i="111"/>
  <c r="AR40" i="111"/>
  <c r="X91" i="94"/>
  <c r="L56" i="94"/>
  <c r="P56" i="94" s="1"/>
  <c r="N56" i="94" s="1"/>
  <c r="AK81" i="110"/>
  <c r="AV40" i="110"/>
  <c r="AU40" i="110"/>
  <c r="AQ39" i="112"/>
  <c r="AW39" i="112" s="1"/>
  <c r="AL39" i="112"/>
  <c r="AJ80" i="112"/>
  <c r="M43" i="112"/>
  <c r="G42" i="112"/>
  <c r="J144" i="112"/>
  <c r="E145" i="112"/>
  <c r="F144" i="112"/>
  <c r="BL62" i="94"/>
  <c r="J62" i="94"/>
  <c r="Y97" i="94"/>
  <c r="AJ80" i="111"/>
  <c r="M44" i="110"/>
  <c r="BB90" i="103"/>
  <c r="AP44" i="103"/>
  <c r="AI85" i="103"/>
  <c r="AY44" i="103"/>
  <c r="AL43" i="103"/>
  <c r="AJ84" i="103"/>
  <c r="O37" i="61"/>
  <c r="N37" i="61"/>
  <c r="M37" i="61" s="1"/>
  <c r="K37" i="61" s="1"/>
  <c r="AM114" i="78" l="1"/>
  <c r="AO75" i="78"/>
  <c r="AS79" i="86"/>
  <c r="AM118" i="86"/>
  <c r="AO79" i="86"/>
  <c r="X116" i="86"/>
  <c r="J81" i="86"/>
  <c r="BK81" i="86"/>
  <c r="X125" i="91"/>
  <c r="J90" i="91"/>
  <c r="BK90" i="91"/>
  <c r="AO75" i="75"/>
  <c r="AS75" i="75"/>
  <c r="AM114" i="75"/>
  <c r="BD50" i="59"/>
  <c r="AP44" i="59"/>
  <c r="BG89" i="59"/>
  <c r="AM113" i="88"/>
  <c r="AO74" i="88"/>
  <c r="AS74" i="88"/>
  <c r="J104" i="105"/>
  <c r="BK104" i="105"/>
  <c r="X139" i="105"/>
  <c r="E99" i="108"/>
  <c r="G99" i="108"/>
  <c r="F99" i="108"/>
  <c r="BK67" i="88"/>
  <c r="X102" i="88"/>
  <c r="J67" i="88"/>
  <c r="E148" i="103"/>
  <c r="J147" i="103"/>
  <c r="F147" i="103"/>
  <c r="L77" i="78"/>
  <c r="R77" i="78" s="1"/>
  <c r="B158" i="108"/>
  <c r="A159" i="108"/>
  <c r="BG83" i="78"/>
  <c r="BE77" i="78"/>
  <c r="BJ122" i="78"/>
  <c r="AS77" i="78"/>
  <c r="L101" i="106"/>
  <c r="P101" i="106" s="1"/>
  <c r="N101" i="106" s="1"/>
  <c r="S101" i="106"/>
  <c r="W136" i="106"/>
  <c r="AA149" i="66"/>
  <c r="G149" i="66"/>
  <c r="F150" i="66"/>
  <c r="U149" i="66"/>
  <c r="L82" i="86"/>
  <c r="P82" i="86" s="1"/>
  <c r="N82" i="86" s="1"/>
  <c r="K82" i="86" s="1"/>
  <c r="W117" i="86"/>
  <c r="S82" i="86"/>
  <c r="W140" i="100"/>
  <c r="L105" i="100"/>
  <c r="P105" i="100" s="1"/>
  <c r="N105" i="100" s="1"/>
  <c r="K105" i="100" s="1"/>
  <c r="S105" i="100"/>
  <c r="L91" i="91"/>
  <c r="P91" i="91" s="1"/>
  <c r="N91" i="91" s="1"/>
  <c r="K91" i="91" s="1"/>
  <c r="W126" i="91"/>
  <c r="S91" i="91"/>
  <c r="M43" i="59"/>
  <c r="X99" i="109"/>
  <c r="BL120" i="88"/>
  <c r="BG75" i="88"/>
  <c r="AU75" i="88"/>
  <c r="AY75" i="88" s="1"/>
  <c r="AW75" i="88" s="1"/>
  <c r="AT75" i="88" s="1"/>
  <c r="AV76" i="78"/>
  <c r="M148" i="66"/>
  <c r="L148" i="66"/>
  <c r="N148" i="66"/>
  <c r="AJ82" i="59"/>
  <c r="AL43" i="59"/>
  <c r="AT80" i="86"/>
  <c r="BL125" i="86"/>
  <c r="AU80" i="86"/>
  <c r="AY80" i="86" s="1"/>
  <c r="AW80" i="86" s="1"/>
  <c r="BG80" i="86"/>
  <c r="K42" i="59"/>
  <c r="X139" i="100"/>
  <c r="BK104" i="100"/>
  <c r="J104" i="100"/>
  <c r="M67" i="88"/>
  <c r="S67" i="88" s="1"/>
  <c r="K42" i="66"/>
  <c r="J42" i="66"/>
  <c r="I42" i="66" s="1"/>
  <c r="X42" i="66"/>
  <c r="BL121" i="75"/>
  <c r="AU76" i="75"/>
  <c r="AY76" i="75" s="1"/>
  <c r="AW76" i="75" s="1"/>
  <c r="AT76" i="75" s="1"/>
  <c r="BG76" i="75"/>
  <c r="X116" i="78"/>
  <c r="BI82" i="78"/>
  <c r="AT97" i="91"/>
  <c r="BL142" i="91"/>
  <c r="AU97" i="91"/>
  <c r="AY97" i="91" s="1"/>
  <c r="AW97" i="91" s="1"/>
  <c r="BG97" i="91"/>
  <c r="J77" i="78"/>
  <c r="W140" i="105"/>
  <c r="L105" i="105"/>
  <c r="P105" i="105" s="1"/>
  <c r="N105" i="105" s="1"/>
  <c r="K105" i="105" s="1"/>
  <c r="S105" i="105"/>
  <c r="AM135" i="91"/>
  <c r="AS96" i="91"/>
  <c r="AO96" i="91"/>
  <c r="AY76" i="78"/>
  <c r="AX76" i="78"/>
  <c r="AW76" i="78" s="1"/>
  <c r="AU76" i="78" s="1"/>
  <c r="AR76" i="78" s="1"/>
  <c r="BL63" i="109"/>
  <c r="R142" i="110"/>
  <c r="S141" i="110"/>
  <c r="J63" i="109"/>
  <c r="Y98" i="109"/>
  <c r="K64" i="109"/>
  <c r="BL64" i="109" s="1"/>
  <c r="L74" i="75"/>
  <c r="P74" i="75" s="1"/>
  <c r="N74" i="75" s="1"/>
  <c r="W109" i="75"/>
  <c r="M74" i="75"/>
  <c r="S74" i="75" s="1"/>
  <c r="J71" i="75"/>
  <c r="X106" i="75"/>
  <c r="BK71" i="75"/>
  <c r="K72" i="75"/>
  <c r="E148" i="111"/>
  <c r="J147" i="111"/>
  <c r="F147" i="111"/>
  <c r="I42" i="111"/>
  <c r="U82" i="111"/>
  <c r="AO40" i="111"/>
  <c r="AL40" i="111" s="1"/>
  <c r="O42" i="111"/>
  <c r="P42" i="111"/>
  <c r="K56" i="94"/>
  <c r="AT40" i="110"/>
  <c r="AR40" i="110" s="1"/>
  <c r="AS41" i="110" s="1"/>
  <c r="BB86" i="112"/>
  <c r="AP40" i="112"/>
  <c r="AY40" i="112"/>
  <c r="AI81" i="112"/>
  <c r="K42" i="112"/>
  <c r="Q42" i="112" s="1"/>
  <c r="BA42" i="112"/>
  <c r="E146" i="112"/>
  <c r="J145" i="112"/>
  <c r="F145" i="112"/>
  <c r="K63" i="94"/>
  <c r="AI81" i="111"/>
  <c r="AK85" i="103"/>
  <c r="AV44" i="103"/>
  <c r="AU44" i="103"/>
  <c r="AT44" i="103" s="1"/>
  <c r="H37" i="61"/>
  <c r="J37" i="61" s="1"/>
  <c r="L38" i="61"/>
  <c r="AM115" i="78" l="1"/>
  <c r="AO76" i="78"/>
  <c r="BK82" i="86"/>
  <c r="J82" i="86"/>
  <c r="X117" i="86"/>
  <c r="X126" i="91"/>
  <c r="BK91" i="91"/>
  <c r="J91" i="91"/>
  <c r="AO75" i="88"/>
  <c r="AS75" i="88"/>
  <c r="AM114" i="88"/>
  <c r="X140" i="100"/>
  <c r="J105" i="100"/>
  <c r="BK105" i="100"/>
  <c r="X140" i="105"/>
  <c r="J105" i="105"/>
  <c r="BK105" i="105"/>
  <c r="AX77" i="78"/>
  <c r="AY77" i="78"/>
  <c r="L106" i="105"/>
  <c r="P106" i="105" s="1"/>
  <c r="N106" i="105" s="1"/>
  <c r="K106" i="105" s="1"/>
  <c r="W141" i="105"/>
  <c r="S106" i="105"/>
  <c r="AS97" i="91"/>
  <c r="AM136" i="91"/>
  <c r="AO97" i="91"/>
  <c r="Q42" i="59"/>
  <c r="U89" i="59"/>
  <c r="F151" i="66"/>
  <c r="G150" i="66"/>
  <c r="AA150" i="66"/>
  <c r="U150" i="66"/>
  <c r="BG84" i="78"/>
  <c r="BE78" i="78"/>
  <c r="AS78" i="78"/>
  <c r="BJ123" i="78"/>
  <c r="E149" i="103"/>
  <c r="J148" i="103"/>
  <c r="F148" i="103"/>
  <c r="M149" i="66"/>
  <c r="L149" i="66"/>
  <c r="N149" i="66"/>
  <c r="BG77" i="75"/>
  <c r="AU77" i="75"/>
  <c r="AY77" i="75" s="1"/>
  <c r="AW77" i="75" s="1"/>
  <c r="AT77" i="75" s="1"/>
  <c r="BL122" i="75"/>
  <c r="B159" i="108"/>
  <c r="A160" i="108"/>
  <c r="AS76" i="75"/>
  <c r="AO76" i="75"/>
  <c r="AM115" i="75"/>
  <c r="L68" i="88"/>
  <c r="P68" i="88" s="1"/>
  <c r="N68" i="88" s="1"/>
  <c r="W103" i="88"/>
  <c r="L102" i="106"/>
  <c r="P102" i="106" s="1"/>
  <c r="N102" i="106" s="1"/>
  <c r="S102" i="106"/>
  <c r="W137" i="106"/>
  <c r="AU44" i="59"/>
  <c r="AT44" i="59" s="1"/>
  <c r="AR44" i="59" s="1"/>
  <c r="AV44" i="59"/>
  <c r="BL126" i="86"/>
  <c r="AU81" i="86"/>
  <c r="AY81" i="86" s="1"/>
  <c r="AW81" i="86" s="1"/>
  <c r="AT81" i="86" s="1"/>
  <c r="BG81" i="86"/>
  <c r="L83" i="86"/>
  <c r="P83" i="86" s="1"/>
  <c r="N83" i="86" s="1"/>
  <c r="K83" i="86" s="1"/>
  <c r="W118" i="86"/>
  <c r="S83" i="86"/>
  <c r="AM119" i="86"/>
  <c r="AO80" i="86"/>
  <c r="AS80" i="86"/>
  <c r="AU76" i="88"/>
  <c r="AY76" i="88" s="1"/>
  <c r="AW76" i="88" s="1"/>
  <c r="AT76" i="88" s="1"/>
  <c r="BG76" i="88"/>
  <c r="BL121" i="88"/>
  <c r="W118" i="78"/>
  <c r="K78" i="78"/>
  <c r="O78" i="78" s="1"/>
  <c r="M78" i="78" s="1"/>
  <c r="N79" i="78" s="1"/>
  <c r="L92" i="91"/>
  <c r="P92" i="91" s="1"/>
  <c r="N92" i="91" s="1"/>
  <c r="K92" i="91" s="1"/>
  <c r="W127" i="91"/>
  <c r="S92" i="91"/>
  <c r="X117" i="78"/>
  <c r="BI83" i="78"/>
  <c r="AT98" i="91"/>
  <c r="BL143" i="91"/>
  <c r="AU98" i="91"/>
  <c r="AY98" i="91" s="1"/>
  <c r="AW98" i="91" s="1"/>
  <c r="BG98" i="91"/>
  <c r="W141" i="100"/>
  <c r="L106" i="100"/>
  <c r="P106" i="100" s="1"/>
  <c r="N106" i="100" s="1"/>
  <c r="K106" i="100" s="1"/>
  <c r="S106" i="100"/>
  <c r="AW77" i="78"/>
  <c r="AU77" i="78" s="1"/>
  <c r="AR77" i="78" s="1"/>
  <c r="D99" i="108"/>
  <c r="C100" i="108" s="1"/>
  <c r="AV77" i="78"/>
  <c r="S42" i="66"/>
  <c r="R42" i="66" s="1"/>
  <c r="P42" i="66" s="1"/>
  <c r="T42" i="66"/>
  <c r="R143" i="110"/>
  <c r="S142" i="110"/>
  <c r="J64" i="109"/>
  <c r="Y99" i="109"/>
  <c r="M64" i="109"/>
  <c r="S64" i="109" s="1"/>
  <c r="L65" i="109" s="1"/>
  <c r="S75" i="75"/>
  <c r="L75" i="75"/>
  <c r="P75" i="75" s="1"/>
  <c r="N75" i="75" s="1"/>
  <c r="W110" i="75"/>
  <c r="J72" i="75"/>
  <c r="BK72" i="75"/>
  <c r="X107" i="75"/>
  <c r="K73" i="75"/>
  <c r="N42" i="111"/>
  <c r="L42" i="111" s="1"/>
  <c r="AQ40" i="111"/>
  <c r="AW40" i="111" s="1"/>
  <c r="J148" i="111"/>
  <c r="E149" i="111"/>
  <c r="F148" i="111"/>
  <c r="M56" i="94"/>
  <c r="BL56" i="94"/>
  <c r="Y91" i="94"/>
  <c r="J56" i="94"/>
  <c r="T56" i="94"/>
  <c r="W56" i="94" s="1"/>
  <c r="AO40" i="110"/>
  <c r="AQ40" i="110" s="1"/>
  <c r="AW40" i="110" s="1"/>
  <c r="AK81" i="112"/>
  <c r="AU40" i="112"/>
  <c r="AV40" i="112"/>
  <c r="H43" i="112"/>
  <c r="I43" i="112" s="1"/>
  <c r="T84" i="112"/>
  <c r="S43" i="112"/>
  <c r="E147" i="112"/>
  <c r="J146" i="112"/>
  <c r="F146" i="112"/>
  <c r="Y98" i="94"/>
  <c r="BL63" i="94"/>
  <c r="J63" i="94"/>
  <c r="AK81" i="111"/>
  <c r="AR44" i="103"/>
  <c r="AO44" i="103" s="1"/>
  <c r="AL44" i="103" s="1"/>
  <c r="O44" i="110"/>
  <c r="P44" i="110"/>
  <c r="P37" i="61"/>
  <c r="T67" i="61"/>
  <c r="X127" i="91" l="1"/>
  <c r="J92" i="91"/>
  <c r="BK92" i="91"/>
  <c r="AO44" i="59"/>
  <c r="AQ44" i="59" s="1"/>
  <c r="BB44" i="59" s="1"/>
  <c r="H42" i="66"/>
  <c r="O42" i="66"/>
  <c r="X141" i="100"/>
  <c r="BK106" i="100"/>
  <c r="J106" i="100"/>
  <c r="X118" i="86"/>
  <c r="J83" i="86"/>
  <c r="BK83" i="86"/>
  <c r="X141" i="105"/>
  <c r="J106" i="105"/>
  <c r="BK106" i="105"/>
  <c r="AO77" i="75"/>
  <c r="AS77" i="75"/>
  <c r="AM116" i="75"/>
  <c r="AO76" i="88"/>
  <c r="AM115" i="88"/>
  <c r="AS76" i="88"/>
  <c r="AO81" i="86"/>
  <c r="AS81" i="86"/>
  <c r="AM120" i="86"/>
  <c r="AM116" i="78"/>
  <c r="AO77" i="78"/>
  <c r="AS98" i="91"/>
  <c r="AM137" i="91"/>
  <c r="AO98" i="91"/>
  <c r="BL127" i="86"/>
  <c r="AU82" i="86"/>
  <c r="AY82" i="86" s="1"/>
  <c r="AW82" i="86" s="1"/>
  <c r="AT82" i="86" s="1"/>
  <c r="BG82" i="86"/>
  <c r="BL123" i="75"/>
  <c r="AU78" i="75"/>
  <c r="AY78" i="75" s="1"/>
  <c r="AW78" i="75" s="1"/>
  <c r="AT78" i="75" s="1"/>
  <c r="BG78" i="75"/>
  <c r="N150" i="66"/>
  <c r="M150" i="66"/>
  <c r="L150" i="66"/>
  <c r="F152" i="66"/>
  <c r="U151" i="66"/>
  <c r="AA151" i="66"/>
  <c r="G151" i="66"/>
  <c r="L107" i="105"/>
  <c r="P107" i="105" s="1"/>
  <c r="N107" i="105" s="1"/>
  <c r="K107" i="105" s="1"/>
  <c r="W142" i="105"/>
  <c r="S107" i="105"/>
  <c r="J78" i="78"/>
  <c r="L93" i="91"/>
  <c r="P93" i="91" s="1"/>
  <c r="N93" i="91" s="1"/>
  <c r="K93" i="91" s="1"/>
  <c r="W128" i="91"/>
  <c r="S93" i="91"/>
  <c r="L78" i="78"/>
  <c r="R78" i="78" s="1"/>
  <c r="B160" i="108"/>
  <c r="A161" i="108"/>
  <c r="BG85" i="78"/>
  <c r="BE79" i="78"/>
  <c r="BJ124" i="78"/>
  <c r="AS79" i="78"/>
  <c r="S43" i="59"/>
  <c r="T90" i="59"/>
  <c r="J43" i="59"/>
  <c r="L103" i="106"/>
  <c r="P103" i="106" s="1"/>
  <c r="N103" i="106" s="1"/>
  <c r="S103" i="106"/>
  <c r="W138" i="106"/>
  <c r="L84" i="86"/>
  <c r="P84" i="86" s="1"/>
  <c r="N84" i="86" s="1"/>
  <c r="K84" i="86" s="1"/>
  <c r="W119" i="86"/>
  <c r="S84" i="86"/>
  <c r="K68" i="88"/>
  <c r="AY78" i="78"/>
  <c r="AX78" i="78"/>
  <c r="Q43" i="66"/>
  <c r="BL144" i="91"/>
  <c r="AU99" i="91"/>
  <c r="AY99" i="91" s="1"/>
  <c r="AW99" i="91" s="1"/>
  <c r="AT99" i="91"/>
  <c r="BG99" i="91"/>
  <c r="BL122" i="88"/>
  <c r="BG77" i="88"/>
  <c r="AU77" i="88"/>
  <c r="AY77" i="88" s="1"/>
  <c r="AW77" i="88" s="1"/>
  <c r="AT77" i="88"/>
  <c r="AS45" i="59"/>
  <c r="AV78" i="78"/>
  <c r="L107" i="100"/>
  <c r="P107" i="100" s="1"/>
  <c r="N107" i="100" s="1"/>
  <c r="K107" i="100" s="1"/>
  <c r="W142" i="100"/>
  <c r="S107" i="100"/>
  <c r="E100" i="108"/>
  <c r="F100" i="108"/>
  <c r="G100" i="108"/>
  <c r="E150" i="103"/>
  <c r="J149" i="103"/>
  <c r="F149" i="103"/>
  <c r="R144" i="110"/>
  <c r="S143" i="110"/>
  <c r="X100" i="109"/>
  <c r="X108" i="75"/>
  <c r="J73" i="75"/>
  <c r="BK73" i="75"/>
  <c r="S76" i="75"/>
  <c r="W111" i="75"/>
  <c r="L76" i="75"/>
  <c r="P76" i="75" s="1"/>
  <c r="N76" i="75" s="1"/>
  <c r="K74" i="75"/>
  <c r="J149" i="111"/>
  <c r="E150" i="111"/>
  <c r="F149" i="111"/>
  <c r="AP41" i="111"/>
  <c r="BB87" i="111"/>
  <c r="AY41" i="111"/>
  <c r="G42" i="111"/>
  <c r="K42" i="111" s="1"/>
  <c r="Q42" i="111" s="1"/>
  <c r="M43" i="111"/>
  <c r="S56" i="94"/>
  <c r="AJ81" i="111"/>
  <c r="BB87" i="110"/>
  <c r="AY41" i="110"/>
  <c r="AP41" i="110"/>
  <c r="AI82" i="110"/>
  <c r="AL40" i="110"/>
  <c r="AJ81" i="110"/>
  <c r="AT40" i="112"/>
  <c r="AR40" i="112" s="1"/>
  <c r="V84" i="112"/>
  <c r="U83" i="112"/>
  <c r="O43" i="112"/>
  <c r="P43" i="112"/>
  <c r="J147" i="112"/>
  <c r="E148" i="112"/>
  <c r="F147" i="112"/>
  <c r="AQ44" i="103"/>
  <c r="AW44" i="103" s="1"/>
  <c r="BB91" i="103" s="1"/>
  <c r="AS45" i="103"/>
  <c r="AJ85" i="103"/>
  <c r="S68" i="61"/>
  <c r="I38" i="61"/>
  <c r="R38" i="61"/>
  <c r="AS82" i="86" l="1"/>
  <c r="AM121" i="86"/>
  <c r="AO82" i="86"/>
  <c r="X128" i="91"/>
  <c r="BK93" i="91"/>
  <c r="J93" i="91"/>
  <c r="X142" i="100"/>
  <c r="J107" i="100"/>
  <c r="BK107" i="100"/>
  <c r="J84" i="86"/>
  <c r="BK84" i="86"/>
  <c r="X119" i="86"/>
  <c r="BK107" i="105"/>
  <c r="X142" i="105"/>
  <c r="J107" i="105"/>
  <c r="BD51" i="59"/>
  <c r="AP45" i="59"/>
  <c r="BG90" i="59"/>
  <c r="AO78" i="75"/>
  <c r="AS78" i="75"/>
  <c r="AM117" i="75"/>
  <c r="L104" i="106"/>
  <c r="P104" i="106" s="1"/>
  <c r="N104" i="106" s="1"/>
  <c r="S104" i="106"/>
  <c r="W139" i="106"/>
  <c r="BG86" i="78"/>
  <c r="BE80" i="78"/>
  <c r="BJ125" i="78"/>
  <c r="AS80" i="78"/>
  <c r="J68" i="88"/>
  <c r="BK68" i="88"/>
  <c r="X103" i="88"/>
  <c r="AX79" i="78"/>
  <c r="AY79" i="78"/>
  <c r="BL145" i="91"/>
  <c r="AU100" i="91"/>
  <c r="AY100" i="91" s="1"/>
  <c r="AW100" i="91" s="1"/>
  <c r="AT100" i="91" s="1"/>
  <c r="BG100" i="91"/>
  <c r="K85" i="86"/>
  <c r="W120" i="86"/>
  <c r="L85" i="86"/>
  <c r="P85" i="86" s="1"/>
  <c r="N85" i="86" s="1"/>
  <c r="S85" i="86"/>
  <c r="A162" i="108"/>
  <c r="B161" i="108"/>
  <c r="X118" i="78"/>
  <c r="BI84" i="78"/>
  <c r="N151" i="66"/>
  <c r="M151" i="66"/>
  <c r="L151" i="66"/>
  <c r="AM138" i="91"/>
  <c r="AS99" i="91"/>
  <c r="AO99" i="91"/>
  <c r="V108" i="105"/>
  <c r="L108" i="105"/>
  <c r="W143" i="105"/>
  <c r="W144" i="105" s="1"/>
  <c r="AA152" i="66"/>
  <c r="G152" i="66"/>
  <c r="U152" i="66"/>
  <c r="F153" i="66"/>
  <c r="AJ83" i="59"/>
  <c r="AL44" i="59"/>
  <c r="V42" i="66"/>
  <c r="Z42" i="66"/>
  <c r="E151" i="103"/>
  <c r="J150" i="103"/>
  <c r="F150" i="103"/>
  <c r="D100" i="108"/>
  <c r="C101" i="108" s="1"/>
  <c r="O43" i="59"/>
  <c r="N43" i="59" s="1"/>
  <c r="L43" i="59" s="1"/>
  <c r="P43" i="59"/>
  <c r="K79" i="78"/>
  <c r="O79" i="78" s="1"/>
  <c r="M79" i="78" s="1"/>
  <c r="N80" i="78" s="1"/>
  <c r="W119" i="78"/>
  <c r="AW78" i="78"/>
  <c r="AU78" i="78" s="1"/>
  <c r="AR78" i="78" s="1"/>
  <c r="AU83" i="86"/>
  <c r="AY83" i="86" s="1"/>
  <c r="AW83" i="86" s="1"/>
  <c r="AT83" i="86" s="1"/>
  <c r="BL128" i="86"/>
  <c r="BG83" i="86"/>
  <c r="V108" i="100"/>
  <c r="W143" i="100"/>
  <c r="W144" i="100" s="1"/>
  <c r="L108" i="100"/>
  <c r="AU78" i="88"/>
  <c r="AY78" i="88" s="1"/>
  <c r="AW78" i="88" s="1"/>
  <c r="AT78" i="88" s="1"/>
  <c r="BG78" i="88"/>
  <c r="BL123" i="88"/>
  <c r="AU79" i="75"/>
  <c r="AY79" i="75" s="1"/>
  <c r="AW79" i="75" s="1"/>
  <c r="AT79" i="75" s="1"/>
  <c r="BL124" i="75"/>
  <c r="BG79" i="75"/>
  <c r="AW79" i="78"/>
  <c r="AU79" i="78" s="1"/>
  <c r="AR79" i="78" s="1"/>
  <c r="W129" i="91"/>
  <c r="L94" i="91"/>
  <c r="P94" i="91" s="1"/>
  <c r="N94" i="91" s="1"/>
  <c r="K94" i="91" s="1"/>
  <c r="S94" i="91"/>
  <c r="M68" i="88"/>
  <c r="S68" i="88" s="1"/>
  <c r="AM116" i="88"/>
  <c r="AS77" i="88"/>
  <c r="AO77" i="88"/>
  <c r="R145" i="110"/>
  <c r="S144" i="110"/>
  <c r="K65" i="109"/>
  <c r="M65" i="109" s="1"/>
  <c r="S65" i="109" s="1"/>
  <c r="L66" i="109" s="1"/>
  <c r="P65" i="109"/>
  <c r="N65" i="109" s="1"/>
  <c r="J74" i="75"/>
  <c r="BK74" i="75"/>
  <c r="X109" i="75"/>
  <c r="L77" i="75"/>
  <c r="P77" i="75" s="1"/>
  <c r="N77" i="75" s="1"/>
  <c r="W112" i="75"/>
  <c r="S77" i="75"/>
  <c r="K75" i="75"/>
  <c r="S43" i="111"/>
  <c r="H43" i="111"/>
  <c r="T84" i="111"/>
  <c r="V84" i="111" s="1"/>
  <c r="AT41" i="111"/>
  <c r="AU41" i="111"/>
  <c r="AV41" i="111"/>
  <c r="E151" i="111"/>
  <c r="J150" i="111"/>
  <c r="F150" i="111"/>
  <c r="BA42" i="111"/>
  <c r="M57" i="94"/>
  <c r="S57" i="94" s="1"/>
  <c r="L57" i="94"/>
  <c r="P57" i="94" s="1"/>
  <c r="N57" i="94" s="1"/>
  <c r="X92" i="94"/>
  <c r="AK82" i="110"/>
  <c r="AV41" i="110"/>
  <c r="AU41" i="110"/>
  <c r="AO40" i="112"/>
  <c r="AQ40" i="112" s="1"/>
  <c r="AW40" i="112" s="1"/>
  <c r="AS41" i="112"/>
  <c r="N43" i="112"/>
  <c r="L43" i="112" s="1"/>
  <c r="M44" i="112" s="1"/>
  <c r="E149" i="112"/>
  <c r="J148" i="112"/>
  <c r="F148" i="112"/>
  <c r="AI82" i="111"/>
  <c r="AI86" i="103"/>
  <c r="AK86" i="103" s="1"/>
  <c r="AY45" i="103"/>
  <c r="AU45" i="103" s="1"/>
  <c r="AP45" i="103"/>
  <c r="O38" i="61"/>
  <c r="N38" i="61"/>
  <c r="AS79" i="75" l="1"/>
  <c r="AO79" i="75"/>
  <c r="AM118" i="75"/>
  <c r="AO83" i="86"/>
  <c r="AS83" i="86"/>
  <c r="AM122" i="86"/>
  <c r="X129" i="91"/>
  <c r="J94" i="91"/>
  <c r="BK94" i="91"/>
  <c r="AM117" i="88"/>
  <c r="AO78" i="88"/>
  <c r="AS78" i="88"/>
  <c r="AS100" i="91"/>
  <c r="AO100" i="91"/>
  <c r="AM139" i="91"/>
  <c r="I43" i="59"/>
  <c r="BF49" i="59" s="1"/>
  <c r="AU101" i="91"/>
  <c r="AY101" i="91" s="1"/>
  <c r="AW101" i="91" s="1"/>
  <c r="AT101" i="91" s="1"/>
  <c r="BL146" i="91"/>
  <c r="BG101" i="91"/>
  <c r="AU45" i="59"/>
  <c r="AV45" i="59"/>
  <c r="BL129" i="86"/>
  <c r="AU84" i="86"/>
  <c r="AY84" i="86" s="1"/>
  <c r="AW84" i="86" s="1"/>
  <c r="AT84" i="86"/>
  <c r="BG84" i="86"/>
  <c r="A163" i="108"/>
  <c r="B162" i="108"/>
  <c r="AV79" i="78"/>
  <c r="G153" i="66"/>
  <c r="AA153" i="66"/>
  <c r="F154" i="66"/>
  <c r="U153" i="66"/>
  <c r="L79" i="78"/>
  <c r="R79" i="78" s="1"/>
  <c r="E152" i="103"/>
  <c r="J151" i="103"/>
  <c r="F151" i="103"/>
  <c r="N152" i="66"/>
  <c r="M152" i="66"/>
  <c r="L152" i="66"/>
  <c r="W130" i="91"/>
  <c r="L95" i="91"/>
  <c r="P95" i="91" s="1"/>
  <c r="N95" i="91" s="1"/>
  <c r="K95" i="91" s="1"/>
  <c r="S95" i="91"/>
  <c r="Q108" i="100"/>
  <c r="Q109" i="100" s="1"/>
  <c r="R108" i="100"/>
  <c r="R109" i="100" s="1"/>
  <c r="M108" i="100"/>
  <c r="M109" i="100" s="1"/>
  <c r="S108" i="100"/>
  <c r="BG79" i="88"/>
  <c r="AT79" i="88"/>
  <c r="BL124" i="88"/>
  <c r="AU79" i="88"/>
  <c r="AY79" i="88" s="1"/>
  <c r="AW79" i="88" s="1"/>
  <c r="AM118" i="78"/>
  <c r="AO79" i="78"/>
  <c r="L86" i="86"/>
  <c r="P86" i="86" s="1"/>
  <c r="N86" i="86" s="1"/>
  <c r="K86" i="86" s="1"/>
  <c r="W121" i="86"/>
  <c r="S86" i="86"/>
  <c r="BG87" i="78"/>
  <c r="BE81" i="78"/>
  <c r="BJ126" i="78"/>
  <c r="AS81" i="78"/>
  <c r="K43" i="66"/>
  <c r="J43" i="66"/>
  <c r="I43" i="66" s="1"/>
  <c r="X43" i="66"/>
  <c r="AU80" i="75"/>
  <c r="AY80" i="75" s="1"/>
  <c r="AW80" i="75" s="1"/>
  <c r="AT80" i="75" s="1"/>
  <c r="BL125" i="75"/>
  <c r="BG80" i="75"/>
  <c r="L109" i="100"/>
  <c r="C28" i="100" s="1"/>
  <c r="AM117" i="78"/>
  <c r="AO78" i="78"/>
  <c r="AV80" i="78"/>
  <c r="AY80" i="78"/>
  <c r="AX80" i="78"/>
  <c r="AW80" i="78" s="1"/>
  <c r="AU80" i="78" s="1"/>
  <c r="AR80" i="78" s="1"/>
  <c r="W104" i="88"/>
  <c r="L69" i="88"/>
  <c r="P69" i="88" s="1"/>
  <c r="N69" i="88" s="1"/>
  <c r="K69" i="88" s="1"/>
  <c r="M44" i="59"/>
  <c r="L109" i="105"/>
  <c r="C28" i="105" s="1"/>
  <c r="J79" i="78"/>
  <c r="G101" i="108"/>
  <c r="E101" i="108"/>
  <c r="F101" i="108"/>
  <c r="M108" i="105"/>
  <c r="M109" i="105" s="1"/>
  <c r="S108" i="105"/>
  <c r="Q108" i="105"/>
  <c r="Q109" i="105" s="1"/>
  <c r="R108" i="105"/>
  <c r="R109" i="105" s="1"/>
  <c r="X120" i="86"/>
  <c r="J85" i="86"/>
  <c r="BK85" i="86"/>
  <c r="L105" i="106"/>
  <c r="P105" i="106" s="1"/>
  <c r="N105" i="106" s="1"/>
  <c r="S105" i="106"/>
  <c r="W140" i="106"/>
  <c r="AT45" i="59"/>
  <c r="AR45" i="59" s="1"/>
  <c r="AO45" i="59" s="1"/>
  <c r="R146" i="110"/>
  <c r="S145" i="110"/>
  <c r="X101" i="109"/>
  <c r="P66" i="109"/>
  <c r="N66" i="109" s="1"/>
  <c r="J65" i="109"/>
  <c r="Y100" i="109"/>
  <c r="BL65" i="109"/>
  <c r="J75" i="75"/>
  <c r="X110" i="75"/>
  <c r="BK75" i="75"/>
  <c r="K76" i="75"/>
  <c r="S78" i="75"/>
  <c r="L78" i="75"/>
  <c r="P78" i="75" s="1"/>
  <c r="N78" i="75" s="1"/>
  <c r="W113" i="75"/>
  <c r="U83" i="111"/>
  <c r="E152" i="111"/>
  <c r="J151" i="111"/>
  <c r="F151" i="111"/>
  <c r="I43" i="111"/>
  <c r="N43" i="111"/>
  <c r="L43" i="111" s="1"/>
  <c r="G43" i="111" s="1"/>
  <c r="BA43" i="111" s="1"/>
  <c r="AR41" i="111"/>
  <c r="P43" i="111"/>
  <c r="O43" i="111"/>
  <c r="L58" i="94"/>
  <c r="P58" i="94" s="1"/>
  <c r="N58" i="94" s="1"/>
  <c r="X93" i="94"/>
  <c r="M58" i="94"/>
  <c r="S58" i="94" s="1"/>
  <c r="AT41" i="110"/>
  <c r="AR41" i="110" s="1"/>
  <c r="AS42" i="110" s="1"/>
  <c r="AP41" i="112"/>
  <c r="BB87" i="112"/>
  <c r="AY41" i="112"/>
  <c r="AI82" i="112"/>
  <c r="AL40" i="112"/>
  <c r="AJ81" i="112"/>
  <c r="G43" i="112"/>
  <c r="K43" i="112" s="1"/>
  <c r="Q43" i="112" s="1"/>
  <c r="E150" i="112"/>
  <c r="J149" i="112"/>
  <c r="F149" i="112"/>
  <c r="AK82" i="111"/>
  <c r="AV45" i="103"/>
  <c r="O45" i="110"/>
  <c r="P45" i="110"/>
  <c r="AT45" i="103"/>
  <c r="M38" i="61"/>
  <c r="K38" i="61" s="1"/>
  <c r="AM119" i="78" l="1"/>
  <c r="AO80" i="78"/>
  <c r="J86" i="86"/>
  <c r="X121" i="86"/>
  <c r="BK86" i="86"/>
  <c r="AM119" i="75"/>
  <c r="AS80" i="75"/>
  <c r="AO80" i="75"/>
  <c r="BK69" i="88"/>
  <c r="J69" i="88"/>
  <c r="X104" i="88"/>
  <c r="M69" i="88"/>
  <c r="S69" i="88" s="1"/>
  <c r="BK95" i="91"/>
  <c r="J95" i="91"/>
  <c r="X130" i="91"/>
  <c r="AO101" i="91"/>
  <c r="AS101" i="91"/>
  <c r="AM140" i="91"/>
  <c r="D101" i="108"/>
  <c r="C102" i="108" s="1"/>
  <c r="P108" i="100"/>
  <c r="W122" i="86"/>
  <c r="L87" i="86"/>
  <c r="P87" i="86" s="1"/>
  <c r="N87" i="86" s="1"/>
  <c r="K87" i="86" s="1"/>
  <c r="S87" i="86"/>
  <c r="E153" i="103"/>
  <c r="J152" i="103"/>
  <c r="F152" i="103"/>
  <c r="AS46" i="59"/>
  <c r="BI85" i="78"/>
  <c r="X119" i="78"/>
  <c r="AJ84" i="59"/>
  <c r="AL45" i="59"/>
  <c r="C29" i="105"/>
  <c r="E29" i="105" s="1"/>
  <c r="E28" i="105"/>
  <c r="C31" i="105"/>
  <c r="AV81" i="78"/>
  <c r="BL125" i="88"/>
  <c r="AU80" i="88"/>
  <c r="AY80" i="88" s="1"/>
  <c r="AW80" i="88" s="1"/>
  <c r="AT80" i="88" s="1"/>
  <c r="BG80" i="88"/>
  <c r="B163" i="108"/>
  <c r="A164" i="108"/>
  <c r="AQ45" i="59"/>
  <c r="BB45" i="59" s="1"/>
  <c r="P108" i="105"/>
  <c r="AW81" i="78"/>
  <c r="AU81" i="78" s="1"/>
  <c r="AR81" i="78" s="1"/>
  <c r="BL130" i="86"/>
  <c r="AU85" i="86"/>
  <c r="AY85" i="86" s="1"/>
  <c r="AW85" i="86" s="1"/>
  <c r="AT85" i="86" s="1"/>
  <c r="BG85" i="86"/>
  <c r="BL147" i="91"/>
  <c r="AU102" i="91"/>
  <c r="AY102" i="91" s="1"/>
  <c r="AW102" i="91" s="1"/>
  <c r="AT102" i="91" s="1"/>
  <c r="BG102" i="91"/>
  <c r="L106" i="106"/>
  <c r="P106" i="106" s="1"/>
  <c r="N106" i="106" s="1"/>
  <c r="S106" i="106"/>
  <c r="W141" i="106"/>
  <c r="F155" i="66"/>
  <c r="U154" i="66"/>
  <c r="AA154" i="66"/>
  <c r="G154" i="66"/>
  <c r="AS84" i="86"/>
  <c r="AM123" i="86"/>
  <c r="AO84" i="86"/>
  <c r="AM118" i="88"/>
  <c r="AO79" i="88"/>
  <c r="AS79" i="88"/>
  <c r="T43" i="66"/>
  <c r="S43" i="66"/>
  <c r="BG88" i="78"/>
  <c r="BE82" i="78"/>
  <c r="AS82" i="78"/>
  <c r="BJ127" i="78"/>
  <c r="M153" i="66"/>
  <c r="L153" i="66"/>
  <c r="N153" i="66"/>
  <c r="AU81" i="75"/>
  <c r="AY81" i="75" s="1"/>
  <c r="AW81" i="75" s="1"/>
  <c r="AT81" i="75" s="1"/>
  <c r="BL126" i="75"/>
  <c r="BG81" i="75"/>
  <c r="L80" i="78"/>
  <c r="R80" i="78" s="1"/>
  <c r="W120" i="78"/>
  <c r="K80" i="78"/>
  <c r="O80" i="78" s="1"/>
  <c r="M80" i="78" s="1"/>
  <c r="N81" i="78" s="1"/>
  <c r="C31" i="100"/>
  <c r="E28" i="100"/>
  <c r="AX81" i="78"/>
  <c r="AY81" i="78"/>
  <c r="L96" i="91"/>
  <c r="P96" i="91" s="1"/>
  <c r="N96" i="91" s="1"/>
  <c r="K96" i="91"/>
  <c r="W131" i="91"/>
  <c r="S96" i="91"/>
  <c r="K43" i="59"/>
  <c r="R147" i="110"/>
  <c r="S146" i="110"/>
  <c r="K66" i="109"/>
  <c r="M66" i="109" s="1"/>
  <c r="S66" i="109" s="1"/>
  <c r="L67" i="109" s="1"/>
  <c r="P67" i="109" s="1"/>
  <c r="N67" i="109" s="1"/>
  <c r="S79" i="75"/>
  <c r="L79" i="75"/>
  <c r="P79" i="75" s="1"/>
  <c r="N79" i="75" s="1"/>
  <c r="W114" i="75"/>
  <c r="X111" i="75"/>
  <c r="BK76" i="75"/>
  <c r="J76" i="75"/>
  <c r="K77" i="75"/>
  <c r="J152" i="111"/>
  <c r="E153" i="111"/>
  <c r="F152" i="111"/>
  <c r="M44" i="111"/>
  <c r="AO41" i="111"/>
  <c r="AL41" i="111" s="1"/>
  <c r="K43" i="111"/>
  <c r="Q43" i="111" s="1"/>
  <c r="AS42" i="111"/>
  <c r="M59" i="94"/>
  <c r="S59" i="94" s="1"/>
  <c r="X94" i="94"/>
  <c r="L59" i="94"/>
  <c r="P59" i="94" s="1"/>
  <c r="N59" i="94" s="1"/>
  <c r="AJ82" i="111"/>
  <c r="AO41" i="110"/>
  <c r="AQ41" i="110" s="1"/>
  <c r="AW41" i="110" s="1"/>
  <c r="AK82" i="112"/>
  <c r="AV41" i="112"/>
  <c r="AU41" i="112"/>
  <c r="S44" i="112"/>
  <c r="H44" i="112"/>
  <c r="T85" i="112"/>
  <c r="V85" i="112" s="1"/>
  <c r="BA43" i="112"/>
  <c r="E151" i="112"/>
  <c r="J150" i="112"/>
  <c r="F150" i="112"/>
  <c r="K65" i="94"/>
  <c r="AR45" i="103"/>
  <c r="AS46" i="103" s="1"/>
  <c r="H38" i="61"/>
  <c r="J38" i="61" s="1"/>
  <c r="L39" i="61"/>
  <c r="AM120" i="75" l="1"/>
  <c r="AO81" i="75"/>
  <c r="AS81" i="75"/>
  <c r="AM141" i="91"/>
  <c r="AS102" i="91"/>
  <c r="AO102" i="91"/>
  <c r="X122" i="86"/>
  <c r="AH50" i="86" s="1"/>
  <c r="J87" i="86"/>
  <c r="BK87" i="86"/>
  <c r="AO80" i="88"/>
  <c r="AM119" i="88"/>
  <c r="AS80" i="88"/>
  <c r="AM124" i="86"/>
  <c r="AO85" i="86"/>
  <c r="AS85" i="86"/>
  <c r="K81" i="78"/>
  <c r="O81" i="78" s="1"/>
  <c r="M81" i="78" s="1"/>
  <c r="N82" i="78" s="1"/>
  <c r="W121" i="78"/>
  <c r="BL148" i="91"/>
  <c r="AU103" i="91"/>
  <c r="AY103" i="91" s="1"/>
  <c r="AW103" i="91" s="1"/>
  <c r="AT103" i="91" s="1"/>
  <c r="BG103" i="91"/>
  <c r="N108" i="105"/>
  <c r="P109" i="105"/>
  <c r="BD52" i="59"/>
  <c r="AP46" i="59"/>
  <c r="BG91" i="59"/>
  <c r="C33" i="105"/>
  <c r="E31" i="105"/>
  <c r="R43" i="66"/>
  <c r="P43" i="66" s="1"/>
  <c r="Q44" i="66" s="1"/>
  <c r="AM120" i="78"/>
  <c r="AO81" i="78"/>
  <c r="AV82" i="78"/>
  <c r="BL127" i="75"/>
  <c r="AU82" i="75"/>
  <c r="AY82" i="75" s="1"/>
  <c r="AW82" i="75" s="1"/>
  <c r="AT82" i="75" s="1"/>
  <c r="BG82" i="75"/>
  <c r="AA155" i="66"/>
  <c r="G155" i="66"/>
  <c r="F156" i="66"/>
  <c r="U155" i="66"/>
  <c r="BL131" i="86"/>
  <c r="AU86" i="86"/>
  <c r="AY86" i="86" s="1"/>
  <c r="AW86" i="86" s="1"/>
  <c r="AT86" i="86" s="1"/>
  <c r="BG86" i="86"/>
  <c r="A165" i="108"/>
  <c r="B164" i="108"/>
  <c r="N108" i="100"/>
  <c r="P109" i="100"/>
  <c r="W105" i="88"/>
  <c r="L70" i="88"/>
  <c r="P70" i="88" s="1"/>
  <c r="N70" i="88" s="1"/>
  <c r="M154" i="66"/>
  <c r="N154" i="66"/>
  <c r="L154" i="66"/>
  <c r="BG89" i="78"/>
  <c r="BE83" i="78"/>
  <c r="AS83" i="78"/>
  <c r="BJ128" i="78"/>
  <c r="E154" i="103"/>
  <c r="J153" i="103"/>
  <c r="F153" i="103"/>
  <c r="F102" i="108"/>
  <c r="G102" i="108"/>
  <c r="E102" i="108"/>
  <c r="AQ41" i="111"/>
  <c r="AW41" i="111" s="1"/>
  <c r="Q43" i="59"/>
  <c r="U90" i="59"/>
  <c r="C33" i="100"/>
  <c r="E31" i="100"/>
  <c r="L107" i="106"/>
  <c r="P107" i="106" s="1"/>
  <c r="N107" i="106" s="1"/>
  <c r="S107" i="106"/>
  <c r="W142" i="106"/>
  <c r="W123" i="86"/>
  <c r="L88" i="86"/>
  <c r="P88" i="86" s="1"/>
  <c r="N88" i="86" s="1"/>
  <c r="K88" i="86"/>
  <c r="S88" i="86"/>
  <c r="J96" i="91"/>
  <c r="BK96" i="91"/>
  <c r="X131" i="91"/>
  <c r="K97" i="91"/>
  <c r="W132" i="91"/>
  <c r="L97" i="91"/>
  <c r="P97" i="91" s="1"/>
  <c r="N97" i="91" s="1"/>
  <c r="S97" i="91"/>
  <c r="J80" i="78"/>
  <c r="AY82" i="78"/>
  <c r="AX82" i="78"/>
  <c r="AW82" i="78" s="1"/>
  <c r="AU82" i="78" s="1"/>
  <c r="AR82" i="78" s="1"/>
  <c r="BG81" i="88"/>
  <c r="BL126" i="88"/>
  <c r="AU81" i="88"/>
  <c r="AY81" i="88" s="1"/>
  <c r="AW81" i="88" s="1"/>
  <c r="AT81" i="88" s="1"/>
  <c r="R148" i="110"/>
  <c r="S147" i="110"/>
  <c r="BL66" i="109"/>
  <c r="J66" i="109"/>
  <c r="Y101" i="109"/>
  <c r="X102" i="109"/>
  <c r="K67" i="109"/>
  <c r="J67" i="109" s="1"/>
  <c r="BK77" i="75"/>
  <c r="X112" i="75"/>
  <c r="J77" i="75"/>
  <c r="S80" i="75"/>
  <c r="W115" i="75"/>
  <c r="L80" i="75"/>
  <c r="P80" i="75" s="1"/>
  <c r="N80" i="75" s="1"/>
  <c r="K78" i="75"/>
  <c r="BB88" i="111"/>
  <c r="AP42" i="111"/>
  <c r="AY42" i="111"/>
  <c r="J153" i="111"/>
  <c r="E154" i="111"/>
  <c r="F153" i="111"/>
  <c r="S44" i="111"/>
  <c r="H44" i="111"/>
  <c r="T85" i="111"/>
  <c r="X95" i="94"/>
  <c r="M60" i="94"/>
  <c r="S60" i="94" s="1"/>
  <c r="L60" i="94"/>
  <c r="P60" i="94" s="1"/>
  <c r="N60" i="94" s="1"/>
  <c r="AP42" i="110"/>
  <c r="BB88" i="110"/>
  <c r="AI83" i="110"/>
  <c r="AY42" i="110"/>
  <c r="AL41" i="110"/>
  <c r="AJ82" i="110"/>
  <c r="AT41" i="112"/>
  <c r="AR41" i="112" s="1"/>
  <c r="AS42" i="112" s="1"/>
  <c r="I44" i="112"/>
  <c r="J44" i="112" s="1"/>
  <c r="U84" i="112"/>
  <c r="P44" i="112"/>
  <c r="O44" i="112"/>
  <c r="N44" i="112" s="1"/>
  <c r="L44" i="112" s="1"/>
  <c r="J151" i="112"/>
  <c r="E152" i="112"/>
  <c r="F151" i="112"/>
  <c r="AO45" i="103"/>
  <c r="AQ45" i="103" s="1"/>
  <c r="AW45" i="103" s="1"/>
  <c r="AI87" i="103" s="1"/>
  <c r="BL65" i="94"/>
  <c r="Y100" i="94"/>
  <c r="J65" i="94"/>
  <c r="P38" i="61"/>
  <c r="T68" i="61"/>
  <c r="AO86" i="86" l="1"/>
  <c r="AS86" i="86"/>
  <c r="AM125" i="86"/>
  <c r="AO81" i="88"/>
  <c r="AM120" i="88"/>
  <c r="AS81" i="88"/>
  <c r="AM142" i="91"/>
  <c r="AO103" i="91"/>
  <c r="AS103" i="91"/>
  <c r="AO82" i="78"/>
  <c r="AM121" i="78"/>
  <c r="AO82" i="75"/>
  <c r="AS82" i="75"/>
  <c r="AM121" i="75"/>
  <c r="BI86" i="78"/>
  <c r="X120" i="78"/>
  <c r="W124" i="86"/>
  <c r="L89" i="86"/>
  <c r="P89" i="86" s="1"/>
  <c r="N89" i="86" s="1"/>
  <c r="K89" i="86" s="1"/>
  <c r="S89" i="86"/>
  <c r="C34" i="100"/>
  <c r="C35" i="100"/>
  <c r="E33" i="100"/>
  <c r="L81" i="78"/>
  <c r="R81" i="78" s="1"/>
  <c r="X123" i="86"/>
  <c r="J88" i="86"/>
  <c r="BK88" i="86"/>
  <c r="S44" i="59"/>
  <c r="J44" i="59"/>
  <c r="T91" i="59"/>
  <c r="E155" i="103"/>
  <c r="J154" i="103"/>
  <c r="F154" i="103"/>
  <c r="F157" i="66"/>
  <c r="AA156" i="66"/>
  <c r="G156" i="66"/>
  <c r="U156" i="66"/>
  <c r="B165" i="108"/>
  <c r="A166" i="108"/>
  <c r="M155" i="66"/>
  <c r="N155" i="66"/>
  <c r="L155" i="66"/>
  <c r="AU46" i="59"/>
  <c r="AT46" i="59" s="1"/>
  <c r="AR46" i="59" s="1"/>
  <c r="AV46" i="59"/>
  <c r="X132" i="91"/>
  <c r="BK97" i="91"/>
  <c r="J97" i="91"/>
  <c r="BL132" i="86"/>
  <c r="AT87" i="86"/>
  <c r="AU87" i="86"/>
  <c r="AY87" i="86" s="1"/>
  <c r="AW87" i="86" s="1"/>
  <c r="BG87" i="86"/>
  <c r="BB92" i="103"/>
  <c r="BG82" i="88"/>
  <c r="BL127" i="88"/>
  <c r="AU82" i="88"/>
  <c r="AY82" i="88" s="1"/>
  <c r="AW82" i="88" s="1"/>
  <c r="AT82" i="88" s="1"/>
  <c r="L108" i="106"/>
  <c r="V108" i="106"/>
  <c r="W143" i="106"/>
  <c r="BG90" i="78"/>
  <c r="BE84" i="78"/>
  <c r="BJ129" i="78"/>
  <c r="AS84" i="78"/>
  <c r="K70" i="88"/>
  <c r="M70" i="88" s="1"/>
  <c r="S70" i="88" s="1"/>
  <c r="H43" i="66"/>
  <c r="O43" i="66" s="1"/>
  <c r="N109" i="105"/>
  <c r="K108" i="105"/>
  <c r="J81" i="78"/>
  <c r="AJ86" i="103"/>
  <c r="AV83" i="78"/>
  <c r="D102" i="108"/>
  <c r="C103" i="108" s="1"/>
  <c r="BL128" i="75"/>
  <c r="AU83" i="75"/>
  <c r="AY83" i="75" s="1"/>
  <c r="AW83" i="75" s="1"/>
  <c r="AT83" i="75"/>
  <c r="BG83" i="75"/>
  <c r="BL149" i="91"/>
  <c r="AU104" i="91"/>
  <c r="AY104" i="91" s="1"/>
  <c r="AW104" i="91" s="1"/>
  <c r="AT104" i="91" s="1"/>
  <c r="BG104" i="91"/>
  <c r="L98" i="91"/>
  <c r="P98" i="91" s="1"/>
  <c r="N98" i="91" s="1"/>
  <c r="K98" i="91"/>
  <c r="W133" i="91"/>
  <c r="S98" i="91"/>
  <c r="N109" i="100"/>
  <c r="K108" i="100"/>
  <c r="G44" i="112"/>
  <c r="BA44" i="112" s="1"/>
  <c r="AX83" i="78"/>
  <c r="AY83" i="78"/>
  <c r="E33" i="105"/>
  <c r="C34" i="105"/>
  <c r="C35" i="105"/>
  <c r="R149" i="110"/>
  <c r="S148" i="110"/>
  <c r="M67" i="109"/>
  <c r="S67" i="109" s="1"/>
  <c r="X103" i="109" s="1"/>
  <c r="Y102" i="109"/>
  <c r="BL67" i="109"/>
  <c r="L81" i="75"/>
  <c r="P81" i="75" s="1"/>
  <c r="N81" i="75" s="1"/>
  <c r="S81" i="75"/>
  <c r="W116" i="75"/>
  <c r="BK78" i="75"/>
  <c r="X113" i="75"/>
  <c r="J78" i="75"/>
  <c r="K79" i="75"/>
  <c r="V85" i="111"/>
  <c r="U84" i="111"/>
  <c r="E155" i="111"/>
  <c r="J154" i="111"/>
  <c r="F154" i="111"/>
  <c r="AV42" i="111"/>
  <c r="AU42" i="111"/>
  <c r="AT42" i="111" s="1"/>
  <c r="I44" i="111"/>
  <c r="O44" i="111"/>
  <c r="P44" i="111"/>
  <c r="X96" i="94"/>
  <c r="M61" i="94"/>
  <c r="S61" i="94" s="1"/>
  <c r="L61" i="94"/>
  <c r="P61" i="94" s="1"/>
  <c r="N61" i="94" s="1"/>
  <c r="K64" i="94"/>
  <c r="AL45" i="103"/>
  <c r="AY46" i="103"/>
  <c r="AU46" i="103" s="1"/>
  <c r="AP46" i="103"/>
  <c r="AV42" i="110"/>
  <c r="AU42" i="110"/>
  <c r="AK83" i="110"/>
  <c r="AO41" i="112"/>
  <c r="AQ41" i="112" s="1"/>
  <c r="AW41" i="112" s="1"/>
  <c r="K44" i="112"/>
  <c r="Q44" i="112" s="1"/>
  <c r="M45" i="112"/>
  <c r="J152" i="112"/>
  <c r="E153" i="112"/>
  <c r="F152" i="112"/>
  <c r="AI83" i="111"/>
  <c r="AK83" i="111" s="1"/>
  <c r="AK87" i="103"/>
  <c r="AV46" i="103"/>
  <c r="S69" i="61"/>
  <c r="I39" i="61"/>
  <c r="R39" i="61"/>
  <c r="V43" i="66" l="1"/>
  <c r="Z43" i="66"/>
  <c r="AM121" i="88"/>
  <c r="AO82" i="88"/>
  <c r="AS82" i="88"/>
  <c r="W106" i="88"/>
  <c r="L71" i="88"/>
  <c r="P71" i="88" s="1"/>
  <c r="N71" i="88" s="1"/>
  <c r="K71" i="88" s="1"/>
  <c r="AS104" i="91"/>
  <c r="AO104" i="91"/>
  <c r="AM143" i="91"/>
  <c r="AO46" i="59"/>
  <c r="AQ46" i="59"/>
  <c r="BB46" i="59" s="1"/>
  <c r="BK89" i="86"/>
  <c r="X124" i="86"/>
  <c r="J89" i="86"/>
  <c r="BL150" i="91"/>
  <c r="AU105" i="91"/>
  <c r="AY105" i="91" s="1"/>
  <c r="AW105" i="91" s="1"/>
  <c r="AT105" i="91" s="1"/>
  <c r="BG105" i="91"/>
  <c r="AW84" i="78"/>
  <c r="AU84" i="78" s="1"/>
  <c r="AR84" i="78" s="1"/>
  <c r="AV84" i="78"/>
  <c r="M156" i="66"/>
  <c r="N156" i="66"/>
  <c r="L156" i="66"/>
  <c r="E35" i="100"/>
  <c r="C36" i="100"/>
  <c r="E36" i="100" s="1"/>
  <c r="X143" i="100"/>
  <c r="BK108" i="100"/>
  <c r="J108" i="100"/>
  <c r="J109" i="100" s="1"/>
  <c r="C30" i="100" s="1"/>
  <c r="K109" i="100"/>
  <c r="BK109" i="100" s="1"/>
  <c r="BK115" i="100" s="1"/>
  <c r="AW83" i="78"/>
  <c r="AU83" i="78" s="1"/>
  <c r="AR83" i="78" s="1"/>
  <c r="BI87" i="78"/>
  <c r="X121" i="78"/>
  <c r="BG91" i="78"/>
  <c r="BE85" i="78"/>
  <c r="BJ130" i="78"/>
  <c r="AS85" i="78"/>
  <c r="BL128" i="88"/>
  <c r="AU83" i="88"/>
  <c r="AY83" i="88" s="1"/>
  <c r="AW83" i="88" s="1"/>
  <c r="AT83" i="88" s="1"/>
  <c r="BG83" i="88"/>
  <c r="O44" i="59"/>
  <c r="N44" i="59" s="1"/>
  <c r="L44" i="59" s="1"/>
  <c r="P44" i="59"/>
  <c r="E103" i="108"/>
  <c r="F103" i="108"/>
  <c r="G103" i="108"/>
  <c r="D103" i="108" s="1"/>
  <c r="C104" i="108" s="1"/>
  <c r="C36" i="105"/>
  <c r="E36" i="105" s="1"/>
  <c r="E35" i="105"/>
  <c r="L99" i="91"/>
  <c r="P99" i="91" s="1"/>
  <c r="N99" i="91" s="1"/>
  <c r="K99" i="91" s="1"/>
  <c r="W134" i="91"/>
  <c r="S99" i="91"/>
  <c r="AU84" i="75"/>
  <c r="AY84" i="75" s="1"/>
  <c r="AW84" i="75" s="1"/>
  <c r="AT84" i="75" s="1"/>
  <c r="BL129" i="75"/>
  <c r="BG84" i="75"/>
  <c r="X143" i="105"/>
  <c r="BK108" i="105"/>
  <c r="J108" i="105"/>
  <c r="J109" i="105" s="1"/>
  <c r="C30" i="105" s="1"/>
  <c r="K109" i="105"/>
  <c r="BK109" i="105" s="1"/>
  <c r="BK115" i="105" s="1"/>
  <c r="U157" i="66"/>
  <c r="G157" i="66"/>
  <c r="AA157" i="66"/>
  <c r="F158" i="66"/>
  <c r="W125" i="86"/>
  <c r="L90" i="86"/>
  <c r="P90" i="86" s="1"/>
  <c r="N90" i="86" s="1"/>
  <c r="K90" i="86"/>
  <c r="S90" i="86"/>
  <c r="A167" i="108"/>
  <c r="B166" i="108"/>
  <c r="BK98" i="91"/>
  <c r="X133" i="91"/>
  <c r="J98" i="91"/>
  <c r="BL133" i="86"/>
  <c r="AU88" i="86"/>
  <c r="AY88" i="86" s="1"/>
  <c r="AW88" i="86" s="1"/>
  <c r="AT88" i="86"/>
  <c r="BG88" i="86"/>
  <c r="AS83" i="75"/>
  <c r="AO83" i="75"/>
  <c r="AM122" i="75"/>
  <c r="AY84" i="78"/>
  <c r="AX84" i="78"/>
  <c r="M108" i="106"/>
  <c r="M109" i="106" s="1"/>
  <c r="Q108" i="106"/>
  <c r="J108" i="106" s="1"/>
  <c r="S108" i="106"/>
  <c r="R108" i="106"/>
  <c r="R109" i="106" s="1"/>
  <c r="E156" i="103"/>
  <c r="J155" i="103"/>
  <c r="F155" i="103"/>
  <c r="J82" i="78"/>
  <c r="W122" i="78"/>
  <c r="K82" i="78"/>
  <c r="O82" i="78" s="1"/>
  <c r="M82" i="78" s="1"/>
  <c r="N83" i="78" s="1"/>
  <c r="X105" i="88"/>
  <c r="J70" i="88"/>
  <c r="BK70" i="88"/>
  <c r="L109" i="106"/>
  <c r="C21" i="106" s="1"/>
  <c r="AM126" i="86"/>
  <c r="AO87" i="86"/>
  <c r="AS87" i="86"/>
  <c r="AS47" i="59"/>
  <c r="L68" i="109"/>
  <c r="P68" i="109" s="1"/>
  <c r="N68" i="109" s="1"/>
  <c r="R150" i="110"/>
  <c r="S149" i="110"/>
  <c r="K68" i="109"/>
  <c r="T68" i="109" s="1"/>
  <c r="W68" i="109" s="1"/>
  <c r="L82" i="75"/>
  <c r="P82" i="75" s="1"/>
  <c r="N82" i="75" s="1"/>
  <c r="S82" i="75"/>
  <c r="W117" i="75"/>
  <c r="X114" i="75"/>
  <c r="BK79" i="75"/>
  <c r="J79" i="75"/>
  <c r="K80" i="75"/>
  <c r="AR42" i="111"/>
  <c r="AS43" i="111" s="1"/>
  <c r="N44" i="111"/>
  <c r="L44" i="111" s="1"/>
  <c r="E156" i="111"/>
  <c r="J155" i="111"/>
  <c r="F155" i="111"/>
  <c r="X97" i="94"/>
  <c r="L62" i="94"/>
  <c r="P62" i="94" s="1"/>
  <c r="N62" i="94" s="1"/>
  <c r="M62" i="94"/>
  <c r="S62" i="94" s="1"/>
  <c r="BL64" i="94"/>
  <c r="J64" i="94"/>
  <c r="Y99" i="94"/>
  <c r="AT46" i="103"/>
  <c r="AR46" i="103" s="1"/>
  <c r="AO46" i="103" s="1"/>
  <c r="AL46" i="103" s="1"/>
  <c r="AT42" i="110"/>
  <c r="AR42" i="110" s="1"/>
  <c r="AS43" i="110" s="1"/>
  <c r="BB88" i="112"/>
  <c r="AY42" i="112"/>
  <c r="AI83" i="112"/>
  <c r="AP42" i="112"/>
  <c r="AL41" i="112"/>
  <c r="AJ82" i="112"/>
  <c r="S45" i="112"/>
  <c r="T86" i="112"/>
  <c r="H45" i="112"/>
  <c r="J153" i="112"/>
  <c r="E154" i="112"/>
  <c r="F153" i="112"/>
  <c r="N39" i="61"/>
  <c r="M39" i="61" s="1"/>
  <c r="K39" i="61" s="1"/>
  <c r="O39" i="61"/>
  <c r="I44" i="59" l="1"/>
  <c r="BF50" i="59" s="1"/>
  <c r="K44" i="59"/>
  <c r="BK71" i="88"/>
  <c r="J71" i="88"/>
  <c r="X106" i="88"/>
  <c r="AO83" i="88"/>
  <c r="AM122" i="88"/>
  <c r="AS83" i="88"/>
  <c r="J99" i="91"/>
  <c r="X134" i="91"/>
  <c r="BK99" i="91"/>
  <c r="F104" i="108"/>
  <c r="E104" i="108"/>
  <c r="G104" i="108"/>
  <c r="AS84" i="75"/>
  <c r="AO84" i="75"/>
  <c r="AM123" i="75"/>
  <c r="AS105" i="91"/>
  <c r="AO105" i="91"/>
  <c r="AM144" i="91"/>
  <c r="AS88" i="86"/>
  <c r="AO88" i="86"/>
  <c r="AM127" i="86"/>
  <c r="AM123" i="78"/>
  <c r="AO84" i="78"/>
  <c r="U158" i="66"/>
  <c r="AA158" i="66"/>
  <c r="G158" i="66"/>
  <c r="F159" i="66"/>
  <c r="BL134" i="86"/>
  <c r="AU89" i="86"/>
  <c r="AY89" i="86" s="1"/>
  <c r="AW89" i="86" s="1"/>
  <c r="AT89" i="86" s="1"/>
  <c r="BG89" i="86"/>
  <c r="A168" i="108"/>
  <c r="B167" i="108"/>
  <c r="N157" i="66"/>
  <c r="L157" i="66"/>
  <c r="M157" i="66"/>
  <c r="BG84" i="88"/>
  <c r="BL129" i="88"/>
  <c r="AU84" i="88"/>
  <c r="AY84" i="88" s="1"/>
  <c r="AW84" i="88" s="1"/>
  <c r="AT84" i="88" s="1"/>
  <c r="AX85" i="78"/>
  <c r="AY85" i="78"/>
  <c r="X144" i="100"/>
  <c r="Y144" i="100"/>
  <c r="L100" i="91"/>
  <c r="P100" i="91" s="1"/>
  <c r="N100" i="91" s="1"/>
  <c r="K100" i="91" s="1"/>
  <c r="W135" i="91"/>
  <c r="S100" i="91"/>
  <c r="BL151" i="91"/>
  <c r="AU106" i="91"/>
  <c r="AY106" i="91" s="1"/>
  <c r="AW106" i="91" s="1"/>
  <c r="AT106" i="91" s="1"/>
  <c r="BG106" i="91"/>
  <c r="AJ85" i="59"/>
  <c r="AL46" i="59"/>
  <c r="M71" i="88"/>
  <c r="S71" i="88" s="1"/>
  <c r="BK90" i="86"/>
  <c r="X125" i="86"/>
  <c r="J90" i="86"/>
  <c r="P108" i="106"/>
  <c r="N108" i="106" s="1"/>
  <c r="L82" i="78"/>
  <c r="R82" i="78" s="1"/>
  <c r="AV85" i="78"/>
  <c r="L91" i="86"/>
  <c r="P91" i="86" s="1"/>
  <c r="N91" i="86" s="1"/>
  <c r="K91" i="86"/>
  <c r="W126" i="86"/>
  <c r="S91" i="86"/>
  <c r="AW85" i="78"/>
  <c r="AU85" i="78" s="1"/>
  <c r="AR85" i="78" s="1"/>
  <c r="C24" i="106"/>
  <c r="E21" i="106"/>
  <c r="X144" i="105"/>
  <c r="Y144" i="105"/>
  <c r="AO83" i="78"/>
  <c r="AM122" i="78"/>
  <c r="X122" i="78"/>
  <c r="BI88" i="78"/>
  <c r="BD53" i="59"/>
  <c r="BG92" i="59"/>
  <c r="AP47" i="59"/>
  <c r="E157" i="103"/>
  <c r="J156" i="103"/>
  <c r="F156" i="103"/>
  <c r="BL130" i="75"/>
  <c r="AU85" i="75"/>
  <c r="AY85" i="75" s="1"/>
  <c r="AW85" i="75" s="1"/>
  <c r="AT85" i="75" s="1"/>
  <c r="BG85" i="75"/>
  <c r="M45" i="59"/>
  <c r="BG92" i="78"/>
  <c r="BE86" i="78"/>
  <c r="BJ131" i="78"/>
  <c r="AS86" i="78"/>
  <c r="K44" i="66"/>
  <c r="J44" i="66"/>
  <c r="I44" i="66" s="1"/>
  <c r="X44" i="66"/>
  <c r="M68" i="109"/>
  <c r="S68" i="109" s="1"/>
  <c r="R151" i="110"/>
  <c r="S150" i="110"/>
  <c r="Y103" i="109"/>
  <c r="J68" i="109"/>
  <c r="BL68" i="109"/>
  <c r="L83" i="75"/>
  <c r="P83" i="75" s="1"/>
  <c r="N83" i="75" s="1"/>
  <c r="W118" i="75"/>
  <c r="S83" i="75"/>
  <c r="BK80" i="75"/>
  <c r="J80" i="75"/>
  <c r="X115" i="75"/>
  <c r="K81" i="75"/>
  <c r="G44" i="111"/>
  <c r="K44" i="111" s="1"/>
  <c r="Q44" i="111" s="1"/>
  <c r="J156" i="111"/>
  <c r="E157" i="111"/>
  <c r="F156" i="111"/>
  <c r="M45" i="111"/>
  <c r="AO42" i="111"/>
  <c r="AL42" i="111" s="1"/>
  <c r="L63" i="94"/>
  <c r="P63" i="94" s="1"/>
  <c r="N63" i="94" s="1"/>
  <c r="M63" i="94"/>
  <c r="S63" i="94" s="1"/>
  <c r="X98" i="94"/>
  <c r="AO42" i="110"/>
  <c r="AQ42" i="110" s="1"/>
  <c r="AW42" i="110" s="1"/>
  <c r="AK83" i="112"/>
  <c r="AU42" i="112"/>
  <c r="AV42" i="112"/>
  <c r="I45" i="112"/>
  <c r="V86" i="112"/>
  <c r="P45" i="112"/>
  <c r="O45" i="112"/>
  <c r="J154" i="112"/>
  <c r="E155" i="112"/>
  <c r="F154" i="112"/>
  <c r="AJ87" i="103"/>
  <c r="AS47" i="103"/>
  <c r="AQ46" i="103"/>
  <c r="AW46" i="103" s="1"/>
  <c r="AY47" i="103" s="1"/>
  <c r="H39" i="61"/>
  <c r="J39" i="61" s="1"/>
  <c r="L40" i="61"/>
  <c r="AM123" i="88" l="1"/>
  <c r="AS84" i="88"/>
  <c r="AO84" i="88"/>
  <c r="AS89" i="86"/>
  <c r="AM128" i="86"/>
  <c r="AO89" i="86"/>
  <c r="AM124" i="75"/>
  <c r="AS85" i="75"/>
  <c r="AO85" i="75"/>
  <c r="X135" i="91"/>
  <c r="BK100" i="91"/>
  <c r="J100" i="91"/>
  <c r="AM145" i="91"/>
  <c r="AO106" i="91"/>
  <c r="AS106" i="91"/>
  <c r="L69" i="109"/>
  <c r="P69" i="109" s="1"/>
  <c r="N69" i="109" s="1"/>
  <c r="X104" i="109"/>
  <c r="AM124" i="78"/>
  <c r="AO85" i="78"/>
  <c r="AA159" i="66"/>
  <c r="U159" i="66"/>
  <c r="G159" i="66"/>
  <c r="F160" i="66"/>
  <c r="D104" i="108"/>
  <c r="C105" i="108" s="1"/>
  <c r="L83" i="78"/>
  <c r="R83" i="78" s="1"/>
  <c r="W123" i="78"/>
  <c r="K83" i="78"/>
  <c r="O83" i="78" s="1"/>
  <c r="M83" i="78" s="1"/>
  <c r="N84" i="78" s="1"/>
  <c r="T44" i="66"/>
  <c r="S44" i="66"/>
  <c r="BG93" i="78"/>
  <c r="BE87" i="78"/>
  <c r="BJ132" i="78"/>
  <c r="AS87" i="78"/>
  <c r="L92" i="86"/>
  <c r="P92" i="86" s="1"/>
  <c r="N92" i="86" s="1"/>
  <c r="K92" i="86" s="1"/>
  <c r="W127" i="86"/>
  <c r="S92" i="86"/>
  <c r="AV86" i="78"/>
  <c r="M158" i="66"/>
  <c r="L158" i="66"/>
  <c r="N158" i="66"/>
  <c r="AY86" i="78"/>
  <c r="AX86" i="78"/>
  <c r="E158" i="103"/>
  <c r="J157" i="103"/>
  <c r="F157" i="103"/>
  <c r="L101" i="91"/>
  <c r="P101" i="91" s="1"/>
  <c r="N101" i="91" s="1"/>
  <c r="K101" i="91" s="1"/>
  <c r="W136" i="91"/>
  <c r="S101" i="91"/>
  <c r="B168" i="108"/>
  <c r="A169" i="108"/>
  <c r="J91" i="86"/>
  <c r="BK91" i="86"/>
  <c r="X126" i="86"/>
  <c r="W107" i="88"/>
  <c r="L72" i="88"/>
  <c r="P72" i="88" s="1"/>
  <c r="N72" i="88" s="1"/>
  <c r="M72" i="88" s="1"/>
  <c r="S72" i="88" s="1"/>
  <c r="BL135" i="86"/>
  <c r="AU90" i="86"/>
  <c r="AY90" i="86" s="1"/>
  <c r="AW90" i="86" s="1"/>
  <c r="AT90" i="86" s="1"/>
  <c r="BG90" i="86"/>
  <c r="AU47" i="59"/>
  <c r="AV47" i="59"/>
  <c r="AU107" i="91"/>
  <c r="AY107" i="91" s="1"/>
  <c r="AW107" i="91" s="1"/>
  <c r="AT107" i="91"/>
  <c r="BL152" i="91"/>
  <c r="BG107" i="91"/>
  <c r="AU86" i="75"/>
  <c r="AY86" i="75" s="1"/>
  <c r="AW86" i="75" s="1"/>
  <c r="AT86" i="75"/>
  <c r="BL131" i="75"/>
  <c r="BG86" i="75"/>
  <c r="AT47" i="59"/>
  <c r="AR47" i="59" s="1"/>
  <c r="AO47" i="59" s="1"/>
  <c r="AU85" i="88"/>
  <c r="AY85" i="88" s="1"/>
  <c r="AW85" i="88" s="1"/>
  <c r="AT85" i="88" s="1"/>
  <c r="BL130" i="88"/>
  <c r="BG85" i="88"/>
  <c r="Q44" i="59"/>
  <c r="U91" i="59"/>
  <c r="AW86" i="78"/>
  <c r="AU86" i="78" s="1"/>
  <c r="AR86" i="78" s="1"/>
  <c r="C26" i="106"/>
  <c r="C25" i="106"/>
  <c r="E24" i="106"/>
  <c r="R152" i="110"/>
  <c r="S151" i="110"/>
  <c r="K69" i="109"/>
  <c r="BL69" i="109" s="1"/>
  <c r="J81" i="75"/>
  <c r="X116" i="75"/>
  <c r="BK81" i="75"/>
  <c r="S84" i="75"/>
  <c r="W119" i="75"/>
  <c r="L84" i="75"/>
  <c r="P84" i="75" s="1"/>
  <c r="N84" i="75" s="1"/>
  <c r="K82" i="75"/>
  <c r="S45" i="111"/>
  <c r="H45" i="111"/>
  <c r="T86" i="111"/>
  <c r="V86" i="111" s="1"/>
  <c r="AQ42" i="111"/>
  <c r="AW42" i="111" s="1"/>
  <c r="J157" i="111"/>
  <c r="E158" i="111"/>
  <c r="F157" i="111"/>
  <c r="BA44" i="111"/>
  <c r="L64" i="94"/>
  <c r="P64" i="94" s="1"/>
  <c r="N64" i="94" s="1"/>
  <c r="M64" i="94"/>
  <c r="S64" i="94" s="1"/>
  <c r="X99" i="94"/>
  <c r="AY43" i="110"/>
  <c r="AI84" i="110"/>
  <c r="AP43" i="110"/>
  <c r="BB89" i="110"/>
  <c r="AL42" i="110"/>
  <c r="AJ83" i="110"/>
  <c r="AT42" i="112"/>
  <c r="AR42" i="112" s="1"/>
  <c r="AS43" i="112" s="1"/>
  <c r="N45" i="112"/>
  <c r="L45" i="112" s="1"/>
  <c r="G45" i="112" s="1"/>
  <c r="J155" i="112"/>
  <c r="E156" i="112"/>
  <c r="F155" i="112"/>
  <c r="K67" i="94"/>
  <c r="AJ83" i="111"/>
  <c r="BB93" i="103"/>
  <c r="AI88" i="103"/>
  <c r="AK88" i="103" s="1"/>
  <c r="AP47" i="103"/>
  <c r="AV47" i="103"/>
  <c r="AU47" i="103"/>
  <c r="P39" i="61"/>
  <c r="T69" i="61"/>
  <c r="M73" i="88" l="1"/>
  <c r="S73" i="88"/>
  <c r="W108" i="88"/>
  <c r="L73" i="88"/>
  <c r="P73" i="88" s="1"/>
  <c r="N73" i="88" s="1"/>
  <c r="BK101" i="91"/>
  <c r="X136" i="91"/>
  <c r="J101" i="91"/>
  <c r="AS85" i="88"/>
  <c r="AO85" i="88"/>
  <c r="AM124" i="88"/>
  <c r="X127" i="86"/>
  <c r="J92" i="86"/>
  <c r="BK92" i="86"/>
  <c r="AS90" i="86"/>
  <c r="AM129" i="86"/>
  <c r="AO90" i="86"/>
  <c r="W124" i="78"/>
  <c r="K84" i="78"/>
  <c r="O84" i="78" s="1"/>
  <c r="M84" i="78" s="1"/>
  <c r="N85" i="78" s="1"/>
  <c r="A170" i="108"/>
  <c r="B169" i="108"/>
  <c r="E159" i="103"/>
  <c r="J158" i="103"/>
  <c r="F158" i="103"/>
  <c r="AZ108" i="103" s="1"/>
  <c r="BG86" i="88"/>
  <c r="AU86" i="88"/>
  <c r="AY86" i="88" s="1"/>
  <c r="AW86" i="88" s="1"/>
  <c r="AT86" i="88"/>
  <c r="BL131" i="88"/>
  <c r="AV87" i="78"/>
  <c r="G160" i="66"/>
  <c r="U160" i="66"/>
  <c r="AA160" i="66"/>
  <c r="F161" i="66"/>
  <c r="R44" i="66"/>
  <c r="P44" i="66" s="1"/>
  <c r="AS48" i="59"/>
  <c r="W137" i="91"/>
  <c r="L102" i="91"/>
  <c r="P102" i="91" s="1"/>
  <c r="N102" i="91" s="1"/>
  <c r="K102" i="91" s="1"/>
  <c r="S102" i="91"/>
  <c r="J83" i="78"/>
  <c r="M159" i="66"/>
  <c r="L159" i="66"/>
  <c r="N159" i="66"/>
  <c r="C27" i="106"/>
  <c r="E27" i="106" s="1"/>
  <c r="E26" i="106"/>
  <c r="AQ47" i="59"/>
  <c r="BB47" i="59" s="1"/>
  <c r="AU108" i="91"/>
  <c r="BL153" i="91"/>
  <c r="BG108" i="91"/>
  <c r="AU91" i="86"/>
  <c r="AY91" i="86" s="1"/>
  <c r="AW91" i="86" s="1"/>
  <c r="AT91" i="86" s="1"/>
  <c r="BL136" i="86"/>
  <c r="BG91" i="86"/>
  <c r="AO86" i="78"/>
  <c r="AM125" i="78"/>
  <c r="BL132" i="75"/>
  <c r="AU87" i="75"/>
  <c r="AY87" i="75" s="1"/>
  <c r="AW87" i="75" s="1"/>
  <c r="AT87" i="75" s="1"/>
  <c r="BG87" i="75"/>
  <c r="AS107" i="91"/>
  <c r="AM146" i="91"/>
  <c r="AO107" i="91"/>
  <c r="BG94" i="78"/>
  <c r="BE88" i="78"/>
  <c r="BJ133" i="78"/>
  <c r="AS88" i="78"/>
  <c r="AL47" i="59"/>
  <c r="AJ86" i="59"/>
  <c r="L93" i="86"/>
  <c r="P93" i="86" s="1"/>
  <c r="N93" i="86" s="1"/>
  <c r="K93" i="86" s="1"/>
  <c r="W128" i="86"/>
  <c r="S93" i="86"/>
  <c r="AX87" i="78"/>
  <c r="AW87" i="78" s="1"/>
  <c r="AU87" i="78" s="1"/>
  <c r="AR87" i="78" s="1"/>
  <c r="AY87" i="78"/>
  <c r="F105" i="108"/>
  <c r="E105" i="108"/>
  <c r="G105" i="108"/>
  <c r="S45" i="59"/>
  <c r="J45" i="59"/>
  <c r="T92" i="59"/>
  <c r="AS86" i="75"/>
  <c r="AO86" i="75"/>
  <c r="AM125" i="75"/>
  <c r="R153" i="110"/>
  <c r="S152" i="110"/>
  <c r="J69" i="109"/>
  <c r="M69" i="109"/>
  <c r="S69" i="109" s="1"/>
  <c r="L70" i="109" s="1"/>
  <c r="Y104" i="109"/>
  <c r="BK82" i="75"/>
  <c r="X117" i="75"/>
  <c r="J82" i="75"/>
  <c r="K83" i="75"/>
  <c r="K84" i="75" s="1"/>
  <c r="L85" i="75"/>
  <c r="P85" i="75" s="1"/>
  <c r="N85" i="75" s="1"/>
  <c r="K85" i="75" s="1"/>
  <c r="W120" i="75"/>
  <c r="S85" i="75"/>
  <c r="U85" i="111"/>
  <c r="I45" i="111"/>
  <c r="E159" i="111"/>
  <c r="J158" i="111"/>
  <c r="F158" i="111"/>
  <c r="AZ108" i="111" s="1"/>
  <c r="BB89" i="111"/>
  <c r="AP43" i="111"/>
  <c r="AY43" i="111"/>
  <c r="AI84" i="111"/>
  <c r="AK84" i="111" s="1"/>
  <c r="O45" i="111"/>
  <c r="P45" i="111"/>
  <c r="M65" i="94"/>
  <c r="S65" i="94" s="1"/>
  <c r="X100" i="94"/>
  <c r="L65" i="94"/>
  <c r="P65" i="94" s="1"/>
  <c r="N65" i="94" s="1"/>
  <c r="AK84" i="110"/>
  <c r="AV43" i="110"/>
  <c r="AU43" i="110"/>
  <c r="AO42" i="112"/>
  <c r="AQ42" i="112" s="1"/>
  <c r="AW42" i="112" s="1"/>
  <c r="M46" i="112"/>
  <c r="K45" i="112"/>
  <c r="Q45" i="112" s="1"/>
  <c r="BA45" i="112"/>
  <c r="J156" i="112"/>
  <c r="E157" i="112"/>
  <c r="F156" i="112"/>
  <c r="BL67" i="94"/>
  <c r="J67" i="94"/>
  <c r="Y102" i="94"/>
  <c r="AT47" i="103"/>
  <c r="AR47" i="103" s="1"/>
  <c r="AO47" i="103" s="1"/>
  <c r="AL47" i="103" s="1"/>
  <c r="I40" i="61"/>
  <c r="S70" i="61"/>
  <c r="R40" i="61"/>
  <c r="AO91" i="86" l="1"/>
  <c r="AM130" i="86"/>
  <c r="AS91" i="86"/>
  <c r="AS87" i="75"/>
  <c r="AO87" i="75"/>
  <c r="AM126" i="75"/>
  <c r="K73" i="88"/>
  <c r="BK102" i="91"/>
  <c r="X137" i="91"/>
  <c r="J102" i="91"/>
  <c r="AO87" i="78"/>
  <c r="AM126" i="78"/>
  <c r="X128" i="86"/>
  <c r="BK93" i="86"/>
  <c r="J93" i="86"/>
  <c r="D105" i="108"/>
  <c r="C106" i="108" s="1"/>
  <c r="AX88" i="78"/>
  <c r="AY88" i="78"/>
  <c r="AM125" i="88"/>
  <c r="AS86" i="88"/>
  <c r="AO86" i="88"/>
  <c r="AY108" i="91"/>
  <c r="AW108" i="91" s="1"/>
  <c r="AU109" i="91"/>
  <c r="D29" i="91" s="1"/>
  <c r="D32" i="91" s="1"/>
  <c r="X123" i="78"/>
  <c r="BI89" i="78"/>
  <c r="U161" i="66"/>
  <c r="F162" i="66"/>
  <c r="AA161" i="66"/>
  <c r="G161" i="66"/>
  <c r="J84" i="78"/>
  <c r="H44" i="66"/>
  <c r="O44" i="66" s="1"/>
  <c r="B170" i="108"/>
  <c r="A171" i="108"/>
  <c r="AU92" i="86"/>
  <c r="AY92" i="86" s="1"/>
  <c r="AW92" i="86" s="1"/>
  <c r="BL137" i="86"/>
  <c r="AT92" i="86"/>
  <c r="BG92" i="86"/>
  <c r="W138" i="91"/>
  <c r="L103" i="91"/>
  <c r="P103" i="91" s="1"/>
  <c r="N103" i="91" s="1"/>
  <c r="K103" i="91" s="1"/>
  <c r="S103" i="91"/>
  <c r="BG87" i="88"/>
  <c r="BL132" i="88"/>
  <c r="AU87" i="88"/>
  <c r="AY87" i="88" s="1"/>
  <c r="AW87" i="88" s="1"/>
  <c r="AT87" i="88" s="1"/>
  <c r="AW88" i="78"/>
  <c r="AU88" i="78" s="1"/>
  <c r="AR88" i="78" s="1"/>
  <c r="BL133" i="75"/>
  <c r="AU88" i="75"/>
  <c r="AY88" i="75" s="1"/>
  <c r="AW88" i="75" s="1"/>
  <c r="AT88" i="75" s="1"/>
  <c r="BG88" i="75"/>
  <c r="BD54" i="59"/>
  <c r="BG93" i="59"/>
  <c r="AP48" i="59"/>
  <c r="Q45" i="66"/>
  <c r="AV88" i="78"/>
  <c r="L84" i="78"/>
  <c r="R84" i="78" s="1"/>
  <c r="L94" i="86"/>
  <c r="P94" i="86" s="1"/>
  <c r="N94" i="86" s="1"/>
  <c r="K94" i="86" s="1"/>
  <c r="W129" i="86"/>
  <c r="S94" i="86"/>
  <c r="BG95" i="78"/>
  <c r="BE89" i="78"/>
  <c r="AS89" i="78"/>
  <c r="BJ134" i="78"/>
  <c r="N160" i="66"/>
  <c r="M160" i="66"/>
  <c r="L160" i="66"/>
  <c r="M74" i="88"/>
  <c r="S74" i="88" s="1"/>
  <c r="W109" i="88"/>
  <c r="L74" i="88"/>
  <c r="P74" i="88" s="1"/>
  <c r="N74" i="88" s="1"/>
  <c r="K74" i="88" s="1"/>
  <c r="O45" i="59"/>
  <c r="N45" i="59" s="1"/>
  <c r="L45" i="59" s="1"/>
  <c r="P45" i="59"/>
  <c r="K72" i="88"/>
  <c r="J159" i="103"/>
  <c r="F159" i="103"/>
  <c r="AZ109" i="103" s="1"/>
  <c r="R154" i="110"/>
  <c r="S153" i="110"/>
  <c r="X105" i="109"/>
  <c r="J85" i="75"/>
  <c r="BK85" i="75"/>
  <c r="X120" i="75"/>
  <c r="J84" i="75"/>
  <c r="X119" i="75"/>
  <c r="BK84" i="75"/>
  <c r="W121" i="75"/>
  <c r="L86" i="75"/>
  <c r="P86" i="75" s="1"/>
  <c r="N86" i="75" s="1"/>
  <c r="K86" i="75" s="1"/>
  <c r="S86" i="75"/>
  <c r="J83" i="75"/>
  <c r="X118" i="75"/>
  <c r="BK83" i="75"/>
  <c r="AU43" i="111"/>
  <c r="AV43" i="111"/>
  <c r="J159" i="111"/>
  <c r="F159" i="111"/>
  <c r="AZ109" i="111" s="1"/>
  <c r="N45" i="111"/>
  <c r="L45" i="111" s="1"/>
  <c r="X101" i="94"/>
  <c r="L66" i="94"/>
  <c r="M66" i="94"/>
  <c r="S66" i="94" s="1"/>
  <c r="AT43" i="110"/>
  <c r="AR43" i="110" s="1"/>
  <c r="AS44" i="110" s="1"/>
  <c r="BB89" i="112"/>
  <c r="AY43" i="112"/>
  <c r="AI84" i="112"/>
  <c r="AP43" i="112"/>
  <c r="AL42" i="112"/>
  <c r="AJ83" i="112"/>
  <c r="H46" i="112"/>
  <c r="I46" i="112" s="1"/>
  <c r="T87" i="112"/>
  <c r="S46" i="112"/>
  <c r="E158" i="112"/>
  <c r="J157" i="112"/>
  <c r="F157" i="112"/>
  <c r="AQ47" i="103"/>
  <c r="AW47" i="103" s="1"/>
  <c r="AY48" i="103" s="1"/>
  <c r="AS48" i="103"/>
  <c r="O40" i="61"/>
  <c r="N40" i="61"/>
  <c r="M40" i="61" s="1"/>
  <c r="K40" i="61" s="1"/>
  <c r="S75" i="88" l="1"/>
  <c r="W110" i="88"/>
  <c r="L75" i="88"/>
  <c r="P75" i="88" s="1"/>
  <c r="N75" i="88" s="1"/>
  <c r="K75" i="88" s="1"/>
  <c r="AM127" i="75"/>
  <c r="AO88" i="75"/>
  <c r="AS88" i="75"/>
  <c r="J94" i="86"/>
  <c r="X129" i="86"/>
  <c r="BK94" i="86"/>
  <c r="AS87" i="88"/>
  <c r="AM126" i="88"/>
  <c r="AO87" i="88"/>
  <c r="V44" i="66"/>
  <c r="Z44" i="66"/>
  <c r="BK74" i="88"/>
  <c r="X109" i="88"/>
  <c r="J74" i="88"/>
  <c r="X138" i="91"/>
  <c r="J103" i="91"/>
  <c r="BK103" i="91"/>
  <c r="I45" i="59"/>
  <c r="BF51" i="59" s="1"/>
  <c r="K45" i="59"/>
  <c r="BL138" i="86"/>
  <c r="AU93" i="86"/>
  <c r="AY93" i="86" s="1"/>
  <c r="AW93" i="86" s="1"/>
  <c r="AT93" i="86" s="1"/>
  <c r="BG93" i="86"/>
  <c r="X124" i="78"/>
  <c r="BI90" i="78"/>
  <c r="D50" i="91"/>
  <c r="E106" i="108"/>
  <c r="F106" i="108"/>
  <c r="G106" i="108"/>
  <c r="D106" i="108" s="1"/>
  <c r="C107" i="108" s="1"/>
  <c r="AV48" i="59"/>
  <c r="AU48" i="59"/>
  <c r="W125" i="78"/>
  <c r="J85" i="78"/>
  <c r="K85" i="78"/>
  <c r="O85" i="78" s="1"/>
  <c r="M85" i="78" s="1"/>
  <c r="N86" i="78" s="1"/>
  <c r="N161" i="66"/>
  <c r="M161" i="66"/>
  <c r="L161" i="66"/>
  <c r="BL134" i="75"/>
  <c r="AU89" i="75"/>
  <c r="AY89" i="75" s="1"/>
  <c r="AW89" i="75" s="1"/>
  <c r="AT89" i="75" s="1"/>
  <c r="BG89" i="75"/>
  <c r="BL133" i="88"/>
  <c r="AU88" i="88"/>
  <c r="AY88" i="88" s="1"/>
  <c r="AW88" i="88" s="1"/>
  <c r="AT88" i="88" s="1"/>
  <c r="BG88" i="88"/>
  <c r="U162" i="66"/>
  <c r="AA162" i="66"/>
  <c r="F163" i="66"/>
  <c r="G162" i="66"/>
  <c r="AW109" i="91"/>
  <c r="AT108" i="91"/>
  <c r="BK73" i="88"/>
  <c r="X108" i="88"/>
  <c r="J73" i="88"/>
  <c r="BK72" i="88"/>
  <c r="X107" i="88"/>
  <c r="J72" i="88"/>
  <c r="BG96" i="78"/>
  <c r="BE90" i="78"/>
  <c r="AS90" i="78"/>
  <c r="BJ135" i="78"/>
  <c r="W139" i="91"/>
  <c r="L104" i="91"/>
  <c r="P104" i="91" s="1"/>
  <c r="N104" i="91" s="1"/>
  <c r="K104" i="91" s="1"/>
  <c r="S104" i="91"/>
  <c r="A172" i="108"/>
  <c r="B171" i="108"/>
  <c r="AX89" i="78"/>
  <c r="AW89" i="78" s="1"/>
  <c r="AU89" i="78" s="1"/>
  <c r="AR89" i="78" s="1"/>
  <c r="AY89" i="78"/>
  <c r="AS92" i="86"/>
  <c r="AM131" i="86"/>
  <c r="AO92" i="86"/>
  <c r="L95" i="86"/>
  <c r="P95" i="86" s="1"/>
  <c r="N95" i="86" s="1"/>
  <c r="K95" i="86" s="1"/>
  <c r="W130" i="86"/>
  <c r="S95" i="86"/>
  <c r="M46" i="59"/>
  <c r="AT48" i="59"/>
  <c r="AR48" i="59" s="1"/>
  <c r="AO48" i="59" s="1"/>
  <c r="AM127" i="78"/>
  <c r="AO88" i="78"/>
  <c r="AV89" i="78"/>
  <c r="R155" i="110"/>
  <c r="S154" i="110"/>
  <c r="P70" i="109"/>
  <c r="N70" i="109" s="1"/>
  <c r="K70" i="109"/>
  <c r="X121" i="75"/>
  <c r="J86" i="75"/>
  <c r="BK86" i="75"/>
  <c r="L87" i="75"/>
  <c r="P87" i="75" s="1"/>
  <c r="N87" i="75" s="1"/>
  <c r="K87" i="75" s="1"/>
  <c r="W122" i="75"/>
  <c r="S87" i="75"/>
  <c r="AT43" i="111"/>
  <c r="AR43" i="111" s="1"/>
  <c r="G45" i="111"/>
  <c r="K45" i="111" s="1"/>
  <c r="Q45" i="111" s="1"/>
  <c r="M46" i="111"/>
  <c r="K66" i="94"/>
  <c r="P66" i="94"/>
  <c r="N66" i="94" s="1"/>
  <c r="L67" i="94"/>
  <c r="P67" i="94" s="1"/>
  <c r="N67" i="94" s="1"/>
  <c r="X102" i="94"/>
  <c r="M67" i="94"/>
  <c r="S67" i="94" s="1"/>
  <c r="AK84" i="112"/>
  <c r="AU43" i="112"/>
  <c r="AV43" i="112"/>
  <c r="V87" i="112"/>
  <c r="P46" i="112"/>
  <c r="O46" i="112"/>
  <c r="E159" i="112"/>
  <c r="J158" i="112"/>
  <c r="F158" i="112"/>
  <c r="AZ108" i="112" s="1"/>
  <c r="K68" i="94"/>
  <c r="AP48" i="103"/>
  <c r="AU48" i="103"/>
  <c r="AV48" i="103"/>
  <c r="H40" i="61"/>
  <c r="J40" i="61" s="1"/>
  <c r="L41" i="61"/>
  <c r="AO93" i="86" l="1"/>
  <c r="AM132" i="86"/>
  <c r="AS93" i="86"/>
  <c r="J95" i="86"/>
  <c r="X130" i="86"/>
  <c r="BK95" i="86"/>
  <c r="G107" i="108"/>
  <c r="D107" i="108" s="1"/>
  <c r="C108" i="108" s="1"/>
  <c r="E107" i="108"/>
  <c r="F107" i="108"/>
  <c r="AS88" i="88"/>
  <c r="AM127" i="88"/>
  <c r="AO88" i="88"/>
  <c r="J75" i="88"/>
  <c r="X110" i="88"/>
  <c r="BK75" i="88"/>
  <c r="BK104" i="91"/>
  <c r="X139" i="91"/>
  <c r="J104" i="91"/>
  <c r="AM128" i="78"/>
  <c r="AO89" i="78"/>
  <c r="AM128" i="75"/>
  <c r="AO89" i="75"/>
  <c r="AS89" i="75"/>
  <c r="BG97" i="78"/>
  <c r="BE91" i="78"/>
  <c r="BJ136" i="78"/>
  <c r="AS91" i="78"/>
  <c r="AU89" i="88"/>
  <c r="AY89" i="88" s="1"/>
  <c r="AW89" i="88" s="1"/>
  <c r="AT89" i="88"/>
  <c r="BL134" i="88"/>
  <c r="BG89" i="88"/>
  <c r="A173" i="108"/>
  <c r="B172" i="108"/>
  <c r="L105" i="91"/>
  <c r="P105" i="91" s="1"/>
  <c r="N105" i="91" s="1"/>
  <c r="K105" i="91" s="1"/>
  <c r="W140" i="91"/>
  <c r="S105" i="91"/>
  <c r="AY90" i="78"/>
  <c r="AX90" i="78"/>
  <c r="AQ48" i="59"/>
  <c r="BB48" i="59" s="1"/>
  <c r="D52" i="91"/>
  <c r="D53" i="91" s="1"/>
  <c r="D51" i="91"/>
  <c r="J45" i="66"/>
  <c r="I45" i="66" s="1"/>
  <c r="K45" i="66"/>
  <c r="X45" i="66"/>
  <c r="AM147" i="91"/>
  <c r="AO108" i="91"/>
  <c r="AO7" i="91" s="1"/>
  <c r="AS108" i="91"/>
  <c r="AS109" i="91" s="1"/>
  <c r="AT109" i="91"/>
  <c r="D31" i="91" s="1"/>
  <c r="AC51" i="91" s="1"/>
  <c r="AB47" i="91" s="1"/>
  <c r="M162" i="66"/>
  <c r="L162" i="66"/>
  <c r="N162" i="66"/>
  <c r="AS49" i="59"/>
  <c r="U92" i="59"/>
  <c r="Q45" i="59"/>
  <c r="AL48" i="59"/>
  <c r="AJ87" i="59"/>
  <c r="AU90" i="75"/>
  <c r="AY90" i="75" s="1"/>
  <c r="AW90" i="75" s="1"/>
  <c r="AT90" i="75" s="1"/>
  <c r="BL135" i="75"/>
  <c r="BG90" i="75"/>
  <c r="AA163" i="66"/>
  <c r="F164" i="66"/>
  <c r="U163" i="66"/>
  <c r="G163" i="66"/>
  <c r="X125" i="78"/>
  <c r="BI91" i="78"/>
  <c r="BL139" i="86"/>
  <c r="AU94" i="86"/>
  <c r="AY94" i="86" s="1"/>
  <c r="AW94" i="86" s="1"/>
  <c r="AT94" i="86" s="1"/>
  <c r="BG94" i="86"/>
  <c r="K96" i="86"/>
  <c r="W131" i="86"/>
  <c r="L96" i="86"/>
  <c r="P96" i="86" s="1"/>
  <c r="N96" i="86" s="1"/>
  <c r="S96" i="86"/>
  <c r="AV90" i="78"/>
  <c r="AW90" i="78"/>
  <c r="AU90" i="78" s="1"/>
  <c r="AR90" i="78" s="1"/>
  <c r="L85" i="78"/>
  <c r="R85" i="78" s="1"/>
  <c r="S76" i="88"/>
  <c r="L76" i="88"/>
  <c r="P76" i="88" s="1"/>
  <c r="N76" i="88" s="1"/>
  <c r="K76" i="88" s="1"/>
  <c r="W111" i="88"/>
  <c r="R156" i="110"/>
  <c r="S155" i="110"/>
  <c r="M70" i="109"/>
  <c r="S70" i="109" s="1"/>
  <c r="L71" i="109" s="1"/>
  <c r="BL70" i="109"/>
  <c r="J70" i="109"/>
  <c r="Y105" i="109"/>
  <c r="J87" i="75"/>
  <c r="X122" i="75"/>
  <c r="AH50" i="75" s="1"/>
  <c r="BK87" i="75"/>
  <c r="S88" i="75"/>
  <c r="L88" i="75"/>
  <c r="P88" i="75" s="1"/>
  <c r="N88" i="75" s="1"/>
  <c r="K88" i="75" s="1"/>
  <c r="W123" i="75"/>
  <c r="BA45" i="111"/>
  <c r="AO43" i="111"/>
  <c r="AQ43" i="111" s="1"/>
  <c r="AW43" i="111" s="1"/>
  <c r="S46" i="111"/>
  <c r="H46" i="111"/>
  <c r="T87" i="111"/>
  <c r="V87" i="111" s="1"/>
  <c r="AS44" i="111"/>
  <c r="L68" i="94"/>
  <c r="P68" i="94" s="1"/>
  <c r="N68" i="94" s="1"/>
  <c r="X103" i="94"/>
  <c r="BL66" i="94"/>
  <c r="J66" i="94"/>
  <c r="Y101" i="94"/>
  <c r="AT43" i="112"/>
  <c r="AR43" i="112" s="1"/>
  <c r="AS44" i="112" s="1"/>
  <c r="N46" i="112"/>
  <c r="L46" i="112" s="1"/>
  <c r="M47" i="112" s="1"/>
  <c r="J159" i="112"/>
  <c r="F159" i="112"/>
  <c r="AZ109" i="112" s="1"/>
  <c r="M68" i="94"/>
  <c r="S68" i="94" s="1"/>
  <c r="Y103" i="94"/>
  <c r="BL68" i="94"/>
  <c r="J68" i="94"/>
  <c r="AT48" i="103"/>
  <c r="AR48" i="103" s="1"/>
  <c r="P40" i="61"/>
  <c r="T70" i="61"/>
  <c r="X111" i="88" l="1"/>
  <c r="J76" i="88"/>
  <c r="BK76" i="88"/>
  <c r="E108" i="108"/>
  <c r="F108" i="108"/>
  <c r="G108" i="108"/>
  <c r="D108" i="108" s="1"/>
  <c r="C109" i="108" s="1"/>
  <c r="AS94" i="86"/>
  <c r="AO94" i="86"/>
  <c r="AM133" i="86"/>
  <c r="X140" i="91"/>
  <c r="BK105" i="91"/>
  <c r="J105" i="91"/>
  <c r="AO90" i="75"/>
  <c r="AS90" i="75"/>
  <c r="AM129" i="75"/>
  <c r="BL140" i="86"/>
  <c r="AU95" i="86"/>
  <c r="AY95" i="86" s="1"/>
  <c r="AW95" i="86" s="1"/>
  <c r="AT95" i="86" s="1"/>
  <c r="BG95" i="86"/>
  <c r="W141" i="91"/>
  <c r="L106" i="91"/>
  <c r="P106" i="91" s="1"/>
  <c r="N106" i="91" s="1"/>
  <c r="K106" i="91" s="1"/>
  <c r="S106" i="91"/>
  <c r="AO89" i="88"/>
  <c r="AM128" i="88"/>
  <c r="AS89" i="88"/>
  <c r="S77" i="88"/>
  <c r="W112" i="88"/>
  <c r="L77" i="88"/>
  <c r="P77" i="88" s="1"/>
  <c r="N77" i="88" s="1"/>
  <c r="K77" i="88" s="1"/>
  <c r="X131" i="86"/>
  <c r="J96" i="86"/>
  <c r="BK96" i="86"/>
  <c r="AN148" i="91"/>
  <c r="AM148" i="91"/>
  <c r="L163" i="66"/>
  <c r="M163" i="66"/>
  <c r="N163" i="66"/>
  <c r="AM129" i="78"/>
  <c r="AO90" i="78"/>
  <c r="AU91" i="75"/>
  <c r="AY91" i="75" s="1"/>
  <c r="AW91" i="75" s="1"/>
  <c r="BL136" i="75"/>
  <c r="AT91" i="75"/>
  <c r="BG91" i="75"/>
  <c r="BD55" i="59"/>
  <c r="AP49" i="59"/>
  <c r="BG94" i="59"/>
  <c r="BG98" i="78"/>
  <c r="BE92" i="78"/>
  <c r="AS92" i="78"/>
  <c r="BJ137" i="78"/>
  <c r="W126" i="78"/>
  <c r="K86" i="78"/>
  <c r="O86" i="78" s="1"/>
  <c r="M86" i="78" s="1"/>
  <c r="N87" i="78" s="1"/>
  <c r="AA164" i="66"/>
  <c r="F165" i="66"/>
  <c r="U164" i="66"/>
  <c r="G164" i="66"/>
  <c r="S46" i="59"/>
  <c r="T93" i="59"/>
  <c r="J46" i="59"/>
  <c r="W132" i="86"/>
  <c r="L97" i="86"/>
  <c r="P97" i="86" s="1"/>
  <c r="N97" i="86" s="1"/>
  <c r="K97" i="86" s="1"/>
  <c r="S97" i="86"/>
  <c r="S45" i="66"/>
  <c r="R45" i="66" s="1"/>
  <c r="P45" i="66" s="1"/>
  <c r="T45" i="66"/>
  <c r="AV91" i="78"/>
  <c r="B173" i="108"/>
  <c r="A174" i="108"/>
  <c r="B174" i="108" s="1"/>
  <c r="AT90" i="88"/>
  <c r="AU90" i="88"/>
  <c r="AY90" i="88" s="1"/>
  <c r="AW90" i="88" s="1"/>
  <c r="BL135" i="88"/>
  <c r="BG90" i="88"/>
  <c r="AY91" i="78"/>
  <c r="AX91" i="78"/>
  <c r="R157" i="110"/>
  <c r="S156" i="110"/>
  <c r="P71" i="109"/>
  <c r="N71" i="109" s="1"/>
  <c r="X106" i="109"/>
  <c r="X123" i="75"/>
  <c r="BK88" i="75"/>
  <c r="J88" i="75"/>
  <c r="L89" i="75"/>
  <c r="P89" i="75" s="1"/>
  <c r="N89" i="75" s="1"/>
  <c r="K89" i="75" s="1"/>
  <c r="S89" i="75"/>
  <c r="W124" i="75"/>
  <c r="I46" i="111"/>
  <c r="AL43" i="111"/>
  <c r="AJ84" i="111"/>
  <c r="BB90" i="111"/>
  <c r="AP44" i="111"/>
  <c r="AY44" i="111"/>
  <c r="AI85" i="111"/>
  <c r="AK85" i="111" s="1"/>
  <c r="U86" i="111"/>
  <c r="O46" i="111"/>
  <c r="P46" i="111"/>
  <c r="AO43" i="112"/>
  <c r="AQ43" i="112" s="1"/>
  <c r="AW43" i="112" s="1"/>
  <c r="G46" i="112"/>
  <c r="K46" i="112" s="1"/>
  <c r="Q46" i="112" s="1"/>
  <c r="L69" i="94"/>
  <c r="K69" i="94" s="1"/>
  <c r="X104" i="94"/>
  <c r="AO48" i="103"/>
  <c r="AQ48" i="103" s="1"/>
  <c r="AW48" i="103" s="1"/>
  <c r="AS49" i="103"/>
  <c r="S71" i="61"/>
  <c r="R41" i="61"/>
  <c r="I41" i="61"/>
  <c r="E109" i="108" l="1"/>
  <c r="F109" i="108"/>
  <c r="G109" i="108"/>
  <c r="D109" i="108" s="1"/>
  <c r="C110" i="108" s="1"/>
  <c r="H45" i="66"/>
  <c r="O45" i="66"/>
  <c r="BK77" i="88"/>
  <c r="J77" i="88"/>
  <c r="X112" i="88"/>
  <c r="X132" i="86"/>
  <c r="J97" i="86"/>
  <c r="BK97" i="86"/>
  <c r="J106" i="91"/>
  <c r="X141" i="91"/>
  <c r="BK106" i="91"/>
  <c r="AM134" i="86"/>
  <c r="AO95" i="86"/>
  <c r="AS95" i="86"/>
  <c r="F166" i="66"/>
  <c r="U165" i="66"/>
  <c r="AA165" i="66"/>
  <c r="G165" i="66"/>
  <c r="BL137" i="75"/>
  <c r="AU92" i="75"/>
  <c r="AY92" i="75" s="1"/>
  <c r="AW92" i="75" s="1"/>
  <c r="AT92" i="75" s="1"/>
  <c r="BG92" i="75"/>
  <c r="L107" i="91"/>
  <c r="P107" i="91" s="1"/>
  <c r="N107" i="91" s="1"/>
  <c r="K107" i="91" s="1"/>
  <c r="W142" i="91"/>
  <c r="S107" i="91"/>
  <c r="AU91" i="88"/>
  <c r="AY91" i="88" s="1"/>
  <c r="AW91" i="88" s="1"/>
  <c r="AT91" i="88" s="1"/>
  <c r="BL136" i="88"/>
  <c r="BG91" i="88"/>
  <c r="AY92" i="78"/>
  <c r="AX92" i="78"/>
  <c r="AW92" i="78" s="1"/>
  <c r="AU92" i="78" s="1"/>
  <c r="AR92" i="78" s="1"/>
  <c r="Q46" i="66"/>
  <c r="P46" i="59"/>
  <c r="O46" i="59"/>
  <c r="J86" i="78"/>
  <c r="S78" i="88"/>
  <c r="W113" i="88"/>
  <c r="L78" i="88"/>
  <c r="P78" i="88" s="1"/>
  <c r="N78" i="88" s="1"/>
  <c r="K78" i="88" s="1"/>
  <c r="BL141" i="86"/>
  <c r="AU96" i="86"/>
  <c r="AY96" i="86" s="1"/>
  <c r="AW96" i="86" s="1"/>
  <c r="AT96" i="86" s="1"/>
  <c r="BG96" i="86"/>
  <c r="AV92" i="78"/>
  <c r="L98" i="86"/>
  <c r="P98" i="86" s="1"/>
  <c r="N98" i="86" s="1"/>
  <c r="K98" i="86" s="1"/>
  <c r="W133" i="86"/>
  <c r="S98" i="86"/>
  <c r="AM129" i="88"/>
  <c r="AO90" i="88"/>
  <c r="AS90" i="88"/>
  <c r="M164" i="66"/>
  <c r="L164" i="66"/>
  <c r="N164" i="66"/>
  <c r="L86" i="78"/>
  <c r="R86" i="78" s="1"/>
  <c r="AW91" i="78"/>
  <c r="AU91" i="78" s="1"/>
  <c r="AR91" i="78" s="1"/>
  <c r="BG99" i="78"/>
  <c r="BE93" i="78"/>
  <c r="BJ138" i="78"/>
  <c r="AS93" i="78"/>
  <c r="AM130" i="75"/>
  <c r="AS91" i="75"/>
  <c r="AO91" i="75"/>
  <c r="AU49" i="59"/>
  <c r="AV49" i="59"/>
  <c r="R158" i="110"/>
  <c r="S157" i="110"/>
  <c r="K71" i="109"/>
  <c r="M71" i="109" s="1"/>
  <c r="S71" i="109" s="1"/>
  <c r="L72" i="109" s="1"/>
  <c r="BK89" i="75"/>
  <c r="J89" i="75"/>
  <c r="X124" i="75"/>
  <c r="S90" i="75"/>
  <c r="L90" i="75"/>
  <c r="P90" i="75" s="1"/>
  <c r="N90" i="75" s="1"/>
  <c r="K90" i="75" s="1"/>
  <c r="W125" i="75"/>
  <c r="AV44" i="111"/>
  <c r="AU44" i="111"/>
  <c r="AT44" i="111"/>
  <c r="AR44" i="111" s="1"/>
  <c r="AO44" i="111" s="1"/>
  <c r="AL44" i="111" s="1"/>
  <c r="N46" i="111"/>
  <c r="L46" i="111" s="1"/>
  <c r="AJ85" i="111"/>
  <c r="AI85" i="112"/>
  <c r="BB90" i="112"/>
  <c r="AP44" i="112"/>
  <c r="AY44" i="112"/>
  <c r="AL43" i="112"/>
  <c r="AJ84" i="112"/>
  <c r="H47" i="112"/>
  <c r="S47" i="112"/>
  <c r="T88" i="112"/>
  <c r="V88" i="112" s="1"/>
  <c r="BA46" i="112"/>
  <c r="J69" i="94"/>
  <c r="BL69" i="94"/>
  <c r="Y104" i="94"/>
  <c r="P69" i="94"/>
  <c r="N69" i="94" s="1"/>
  <c r="M69" i="94"/>
  <c r="S69" i="94" s="1"/>
  <c r="AP49" i="103"/>
  <c r="AI89" i="103"/>
  <c r="BB94" i="103"/>
  <c r="AY49" i="103"/>
  <c r="AL48" i="103"/>
  <c r="AJ88" i="103"/>
  <c r="O41" i="61"/>
  <c r="N41" i="61"/>
  <c r="AO92" i="78" l="1"/>
  <c r="AM131" i="78"/>
  <c r="X113" i="88"/>
  <c r="BK78" i="88"/>
  <c r="J78" i="88"/>
  <c r="AS91" i="88"/>
  <c r="AM130" i="88"/>
  <c r="AO91" i="88"/>
  <c r="AM131" i="75"/>
  <c r="AO92" i="75"/>
  <c r="AS92" i="75"/>
  <c r="G110" i="108"/>
  <c r="F110" i="108"/>
  <c r="E110" i="108"/>
  <c r="BK98" i="86"/>
  <c r="J98" i="86"/>
  <c r="X133" i="86"/>
  <c r="AM135" i="86"/>
  <c r="AO96" i="86"/>
  <c r="AS96" i="86"/>
  <c r="X142" i="91"/>
  <c r="BK107" i="91"/>
  <c r="J107" i="91"/>
  <c r="S79" i="88"/>
  <c r="W114" i="88"/>
  <c r="L79" i="88"/>
  <c r="P79" i="88" s="1"/>
  <c r="N79" i="88" s="1"/>
  <c r="K79" i="88" s="1"/>
  <c r="X126" i="78"/>
  <c r="BI92" i="78"/>
  <c r="AY93" i="78"/>
  <c r="AX93" i="78"/>
  <c r="AU93" i="75"/>
  <c r="AY93" i="75" s="1"/>
  <c r="AW93" i="75" s="1"/>
  <c r="AT93" i="75" s="1"/>
  <c r="BL138" i="75"/>
  <c r="BG93" i="75"/>
  <c r="V45" i="66"/>
  <c r="Z45" i="66"/>
  <c r="BG100" i="78"/>
  <c r="BE94" i="78"/>
  <c r="AS94" i="78"/>
  <c r="BJ139" i="78"/>
  <c r="AU97" i="86"/>
  <c r="AY97" i="86" s="1"/>
  <c r="AW97" i="86" s="1"/>
  <c r="AT97" i="86" s="1"/>
  <c r="BL142" i="86"/>
  <c r="BG97" i="86"/>
  <c r="BG92" i="88"/>
  <c r="BL137" i="88"/>
  <c r="AU92" i="88"/>
  <c r="AY92" i="88" s="1"/>
  <c r="AW92" i="88" s="1"/>
  <c r="AT92" i="88" s="1"/>
  <c r="AS50" i="59"/>
  <c r="AM130" i="78"/>
  <c r="AO91" i="78"/>
  <c r="G166" i="66"/>
  <c r="F167" i="66"/>
  <c r="AA166" i="66"/>
  <c r="U166" i="66"/>
  <c r="AQ44" i="111"/>
  <c r="AW44" i="111" s="1"/>
  <c r="AT49" i="59"/>
  <c r="AR49" i="59" s="1"/>
  <c r="W134" i="86"/>
  <c r="L99" i="86"/>
  <c r="P99" i="86" s="1"/>
  <c r="N99" i="86" s="1"/>
  <c r="K99" i="86" s="1"/>
  <c r="S99" i="86"/>
  <c r="N46" i="59"/>
  <c r="L46" i="59" s="1"/>
  <c r="K87" i="78"/>
  <c r="O87" i="78" s="1"/>
  <c r="M87" i="78" s="1"/>
  <c r="N88" i="78" s="1"/>
  <c r="W127" i="78"/>
  <c r="V108" i="91"/>
  <c r="L108" i="91"/>
  <c r="W143" i="91"/>
  <c r="AW93" i="78"/>
  <c r="AU93" i="78" s="1"/>
  <c r="AR93" i="78" s="1"/>
  <c r="AV93" i="78"/>
  <c r="M165" i="66"/>
  <c r="L165" i="66"/>
  <c r="N165" i="66"/>
  <c r="R159" i="110"/>
  <c r="S159" i="110" s="1"/>
  <c r="S158" i="110"/>
  <c r="J71" i="109"/>
  <c r="BL71" i="109"/>
  <c r="Y106" i="109"/>
  <c r="P72" i="109"/>
  <c r="N72" i="109" s="1"/>
  <c r="X107" i="109"/>
  <c r="J90" i="75"/>
  <c r="BK90" i="75"/>
  <c r="X125" i="75"/>
  <c r="S91" i="75"/>
  <c r="L91" i="75"/>
  <c r="P91" i="75" s="1"/>
  <c r="N91" i="75" s="1"/>
  <c r="K91" i="75" s="1"/>
  <c r="W126" i="75"/>
  <c r="BB91" i="111"/>
  <c r="AP45" i="111"/>
  <c r="AY45" i="111"/>
  <c r="G46" i="111"/>
  <c r="AS45" i="111"/>
  <c r="M47" i="111"/>
  <c r="AU44" i="112"/>
  <c r="AT44" i="112" s="1"/>
  <c r="AV44" i="112"/>
  <c r="AK85" i="112"/>
  <c r="O47" i="112"/>
  <c r="N47" i="112" s="1"/>
  <c r="L47" i="112" s="1"/>
  <c r="G47" i="112" s="1"/>
  <c r="BA47" i="112" s="1"/>
  <c r="P47" i="112"/>
  <c r="I47" i="112"/>
  <c r="AI86" i="111"/>
  <c r="AK86" i="111" s="1"/>
  <c r="L70" i="94"/>
  <c r="X105" i="94"/>
  <c r="AU49" i="103"/>
  <c r="AT49" i="103" s="1"/>
  <c r="AV49" i="103"/>
  <c r="AK89" i="103"/>
  <c r="M41" i="61"/>
  <c r="K41" i="61" s="1"/>
  <c r="AS97" i="86" l="1"/>
  <c r="AO97" i="86"/>
  <c r="AM136" i="86"/>
  <c r="AM132" i="75"/>
  <c r="AS93" i="75"/>
  <c r="AO93" i="75"/>
  <c r="AO92" i="88"/>
  <c r="AM131" i="88"/>
  <c r="AS92" i="88"/>
  <c r="X134" i="86"/>
  <c r="J99" i="86"/>
  <c r="BK99" i="86"/>
  <c r="X114" i="88"/>
  <c r="J79" i="88"/>
  <c r="BK79" i="88"/>
  <c r="AA167" i="66"/>
  <c r="U167" i="66"/>
  <c r="F168" i="66"/>
  <c r="G167" i="66"/>
  <c r="BG101" i="78"/>
  <c r="BE95" i="78"/>
  <c r="AS95" i="78"/>
  <c r="BJ140" i="78"/>
  <c r="AV94" i="78"/>
  <c r="J87" i="78"/>
  <c r="L166" i="66"/>
  <c r="M166" i="66"/>
  <c r="N166" i="66"/>
  <c r="AT98" i="86"/>
  <c r="BL143" i="86"/>
  <c r="AU98" i="86"/>
  <c r="AY98" i="86" s="1"/>
  <c r="AW98" i="86" s="1"/>
  <c r="BG98" i="86"/>
  <c r="AY94" i="78"/>
  <c r="AX94" i="78"/>
  <c r="AO93" i="78"/>
  <c r="AM132" i="78"/>
  <c r="AO49" i="59"/>
  <c r="AQ49" i="59" s="1"/>
  <c r="BB49" i="59" s="1"/>
  <c r="J46" i="66"/>
  <c r="I46" i="66" s="1"/>
  <c r="K46" i="66"/>
  <c r="X46" i="66"/>
  <c r="L87" i="78"/>
  <c r="R87" i="78" s="1"/>
  <c r="AU94" i="75"/>
  <c r="AY94" i="75" s="1"/>
  <c r="AW94" i="75" s="1"/>
  <c r="AT94" i="75" s="1"/>
  <c r="BL139" i="75"/>
  <c r="BG94" i="75"/>
  <c r="D110" i="108"/>
  <c r="C111" i="108" s="1"/>
  <c r="I46" i="59"/>
  <c r="BF52" i="59" s="1"/>
  <c r="P108" i="91"/>
  <c r="L109" i="91"/>
  <c r="C29" i="91" s="1"/>
  <c r="M47" i="59"/>
  <c r="R108" i="91"/>
  <c r="R109" i="91" s="1"/>
  <c r="Q108" i="91"/>
  <c r="Q109" i="91" s="1"/>
  <c r="M108" i="91"/>
  <c r="M109" i="91" s="1"/>
  <c r="S108" i="91"/>
  <c r="K100" i="86"/>
  <c r="W135" i="86"/>
  <c r="L100" i="86"/>
  <c r="P100" i="86" s="1"/>
  <c r="N100" i="86" s="1"/>
  <c r="S100" i="86"/>
  <c r="BL138" i="88"/>
  <c r="AU93" i="88"/>
  <c r="AY93" i="88" s="1"/>
  <c r="AW93" i="88" s="1"/>
  <c r="AT93" i="88" s="1"/>
  <c r="BG93" i="88"/>
  <c r="S80" i="88"/>
  <c r="L80" i="88"/>
  <c r="P80" i="88" s="1"/>
  <c r="N80" i="88" s="1"/>
  <c r="K80" i="88" s="1"/>
  <c r="W115" i="88"/>
  <c r="K72" i="109"/>
  <c r="M72" i="109" s="1"/>
  <c r="S72" i="109" s="1"/>
  <c r="J91" i="75"/>
  <c r="X126" i="75"/>
  <c r="BK91" i="75"/>
  <c r="S92" i="75"/>
  <c r="W127" i="75"/>
  <c r="L92" i="75"/>
  <c r="P92" i="75" s="1"/>
  <c r="N92" i="75" s="1"/>
  <c r="K92" i="75" s="1"/>
  <c r="AV45" i="111"/>
  <c r="AU45" i="111"/>
  <c r="BA46" i="111"/>
  <c r="K46" i="111"/>
  <c r="Q46" i="111" s="1"/>
  <c r="AR44" i="112"/>
  <c r="K47" i="112"/>
  <c r="Q47" i="112" s="1"/>
  <c r="M48" i="112"/>
  <c r="P70" i="94"/>
  <c r="N70" i="94" s="1"/>
  <c r="K70" i="94"/>
  <c r="AR49" i="103"/>
  <c r="AO49" i="103" s="1"/>
  <c r="AL49" i="103" s="1"/>
  <c r="H41" i="61"/>
  <c r="J41" i="61" s="1"/>
  <c r="L42" i="61"/>
  <c r="AP50" i="59" l="1"/>
  <c r="BD56" i="59"/>
  <c r="BG95" i="59"/>
  <c r="AS94" i="75"/>
  <c r="AO94" i="75"/>
  <c r="AM133" i="75"/>
  <c r="X115" i="88"/>
  <c r="J80" i="88"/>
  <c r="BK80" i="88"/>
  <c r="AO93" i="88"/>
  <c r="AS93" i="88"/>
  <c r="AM132" i="88"/>
  <c r="S81" i="88"/>
  <c r="W116" i="88"/>
  <c r="L81" i="88"/>
  <c r="P81" i="88" s="1"/>
  <c r="N81" i="88" s="1"/>
  <c r="K81" i="88" s="1"/>
  <c r="BK100" i="86"/>
  <c r="X135" i="86"/>
  <c r="J100" i="86"/>
  <c r="E29" i="91"/>
  <c r="C32" i="91"/>
  <c r="AW95" i="78"/>
  <c r="AU95" i="78" s="1"/>
  <c r="AR95" i="78" s="1"/>
  <c r="K88" i="78"/>
  <c r="O88" i="78" s="1"/>
  <c r="M88" i="78" s="1"/>
  <c r="N89" i="78" s="1"/>
  <c r="W128" i="78"/>
  <c r="K46" i="59"/>
  <c r="BG102" i="78"/>
  <c r="BE96" i="78"/>
  <c r="BJ141" i="78"/>
  <c r="AS96" i="78"/>
  <c r="AM137" i="86"/>
  <c r="AO98" i="86"/>
  <c r="AS98" i="86"/>
  <c r="T46" i="66"/>
  <c r="S46" i="66"/>
  <c r="AX95" i="78"/>
  <c r="AY95" i="78"/>
  <c r="BL139" i="88"/>
  <c r="AU94" i="88"/>
  <c r="AY94" i="88" s="1"/>
  <c r="AW94" i="88" s="1"/>
  <c r="AT94" i="88" s="1"/>
  <c r="BG94" i="88"/>
  <c r="N108" i="91"/>
  <c r="P109" i="91"/>
  <c r="E111" i="108"/>
  <c r="G111" i="108"/>
  <c r="F111" i="108"/>
  <c r="AV95" i="78"/>
  <c r="N167" i="66"/>
  <c r="M167" i="66"/>
  <c r="L167" i="66"/>
  <c r="AL49" i="59"/>
  <c r="AJ88" i="59"/>
  <c r="K101" i="86"/>
  <c r="W136" i="86"/>
  <c r="L101" i="86"/>
  <c r="P101" i="86" s="1"/>
  <c r="N101" i="86" s="1"/>
  <c r="S101" i="86"/>
  <c r="BL140" i="75"/>
  <c r="AU95" i="75"/>
  <c r="AY95" i="75" s="1"/>
  <c r="AW95" i="75" s="1"/>
  <c r="AT95" i="75" s="1"/>
  <c r="BG95" i="75"/>
  <c r="X127" i="78"/>
  <c r="AH50" i="78" s="1"/>
  <c r="BI93" i="78"/>
  <c r="AW94" i="78"/>
  <c r="AU94" i="78" s="1"/>
  <c r="AR94" i="78" s="1"/>
  <c r="BL144" i="86"/>
  <c r="AU99" i="86"/>
  <c r="AY99" i="86" s="1"/>
  <c r="AW99" i="86" s="1"/>
  <c r="AT99" i="86" s="1"/>
  <c r="BG99" i="86"/>
  <c r="G168" i="66"/>
  <c r="AA168" i="66"/>
  <c r="F169" i="66"/>
  <c r="U168" i="66"/>
  <c r="R46" i="66"/>
  <c r="P46" i="66" s="1"/>
  <c r="X108" i="109"/>
  <c r="L73" i="109"/>
  <c r="P73" i="109" s="1"/>
  <c r="N73" i="109" s="1"/>
  <c r="BL72" i="109"/>
  <c r="J72" i="109"/>
  <c r="Y107" i="109"/>
  <c r="J92" i="75"/>
  <c r="X127" i="75"/>
  <c r="BK92" i="75"/>
  <c r="L93" i="75"/>
  <c r="P93" i="75" s="1"/>
  <c r="N93" i="75" s="1"/>
  <c r="K93" i="75" s="1"/>
  <c r="S93" i="75"/>
  <c r="W128" i="75"/>
  <c r="S47" i="111"/>
  <c r="H47" i="111"/>
  <c r="T88" i="111"/>
  <c r="AT45" i="111"/>
  <c r="AR45" i="111" s="1"/>
  <c r="AS45" i="112"/>
  <c r="T89" i="112"/>
  <c r="H48" i="112"/>
  <c r="I48" i="112" s="1"/>
  <c r="S48" i="112"/>
  <c r="M70" i="94"/>
  <c r="S70" i="94" s="1"/>
  <c r="Y105" i="94"/>
  <c r="BL70" i="94"/>
  <c r="J70" i="94"/>
  <c r="AQ49" i="103"/>
  <c r="AW49" i="103" s="1"/>
  <c r="AP50" i="103" s="1"/>
  <c r="AS50" i="103"/>
  <c r="AJ89" i="103"/>
  <c r="P41" i="61"/>
  <c r="T71" i="61"/>
  <c r="J81" i="88" l="1"/>
  <c r="BK81" i="88"/>
  <c r="X116" i="88"/>
  <c r="AM134" i="75"/>
  <c r="AS95" i="75"/>
  <c r="AO95" i="75"/>
  <c r="AO94" i="88"/>
  <c r="AM133" i="88"/>
  <c r="AS94" i="88"/>
  <c r="AS99" i="86"/>
  <c r="AM138" i="86"/>
  <c r="AO99" i="86"/>
  <c r="AV96" i="78"/>
  <c r="L88" i="78"/>
  <c r="R88" i="78" s="1"/>
  <c r="BG103" i="78"/>
  <c r="BE97" i="78"/>
  <c r="AS97" i="78"/>
  <c r="BJ142" i="78"/>
  <c r="AM134" i="78"/>
  <c r="AO95" i="78"/>
  <c r="W137" i="86"/>
  <c r="L102" i="86"/>
  <c r="P102" i="86" s="1"/>
  <c r="N102" i="86" s="1"/>
  <c r="K102" i="86" s="1"/>
  <c r="S102" i="86"/>
  <c r="N109" i="91"/>
  <c r="K108" i="91"/>
  <c r="AY96" i="78"/>
  <c r="AX96" i="78"/>
  <c r="E32" i="91"/>
  <c r="C33" i="91" s="1"/>
  <c r="C50" i="91"/>
  <c r="C48" i="91"/>
  <c r="S82" i="88"/>
  <c r="W117" i="88"/>
  <c r="L82" i="88"/>
  <c r="P82" i="88" s="1"/>
  <c r="N82" i="88" s="1"/>
  <c r="K82" i="88" s="1"/>
  <c r="Q47" i="66"/>
  <c r="AM133" i="78"/>
  <c r="AO94" i="78"/>
  <c r="U93" i="59"/>
  <c r="Q46" i="59"/>
  <c r="H46" i="66"/>
  <c r="O46" i="66" s="1"/>
  <c r="AA169" i="66"/>
  <c r="F170" i="66"/>
  <c r="G169" i="66"/>
  <c r="U169" i="66"/>
  <c r="BL140" i="88"/>
  <c r="BG95" i="88"/>
  <c r="AU95" i="88"/>
  <c r="AY95" i="88" s="1"/>
  <c r="AW95" i="88" s="1"/>
  <c r="AT95" i="88" s="1"/>
  <c r="BK101" i="86"/>
  <c r="X136" i="86"/>
  <c r="J101" i="86"/>
  <c r="AU50" i="59"/>
  <c r="AV50" i="59"/>
  <c r="M168" i="66"/>
  <c r="N168" i="66"/>
  <c r="L168" i="66"/>
  <c r="BL141" i="75"/>
  <c r="AU96" i="75"/>
  <c r="AY96" i="75" s="1"/>
  <c r="AW96" i="75" s="1"/>
  <c r="AT96" i="75" s="1"/>
  <c r="BG96" i="75"/>
  <c r="D111" i="108"/>
  <c r="C112" i="108" s="1"/>
  <c r="AW96" i="78"/>
  <c r="AU96" i="78" s="1"/>
  <c r="AR96" i="78" s="1"/>
  <c r="J88" i="78"/>
  <c r="BL145" i="86"/>
  <c r="AU100" i="86"/>
  <c r="AY100" i="86" s="1"/>
  <c r="AW100" i="86" s="1"/>
  <c r="AT100" i="86" s="1"/>
  <c r="BG100" i="86"/>
  <c r="AT50" i="59"/>
  <c r="AR50" i="59" s="1"/>
  <c r="AO50" i="59" s="1"/>
  <c r="K73" i="109"/>
  <c r="J73" i="109" s="1"/>
  <c r="BK93" i="75"/>
  <c r="J93" i="75"/>
  <c r="X128" i="75"/>
  <c r="S94" i="75"/>
  <c r="K94" i="75"/>
  <c r="L94" i="75"/>
  <c r="P94" i="75" s="1"/>
  <c r="N94" i="75" s="1"/>
  <c r="W129" i="75"/>
  <c r="V88" i="111"/>
  <c r="U87" i="111"/>
  <c r="I47" i="111"/>
  <c r="N47" i="111"/>
  <c r="L47" i="111" s="1"/>
  <c r="G47" i="111" s="1"/>
  <c r="BA47" i="111" s="1"/>
  <c r="AO45" i="111"/>
  <c r="AL45" i="111" s="1"/>
  <c r="AS46" i="111"/>
  <c r="P47" i="111"/>
  <c r="O47" i="111"/>
  <c r="P48" i="112"/>
  <c r="O48" i="112"/>
  <c r="V89" i="112"/>
  <c r="L71" i="94"/>
  <c r="P71" i="94" s="1"/>
  <c r="N71" i="94" s="1"/>
  <c r="X106" i="94"/>
  <c r="AY50" i="103"/>
  <c r="AU50" i="103" s="1"/>
  <c r="AI90" i="103"/>
  <c r="AK90" i="103" s="1"/>
  <c r="BB95" i="103"/>
  <c r="S72" i="61"/>
  <c r="R42" i="61"/>
  <c r="I42" i="61"/>
  <c r="V46" i="66" l="1"/>
  <c r="Z46" i="66"/>
  <c r="AO96" i="75"/>
  <c r="AS96" i="75"/>
  <c r="AM135" i="75"/>
  <c r="AS100" i="86"/>
  <c r="AM139" i="86"/>
  <c r="AO100" i="86"/>
  <c r="AM134" i="88"/>
  <c r="AO95" i="88"/>
  <c r="AS95" i="88"/>
  <c r="BK102" i="86"/>
  <c r="X137" i="86"/>
  <c r="J102" i="86"/>
  <c r="J82" i="88"/>
  <c r="X117" i="88"/>
  <c r="BK82" i="88"/>
  <c r="C51" i="91"/>
  <c r="C52" i="91"/>
  <c r="E50" i="91"/>
  <c r="AY97" i="78"/>
  <c r="AX97" i="78"/>
  <c r="L89" i="78"/>
  <c r="R89" i="78" s="1"/>
  <c r="W129" i="78"/>
  <c r="K89" i="78"/>
  <c r="O89" i="78" s="1"/>
  <c r="M89" i="78" s="1"/>
  <c r="N90" i="78" s="1"/>
  <c r="BI94" i="78"/>
  <c r="X128" i="78"/>
  <c r="AA170" i="66"/>
  <c r="F171" i="66"/>
  <c r="U170" i="66"/>
  <c r="G170" i="66"/>
  <c r="AV97" i="78"/>
  <c r="M169" i="66"/>
  <c r="L169" i="66"/>
  <c r="N169" i="66"/>
  <c r="AM135" i="78"/>
  <c r="AO96" i="78"/>
  <c r="F112" i="108"/>
  <c r="G112" i="108"/>
  <c r="D112" i="108" s="1"/>
  <c r="C113" i="108" s="1"/>
  <c r="E112" i="108"/>
  <c r="AQ50" i="59"/>
  <c r="BB50" i="59" s="1"/>
  <c r="BG96" i="88"/>
  <c r="BL141" i="88"/>
  <c r="AU96" i="88"/>
  <c r="AY96" i="88" s="1"/>
  <c r="AW96" i="88" s="1"/>
  <c r="AT96" i="88" s="1"/>
  <c r="X143" i="91"/>
  <c r="BK108" i="91"/>
  <c r="J108" i="91"/>
  <c r="J109" i="91" s="1"/>
  <c r="C31" i="91" s="1"/>
  <c r="E31" i="91" s="1"/>
  <c r="K109" i="91"/>
  <c r="BK109" i="91" s="1"/>
  <c r="BK115" i="91" s="1"/>
  <c r="AU97" i="75"/>
  <c r="AY97" i="75" s="1"/>
  <c r="AW97" i="75" s="1"/>
  <c r="AT97" i="75" s="1"/>
  <c r="BL142" i="75"/>
  <c r="BG97" i="75"/>
  <c r="AW97" i="78"/>
  <c r="AU97" i="78" s="1"/>
  <c r="AR97" i="78" s="1"/>
  <c r="AJ86" i="111"/>
  <c r="AJ89" i="59"/>
  <c r="AL50" i="59"/>
  <c r="AT101" i="86"/>
  <c r="AU101" i="86"/>
  <c r="AY101" i="86" s="1"/>
  <c r="AW101" i="86" s="1"/>
  <c r="BL146" i="86"/>
  <c r="BG101" i="86"/>
  <c r="AS51" i="59"/>
  <c r="S47" i="59"/>
  <c r="J47" i="59"/>
  <c r="T94" i="59"/>
  <c r="S83" i="88"/>
  <c r="L83" i="88"/>
  <c r="P83" i="88" s="1"/>
  <c r="N83" i="88" s="1"/>
  <c r="K83" i="88" s="1"/>
  <c r="W118" i="88"/>
  <c r="W138" i="86"/>
  <c r="L103" i="86"/>
  <c r="P103" i="86" s="1"/>
  <c r="N103" i="86" s="1"/>
  <c r="K103" i="86"/>
  <c r="S103" i="86"/>
  <c r="AQ45" i="111"/>
  <c r="AW45" i="111" s="1"/>
  <c r="AI87" i="111" s="1"/>
  <c r="AK87" i="111" s="1"/>
  <c r="BG104" i="78"/>
  <c r="BE98" i="78"/>
  <c r="BJ143" i="78"/>
  <c r="AS98" i="78"/>
  <c r="BL73" i="109"/>
  <c r="M73" i="109"/>
  <c r="S73" i="109" s="1"/>
  <c r="L74" i="109" s="1"/>
  <c r="Y108" i="109"/>
  <c r="W130" i="75"/>
  <c r="L95" i="75"/>
  <c r="P95" i="75" s="1"/>
  <c r="N95" i="75" s="1"/>
  <c r="K95" i="75" s="1"/>
  <c r="S95" i="75"/>
  <c r="BK94" i="75"/>
  <c r="X129" i="75"/>
  <c r="J94" i="75"/>
  <c r="K47" i="111"/>
  <c r="Q47" i="111" s="1"/>
  <c r="M48" i="111"/>
  <c r="AP46" i="111"/>
  <c r="AY46" i="111"/>
  <c r="K71" i="94"/>
  <c r="M71" i="94" s="1"/>
  <c r="S71" i="94" s="1"/>
  <c r="L72" i="94" s="1"/>
  <c r="N48" i="112"/>
  <c r="L48" i="112" s="1"/>
  <c r="M49" i="112" s="1"/>
  <c r="AV50" i="103"/>
  <c r="AT50" i="103"/>
  <c r="O42" i="61"/>
  <c r="N42" i="61"/>
  <c r="M42" i="61" s="1"/>
  <c r="K42" i="61" s="1"/>
  <c r="W130" i="78" l="1"/>
  <c r="K90" i="78"/>
  <c r="O90" i="78" s="1"/>
  <c r="M90" i="78" s="1"/>
  <c r="N91" i="78" s="1"/>
  <c r="AO96" i="88"/>
  <c r="AS96" i="88"/>
  <c r="AM135" i="88"/>
  <c r="E113" i="108"/>
  <c r="G113" i="108"/>
  <c r="F113" i="108"/>
  <c r="BK83" i="88"/>
  <c r="J83" i="88"/>
  <c r="X118" i="88"/>
  <c r="AS97" i="75"/>
  <c r="AO97" i="75"/>
  <c r="AM136" i="75"/>
  <c r="S84" i="88"/>
  <c r="W119" i="88"/>
  <c r="L84" i="88"/>
  <c r="P84" i="88" s="1"/>
  <c r="N84" i="88" s="1"/>
  <c r="K84" i="88" s="1"/>
  <c r="BD57" i="59"/>
  <c r="AP51" i="59"/>
  <c r="BG96" i="59"/>
  <c r="AV98" i="78"/>
  <c r="N47" i="59"/>
  <c r="L47" i="59" s="1"/>
  <c r="I47" i="59" s="1"/>
  <c r="BF53" i="59" s="1"/>
  <c r="P47" i="59"/>
  <c r="O47" i="59"/>
  <c r="L104" i="86"/>
  <c r="P104" i="86" s="1"/>
  <c r="N104" i="86" s="1"/>
  <c r="K104" i="86" s="1"/>
  <c r="W139" i="86"/>
  <c r="S104" i="86"/>
  <c r="AM140" i="86"/>
  <c r="AS101" i="86"/>
  <c r="AO101" i="86"/>
  <c r="BL142" i="88"/>
  <c r="AU97" i="88"/>
  <c r="AY97" i="88" s="1"/>
  <c r="AW97" i="88" s="1"/>
  <c r="AT97" i="88" s="1"/>
  <c r="BG97" i="88"/>
  <c r="F172" i="66"/>
  <c r="U171" i="66"/>
  <c r="AA171" i="66"/>
  <c r="G171" i="66"/>
  <c r="BK103" i="86"/>
  <c r="J103" i="86"/>
  <c r="X138" i="86"/>
  <c r="AO97" i="78"/>
  <c r="AM136" i="78"/>
  <c r="Y144" i="91"/>
  <c r="X144" i="91"/>
  <c r="E52" i="91"/>
  <c r="C53" i="91"/>
  <c r="E53" i="91" s="1"/>
  <c r="BB92" i="111"/>
  <c r="BG105" i="78"/>
  <c r="BE99" i="78"/>
  <c r="AS99" i="78"/>
  <c r="BJ144" i="78"/>
  <c r="BL147" i="86"/>
  <c r="AU102" i="86"/>
  <c r="AY102" i="86" s="1"/>
  <c r="AW102" i="86" s="1"/>
  <c r="AT102" i="86" s="1"/>
  <c r="BG102" i="86"/>
  <c r="AU98" i="75"/>
  <c r="AY98" i="75" s="1"/>
  <c r="AW98" i="75" s="1"/>
  <c r="BL143" i="75"/>
  <c r="AT98" i="75"/>
  <c r="BG98" i="75"/>
  <c r="J89" i="78"/>
  <c r="AX98" i="78"/>
  <c r="AY98" i="78"/>
  <c r="L170" i="66"/>
  <c r="N170" i="66"/>
  <c r="M170" i="66"/>
  <c r="K47" i="66"/>
  <c r="J47" i="66"/>
  <c r="I47" i="66" s="1"/>
  <c r="X47" i="66"/>
  <c r="X109" i="109"/>
  <c r="J95" i="75"/>
  <c r="X130" i="75"/>
  <c r="BK95" i="75"/>
  <c r="L96" i="75"/>
  <c r="P96" i="75" s="1"/>
  <c r="N96" i="75" s="1"/>
  <c r="K96" i="75" s="1"/>
  <c r="W131" i="75"/>
  <c r="S96" i="75"/>
  <c r="AU46" i="111"/>
  <c r="AV46" i="111"/>
  <c r="S48" i="111"/>
  <c r="H48" i="111"/>
  <c r="T89" i="111"/>
  <c r="X107" i="94"/>
  <c r="Y106" i="94"/>
  <c r="BL71" i="94"/>
  <c r="J71" i="94"/>
  <c r="G48" i="112"/>
  <c r="K48" i="112" s="1"/>
  <c r="Q48" i="112" s="1"/>
  <c r="P72" i="94"/>
  <c r="N72" i="94" s="1"/>
  <c r="K72" i="94"/>
  <c r="AR50" i="103"/>
  <c r="AS51" i="103" s="1"/>
  <c r="H42" i="61"/>
  <c r="J42" i="61" s="1"/>
  <c r="L43" i="61"/>
  <c r="AS97" i="88" l="1"/>
  <c r="AO97" i="88"/>
  <c r="AM136" i="88"/>
  <c r="BK104" i="86"/>
  <c r="X139" i="86"/>
  <c r="J104" i="86"/>
  <c r="AM141" i="86"/>
  <c r="AS102" i="86"/>
  <c r="AO102" i="86"/>
  <c r="X119" i="88"/>
  <c r="J84" i="88"/>
  <c r="BK84" i="88"/>
  <c r="AS98" i="75"/>
  <c r="AM137" i="75"/>
  <c r="AO98" i="75"/>
  <c r="AA172" i="66"/>
  <c r="F173" i="66"/>
  <c r="U172" i="66"/>
  <c r="G172" i="66"/>
  <c r="K47" i="59"/>
  <c r="BG106" i="78"/>
  <c r="BE100" i="78"/>
  <c r="BJ145" i="78"/>
  <c r="AS100" i="78"/>
  <c r="W140" i="86"/>
  <c r="L105" i="86"/>
  <c r="P105" i="86" s="1"/>
  <c r="N105" i="86" s="1"/>
  <c r="K105" i="86" s="1"/>
  <c r="S105" i="86"/>
  <c r="AU51" i="59"/>
  <c r="AV51" i="59"/>
  <c r="AU103" i="86"/>
  <c r="AY103" i="86" s="1"/>
  <c r="AW103" i="86" s="1"/>
  <c r="AT103" i="86" s="1"/>
  <c r="BL148" i="86"/>
  <c r="BG103" i="86"/>
  <c r="AX99" i="78"/>
  <c r="AW99" i="78" s="1"/>
  <c r="AU99" i="78" s="1"/>
  <c r="AR99" i="78" s="1"/>
  <c r="AY99" i="78"/>
  <c r="T47" i="66"/>
  <c r="S47" i="66"/>
  <c r="R47" i="66" s="1"/>
  <c r="P47" i="66" s="1"/>
  <c r="AU98" i="88"/>
  <c r="AY98" i="88" s="1"/>
  <c r="AW98" i="88" s="1"/>
  <c r="AT98" i="88" s="1"/>
  <c r="BG98" i="88"/>
  <c r="BL143" i="88"/>
  <c r="J90" i="78"/>
  <c r="AV99" i="78"/>
  <c r="AW98" i="78"/>
  <c r="AU98" i="78" s="1"/>
  <c r="AR98" i="78" s="1"/>
  <c r="N171" i="66"/>
  <c r="L171" i="66"/>
  <c r="M171" i="66"/>
  <c r="S85" i="88"/>
  <c r="L85" i="88"/>
  <c r="P85" i="88" s="1"/>
  <c r="N85" i="88" s="1"/>
  <c r="K85" i="88" s="1"/>
  <c r="W120" i="88"/>
  <c r="BI95" i="78"/>
  <c r="X129" i="78"/>
  <c r="AU99" i="75"/>
  <c r="AY99" i="75" s="1"/>
  <c r="AW99" i="75" s="1"/>
  <c r="AT99" i="75" s="1"/>
  <c r="BL144" i="75"/>
  <c r="BG99" i="75"/>
  <c r="M48" i="59"/>
  <c r="D113" i="108"/>
  <c r="C114" i="108" s="1"/>
  <c r="L90" i="78"/>
  <c r="R90" i="78" s="1"/>
  <c r="K74" i="109"/>
  <c r="M74" i="109" s="1"/>
  <c r="S74" i="109" s="1"/>
  <c r="L75" i="109" s="1"/>
  <c r="P74" i="109"/>
  <c r="N74" i="109" s="1"/>
  <c r="X131" i="75"/>
  <c r="BK96" i="75"/>
  <c r="J96" i="75"/>
  <c r="L97" i="75"/>
  <c r="P97" i="75" s="1"/>
  <c r="N97" i="75" s="1"/>
  <c r="K97" i="75" s="1"/>
  <c r="W132" i="75"/>
  <c r="S97" i="75"/>
  <c r="I48" i="111"/>
  <c r="O48" i="111"/>
  <c r="N48" i="111" s="1"/>
  <c r="L48" i="111" s="1"/>
  <c r="P48" i="111"/>
  <c r="V89" i="111"/>
  <c r="U88" i="111"/>
  <c r="AT46" i="111"/>
  <c r="AR46" i="111" s="1"/>
  <c r="AS47" i="111" s="1"/>
  <c r="S49" i="112"/>
  <c r="T90" i="112"/>
  <c r="V90" i="112" s="1"/>
  <c r="H49" i="112"/>
  <c r="BA48" i="112"/>
  <c r="M72" i="94"/>
  <c r="S72" i="94" s="1"/>
  <c r="BL72" i="94"/>
  <c r="J72" i="94"/>
  <c r="Y107" i="94"/>
  <c r="AO50" i="103"/>
  <c r="AL50" i="103" s="1"/>
  <c r="P42" i="61"/>
  <c r="T72" i="61"/>
  <c r="AM138" i="78" l="1"/>
  <c r="AO99" i="78"/>
  <c r="BK85" i="88"/>
  <c r="J85" i="88"/>
  <c r="X120" i="88"/>
  <c r="AO103" i="86"/>
  <c r="AM142" i="86"/>
  <c r="AS103" i="86"/>
  <c r="AO98" i="88"/>
  <c r="AS98" i="88"/>
  <c r="AM137" i="88"/>
  <c r="H47" i="66"/>
  <c r="O47" i="66" s="1"/>
  <c r="AM138" i="75"/>
  <c r="AS99" i="75"/>
  <c r="AO99" i="75"/>
  <c r="X140" i="86"/>
  <c r="J105" i="86"/>
  <c r="BK105" i="86"/>
  <c r="U173" i="66"/>
  <c r="F174" i="66"/>
  <c r="AA173" i="66"/>
  <c r="G173" i="66"/>
  <c r="S86" i="88"/>
  <c r="L86" i="88"/>
  <c r="P86" i="88" s="1"/>
  <c r="N86" i="88" s="1"/>
  <c r="K86" i="88" s="1"/>
  <c r="W121" i="88"/>
  <c r="BL144" i="88"/>
  <c r="AU99" i="88"/>
  <c r="AY99" i="88" s="1"/>
  <c r="AW99" i="88" s="1"/>
  <c r="AT99" i="88" s="1"/>
  <c r="BG99" i="88"/>
  <c r="BG107" i="78"/>
  <c r="BE101" i="78"/>
  <c r="AS101" i="78"/>
  <c r="BJ146" i="78"/>
  <c r="L106" i="86"/>
  <c r="P106" i="86" s="1"/>
  <c r="N106" i="86" s="1"/>
  <c r="K106" i="86" s="1"/>
  <c r="W141" i="86"/>
  <c r="S106" i="86"/>
  <c r="AX100" i="78"/>
  <c r="AY100" i="78"/>
  <c r="AT51" i="59"/>
  <c r="AR51" i="59" s="1"/>
  <c r="K91" i="78"/>
  <c r="O91" i="78" s="1"/>
  <c r="M91" i="78" s="1"/>
  <c r="N92" i="78" s="1"/>
  <c r="W131" i="78"/>
  <c r="AO98" i="78"/>
  <c r="AM137" i="78"/>
  <c r="L172" i="66"/>
  <c r="N172" i="66"/>
  <c r="M172" i="66"/>
  <c r="E114" i="108"/>
  <c r="G114" i="108"/>
  <c r="F114" i="108"/>
  <c r="Q48" i="66"/>
  <c r="Q47" i="59"/>
  <c r="U94" i="59"/>
  <c r="AW100" i="78"/>
  <c r="AU100" i="78" s="1"/>
  <c r="AR100" i="78" s="1"/>
  <c r="AU104" i="86"/>
  <c r="AY104" i="86" s="1"/>
  <c r="AW104" i="86" s="1"/>
  <c r="AT104" i="86" s="1"/>
  <c r="BL149" i="86"/>
  <c r="BG104" i="86"/>
  <c r="BL145" i="75"/>
  <c r="AU100" i="75"/>
  <c r="AY100" i="75" s="1"/>
  <c r="AW100" i="75" s="1"/>
  <c r="AT100" i="75" s="1"/>
  <c r="BG100" i="75"/>
  <c r="X130" i="78"/>
  <c r="BI96" i="78"/>
  <c r="AV100" i="78"/>
  <c r="X110" i="109"/>
  <c r="P75" i="109"/>
  <c r="N75" i="109" s="1"/>
  <c r="J74" i="109"/>
  <c r="BL74" i="109"/>
  <c r="Y109" i="109"/>
  <c r="BK97" i="75"/>
  <c r="X132" i="75"/>
  <c r="J97" i="75"/>
  <c r="S98" i="75"/>
  <c r="W133" i="75"/>
  <c r="L98" i="75"/>
  <c r="P98" i="75" s="1"/>
  <c r="N98" i="75" s="1"/>
  <c r="K98" i="75" s="1"/>
  <c r="G48" i="111"/>
  <c r="BA48" i="111" s="1"/>
  <c r="AO46" i="111"/>
  <c r="AQ46" i="111"/>
  <c r="AW46" i="111" s="1"/>
  <c r="M49" i="111"/>
  <c r="I49" i="112"/>
  <c r="O49" i="112"/>
  <c r="P49" i="112"/>
  <c r="L73" i="94"/>
  <c r="K73" i="94" s="1"/>
  <c r="X108" i="94"/>
  <c r="AQ50" i="103"/>
  <c r="AW50" i="103" s="1"/>
  <c r="AY51" i="103" s="1"/>
  <c r="AJ90" i="103"/>
  <c r="S73" i="61"/>
  <c r="I43" i="61"/>
  <c r="R43" i="61"/>
  <c r="BK86" i="88" l="1"/>
  <c r="J86" i="88"/>
  <c r="X121" i="88"/>
  <c r="AM143" i="86"/>
  <c r="AO104" i="86"/>
  <c r="AS104" i="86"/>
  <c r="BK106" i="86"/>
  <c r="J106" i="86"/>
  <c r="X141" i="86"/>
  <c r="AM138" i="88"/>
  <c r="AS99" i="88"/>
  <c r="AO99" i="88"/>
  <c r="AO100" i="75"/>
  <c r="AS100" i="75"/>
  <c r="AM139" i="75"/>
  <c r="V47" i="66"/>
  <c r="Z47" i="66"/>
  <c r="AU101" i="75"/>
  <c r="AY101" i="75" s="1"/>
  <c r="AW101" i="75" s="1"/>
  <c r="AT101" i="75" s="1"/>
  <c r="BL146" i="75"/>
  <c r="BG101" i="75"/>
  <c r="AO100" i="78"/>
  <c r="AM139" i="78"/>
  <c r="L91" i="78"/>
  <c r="R91" i="78" s="1"/>
  <c r="AU100" i="88"/>
  <c r="AY100" i="88" s="1"/>
  <c r="AW100" i="88" s="1"/>
  <c r="AT100" i="88" s="1"/>
  <c r="BG100" i="88"/>
  <c r="BL145" i="88"/>
  <c r="M173" i="66"/>
  <c r="L173" i="66"/>
  <c r="N173" i="66"/>
  <c r="J48" i="59"/>
  <c r="T95" i="59"/>
  <c r="S48" i="59"/>
  <c r="AO51" i="59"/>
  <c r="AQ51" i="59" s="1"/>
  <c r="BB51" i="59" s="1"/>
  <c r="U174" i="66"/>
  <c r="G174" i="66"/>
  <c r="AA174" i="66"/>
  <c r="F175" i="66"/>
  <c r="AU105" i="86"/>
  <c r="AY105" i="86" s="1"/>
  <c r="AW105" i="86" s="1"/>
  <c r="AT105" i="86" s="1"/>
  <c r="BL150" i="86"/>
  <c r="BG105" i="86"/>
  <c r="BG108" i="78"/>
  <c r="BE102" i="78"/>
  <c r="BJ147" i="78"/>
  <c r="AS102" i="78"/>
  <c r="D114" i="108"/>
  <c r="C115" i="108" s="1"/>
  <c r="AV101" i="78"/>
  <c r="J91" i="78"/>
  <c r="W142" i="86"/>
  <c r="L107" i="86"/>
  <c r="P107" i="86" s="1"/>
  <c r="N107" i="86" s="1"/>
  <c r="K107" i="86" s="1"/>
  <c r="S107" i="86"/>
  <c r="AY101" i="78"/>
  <c r="AX101" i="78"/>
  <c r="AW101" i="78" s="1"/>
  <c r="AU101" i="78" s="1"/>
  <c r="AR101" i="78" s="1"/>
  <c r="AS52" i="59"/>
  <c r="S87" i="88"/>
  <c r="W122" i="88"/>
  <c r="L87" i="88"/>
  <c r="P87" i="88" s="1"/>
  <c r="N87" i="88" s="1"/>
  <c r="K87" i="88" s="1"/>
  <c r="K75" i="109"/>
  <c r="X133" i="75"/>
  <c r="BK98" i="75"/>
  <c r="J98" i="75"/>
  <c r="L99" i="75"/>
  <c r="P99" i="75" s="1"/>
  <c r="N99" i="75" s="1"/>
  <c r="K99" i="75" s="1"/>
  <c r="W134" i="75"/>
  <c r="S99" i="75"/>
  <c r="AP47" i="111"/>
  <c r="BB93" i="111"/>
  <c r="AY47" i="111"/>
  <c r="AI88" i="111"/>
  <c r="AK88" i="111" s="1"/>
  <c r="AL46" i="111"/>
  <c r="AJ87" i="111"/>
  <c r="K48" i="111"/>
  <c r="Q48" i="111" s="1"/>
  <c r="AP51" i="103"/>
  <c r="N49" i="112"/>
  <c r="L49" i="112" s="1"/>
  <c r="BL73" i="94"/>
  <c r="J73" i="94"/>
  <c r="Y108" i="94"/>
  <c r="P73" i="94"/>
  <c r="N73" i="94" s="1"/>
  <c r="M73" i="94"/>
  <c r="S73" i="94" s="1"/>
  <c r="AI91" i="103"/>
  <c r="AK91" i="103" s="1"/>
  <c r="BB96" i="103"/>
  <c r="AU51" i="103"/>
  <c r="AV51" i="103"/>
  <c r="O43" i="61"/>
  <c r="N43" i="61"/>
  <c r="X142" i="86" l="1"/>
  <c r="J107" i="86"/>
  <c r="BK107" i="86"/>
  <c r="AM144" i="86"/>
  <c r="AO105" i="86"/>
  <c r="AS105" i="86"/>
  <c r="BD58" i="59"/>
  <c r="BG97" i="59"/>
  <c r="AP52" i="59"/>
  <c r="AO101" i="78"/>
  <c r="AM140" i="78"/>
  <c r="AO100" i="88"/>
  <c r="AS100" i="88"/>
  <c r="AM139" i="88"/>
  <c r="J87" i="88"/>
  <c r="X122" i="88"/>
  <c r="AH50" i="88" s="1"/>
  <c r="BK87" i="88"/>
  <c r="AO101" i="75"/>
  <c r="AM140" i="75"/>
  <c r="AS101" i="75"/>
  <c r="AY102" i="78"/>
  <c r="AX102" i="78"/>
  <c r="X131" i="78"/>
  <c r="BI97" i="78"/>
  <c r="BL151" i="86"/>
  <c r="AU106" i="86"/>
  <c r="AY106" i="86" s="1"/>
  <c r="AW106" i="86" s="1"/>
  <c r="AT106" i="86" s="1"/>
  <c r="BG106" i="86"/>
  <c r="L92" i="78"/>
  <c r="R92" i="78" s="1"/>
  <c r="W132" i="78"/>
  <c r="K92" i="78"/>
  <c r="O92" i="78" s="1"/>
  <c r="M92" i="78" s="1"/>
  <c r="N93" i="78" s="1"/>
  <c r="K48" i="66"/>
  <c r="J48" i="66"/>
  <c r="I48" i="66" s="1"/>
  <c r="X48" i="66"/>
  <c r="S88" i="88"/>
  <c r="W123" i="88"/>
  <c r="L88" i="88"/>
  <c r="P88" i="88" s="1"/>
  <c r="N88" i="88" s="1"/>
  <c r="K88" i="88" s="1"/>
  <c r="AV102" i="78"/>
  <c r="G115" i="108"/>
  <c r="E115" i="108"/>
  <c r="F115" i="108"/>
  <c r="AW102" i="78"/>
  <c r="AU102" i="78" s="1"/>
  <c r="AR102" i="78" s="1"/>
  <c r="AL51" i="59"/>
  <c r="AJ90" i="59"/>
  <c r="AU102" i="75"/>
  <c r="AY102" i="75" s="1"/>
  <c r="AW102" i="75" s="1"/>
  <c r="AT102" i="75" s="1"/>
  <c r="BL147" i="75"/>
  <c r="BG102" i="75"/>
  <c r="V108" i="86"/>
  <c r="L108" i="86"/>
  <c r="W143" i="86"/>
  <c r="W144" i="86" s="1"/>
  <c r="U175" i="66"/>
  <c r="G175" i="66"/>
  <c r="AA175" i="66"/>
  <c r="F176" i="66"/>
  <c r="O48" i="59"/>
  <c r="N48" i="59" s="1"/>
  <c r="L48" i="59" s="1"/>
  <c r="P48" i="59"/>
  <c r="BL146" i="88"/>
  <c r="AU101" i="88"/>
  <c r="AY101" i="88" s="1"/>
  <c r="AW101" i="88" s="1"/>
  <c r="AT101" i="88" s="1"/>
  <c r="BG101" i="88"/>
  <c r="BG109" i="78"/>
  <c r="BE103" i="78"/>
  <c r="BJ148" i="78"/>
  <c r="AS103" i="78"/>
  <c r="N174" i="66"/>
  <c r="M174" i="66"/>
  <c r="L174" i="66"/>
  <c r="M75" i="109"/>
  <c r="S75" i="109" s="1"/>
  <c r="L76" i="109" s="1"/>
  <c r="BL75" i="109"/>
  <c r="Y110" i="109"/>
  <c r="J75" i="109"/>
  <c r="BK99" i="75"/>
  <c r="X134" i="75"/>
  <c r="J99" i="75"/>
  <c r="S100" i="75"/>
  <c r="W135" i="75"/>
  <c r="L100" i="75"/>
  <c r="P100" i="75" s="1"/>
  <c r="N100" i="75" s="1"/>
  <c r="K100" i="75" s="1"/>
  <c r="S49" i="111"/>
  <c r="H49" i="111"/>
  <c r="T90" i="111"/>
  <c r="AU47" i="111"/>
  <c r="AV47" i="111"/>
  <c r="AT51" i="103"/>
  <c r="AR51" i="103" s="1"/>
  <c r="AO51" i="103" s="1"/>
  <c r="AL51" i="103" s="1"/>
  <c r="G49" i="112"/>
  <c r="K49" i="112" s="1"/>
  <c r="Q49" i="112" s="1"/>
  <c r="M50" i="112"/>
  <c r="L74" i="94"/>
  <c r="K74" i="94" s="1"/>
  <c r="X109" i="94"/>
  <c r="M43" i="61"/>
  <c r="K43" i="61" s="1"/>
  <c r="I48" i="59" l="1"/>
  <c r="BF54" i="59" s="1"/>
  <c r="K48" i="59"/>
  <c r="X123" i="88"/>
  <c r="J88" i="88"/>
  <c r="BK88" i="88"/>
  <c r="K93" i="78"/>
  <c r="O93" i="78" s="1"/>
  <c r="M93" i="78" s="1"/>
  <c r="N94" i="78" s="1"/>
  <c r="W133" i="78"/>
  <c r="AM141" i="75"/>
  <c r="AO102" i="75"/>
  <c r="AS102" i="75"/>
  <c r="AO106" i="86"/>
  <c r="AM145" i="86"/>
  <c r="AS106" i="86"/>
  <c r="AM140" i="88"/>
  <c r="AS101" i="88"/>
  <c r="AO101" i="88"/>
  <c r="D115" i="108"/>
  <c r="C116" i="108" s="1"/>
  <c r="AW103" i="78"/>
  <c r="AU103" i="78" s="1"/>
  <c r="AR103" i="78" s="1"/>
  <c r="BG110" i="78"/>
  <c r="BE104" i="78"/>
  <c r="BJ149" i="78"/>
  <c r="AS104" i="78"/>
  <c r="AV103" i="78"/>
  <c r="AV52" i="59"/>
  <c r="AU52" i="59"/>
  <c r="N175" i="66"/>
  <c r="M175" i="66"/>
  <c r="L175" i="66"/>
  <c r="AX103" i="78"/>
  <c r="AY103" i="78"/>
  <c r="M49" i="59"/>
  <c r="P108" i="86"/>
  <c r="L109" i="86"/>
  <c r="C30" i="86" s="1"/>
  <c r="AM141" i="78"/>
  <c r="AO102" i="78"/>
  <c r="AT107" i="86"/>
  <c r="BL152" i="86"/>
  <c r="AU107" i="86"/>
  <c r="AY107" i="86" s="1"/>
  <c r="AW107" i="86" s="1"/>
  <c r="BG107" i="86"/>
  <c r="AA176" i="66"/>
  <c r="F177" i="66"/>
  <c r="U176" i="66"/>
  <c r="G176" i="66"/>
  <c r="R108" i="86"/>
  <c r="R109" i="86" s="1"/>
  <c r="S108" i="86"/>
  <c r="M108" i="86"/>
  <c r="M109" i="86" s="1"/>
  <c r="Q108" i="86"/>
  <c r="Q109" i="86" s="1"/>
  <c r="BL147" i="88"/>
  <c r="BG102" i="88"/>
  <c r="AU102" i="88"/>
  <c r="AY102" i="88" s="1"/>
  <c r="AW102" i="88" s="1"/>
  <c r="AT102" i="88" s="1"/>
  <c r="AU103" i="75"/>
  <c r="AY103" i="75" s="1"/>
  <c r="AW103" i="75" s="1"/>
  <c r="AT103" i="75" s="1"/>
  <c r="BL148" i="75"/>
  <c r="BG103" i="75"/>
  <c r="S89" i="88"/>
  <c r="W124" i="88"/>
  <c r="L89" i="88"/>
  <c r="P89" i="88" s="1"/>
  <c r="N89" i="88" s="1"/>
  <c r="K89" i="88" s="1"/>
  <c r="J92" i="78"/>
  <c r="T48" i="66"/>
  <c r="S48" i="66"/>
  <c r="AT52" i="59"/>
  <c r="X111" i="109"/>
  <c r="BK100" i="75"/>
  <c r="X135" i="75"/>
  <c r="J100" i="75"/>
  <c r="L101" i="75"/>
  <c r="P101" i="75" s="1"/>
  <c r="N101" i="75" s="1"/>
  <c r="K101" i="75" s="1"/>
  <c r="W136" i="75"/>
  <c r="S101" i="75"/>
  <c r="V90" i="111"/>
  <c r="U89" i="111"/>
  <c r="I49" i="111"/>
  <c r="AT47" i="111"/>
  <c r="AR47" i="111" s="1"/>
  <c r="AS48" i="111" s="1"/>
  <c r="O49" i="111"/>
  <c r="P49" i="111"/>
  <c r="H50" i="112"/>
  <c r="I50" i="112" s="1"/>
  <c r="S50" i="112"/>
  <c r="T91" i="112"/>
  <c r="V91" i="112" s="1"/>
  <c r="BA49" i="112"/>
  <c r="Y109" i="94"/>
  <c r="BL74" i="94"/>
  <c r="J74" i="94"/>
  <c r="P74" i="94"/>
  <c r="N74" i="94" s="1"/>
  <c r="M74" i="94"/>
  <c r="S74" i="94" s="1"/>
  <c r="AQ51" i="103"/>
  <c r="AW51" i="103" s="1"/>
  <c r="AY52" i="103" s="1"/>
  <c r="AJ91" i="103"/>
  <c r="AS52" i="103"/>
  <c r="H43" i="61"/>
  <c r="J43" i="61" s="1"/>
  <c r="L44" i="61"/>
  <c r="AM141" i="88" l="1"/>
  <c r="AS102" i="88"/>
  <c r="AO102" i="88"/>
  <c r="BK89" i="88"/>
  <c r="J89" i="88"/>
  <c r="X124" i="88"/>
  <c r="AM142" i="75"/>
  <c r="AS103" i="75"/>
  <c r="AO103" i="75"/>
  <c r="N108" i="86"/>
  <c r="P109" i="86"/>
  <c r="AY104" i="78"/>
  <c r="AX104" i="78"/>
  <c r="BI98" i="78"/>
  <c r="X132" i="78"/>
  <c r="R48" i="66"/>
  <c r="P48" i="66" s="1"/>
  <c r="L93" i="78"/>
  <c r="R93" i="78" s="1"/>
  <c r="L176" i="66"/>
  <c r="N176" i="66"/>
  <c r="M176" i="66"/>
  <c r="AV104" i="78"/>
  <c r="BG103" i="88"/>
  <c r="BL148" i="88"/>
  <c r="AU103" i="88"/>
  <c r="AY103" i="88" s="1"/>
  <c r="AW103" i="88" s="1"/>
  <c r="AT103" i="88" s="1"/>
  <c r="AM146" i="86"/>
  <c r="AO107" i="86"/>
  <c r="AS107" i="86"/>
  <c r="E116" i="108"/>
  <c r="F116" i="108"/>
  <c r="G116" i="108"/>
  <c r="AO103" i="78"/>
  <c r="AM142" i="78"/>
  <c r="BL153" i="86"/>
  <c r="AU108" i="86"/>
  <c r="BG108" i="86"/>
  <c r="S90" i="88"/>
  <c r="L90" i="88"/>
  <c r="P90" i="88" s="1"/>
  <c r="N90" i="88" s="1"/>
  <c r="K90" i="88" s="1"/>
  <c r="W125" i="88"/>
  <c r="G177" i="66"/>
  <c r="AA177" i="66"/>
  <c r="U177" i="66"/>
  <c r="F178" i="66"/>
  <c r="BG111" i="78"/>
  <c r="BE105" i="78"/>
  <c r="BJ150" i="78"/>
  <c r="AS105" i="78"/>
  <c r="U95" i="59"/>
  <c r="Q48" i="59"/>
  <c r="AR52" i="59"/>
  <c r="AS53" i="59" s="1"/>
  <c r="AT104" i="75"/>
  <c r="AU104" i="75"/>
  <c r="AY104" i="75" s="1"/>
  <c r="AW104" i="75" s="1"/>
  <c r="BL149" i="75"/>
  <c r="BG104" i="75"/>
  <c r="C33" i="86"/>
  <c r="J93" i="78"/>
  <c r="P76" i="109"/>
  <c r="N76" i="109" s="1"/>
  <c r="K76" i="109"/>
  <c r="J101" i="75"/>
  <c r="X136" i="75"/>
  <c r="BK101" i="75"/>
  <c r="S102" i="75"/>
  <c r="L102" i="75"/>
  <c r="P102" i="75" s="1"/>
  <c r="N102" i="75" s="1"/>
  <c r="K102" i="75" s="1"/>
  <c r="W137" i="75"/>
  <c r="AO47" i="111"/>
  <c r="AL47" i="111" s="1"/>
  <c r="AQ47" i="111"/>
  <c r="AW47" i="111" s="1"/>
  <c r="N49" i="111"/>
  <c r="L49" i="111" s="1"/>
  <c r="M50" i="111" s="1"/>
  <c r="P50" i="112"/>
  <c r="O50" i="112"/>
  <c r="L75" i="94"/>
  <c r="X110" i="94"/>
  <c r="AI92" i="103"/>
  <c r="AK92" i="103" s="1"/>
  <c r="BB97" i="103"/>
  <c r="AP52" i="103"/>
  <c r="AU52" i="103"/>
  <c r="AV52" i="103"/>
  <c r="P43" i="61"/>
  <c r="T73" i="61"/>
  <c r="AM142" i="88" l="1"/>
  <c r="AO103" i="88"/>
  <c r="AS103" i="88"/>
  <c r="X125" i="88"/>
  <c r="BK90" i="88"/>
  <c r="J90" i="88"/>
  <c r="AV105" i="78"/>
  <c r="AW104" i="78"/>
  <c r="AU104" i="78" s="1"/>
  <c r="AR104" i="78" s="1"/>
  <c r="BL149" i="88"/>
  <c r="AU104" i="88"/>
  <c r="AY104" i="88" s="1"/>
  <c r="AW104" i="88" s="1"/>
  <c r="AT104" i="88" s="1"/>
  <c r="BG104" i="88"/>
  <c r="BG112" i="78"/>
  <c r="BE106" i="78"/>
  <c r="BJ151" i="78"/>
  <c r="AS106" i="78"/>
  <c r="AU105" i="75"/>
  <c r="AY105" i="75" s="1"/>
  <c r="AW105" i="75" s="1"/>
  <c r="AT105" i="75" s="1"/>
  <c r="BL150" i="75"/>
  <c r="BG105" i="75"/>
  <c r="AO104" i="75"/>
  <c r="AS104" i="75"/>
  <c r="AM143" i="75"/>
  <c r="AY105" i="78"/>
  <c r="AX105" i="78"/>
  <c r="AW105" i="78" s="1"/>
  <c r="AU105" i="78" s="1"/>
  <c r="AR105" i="78" s="1"/>
  <c r="D116" i="108"/>
  <c r="C117" i="108" s="1"/>
  <c r="AO52" i="59"/>
  <c r="AQ52" i="59"/>
  <c r="BB52" i="59" s="1"/>
  <c r="F179" i="66"/>
  <c r="U178" i="66"/>
  <c r="G178" i="66"/>
  <c r="AA178" i="66"/>
  <c r="S91" i="88"/>
  <c r="W126" i="88"/>
  <c r="L91" i="88"/>
  <c r="P91" i="88" s="1"/>
  <c r="N91" i="88" s="1"/>
  <c r="K91" i="88" s="1"/>
  <c r="W134" i="78"/>
  <c r="K94" i="78"/>
  <c r="O94" i="78" s="1"/>
  <c r="M94" i="78" s="1"/>
  <c r="N95" i="78" s="1"/>
  <c r="N109" i="86"/>
  <c r="K108" i="86"/>
  <c r="X133" i="78"/>
  <c r="BI99" i="78"/>
  <c r="S49" i="59"/>
  <c r="T96" i="59"/>
  <c r="J49" i="59"/>
  <c r="H48" i="66"/>
  <c r="O48" i="66"/>
  <c r="Q49" i="66"/>
  <c r="N177" i="66"/>
  <c r="L177" i="66"/>
  <c r="M177" i="66"/>
  <c r="C51" i="86"/>
  <c r="AY108" i="86"/>
  <c r="AW108" i="86" s="1"/>
  <c r="AU109" i="86"/>
  <c r="D30" i="86" s="1"/>
  <c r="Y111" i="109"/>
  <c r="M76" i="109"/>
  <c r="S76" i="109" s="1"/>
  <c r="L77" i="109" s="1"/>
  <c r="BL76" i="109"/>
  <c r="J76" i="109"/>
  <c r="BK102" i="75"/>
  <c r="X137" i="75"/>
  <c r="J102" i="75"/>
  <c r="S103" i="75"/>
  <c r="L103" i="75"/>
  <c r="P103" i="75" s="1"/>
  <c r="N103" i="75" s="1"/>
  <c r="K103" i="75" s="1"/>
  <c r="W138" i="75"/>
  <c r="AP48" i="111"/>
  <c r="AY48" i="111"/>
  <c r="G49" i="111"/>
  <c r="K49" i="111" s="1"/>
  <c r="Q49" i="111" s="1"/>
  <c r="N50" i="112"/>
  <c r="L50" i="112" s="1"/>
  <c r="M51" i="112" s="1"/>
  <c r="P75" i="94"/>
  <c r="N75" i="94" s="1"/>
  <c r="K75" i="94"/>
  <c r="AT52" i="103"/>
  <c r="AR52" i="103" s="1"/>
  <c r="AO52" i="103" s="1"/>
  <c r="AL52" i="103" s="1"/>
  <c r="S74" i="61"/>
  <c r="I44" i="61"/>
  <c r="R44" i="61"/>
  <c r="AM144" i="78" l="1"/>
  <c r="AO105" i="78"/>
  <c r="AO104" i="88"/>
  <c r="AS104" i="88"/>
  <c r="AM143" i="88"/>
  <c r="AM144" i="75"/>
  <c r="AO105" i="75"/>
  <c r="AS105" i="75"/>
  <c r="BK91" i="88"/>
  <c r="J91" i="88"/>
  <c r="X126" i="88"/>
  <c r="G179" i="66"/>
  <c r="F180" i="66"/>
  <c r="U179" i="66"/>
  <c r="AA179" i="66"/>
  <c r="AJ91" i="59"/>
  <c r="AL52" i="59"/>
  <c r="AU106" i="75"/>
  <c r="AY106" i="75" s="1"/>
  <c r="AW106" i="75" s="1"/>
  <c r="AT106" i="75" s="1"/>
  <c r="BL151" i="75"/>
  <c r="BG106" i="75"/>
  <c r="AY106" i="78"/>
  <c r="AX106" i="78"/>
  <c r="D33" i="86"/>
  <c r="E30" i="86"/>
  <c r="V48" i="66"/>
  <c r="Z48" i="66"/>
  <c r="BK108" i="86"/>
  <c r="J108" i="86"/>
  <c r="J109" i="86" s="1"/>
  <c r="C32" i="86" s="1"/>
  <c r="X143" i="86"/>
  <c r="K109" i="86"/>
  <c r="BK109" i="86" s="1"/>
  <c r="BK115" i="86" s="1"/>
  <c r="BD59" i="59"/>
  <c r="BG98" i="59"/>
  <c r="AP53" i="59"/>
  <c r="BG113" i="78"/>
  <c r="BE107" i="78"/>
  <c r="AS107" i="78"/>
  <c r="BJ152" i="78"/>
  <c r="AW109" i="86"/>
  <c r="AT108" i="86"/>
  <c r="N49" i="59"/>
  <c r="L49" i="59" s="1"/>
  <c r="I49" i="59" s="1"/>
  <c r="BF55" i="59" s="1"/>
  <c r="J94" i="78"/>
  <c r="S92" i="88"/>
  <c r="L92" i="88"/>
  <c r="P92" i="88" s="1"/>
  <c r="N92" i="88" s="1"/>
  <c r="K92" i="88"/>
  <c r="W127" i="88"/>
  <c r="BL150" i="88"/>
  <c r="AU105" i="88"/>
  <c r="AY105" i="88" s="1"/>
  <c r="AW105" i="88" s="1"/>
  <c r="AT105" i="88" s="1"/>
  <c r="BG105" i="88"/>
  <c r="E117" i="108"/>
  <c r="F117" i="108"/>
  <c r="G117" i="108"/>
  <c r="D117" i="108" s="1"/>
  <c r="C118" i="108" s="1"/>
  <c r="AV106" i="78"/>
  <c r="O49" i="59"/>
  <c r="P49" i="59"/>
  <c r="L178" i="66"/>
  <c r="M178" i="66"/>
  <c r="N178" i="66"/>
  <c r="AW106" i="78"/>
  <c r="AU106" i="78" s="1"/>
  <c r="AR106" i="78" s="1"/>
  <c r="C52" i="86"/>
  <c r="C53" i="86"/>
  <c r="L94" i="78"/>
  <c r="R94" i="78" s="1"/>
  <c r="AM143" i="78"/>
  <c r="AO104" i="78"/>
  <c r="P77" i="109"/>
  <c r="N77" i="109" s="1"/>
  <c r="X112" i="109"/>
  <c r="J103" i="75"/>
  <c r="X138" i="75"/>
  <c r="BK103" i="75"/>
  <c r="S104" i="75"/>
  <c r="L104" i="75"/>
  <c r="P104" i="75" s="1"/>
  <c r="N104" i="75" s="1"/>
  <c r="K104" i="75" s="1"/>
  <c r="W139" i="75"/>
  <c r="S50" i="111"/>
  <c r="H50" i="111"/>
  <c r="T91" i="111"/>
  <c r="V91" i="111" s="1"/>
  <c r="BA49" i="111"/>
  <c r="AU48" i="111"/>
  <c r="AV48" i="111"/>
  <c r="AT48" i="111"/>
  <c r="AR48" i="111" s="1"/>
  <c r="AO48" i="111" s="1"/>
  <c r="AL48" i="111" s="1"/>
  <c r="G50" i="112"/>
  <c r="K50" i="112" s="1"/>
  <c r="Q50" i="112" s="1"/>
  <c r="AQ52" i="103"/>
  <c r="AW52" i="103" s="1"/>
  <c r="BB98" i="103" s="1"/>
  <c r="J75" i="94"/>
  <c r="M75" i="94"/>
  <c r="S75" i="94" s="1"/>
  <c r="BL75" i="94"/>
  <c r="Y110" i="94"/>
  <c r="AJ92" i="103"/>
  <c r="AS53" i="103"/>
  <c r="N44" i="61"/>
  <c r="O44" i="61"/>
  <c r="AS105" i="88" l="1"/>
  <c r="AM144" i="88"/>
  <c r="AO105" i="88"/>
  <c r="AM145" i="75"/>
  <c r="AS106" i="75"/>
  <c r="AO106" i="75"/>
  <c r="G118" i="108"/>
  <c r="D118" i="108" s="1"/>
  <c r="C119" i="108" s="1"/>
  <c r="F118" i="108"/>
  <c r="E118" i="108"/>
  <c r="AV107" i="78"/>
  <c r="M179" i="66"/>
  <c r="L179" i="66"/>
  <c r="N179" i="66"/>
  <c r="AV53" i="59"/>
  <c r="AU53" i="59"/>
  <c r="C54" i="86"/>
  <c r="S93" i="88"/>
  <c r="L93" i="88"/>
  <c r="P93" i="88" s="1"/>
  <c r="N93" i="88" s="1"/>
  <c r="K93" i="88" s="1"/>
  <c r="W128" i="88"/>
  <c r="BG114" i="78"/>
  <c r="BE108" i="78"/>
  <c r="BJ153" i="78"/>
  <c r="BJ154" i="78" s="1"/>
  <c r="AS108" i="78"/>
  <c r="Y144" i="86"/>
  <c r="X144" i="86"/>
  <c r="M50" i="59"/>
  <c r="AU106" i="88"/>
  <c r="AY106" i="88" s="1"/>
  <c r="AW106" i="88" s="1"/>
  <c r="AT106" i="88" s="1"/>
  <c r="BL151" i="88"/>
  <c r="BG106" i="88"/>
  <c r="BI100" i="78"/>
  <c r="X134" i="78"/>
  <c r="BL152" i="75"/>
  <c r="AU107" i="75"/>
  <c r="AY107" i="75" s="1"/>
  <c r="AW107" i="75" s="1"/>
  <c r="AT107" i="75" s="1"/>
  <c r="BG107" i="75"/>
  <c r="X127" i="88"/>
  <c r="J92" i="88"/>
  <c r="BK92" i="88"/>
  <c r="C49" i="86"/>
  <c r="D51" i="86"/>
  <c r="E33" i="86"/>
  <c r="C34" i="86" s="1"/>
  <c r="L95" i="78"/>
  <c r="R95" i="78" s="1"/>
  <c r="K95" i="78"/>
  <c r="O95" i="78" s="1"/>
  <c r="M95" i="78" s="1"/>
  <c r="N96" i="78" s="1"/>
  <c r="J95" i="78"/>
  <c r="W135" i="78"/>
  <c r="K49" i="59"/>
  <c r="AY107" i="78"/>
  <c r="AX107" i="78"/>
  <c r="AW107" i="78" s="1"/>
  <c r="AU107" i="78" s="1"/>
  <c r="AR107" i="78" s="1"/>
  <c r="F181" i="66"/>
  <c r="U180" i="66"/>
  <c r="AA180" i="66"/>
  <c r="G180" i="66"/>
  <c r="AO108" i="86"/>
  <c r="AO7" i="86" s="1"/>
  <c r="AS108" i="86"/>
  <c r="AS109" i="86" s="1"/>
  <c r="AM147" i="86"/>
  <c r="AT109" i="86"/>
  <c r="D32" i="86" s="1"/>
  <c r="AC51" i="86" s="1"/>
  <c r="AB47" i="86" s="1"/>
  <c r="AT53" i="59"/>
  <c r="AR53" i="59" s="1"/>
  <c r="AO53" i="59" s="1"/>
  <c r="J49" i="66"/>
  <c r="I49" i="66" s="1"/>
  <c r="K49" i="66"/>
  <c r="X49" i="66"/>
  <c r="AO106" i="78"/>
  <c r="AM145" i="78"/>
  <c r="K77" i="109"/>
  <c r="BK104" i="75"/>
  <c r="J104" i="75"/>
  <c r="X139" i="75"/>
  <c r="L105" i="75"/>
  <c r="P105" i="75" s="1"/>
  <c r="N105" i="75" s="1"/>
  <c r="K105" i="75" s="1"/>
  <c r="S105" i="75"/>
  <c r="W140" i="75"/>
  <c r="I50" i="111"/>
  <c r="AQ48" i="111"/>
  <c r="AW48" i="111" s="1"/>
  <c r="U90" i="111"/>
  <c r="AS49" i="111"/>
  <c r="O50" i="111"/>
  <c r="P50" i="111"/>
  <c r="AI93" i="103"/>
  <c r="AY53" i="103"/>
  <c r="AV53" i="103" s="1"/>
  <c r="AP53" i="103"/>
  <c r="S51" i="112"/>
  <c r="H51" i="112"/>
  <c r="I51" i="112" s="1"/>
  <c r="T92" i="112"/>
  <c r="V92" i="112" s="1"/>
  <c r="BA50" i="112"/>
  <c r="L76" i="94"/>
  <c r="X111" i="94"/>
  <c r="AJ88" i="111"/>
  <c r="AK93" i="103"/>
  <c r="M44" i="61"/>
  <c r="K44" i="61" s="1"/>
  <c r="E119" i="108" l="1"/>
  <c r="G119" i="108"/>
  <c r="F119" i="108"/>
  <c r="AO107" i="78"/>
  <c r="AM146" i="78"/>
  <c r="AS106" i="88"/>
  <c r="AM145" i="88"/>
  <c r="AO106" i="88"/>
  <c r="J93" i="88"/>
  <c r="X128" i="88"/>
  <c r="BK93" i="88"/>
  <c r="K96" i="78"/>
  <c r="O96" i="78" s="1"/>
  <c r="M96" i="78" s="1"/>
  <c r="N97" i="78" s="1"/>
  <c r="W136" i="78"/>
  <c r="X135" i="78"/>
  <c r="BI101" i="78"/>
  <c r="BL152" i="88"/>
  <c r="AU107" i="88"/>
  <c r="AY107" i="88" s="1"/>
  <c r="AW107" i="88" s="1"/>
  <c r="AT107" i="88" s="1"/>
  <c r="BG107" i="88"/>
  <c r="N180" i="66"/>
  <c r="L180" i="66"/>
  <c r="M180" i="66"/>
  <c r="AU53" i="103"/>
  <c r="S94" i="88"/>
  <c r="W129" i="88"/>
  <c r="L94" i="88"/>
  <c r="P94" i="88" s="1"/>
  <c r="N94" i="88" s="1"/>
  <c r="K94" i="88" s="1"/>
  <c r="AJ92" i="59"/>
  <c r="AL53" i="59"/>
  <c r="BL153" i="75"/>
  <c r="AU108" i="75"/>
  <c r="BG108" i="75"/>
  <c r="G181" i="66"/>
  <c r="U181" i="66"/>
  <c r="AA181" i="66"/>
  <c r="F182" i="66"/>
  <c r="AM146" i="75"/>
  <c r="AO107" i="75"/>
  <c r="AS107" i="75"/>
  <c r="AY108" i="78"/>
  <c r="AX108" i="78"/>
  <c r="AW108" i="78" s="1"/>
  <c r="AU108" i="78" s="1"/>
  <c r="AR108" i="78" s="1"/>
  <c r="AQ53" i="59"/>
  <c r="BB53" i="59" s="1"/>
  <c r="AN148" i="86"/>
  <c r="AM148" i="86"/>
  <c r="AV108" i="78"/>
  <c r="U96" i="59"/>
  <c r="Q49" i="59"/>
  <c r="T49" i="66"/>
  <c r="S49" i="66"/>
  <c r="R49" i="66" s="1"/>
  <c r="P49" i="66" s="1"/>
  <c r="D52" i="86"/>
  <c r="D53" i="86"/>
  <c r="E51" i="86"/>
  <c r="E32" i="86"/>
  <c r="AS54" i="59"/>
  <c r="J77" i="109"/>
  <c r="BL77" i="109"/>
  <c r="Y112" i="109"/>
  <c r="M77" i="109"/>
  <c r="S77" i="109" s="1"/>
  <c r="L78" i="109" s="1"/>
  <c r="BK105" i="75"/>
  <c r="J105" i="75"/>
  <c r="X140" i="75"/>
  <c r="L106" i="75"/>
  <c r="P106" i="75" s="1"/>
  <c r="N106" i="75" s="1"/>
  <c r="K106" i="75" s="1"/>
  <c r="S106" i="75"/>
  <c r="W141" i="75"/>
  <c r="AP49" i="111"/>
  <c r="BB94" i="111"/>
  <c r="AY49" i="111"/>
  <c r="N50" i="111"/>
  <c r="L50" i="111" s="1"/>
  <c r="P51" i="112"/>
  <c r="O51" i="112"/>
  <c r="P76" i="94"/>
  <c r="N76" i="94" s="1"/>
  <c r="K76" i="94"/>
  <c r="AI89" i="111"/>
  <c r="AK89" i="111" s="1"/>
  <c r="AT53" i="103"/>
  <c r="AR53" i="103" s="1"/>
  <c r="AS54" i="103" s="1"/>
  <c r="H44" i="61"/>
  <c r="J44" i="61" s="1"/>
  <c r="L45" i="61"/>
  <c r="AM147" i="78" l="1"/>
  <c r="AO108" i="78"/>
  <c r="H49" i="66"/>
  <c r="O49" i="66" s="1"/>
  <c r="X129" i="88"/>
  <c r="BK94" i="88"/>
  <c r="J94" i="88"/>
  <c r="AS107" i="88"/>
  <c r="AM146" i="88"/>
  <c r="AO107" i="88"/>
  <c r="AY108" i="75"/>
  <c r="AW108" i="75" s="1"/>
  <c r="AU109" i="75"/>
  <c r="D30" i="75" s="1"/>
  <c r="D33" i="75" s="1"/>
  <c r="D51" i="75" s="1"/>
  <c r="BD60" i="59"/>
  <c r="AP54" i="59"/>
  <c r="BG99" i="59"/>
  <c r="L96" i="78"/>
  <c r="R96" i="78" s="1"/>
  <c r="D54" i="86"/>
  <c r="E54" i="86" s="1"/>
  <c r="E53" i="86"/>
  <c r="G182" i="66"/>
  <c r="F183" i="66"/>
  <c r="U182" i="66"/>
  <c r="AA182" i="66"/>
  <c r="N181" i="66"/>
  <c r="L181" i="66"/>
  <c r="M181" i="66"/>
  <c r="J50" i="59"/>
  <c r="T97" i="59"/>
  <c r="S50" i="59"/>
  <c r="D119" i="108"/>
  <c r="C120" i="108" s="1"/>
  <c r="Q50" i="66"/>
  <c r="S95" i="88"/>
  <c r="L95" i="88"/>
  <c r="P95" i="88" s="1"/>
  <c r="N95" i="88" s="1"/>
  <c r="K95" i="88" s="1"/>
  <c r="W130" i="88"/>
  <c r="AU108" i="88"/>
  <c r="BG108" i="88"/>
  <c r="BL153" i="88"/>
  <c r="BL154" i="88" s="1"/>
  <c r="J96" i="78"/>
  <c r="P78" i="109"/>
  <c r="N78" i="109" s="1"/>
  <c r="X113" i="109"/>
  <c r="K78" i="109"/>
  <c r="J106" i="75"/>
  <c r="BK106" i="75"/>
  <c r="X141" i="75"/>
  <c r="W142" i="75"/>
  <c r="L107" i="75"/>
  <c r="P107" i="75" s="1"/>
  <c r="N107" i="75" s="1"/>
  <c r="K107" i="75" s="1"/>
  <c r="S107" i="75"/>
  <c r="AV49" i="111"/>
  <c r="AU49" i="111"/>
  <c r="G50" i="111"/>
  <c r="K50" i="111" s="1"/>
  <c r="Q50" i="111" s="1"/>
  <c r="M51" i="111"/>
  <c r="N51" i="112"/>
  <c r="L51" i="112" s="1"/>
  <c r="M52" i="112" s="1"/>
  <c r="M76" i="94"/>
  <c r="S76" i="94" s="1"/>
  <c r="Y111" i="94"/>
  <c r="BL76" i="94"/>
  <c r="J76" i="94"/>
  <c r="AO53" i="103"/>
  <c r="AQ53" i="103" s="1"/>
  <c r="AW53" i="103" s="1"/>
  <c r="P44" i="61"/>
  <c r="T74" i="61"/>
  <c r="X130" i="88" l="1"/>
  <c r="J95" i="88"/>
  <c r="BK95" i="88"/>
  <c r="V49" i="66"/>
  <c r="Z49" i="66"/>
  <c r="O50" i="59"/>
  <c r="P50" i="59"/>
  <c r="AY108" i="88"/>
  <c r="AW108" i="88" s="1"/>
  <c r="AU109" i="88"/>
  <c r="D29" i="88" s="1"/>
  <c r="D32" i="88" s="1"/>
  <c r="G183" i="66"/>
  <c r="U183" i="66"/>
  <c r="AA183" i="66"/>
  <c r="F184" i="66"/>
  <c r="N50" i="59"/>
  <c r="L50" i="59" s="1"/>
  <c r="I50" i="59" s="1"/>
  <c r="BF56" i="59" s="1"/>
  <c r="L182" i="66"/>
  <c r="N182" i="66"/>
  <c r="M182" i="66"/>
  <c r="AU54" i="59"/>
  <c r="AV54" i="59"/>
  <c r="D53" i="75"/>
  <c r="D54" i="75" s="1"/>
  <c r="D52" i="75"/>
  <c r="S96" i="88"/>
  <c r="W131" i="88"/>
  <c r="L96" i="88"/>
  <c r="P96" i="88" s="1"/>
  <c r="N96" i="88" s="1"/>
  <c r="K96" i="88" s="1"/>
  <c r="AW109" i="75"/>
  <c r="AT108" i="75"/>
  <c r="X136" i="78"/>
  <c r="BI102" i="78"/>
  <c r="F120" i="108"/>
  <c r="G120" i="108"/>
  <c r="D120" i="108" s="1"/>
  <c r="C121" i="108" s="1"/>
  <c r="E120" i="108"/>
  <c r="W137" i="78"/>
  <c r="K97" i="78"/>
  <c r="O97" i="78" s="1"/>
  <c r="M97" i="78" s="1"/>
  <c r="N98" i="78" s="1"/>
  <c r="M78" i="109"/>
  <c r="S78" i="109" s="1"/>
  <c r="L79" i="109" s="1"/>
  <c r="Y113" i="109"/>
  <c r="BL78" i="109"/>
  <c r="J78" i="109"/>
  <c r="J107" i="75"/>
  <c r="X142" i="75"/>
  <c r="BK107" i="75"/>
  <c r="V108" i="75"/>
  <c r="L108" i="75"/>
  <c r="W143" i="75"/>
  <c r="S51" i="111"/>
  <c r="H51" i="111"/>
  <c r="T92" i="111"/>
  <c r="V92" i="111" s="1"/>
  <c r="BA50" i="111"/>
  <c r="AT49" i="111"/>
  <c r="AR49" i="111" s="1"/>
  <c r="G51" i="112"/>
  <c r="K51" i="112" s="1"/>
  <c r="Q51" i="112" s="1"/>
  <c r="L77" i="94"/>
  <c r="P77" i="94" s="1"/>
  <c r="N77" i="94" s="1"/>
  <c r="X112" i="94"/>
  <c r="AI94" i="103"/>
  <c r="BB99" i="103"/>
  <c r="AP54" i="103"/>
  <c r="AY54" i="103"/>
  <c r="AL53" i="103"/>
  <c r="AJ93" i="103"/>
  <c r="S75" i="61"/>
  <c r="I45" i="61"/>
  <c r="R45" i="61"/>
  <c r="E121" i="108" l="1"/>
  <c r="F121" i="108"/>
  <c r="G121" i="108"/>
  <c r="D121" i="108" s="1"/>
  <c r="C122" i="108" s="1"/>
  <c r="J96" i="88"/>
  <c r="X131" i="88"/>
  <c r="BK96" i="88"/>
  <c r="AA184" i="66"/>
  <c r="F185" i="66"/>
  <c r="U184" i="66"/>
  <c r="G184" i="66"/>
  <c r="K50" i="59"/>
  <c r="M51" i="59"/>
  <c r="J97" i="78"/>
  <c r="S97" i="88"/>
  <c r="W132" i="88"/>
  <c r="L97" i="88"/>
  <c r="P97" i="88" s="1"/>
  <c r="N97" i="88" s="1"/>
  <c r="K97" i="88" s="1"/>
  <c r="M183" i="66"/>
  <c r="N183" i="66"/>
  <c r="L183" i="66"/>
  <c r="J50" i="66"/>
  <c r="I50" i="66" s="1"/>
  <c r="K50" i="66"/>
  <c r="X50" i="66"/>
  <c r="L97" i="78"/>
  <c r="R97" i="78" s="1"/>
  <c r="AO108" i="75"/>
  <c r="AO7" i="75" s="1"/>
  <c r="AM147" i="75"/>
  <c r="AS108" i="75"/>
  <c r="AS109" i="75" s="1"/>
  <c r="AT109" i="75"/>
  <c r="D32" i="75" s="1"/>
  <c r="AC51" i="75" s="1"/>
  <c r="AB47" i="75" s="1"/>
  <c r="D50" i="88"/>
  <c r="AW109" i="88"/>
  <c r="AT108" i="88"/>
  <c r="AT54" i="59"/>
  <c r="AR54" i="59" s="1"/>
  <c r="X114" i="109"/>
  <c r="K79" i="109"/>
  <c r="Q108" i="75"/>
  <c r="Q109" i="75" s="1"/>
  <c r="M108" i="75"/>
  <c r="M109" i="75" s="1"/>
  <c r="S108" i="75"/>
  <c r="R108" i="75"/>
  <c r="R109" i="75" s="1"/>
  <c r="P108" i="75"/>
  <c r="L109" i="75"/>
  <c r="C30" i="75" s="1"/>
  <c r="AO49" i="111"/>
  <c r="AL49" i="111" s="1"/>
  <c r="AS50" i="111"/>
  <c r="U91" i="111"/>
  <c r="I51" i="111"/>
  <c r="P51" i="111"/>
  <c r="O51" i="111"/>
  <c r="H52" i="112"/>
  <c r="T93" i="112"/>
  <c r="V93" i="112" s="1"/>
  <c r="S52" i="112"/>
  <c r="BA51" i="112"/>
  <c r="K77" i="94"/>
  <c r="M77" i="94" s="1"/>
  <c r="S77" i="94" s="1"/>
  <c r="AV54" i="103"/>
  <c r="AU54" i="103"/>
  <c r="AT54" i="103" s="1"/>
  <c r="AK94" i="103"/>
  <c r="N45" i="61"/>
  <c r="M45" i="61" s="1"/>
  <c r="K45" i="61" s="1"/>
  <c r="O45" i="61"/>
  <c r="J97" i="88" l="1"/>
  <c r="BK97" i="88"/>
  <c r="X132" i="88"/>
  <c r="G122" i="108"/>
  <c r="E122" i="108"/>
  <c r="F122" i="108"/>
  <c r="AO54" i="59"/>
  <c r="AM148" i="75"/>
  <c r="AN148" i="75"/>
  <c r="S98" i="88"/>
  <c r="L98" i="88"/>
  <c r="P98" i="88" s="1"/>
  <c r="N98" i="88" s="1"/>
  <c r="K98" i="88" s="1"/>
  <c r="W133" i="88"/>
  <c r="BI103" i="78"/>
  <c r="X137" i="78"/>
  <c r="AJ89" i="111"/>
  <c r="AO108" i="88"/>
  <c r="AO7" i="88" s="1"/>
  <c r="AM147" i="88"/>
  <c r="AS108" i="88"/>
  <c r="AS109" i="88" s="1"/>
  <c r="AT109" i="88"/>
  <c r="D31" i="88" s="1"/>
  <c r="AC51" i="88" s="1"/>
  <c r="AB47" i="88" s="1"/>
  <c r="W138" i="78"/>
  <c r="K98" i="78"/>
  <c r="O98" i="78" s="1"/>
  <c r="M98" i="78" s="1"/>
  <c r="N99" i="78" s="1"/>
  <c r="AS55" i="59"/>
  <c r="Q50" i="59"/>
  <c r="U97" i="59"/>
  <c r="S50" i="66"/>
  <c r="R50" i="66" s="1"/>
  <c r="P50" i="66" s="1"/>
  <c r="T50" i="66"/>
  <c r="M184" i="66"/>
  <c r="N184" i="66"/>
  <c r="L184" i="66"/>
  <c r="D52" i="88"/>
  <c r="D53" i="88" s="1"/>
  <c r="D51" i="88"/>
  <c r="AQ49" i="111"/>
  <c r="AW49" i="111" s="1"/>
  <c r="AI90" i="111" s="1"/>
  <c r="AK90" i="111" s="1"/>
  <c r="G185" i="66"/>
  <c r="F186" i="66"/>
  <c r="U185" i="66"/>
  <c r="AA185" i="66"/>
  <c r="J79" i="109"/>
  <c r="Y114" i="109"/>
  <c r="BL79" i="109"/>
  <c r="P79" i="109"/>
  <c r="N79" i="109" s="1"/>
  <c r="M79" i="109"/>
  <c r="S79" i="109" s="1"/>
  <c r="L80" i="109" s="1"/>
  <c r="E30" i="75"/>
  <c r="C33" i="75"/>
  <c r="N108" i="75"/>
  <c r="P109" i="75"/>
  <c r="N51" i="111"/>
  <c r="L51" i="111" s="1"/>
  <c r="AP50" i="111"/>
  <c r="BB95" i="111"/>
  <c r="AY50" i="111"/>
  <c r="J77" i="94"/>
  <c r="Y112" i="94"/>
  <c r="BL77" i="94"/>
  <c r="P52" i="112"/>
  <c r="O52" i="112"/>
  <c r="N52" i="112" s="1"/>
  <c r="L52" i="112" s="1"/>
  <c r="G52" i="112" s="1"/>
  <c r="BA52" i="112" s="1"/>
  <c r="I52" i="112"/>
  <c r="X113" i="94"/>
  <c r="L78" i="94"/>
  <c r="P78" i="94" s="1"/>
  <c r="N78" i="94" s="1"/>
  <c r="AR54" i="103"/>
  <c r="AO54" i="103" s="1"/>
  <c r="AL54" i="103" s="1"/>
  <c r="H45" i="61"/>
  <c r="J45" i="61" s="1"/>
  <c r="L46" i="61"/>
  <c r="X133" i="88" l="1"/>
  <c r="J98" i="88"/>
  <c r="BK98" i="88"/>
  <c r="H50" i="66"/>
  <c r="O50" i="66" s="1"/>
  <c r="S51" i="59"/>
  <c r="T98" i="59"/>
  <c r="J51" i="59"/>
  <c r="AL54" i="59"/>
  <c r="AJ93" i="59"/>
  <c r="S99" i="88"/>
  <c r="W134" i="88"/>
  <c r="K99" i="88"/>
  <c r="L99" i="88"/>
  <c r="P99" i="88" s="1"/>
  <c r="N99" i="88" s="1"/>
  <c r="AN148" i="88"/>
  <c r="AM148" i="88"/>
  <c r="D122" i="108"/>
  <c r="C123" i="108" s="1"/>
  <c r="G186" i="66"/>
  <c r="AA186" i="66"/>
  <c r="U186" i="66"/>
  <c r="F187" i="66"/>
  <c r="J98" i="78"/>
  <c r="N185" i="66"/>
  <c r="L185" i="66"/>
  <c r="M185" i="66"/>
  <c r="Q51" i="66"/>
  <c r="L98" i="78"/>
  <c r="R98" i="78" s="1"/>
  <c r="AQ54" i="59"/>
  <c r="BB54" i="59" s="1"/>
  <c r="X115" i="109"/>
  <c r="K80" i="109"/>
  <c r="N109" i="75"/>
  <c r="K108" i="75"/>
  <c r="C51" i="75"/>
  <c r="E33" i="75"/>
  <c r="C34" i="75" s="1"/>
  <c r="C49" i="75"/>
  <c r="G51" i="111"/>
  <c r="K51" i="111" s="1"/>
  <c r="Q51" i="111" s="1"/>
  <c r="AU50" i="111"/>
  <c r="AV50" i="111"/>
  <c r="M52" i="111"/>
  <c r="K52" i="112"/>
  <c r="Q52" i="112" s="1"/>
  <c r="M53" i="112"/>
  <c r="K78" i="94"/>
  <c r="AQ54" i="103"/>
  <c r="AW54" i="103" s="1"/>
  <c r="AI95" i="103" s="1"/>
  <c r="AS55" i="103"/>
  <c r="AJ94" i="103"/>
  <c r="P45" i="61"/>
  <c r="T75" i="61"/>
  <c r="V50" i="66" l="1"/>
  <c r="Z50" i="66"/>
  <c r="S100" i="88"/>
  <c r="L100" i="88"/>
  <c r="P100" i="88" s="1"/>
  <c r="N100" i="88" s="1"/>
  <c r="K100" i="88"/>
  <c r="W135" i="88"/>
  <c r="P51" i="59"/>
  <c r="K51" i="59"/>
  <c r="U98" i="59" s="1"/>
  <c r="O51" i="59"/>
  <c r="M186" i="66"/>
  <c r="N186" i="66"/>
  <c r="L186" i="66"/>
  <c r="K99" i="78"/>
  <c r="O99" i="78" s="1"/>
  <c r="M99" i="78" s="1"/>
  <c r="N100" i="78" s="1"/>
  <c r="W139" i="78"/>
  <c r="F123" i="108"/>
  <c r="E123" i="108"/>
  <c r="G123" i="108"/>
  <c r="BI104" i="78"/>
  <c r="X138" i="78"/>
  <c r="BD61" i="59"/>
  <c r="BG100" i="59"/>
  <c r="AP55" i="59"/>
  <c r="U187" i="66"/>
  <c r="AA187" i="66"/>
  <c r="F188" i="66"/>
  <c r="G187" i="66"/>
  <c r="BK99" i="88"/>
  <c r="J99" i="88"/>
  <c r="X134" i="88"/>
  <c r="N51" i="59"/>
  <c r="L51" i="59" s="1"/>
  <c r="I51" i="59" s="1"/>
  <c r="BF57" i="59" s="1"/>
  <c r="P80" i="109"/>
  <c r="N80" i="109" s="1"/>
  <c r="M80" i="109"/>
  <c r="S80" i="109" s="1"/>
  <c r="L81" i="109" s="1"/>
  <c r="Y115" i="109"/>
  <c r="J80" i="109"/>
  <c r="BL80" i="109"/>
  <c r="C52" i="75"/>
  <c r="C53" i="75"/>
  <c r="E51" i="75"/>
  <c r="X143" i="75"/>
  <c r="BK108" i="75"/>
  <c r="J108" i="75"/>
  <c r="J109" i="75" s="1"/>
  <c r="C32" i="75" s="1"/>
  <c r="E32" i="75" s="1"/>
  <c r="K109" i="75"/>
  <c r="BK109" i="75" s="1"/>
  <c r="S52" i="111"/>
  <c r="H52" i="111"/>
  <c r="T93" i="111"/>
  <c r="V93" i="111" s="1"/>
  <c r="BA51" i="111"/>
  <c r="AT50" i="111"/>
  <c r="AR50" i="111" s="1"/>
  <c r="AS51" i="111" s="1"/>
  <c r="S53" i="112"/>
  <c r="T94" i="112"/>
  <c r="H53" i="112"/>
  <c r="Y113" i="94"/>
  <c r="J78" i="94"/>
  <c r="BL78" i="94"/>
  <c r="M78" i="94"/>
  <c r="S78" i="94" s="1"/>
  <c r="AP55" i="103"/>
  <c r="AY55" i="103"/>
  <c r="AV55" i="103" s="1"/>
  <c r="BB100" i="103"/>
  <c r="AK95" i="103"/>
  <c r="AU55" i="103"/>
  <c r="S76" i="61"/>
  <c r="I46" i="61"/>
  <c r="R46" i="61"/>
  <c r="Q51" i="59" l="1"/>
  <c r="J51" i="66"/>
  <c r="K51" i="66"/>
  <c r="I51" i="66" s="1"/>
  <c r="X51" i="66"/>
  <c r="D123" i="108"/>
  <c r="C124" i="108" s="1"/>
  <c r="F189" i="66"/>
  <c r="U188" i="66"/>
  <c r="G188" i="66"/>
  <c r="AA188" i="66"/>
  <c r="L99" i="78"/>
  <c r="R99" i="78" s="1"/>
  <c r="BK100" i="88"/>
  <c r="X135" i="88"/>
  <c r="J100" i="88"/>
  <c r="BK115" i="75"/>
  <c r="AU55" i="59"/>
  <c r="AV55" i="59"/>
  <c r="S101" i="88"/>
  <c r="L101" i="88"/>
  <c r="P101" i="88" s="1"/>
  <c r="N101" i="88" s="1"/>
  <c r="K101" i="88" s="1"/>
  <c r="W136" i="88"/>
  <c r="N187" i="66"/>
  <c r="M187" i="66"/>
  <c r="L187" i="66"/>
  <c r="J99" i="78"/>
  <c r="M52" i="59"/>
  <c r="X116" i="109"/>
  <c r="K81" i="109"/>
  <c r="Y144" i="75"/>
  <c r="X144" i="75"/>
  <c r="E53" i="75"/>
  <c r="C54" i="75"/>
  <c r="E54" i="75" s="1"/>
  <c r="AO50" i="111"/>
  <c r="AL50" i="111" s="1"/>
  <c r="AQ50" i="111"/>
  <c r="AW50" i="111" s="1"/>
  <c r="U92" i="111"/>
  <c r="I52" i="111"/>
  <c r="O52" i="111"/>
  <c r="P52" i="111"/>
  <c r="I53" i="112"/>
  <c r="V94" i="112"/>
  <c r="O53" i="112"/>
  <c r="N53" i="112" s="1"/>
  <c r="L53" i="112" s="1"/>
  <c r="P53" i="112"/>
  <c r="L79" i="94"/>
  <c r="P79" i="94" s="1"/>
  <c r="N79" i="94" s="1"/>
  <c r="X114" i="94"/>
  <c r="AI91" i="111"/>
  <c r="AK91" i="111" s="1"/>
  <c r="AJ90" i="111"/>
  <c r="AT55" i="103"/>
  <c r="AR55" i="103" s="1"/>
  <c r="O46" i="61"/>
  <c r="N46" i="61"/>
  <c r="M46" i="61" s="1"/>
  <c r="K46" i="61" s="1"/>
  <c r="X136" i="88" l="1"/>
  <c r="BK101" i="88"/>
  <c r="J101" i="88"/>
  <c r="BI105" i="78"/>
  <c r="X139" i="78"/>
  <c r="W140" i="78"/>
  <c r="K100" i="78"/>
  <c r="O100" i="78" s="1"/>
  <c r="M100" i="78" s="1"/>
  <c r="N101" i="78" s="1"/>
  <c r="AS56" i="59"/>
  <c r="T51" i="66"/>
  <c r="S51" i="66"/>
  <c r="M188" i="66"/>
  <c r="L188" i="66"/>
  <c r="N188" i="66"/>
  <c r="G189" i="66"/>
  <c r="AA189" i="66"/>
  <c r="U189" i="66"/>
  <c r="F190" i="66"/>
  <c r="S52" i="59"/>
  <c r="T99" i="59"/>
  <c r="J52" i="59"/>
  <c r="S102" i="88"/>
  <c r="W137" i="88"/>
  <c r="L102" i="88"/>
  <c r="P102" i="88" s="1"/>
  <c r="N102" i="88" s="1"/>
  <c r="K102" i="88" s="1"/>
  <c r="G124" i="108"/>
  <c r="F124" i="108"/>
  <c r="E124" i="108"/>
  <c r="AT55" i="59"/>
  <c r="AR55" i="59" s="1"/>
  <c r="Y116" i="109"/>
  <c r="BL81" i="109"/>
  <c r="J81" i="109"/>
  <c r="P81" i="109"/>
  <c r="N81" i="109" s="1"/>
  <c r="M81" i="109"/>
  <c r="S81" i="109" s="1"/>
  <c r="L82" i="109" s="1"/>
  <c r="BB96" i="111"/>
  <c r="AP51" i="111"/>
  <c r="AY51" i="111"/>
  <c r="N52" i="111"/>
  <c r="L52" i="111" s="1"/>
  <c r="G53" i="112"/>
  <c r="BA53" i="112" s="1"/>
  <c r="M54" i="112"/>
  <c r="K79" i="94"/>
  <c r="AO55" i="103"/>
  <c r="AQ55" i="103" s="1"/>
  <c r="AW55" i="103" s="1"/>
  <c r="AS56" i="103"/>
  <c r="L47" i="61"/>
  <c r="H46" i="61"/>
  <c r="J46" i="61" s="1"/>
  <c r="J102" i="88" l="1"/>
  <c r="X137" i="88"/>
  <c r="BK102" i="88"/>
  <c r="F191" i="66"/>
  <c r="U190" i="66"/>
  <c r="AA190" i="66"/>
  <c r="G190" i="66"/>
  <c r="J100" i="78"/>
  <c r="L100" i="78"/>
  <c r="R100" i="78" s="1"/>
  <c r="L189" i="66"/>
  <c r="N189" i="66"/>
  <c r="M189" i="66"/>
  <c r="D124" i="108"/>
  <c r="C125" i="108" s="1"/>
  <c r="AO55" i="59"/>
  <c r="AQ55" i="59" s="1"/>
  <c r="BB55" i="59" s="1"/>
  <c r="S103" i="88"/>
  <c r="L103" i="88"/>
  <c r="P103" i="88" s="1"/>
  <c r="N103" i="88" s="1"/>
  <c r="K103" i="88" s="1"/>
  <c r="W138" i="88"/>
  <c r="N52" i="59"/>
  <c r="L52" i="59" s="1"/>
  <c r="I52" i="59" s="1"/>
  <c r="BF58" i="59" s="1"/>
  <c r="R51" i="66"/>
  <c r="P51" i="66" s="1"/>
  <c r="Q52" i="66" s="1"/>
  <c r="P52" i="59"/>
  <c r="O52" i="59"/>
  <c r="K52" i="59"/>
  <c r="Q52" i="59" s="1"/>
  <c r="X117" i="109"/>
  <c r="G52" i="111"/>
  <c r="K52" i="111" s="1"/>
  <c r="Q52" i="111" s="1"/>
  <c r="M53" i="111"/>
  <c r="AU51" i="111"/>
  <c r="AV51" i="111"/>
  <c r="K53" i="112"/>
  <c r="Q53" i="112" s="1"/>
  <c r="H54" i="112" s="1"/>
  <c r="M79" i="94"/>
  <c r="S79" i="94" s="1"/>
  <c r="Y114" i="94"/>
  <c r="BL79" i="94"/>
  <c r="J79" i="94"/>
  <c r="BB101" i="103"/>
  <c r="AP56" i="103"/>
  <c r="AI96" i="103"/>
  <c r="AY56" i="103"/>
  <c r="AL55" i="103"/>
  <c r="AJ95" i="103"/>
  <c r="P46" i="61"/>
  <c r="T76" i="61"/>
  <c r="X138" i="88" l="1"/>
  <c r="J103" i="88"/>
  <c r="BK103" i="88"/>
  <c r="S53" i="59"/>
  <c r="J53" i="59"/>
  <c r="T100" i="59"/>
  <c r="BG101" i="59"/>
  <c r="AP56" i="59"/>
  <c r="BD62" i="59"/>
  <c r="U99" i="59"/>
  <c r="E125" i="108"/>
  <c r="F125" i="108"/>
  <c r="G125" i="108"/>
  <c r="D125" i="108" s="1"/>
  <c r="C126" i="108" s="1"/>
  <c r="N190" i="66"/>
  <c r="L190" i="66"/>
  <c r="M190" i="66"/>
  <c r="W141" i="78"/>
  <c r="K101" i="78"/>
  <c r="O101" i="78" s="1"/>
  <c r="M101" i="78" s="1"/>
  <c r="N102" i="78" s="1"/>
  <c r="AA191" i="66"/>
  <c r="U191" i="66"/>
  <c r="G191" i="66"/>
  <c r="M53" i="59"/>
  <c r="S104" i="88"/>
  <c r="W139" i="88"/>
  <c r="L104" i="88"/>
  <c r="P104" i="88" s="1"/>
  <c r="N104" i="88" s="1"/>
  <c r="K104" i="88" s="1"/>
  <c r="X140" i="78"/>
  <c r="BI106" i="78"/>
  <c r="O51" i="66"/>
  <c r="H51" i="66"/>
  <c r="AJ94" i="59"/>
  <c r="AL55" i="59"/>
  <c r="P82" i="109"/>
  <c r="N82" i="109" s="1"/>
  <c r="K82" i="109"/>
  <c r="S53" i="111"/>
  <c r="H53" i="111"/>
  <c r="T94" i="111"/>
  <c r="V94" i="111" s="1"/>
  <c r="BA52" i="111"/>
  <c r="AT51" i="111"/>
  <c r="AR51" i="111" s="1"/>
  <c r="S54" i="112"/>
  <c r="O54" i="112" s="1"/>
  <c r="N54" i="112" s="1"/>
  <c r="L54" i="112" s="1"/>
  <c r="G54" i="112" s="1"/>
  <c r="T95" i="112"/>
  <c r="I54" i="112"/>
  <c r="X115" i="94"/>
  <c r="L80" i="94"/>
  <c r="P80" i="94" s="1"/>
  <c r="N80" i="94" s="1"/>
  <c r="AU56" i="103"/>
  <c r="AT56" i="103" s="1"/>
  <c r="AV56" i="103"/>
  <c r="AK96" i="103"/>
  <c r="S77" i="61"/>
  <c r="I47" i="61"/>
  <c r="R47" i="61"/>
  <c r="E126" i="108" l="1"/>
  <c r="F126" i="108"/>
  <c r="G126" i="108"/>
  <c r="D126" i="108" s="1"/>
  <c r="C127" i="108" s="1"/>
  <c r="BK104" i="88"/>
  <c r="J104" i="88"/>
  <c r="X139" i="88"/>
  <c r="V51" i="66"/>
  <c r="Z51" i="66"/>
  <c r="L101" i="78"/>
  <c r="R101" i="78" s="1"/>
  <c r="M191" i="66"/>
  <c r="L191" i="66"/>
  <c r="N191" i="66"/>
  <c r="O53" i="59"/>
  <c r="N53" i="59" s="1"/>
  <c r="L53" i="59" s="1"/>
  <c r="P53" i="59"/>
  <c r="S105" i="88"/>
  <c r="L105" i="88"/>
  <c r="P105" i="88" s="1"/>
  <c r="N105" i="88" s="1"/>
  <c r="K105" i="88" s="1"/>
  <c r="W140" i="88"/>
  <c r="AU56" i="59"/>
  <c r="AV56" i="59"/>
  <c r="J101" i="78"/>
  <c r="AT56" i="59"/>
  <c r="AR56" i="59" s="1"/>
  <c r="AO56" i="59" s="1"/>
  <c r="BL82" i="109"/>
  <c r="Y117" i="109"/>
  <c r="M82" i="109"/>
  <c r="S82" i="109" s="1"/>
  <c r="L83" i="109" s="1"/>
  <c r="J82" i="109"/>
  <c r="I53" i="111"/>
  <c r="U93" i="111"/>
  <c r="AO51" i="111"/>
  <c r="AS52" i="111"/>
  <c r="O53" i="111"/>
  <c r="P53" i="111"/>
  <c r="P54" i="112"/>
  <c r="V95" i="112"/>
  <c r="K54" i="112"/>
  <c r="Q54" i="112" s="1"/>
  <c r="BA54" i="112"/>
  <c r="M55" i="112"/>
  <c r="K80" i="94"/>
  <c r="AR56" i="103"/>
  <c r="AS57" i="103" s="1"/>
  <c r="N47" i="61"/>
  <c r="M47" i="61" s="1"/>
  <c r="K47" i="61" s="1"/>
  <c r="O47" i="61"/>
  <c r="BK105" i="88" l="1"/>
  <c r="J105" i="88"/>
  <c r="X140" i="88"/>
  <c r="I53" i="59"/>
  <c r="BF59" i="59" s="1"/>
  <c r="F127" i="108"/>
  <c r="G127" i="108"/>
  <c r="E127" i="108"/>
  <c r="K52" i="66"/>
  <c r="J52" i="66"/>
  <c r="I52" i="66" s="1"/>
  <c r="X52" i="66"/>
  <c r="AL56" i="59"/>
  <c r="AJ95" i="59"/>
  <c r="S106" i="88"/>
  <c r="W141" i="88"/>
  <c r="L106" i="88"/>
  <c r="P106" i="88" s="1"/>
  <c r="N106" i="88" s="1"/>
  <c r="K106" i="88" s="1"/>
  <c r="X141" i="78"/>
  <c r="BI107" i="78"/>
  <c r="AS57" i="59"/>
  <c r="M54" i="59"/>
  <c r="K102" i="78"/>
  <c r="O102" i="78" s="1"/>
  <c r="M102" i="78" s="1"/>
  <c r="N103" i="78" s="1"/>
  <c r="W142" i="78"/>
  <c r="AQ56" i="59"/>
  <c r="BB56" i="59" s="1"/>
  <c r="X118" i="109"/>
  <c r="P83" i="109"/>
  <c r="N83" i="109" s="1"/>
  <c r="AL51" i="111"/>
  <c r="AJ91" i="111"/>
  <c r="AQ51" i="111"/>
  <c r="AW51" i="111" s="1"/>
  <c r="N53" i="111"/>
  <c r="L53" i="111" s="1"/>
  <c r="M54" i="111" s="1"/>
  <c r="H55" i="112"/>
  <c r="S55" i="112"/>
  <c r="T96" i="112"/>
  <c r="BL80" i="94"/>
  <c r="Y115" i="94"/>
  <c r="J80" i="94"/>
  <c r="M80" i="94"/>
  <c r="S80" i="94" s="1"/>
  <c r="H47" i="61"/>
  <c r="J47" i="61" s="1"/>
  <c r="L48" i="61"/>
  <c r="J106" i="88" l="1"/>
  <c r="BK106" i="88"/>
  <c r="X141" i="88"/>
  <c r="BD63" i="59"/>
  <c r="BG102" i="59"/>
  <c r="AP57" i="59"/>
  <c r="D127" i="108"/>
  <c r="C128" i="108" s="1"/>
  <c r="S52" i="66"/>
  <c r="T52" i="66"/>
  <c r="K53" i="59"/>
  <c r="J102" i="78"/>
  <c r="L102" i="78"/>
  <c r="R102" i="78" s="1"/>
  <c r="S107" i="88"/>
  <c r="W142" i="88"/>
  <c r="L107" i="88"/>
  <c r="P107" i="88" s="1"/>
  <c r="N107" i="88" s="1"/>
  <c r="K107" i="88" s="1"/>
  <c r="R52" i="66"/>
  <c r="P52" i="66" s="1"/>
  <c r="K83" i="109"/>
  <c r="G53" i="111"/>
  <c r="K53" i="111" s="1"/>
  <c r="Q53" i="111" s="1"/>
  <c r="AP52" i="111"/>
  <c r="BB97" i="111"/>
  <c r="AY52" i="111"/>
  <c r="AI92" i="111"/>
  <c r="AK92" i="111" s="1"/>
  <c r="V96" i="112"/>
  <c r="O55" i="112"/>
  <c r="P55" i="112"/>
  <c r="I55" i="112"/>
  <c r="L81" i="94"/>
  <c r="P81" i="94" s="1"/>
  <c r="N81" i="94" s="1"/>
  <c r="X116" i="94"/>
  <c r="P47" i="61"/>
  <c r="T77" i="61"/>
  <c r="J107" i="88" l="1"/>
  <c r="BK107" i="88"/>
  <c r="X142" i="88"/>
  <c r="G128" i="108"/>
  <c r="E128" i="108"/>
  <c r="F128" i="108"/>
  <c r="AT57" i="59"/>
  <c r="AR57" i="59" s="1"/>
  <c r="AO57" i="59" s="1"/>
  <c r="AV57" i="59"/>
  <c r="AU57" i="59"/>
  <c r="V108" i="88"/>
  <c r="W143" i="88"/>
  <c r="W144" i="88" s="1"/>
  <c r="L108" i="88"/>
  <c r="X142" i="78"/>
  <c r="BI108" i="78"/>
  <c r="Q53" i="59"/>
  <c r="U100" i="59"/>
  <c r="W143" i="78"/>
  <c r="K103" i="78"/>
  <c r="O103" i="78" s="1"/>
  <c r="M103" i="78" s="1"/>
  <c r="N104" i="78" s="1"/>
  <c r="H52" i="66"/>
  <c r="O52" i="66"/>
  <c r="Q53" i="66"/>
  <c r="M83" i="109"/>
  <c r="S83" i="109" s="1"/>
  <c r="L84" i="109" s="1"/>
  <c r="Y118" i="109"/>
  <c r="J83" i="109"/>
  <c r="BL83" i="109"/>
  <c r="S54" i="111"/>
  <c r="H54" i="111"/>
  <c r="T95" i="111"/>
  <c r="V95" i="111" s="1"/>
  <c r="AU52" i="111"/>
  <c r="AV52" i="111"/>
  <c r="BA53" i="111"/>
  <c r="N55" i="112"/>
  <c r="L55" i="112" s="1"/>
  <c r="K81" i="94"/>
  <c r="S78" i="61"/>
  <c r="I48" i="61"/>
  <c r="R48" i="61"/>
  <c r="L109" i="88" l="1"/>
  <c r="C29" i="88" s="1"/>
  <c r="AL57" i="59"/>
  <c r="AJ96" i="59"/>
  <c r="S108" i="88"/>
  <c r="R108" i="88"/>
  <c r="R109" i="88" s="1"/>
  <c r="Q108" i="88"/>
  <c r="Q109" i="88" s="1"/>
  <c r="M108" i="88"/>
  <c r="M109" i="88" s="1"/>
  <c r="L103" i="78"/>
  <c r="R103" i="78" s="1"/>
  <c r="AQ57" i="59"/>
  <c r="BB57" i="59" s="1"/>
  <c r="D128" i="108"/>
  <c r="C129" i="108" s="1"/>
  <c r="V52" i="66"/>
  <c r="Z52" i="66"/>
  <c r="J54" i="59"/>
  <c r="T101" i="59"/>
  <c r="S54" i="59"/>
  <c r="AS58" i="59"/>
  <c r="J103" i="78"/>
  <c r="X119" i="109"/>
  <c r="P84" i="109"/>
  <c r="N84" i="109" s="1"/>
  <c r="K84" i="109"/>
  <c r="M84" i="109" s="1"/>
  <c r="S84" i="109" s="1"/>
  <c r="L85" i="109" s="1"/>
  <c r="U94" i="111"/>
  <c r="I54" i="111"/>
  <c r="AT52" i="111"/>
  <c r="AR52" i="111" s="1"/>
  <c r="O54" i="111"/>
  <c r="N54" i="111" s="1"/>
  <c r="L54" i="111" s="1"/>
  <c r="G54" i="111" s="1"/>
  <c r="BA54" i="111" s="1"/>
  <c r="P54" i="111"/>
  <c r="G55" i="112"/>
  <c r="BA55" i="112" s="1"/>
  <c r="M56" i="112"/>
  <c r="M81" i="94"/>
  <c r="S81" i="94" s="1"/>
  <c r="J81" i="94"/>
  <c r="BL81" i="94"/>
  <c r="Y116" i="94"/>
  <c r="N48" i="61"/>
  <c r="M48" i="61" s="1"/>
  <c r="K48" i="61" s="1"/>
  <c r="O48" i="61"/>
  <c r="J53" i="66" l="1"/>
  <c r="I53" i="66" s="1"/>
  <c r="K53" i="66"/>
  <c r="X53" i="66"/>
  <c r="BI109" i="78"/>
  <c r="X143" i="78"/>
  <c r="G129" i="108"/>
  <c r="E129" i="108"/>
  <c r="F129" i="108"/>
  <c r="C32" i="88"/>
  <c r="E29" i="88"/>
  <c r="BD64" i="59"/>
  <c r="BG103" i="59"/>
  <c r="AP58" i="59"/>
  <c r="O54" i="59"/>
  <c r="P54" i="59"/>
  <c r="W144" i="78"/>
  <c r="K104" i="78"/>
  <c r="O104" i="78" s="1"/>
  <c r="M104" i="78" s="1"/>
  <c r="N105" i="78" s="1"/>
  <c r="P108" i="88"/>
  <c r="X120" i="109"/>
  <c r="K85" i="109"/>
  <c r="Y119" i="109"/>
  <c r="BL84" i="109"/>
  <c r="J84" i="109"/>
  <c r="M55" i="111"/>
  <c r="K54" i="111"/>
  <c r="Q54" i="111" s="1"/>
  <c r="AO52" i="111"/>
  <c r="AS53" i="111"/>
  <c r="K55" i="112"/>
  <c r="Q55" i="112" s="1"/>
  <c r="L82" i="94"/>
  <c r="P82" i="94" s="1"/>
  <c r="N82" i="94" s="1"/>
  <c r="X117" i="94"/>
  <c r="H48" i="61"/>
  <c r="J48" i="61" s="1"/>
  <c r="L49" i="61"/>
  <c r="L104" i="78" l="1"/>
  <c r="R104" i="78" s="1"/>
  <c r="T53" i="66"/>
  <c r="S53" i="66"/>
  <c r="C50" i="88"/>
  <c r="E32" i="88"/>
  <c r="C33" i="88" s="1"/>
  <c r="C48" i="88"/>
  <c r="N108" i="88"/>
  <c r="P109" i="88"/>
  <c r="M55" i="59"/>
  <c r="J104" i="78"/>
  <c r="D129" i="108"/>
  <c r="C130" i="108" s="1"/>
  <c r="R53" i="66"/>
  <c r="P53" i="66" s="1"/>
  <c r="AU58" i="59"/>
  <c r="AT58" i="59" s="1"/>
  <c r="AR58" i="59" s="1"/>
  <c r="AV58" i="59"/>
  <c r="N54" i="59"/>
  <c r="L54" i="59" s="1"/>
  <c r="Y120" i="109"/>
  <c r="BL85" i="109"/>
  <c r="J85" i="109"/>
  <c r="P85" i="109"/>
  <c r="N85" i="109" s="1"/>
  <c r="M85" i="109"/>
  <c r="S85" i="109" s="1"/>
  <c r="L86" i="109" s="1"/>
  <c r="S55" i="111"/>
  <c r="H55" i="111"/>
  <c r="T96" i="111"/>
  <c r="AL52" i="111"/>
  <c r="AJ92" i="111"/>
  <c r="AQ52" i="111"/>
  <c r="AW52" i="111" s="1"/>
  <c r="S56" i="112"/>
  <c r="T97" i="112"/>
  <c r="H56" i="112"/>
  <c r="I56" i="112" s="1"/>
  <c r="K82" i="94"/>
  <c r="M82" i="94" s="1"/>
  <c r="S82" i="94" s="1"/>
  <c r="P48" i="61"/>
  <c r="T78" i="61"/>
  <c r="AO58" i="59" l="1"/>
  <c r="AQ58" i="59" s="1"/>
  <c r="BB58" i="59" s="1"/>
  <c r="N109" i="88"/>
  <c r="K108" i="88"/>
  <c r="H53" i="66"/>
  <c r="O53" i="66" s="1"/>
  <c r="E130" i="108"/>
  <c r="G130" i="108"/>
  <c r="D130" i="108" s="1"/>
  <c r="C131" i="108" s="1"/>
  <c r="F130" i="108"/>
  <c r="C52" i="88"/>
  <c r="C51" i="88"/>
  <c r="E50" i="88"/>
  <c r="I54" i="59"/>
  <c r="BF60" i="59" s="1"/>
  <c r="BI110" i="78"/>
  <c r="X144" i="78"/>
  <c r="Q54" i="66"/>
  <c r="AS59" i="59"/>
  <c r="W145" i="78"/>
  <c r="K105" i="78"/>
  <c r="O105" i="78" s="1"/>
  <c r="M105" i="78" s="1"/>
  <c r="N106" i="78" s="1"/>
  <c r="X121" i="109"/>
  <c r="P86" i="109"/>
  <c r="N86" i="109" s="1"/>
  <c r="V96" i="111"/>
  <c r="U95" i="111"/>
  <c r="AP53" i="111"/>
  <c r="BB98" i="111"/>
  <c r="AY53" i="111"/>
  <c r="AI93" i="111"/>
  <c r="I55" i="111"/>
  <c r="P55" i="111"/>
  <c r="O55" i="111"/>
  <c r="V97" i="112"/>
  <c r="O56" i="112"/>
  <c r="P56" i="112"/>
  <c r="X118" i="94"/>
  <c r="L83" i="94"/>
  <c r="P83" i="94" s="1"/>
  <c r="N83" i="94" s="1"/>
  <c r="J82" i="94"/>
  <c r="Y117" i="94"/>
  <c r="BL82" i="94"/>
  <c r="S79" i="61"/>
  <c r="I49" i="61"/>
  <c r="R49" i="61"/>
  <c r="G131" i="108" l="1"/>
  <c r="D131" i="108" s="1"/>
  <c r="C132" i="108" s="1"/>
  <c r="F131" i="108"/>
  <c r="E131" i="108"/>
  <c r="V53" i="66"/>
  <c r="Z53" i="66"/>
  <c r="BD65" i="59"/>
  <c r="BG104" i="59"/>
  <c r="AP59" i="59"/>
  <c r="J105" i="78"/>
  <c r="K54" i="59"/>
  <c r="L105" i="78"/>
  <c r="R105" i="78" s="1"/>
  <c r="J108" i="88"/>
  <c r="J109" i="88" s="1"/>
  <c r="C31" i="88" s="1"/>
  <c r="E31" i="88" s="1"/>
  <c r="BK108" i="88"/>
  <c r="X143" i="88"/>
  <c r="K109" i="88"/>
  <c r="BK109" i="88" s="1"/>
  <c r="BK115" i="88" s="1"/>
  <c r="E52" i="88"/>
  <c r="C53" i="88"/>
  <c r="E53" i="88" s="1"/>
  <c r="AL58" i="59"/>
  <c r="AJ97" i="59"/>
  <c r="K86" i="109"/>
  <c r="N55" i="111"/>
  <c r="L55" i="111" s="1"/>
  <c r="AK93" i="111"/>
  <c r="AU53" i="111"/>
  <c r="AT53" i="111" s="1"/>
  <c r="AR53" i="111" s="1"/>
  <c r="AV53" i="111"/>
  <c r="N56" i="112"/>
  <c r="L56" i="112" s="1"/>
  <c r="M57" i="112" s="1"/>
  <c r="K83" i="94"/>
  <c r="N49" i="61"/>
  <c r="M49" i="61" s="1"/>
  <c r="K49" i="61" s="1"/>
  <c r="O49" i="61"/>
  <c r="F132" i="108" l="1"/>
  <c r="G132" i="108"/>
  <c r="E132" i="108"/>
  <c r="AU59" i="59"/>
  <c r="AV59" i="59"/>
  <c r="K106" i="78"/>
  <c r="O106" i="78" s="1"/>
  <c r="M106" i="78" s="1"/>
  <c r="N107" i="78" s="1"/>
  <c r="W146" i="78"/>
  <c r="J54" i="66"/>
  <c r="I54" i="66" s="1"/>
  <c r="K54" i="66"/>
  <c r="X54" i="66"/>
  <c r="U101" i="59"/>
  <c r="Q54" i="59"/>
  <c r="Y144" i="88"/>
  <c r="X144" i="88"/>
  <c r="BI111" i="78"/>
  <c r="X145" i="78"/>
  <c r="AT59" i="59"/>
  <c r="AR59" i="59" s="1"/>
  <c r="AO59" i="59" s="1"/>
  <c r="J86" i="109"/>
  <c r="BL86" i="109"/>
  <c r="Y121" i="109"/>
  <c r="M86" i="109"/>
  <c r="S86" i="109" s="1"/>
  <c r="L87" i="109" s="1"/>
  <c r="AO53" i="111"/>
  <c r="AQ53" i="111" s="1"/>
  <c r="AW53" i="111" s="1"/>
  <c r="G55" i="111"/>
  <c r="K55" i="111" s="1"/>
  <c r="Q55" i="111" s="1"/>
  <c r="AS54" i="111"/>
  <c r="M56" i="111"/>
  <c r="G56" i="112"/>
  <c r="K56" i="112" s="1"/>
  <c r="Q56" i="112" s="1"/>
  <c r="BL83" i="94"/>
  <c r="Y118" i="94"/>
  <c r="J83" i="94"/>
  <c r="M83" i="94"/>
  <c r="S83" i="94" s="1"/>
  <c r="H49" i="61"/>
  <c r="J49" i="61" s="1"/>
  <c r="L50" i="61"/>
  <c r="AQ59" i="59" l="1"/>
  <c r="BB59" i="59" s="1"/>
  <c r="AS60" i="59"/>
  <c r="S55" i="59"/>
  <c r="J55" i="59"/>
  <c r="T102" i="59"/>
  <c r="J106" i="78"/>
  <c r="D132" i="108"/>
  <c r="C133" i="108" s="1"/>
  <c r="AJ98" i="59"/>
  <c r="AL59" i="59"/>
  <c r="T54" i="66"/>
  <c r="S54" i="66"/>
  <c r="L106" i="78"/>
  <c r="R106" i="78" s="1"/>
  <c r="X122" i="109"/>
  <c r="P87" i="109"/>
  <c r="N87" i="109" s="1"/>
  <c r="S56" i="111"/>
  <c r="H56" i="111"/>
  <c r="T97" i="111"/>
  <c r="V97" i="111" s="1"/>
  <c r="BA55" i="111"/>
  <c r="AP54" i="111"/>
  <c r="BB99" i="111"/>
  <c r="AY54" i="111"/>
  <c r="AI94" i="111"/>
  <c r="AL53" i="111"/>
  <c r="AJ93" i="111"/>
  <c r="H57" i="112"/>
  <c r="I57" i="112" s="1"/>
  <c r="T98" i="112"/>
  <c r="V98" i="112" s="1"/>
  <c r="S57" i="112"/>
  <c r="BA56" i="112"/>
  <c r="L84" i="94"/>
  <c r="P84" i="94" s="1"/>
  <c r="N84" i="94" s="1"/>
  <c r="X119" i="94"/>
  <c r="P49" i="61"/>
  <c r="T79" i="61"/>
  <c r="W147" i="78" l="1"/>
  <c r="K107" i="78"/>
  <c r="O107" i="78" s="1"/>
  <c r="M107" i="78" s="1"/>
  <c r="N108" i="78" s="1"/>
  <c r="O55" i="59"/>
  <c r="N55" i="59" s="1"/>
  <c r="L55" i="59" s="1"/>
  <c r="P55" i="59"/>
  <c r="BD66" i="59"/>
  <c r="BG105" i="59"/>
  <c r="AP60" i="59"/>
  <c r="E133" i="108"/>
  <c r="F133" i="108"/>
  <c r="G133" i="108"/>
  <c r="D133" i="108" s="1"/>
  <c r="C134" i="108"/>
  <c r="BI112" i="78"/>
  <c r="X146" i="78"/>
  <c r="R54" i="66"/>
  <c r="P54" i="66" s="1"/>
  <c r="K87" i="109"/>
  <c r="I56" i="111"/>
  <c r="J56" i="111" s="1"/>
  <c r="J160" i="111" s="1"/>
  <c r="AK94" i="111"/>
  <c r="U96" i="111"/>
  <c r="AU54" i="111"/>
  <c r="AV54" i="111"/>
  <c r="O56" i="111"/>
  <c r="N56" i="111" s="1"/>
  <c r="L56" i="111" s="1"/>
  <c r="P56" i="111"/>
  <c r="O57" i="112"/>
  <c r="P57" i="112"/>
  <c r="K84" i="94"/>
  <c r="S80" i="61"/>
  <c r="R50" i="61"/>
  <c r="I50" i="61"/>
  <c r="I55" i="59" l="1"/>
  <c r="BF61" i="59" s="1"/>
  <c r="H54" i="66"/>
  <c r="O54" i="66" s="1"/>
  <c r="AU60" i="59"/>
  <c r="AV60" i="59"/>
  <c r="Q55" i="66"/>
  <c r="J107" i="78"/>
  <c r="E134" i="108"/>
  <c r="F134" i="108"/>
  <c r="G134" i="108"/>
  <c r="M56" i="59"/>
  <c r="L107" i="78"/>
  <c r="R107" i="78" s="1"/>
  <c r="BL87" i="109"/>
  <c r="Y122" i="109"/>
  <c r="AI50" i="109" s="1"/>
  <c r="J87" i="109"/>
  <c r="M87" i="109"/>
  <c r="S87" i="109" s="1"/>
  <c r="L88" i="109" s="1"/>
  <c r="G56" i="111"/>
  <c r="BA56" i="111" s="1"/>
  <c r="AT54" i="111"/>
  <c r="AR54" i="111" s="1"/>
  <c r="M57" i="111"/>
  <c r="N57" i="112"/>
  <c r="L57" i="112" s="1"/>
  <c r="M58" i="112" s="1"/>
  <c r="BL84" i="94"/>
  <c r="J84" i="94"/>
  <c r="Y119" i="94"/>
  <c r="M84" i="94"/>
  <c r="S84" i="94" s="1"/>
  <c r="O50" i="61"/>
  <c r="N50" i="61"/>
  <c r="M50" i="61" s="1"/>
  <c r="K50" i="61" s="1"/>
  <c r="V54" i="66" l="1"/>
  <c r="Z54" i="66"/>
  <c r="U108" i="78"/>
  <c r="K108" i="78"/>
  <c r="W148" i="78"/>
  <c r="W149" i="78" s="1"/>
  <c r="D134" i="108"/>
  <c r="C135" i="108" s="1"/>
  <c r="BI113" i="78"/>
  <c r="X147" i="78"/>
  <c r="AT60" i="59"/>
  <c r="AR60" i="59" s="1"/>
  <c r="K55" i="59"/>
  <c r="P88" i="109"/>
  <c r="N88" i="109" s="1"/>
  <c r="X123" i="109"/>
  <c r="K88" i="109"/>
  <c r="M88" i="109"/>
  <c r="S88" i="109" s="1"/>
  <c r="L89" i="109" s="1"/>
  <c r="AO54" i="111"/>
  <c r="AQ54" i="111" s="1"/>
  <c r="AW54" i="111" s="1"/>
  <c r="AS55" i="111"/>
  <c r="K56" i="111"/>
  <c r="Q56" i="111" s="1"/>
  <c r="G57" i="112"/>
  <c r="K57" i="112" s="1"/>
  <c r="Q57" i="112" s="1"/>
  <c r="X120" i="94"/>
  <c r="L85" i="94"/>
  <c r="H50" i="61"/>
  <c r="J50" i="61" s="1"/>
  <c r="L51" i="61"/>
  <c r="Q55" i="59" l="1"/>
  <c r="U102" i="59"/>
  <c r="P108" i="78"/>
  <c r="Q108" i="78"/>
  <c r="AO60" i="59"/>
  <c r="AQ60" i="59" s="1"/>
  <c r="BB60" i="59" s="1"/>
  <c r="O108" i="78"/>
  <c r="M108" i="78" s="1"/>
  <c r="K109" i="78"/>
  <c r="C33" i="78" s="1"/>
  <c r="AS61" i="59"/>
  <c r="F135" i="108"/>
  <c r="E135" i="108"/>
  <c r="G135" i="108"/>
  <c r="D135" i="108" s="1"/>
  <c r="C136" i="108" s="1"/>
  <c r="K55" i="66"/>
  <c r="J55" i="66"/>
  <c r="I55" i="66" s="1"/>
  <c r="X55" i="66"/>
  <c r="X124" i="109"/>
  <c r="P89" i="109"/>
  <c r="N89" i="109" s="1"/>
  <c r="J88" i="109"/>
  <c r="BL88" i="109"/>
  <c r="Y123" i="109"/>
  <c r="AP55" i="111"/>
  <c r="BB100" i="111"/>
  <c r="AY55" i="111"/>
  <c r="AI95" i="111"/>
  <c r="S57" i="111"/>
  <c r="H57" i="111"/>
  <c r="T98" i="111"/>
  <c r="V98" i="111" s="1"/>
  <c r="AL54" i="111"/>
  <c r="AJ94" i="111"/>
  <c r="S58" i="112"/>
  <c r="T99" i="112"/>
  <c r="V99" i="112" s="1"/>
  <c r="H58" i="112"/>
  <c r="BA57" i="112"/>
  <c r="K85" i="94"/>
  <c r="M85" i="94" s="1"/>
  <c r="S85" i="94" s="1"/>
  <c r="P85" i="94"/>
  <c r="N85" i="94" s="1"/>
  <c r="P50" i="61"/>
  <c r="T80" i="61"/>
  <c r="BD67" i="59" l="1"/>
  <c r="AP61" i="59"/>
  <c r="BG106" i="59"/>
  <c r="G136" i="108"/>
  <c r="F136" i="108"/>
  <c r="E136" i="108"/>
  <c r="E45" i="78"/>
  <c r="C34" i="78"/>
  <c r="C36" i="78" s="1"/>
  <c r="M109" i="78"/>
  <c r="L108" i="78"/>
  <c r="J108" i="78"/>
  <c r="AJ99" i="59"/>
  <c r="AL60" i="59"/>
  <c r="T55" i="66"/>
  <c r="S55" i="66"/>
  <c r="R55" i="66"/>
  <c r="P55" i="66" s="1"/>
  <c r="J56" i="59"/>
  <c r="T103" i="59"/>
  <c r="S56" i="59"/>
  <c r="K89" i="109"/>
  <c r="AK95" i="111"/>
  <c r="AU55" i="111"/>
  <c r="AV55" i="111"/>
  <c r="N57" i="111"/>
  <c r="L57" i="111" s="1"/>
  <c r="G57" i="111" s="1"/>
  <c r="BA57" i="111" s="1"/>
  <c r="I57" i="111"/>
  <c r="K57" i="111"/>
  <c r="O57" i="111"/>
  <c r="P57" i="111"/>
  <c r="Q57" i="111"/>
  <c r="I58" i="112"/>
  <c r="P58" i="112"/>
  <c r="O58" i="112"/>
  <c r="N58" i="112" s="1"/>
  <c r="L58" i="112" s="1"/>
  <c r="G58" i="112" s="1"/>
  <c r="L86" i="94"/>
  <c r="P86" i="94" s="1"/>
  <c r="N86" i="94" s="1"/>
  <c r="X121" i="94"/>
  <c r="BL85" i="94"/>
  <c r="J85" i="94"/>
  <c r="Y120" i="94"/>
  <c r="S81" i="61"/>
  <c r="I51" i="61"/>
  <c r="R51" i="61"/>
  <c r="H55" i="66" l="1"/>
  <c r="O55" i="66"/>
  <c r="P56" i="59"/>
  <c r="O56" i="59"/>
  <c r="BI114" i="78"/>
  <c r="BI115" i="78" s="1"/>
  <c r="X148" i="78"/>
  <c r="J109" i="78"/>
  <c r="C32" i="78" s="1"/>
  <c r="E44" i="78" s="1"/>
  <c r="D136" i="108"/>
  <c r="C137" i="108" s="1"/>
  <c r="L109" i="78"/>
  <c r="R108" i="78"/>
  <c r="AT61" i="59"/>
  <c r="AR61" i="59" s="1"/>
  <c r="AO61" i="59" s="1"/>
  <c r="C37" i="78"/>
  <c r="C38" i="78"/>
  <c r="E51" i="78"/>
  <c r="Q56" i="66"/>
  <c r="AU61" i="59"/>
  <c r="AV61" i="59"/>
  <c r="M89" i="109"/>
  <c r="S89" i="109" s="1"/>
  <c r="L90" i="109" s="1"/>
  <c r="Y124" i="109"/>
  <c r="BL89" i="109"/>
  <c r="J89" i="109"/>
  <c r="S58" i="111"/>
  <c r="H58" i="111"/>
  <c r="T99" i="111"/>
  <c r="V99" i="111" s="1"/>
  <c r="M58" i="111"/>
  <c r="AT55" i="111"/>
  <c r="AR55" i="111" s="1"/>
  <c r="K58" i="112"/>
  <c r="Q58" i="112" s="1"/>
  <c r="BA58" i="112"/>
  <c r="M59" i="112"/>
  <c r="K86" i="94"/>
  <c r="N51" i="61"/>
  <c r="O51" i="61"/>
  <c r="Y149" i="78" l="1"/>
  <c r="C14" i="78" s="1"/>
  <c r="X149" i="78"/>
  <c r="AL61" i="59"/>
  <c r="AJ100" i="59"/>
  <c r="AS62" i="59"/>
  <c r="N56" i="59"/>
  <c r="L56" i="59" s="1"/>
  <c r="AQ61" i="59"/>
  <c r="BB61" i="59" s="1"/>
  <c r="E137" i="108"/>
  <c r="F137" i="108"/>
  <c r="G137" i="108"/>
  <c r="V55" i="66"/>
  <c r="Z55" i="66"/>
  <c r="C39" i="78"/>
  <c r="E54" i="78" s="1"/>
  <c r="E53" i="78"/>
  <c r="P90" i="109"/>
  <c r="N90" i="109" s="1"/>
  <c r="X125" i="109"/>
  <c r="K90" i="109"/>
  <c r="M90" i="109" s="1"/>
  <c r="S90" i="109" s="1"/>
  <c r="L91" i="109" s="1"/>
  <c r="I58" i="111"/>
  <c r="AO55" i="111"/>
  <c r="AQ55" i="111" s="1"/>
  <c r="AW55" i="111" s="1"/>
  <c r="AS56" i="111"/>
  <c r="K58" i="111"/>
  <c r="O58" i="111"/>
  <c r="P58" i="111"/>
  <c r="Q58" i="111"/>
  <c r="S59" i="112"/>
  <c r="H59" i="112"/>
  <c r="I59" i="112" s="1"/>
  <c r="T100" i="112"/>
  <c r="M86" i="94"/>
  <c r="S86" i="94" s="1"/>
  <c r="Y121" i="94"/>
  <c r="BL86" i="94"/>
  <c r="J86" i="94"/>
  <c r="M51" i="61"/>
  <c r="K51" i="61" s="1"/>
  <c r="BD68" i="59" l="1"/>
  <c r="AP62" i="59"/>
  <c r="BG107" i="59"/>
  <c r="I56" i="59"/>
  <c r="BF62" i="59" s="1"/>
  <c r="J56" i="66"/>
  <c r="I56" i="66" s="1"/>
  <c r="K56" i="66"/>
  <c r="X56" i="66"/>
  <c r="M57" i="59"/>
  <c r="D137" i="108"/>
  <c r="C138" i="108" s="1"/>
  <c r="P91" i="109"/>
  <c r="N91" i="109" s="1"/>
  <c r="X126" i="109"/>
  <c r="K91" i="109"/>
  <c r="Y125" i="109"/>
  <c r="J90" i="109"/>
  <c r="BL90" i="109"/>
  <c r="BB101" i="111"/>
  <c r="AP56" i="111"/>
  <c r="AY56" i="111"/>
  <c r="AI96" i="111"/>
  <c r="AK96" i="111" s="1"/>
  <c r="N58" i="111"/>
  <c r="L58" i="111" s="1"/>
  <c r="G58" i="111" s="1"/>
  <c r="BA58" i="111" s="1"/>
  <c r="AL55" i="111"/>
  <c r="AJ95" i="111"/>
  <c r="S59" i="111"/>
  <c r="H59" i="111"/>
  <c r="T100" i="111"/>
  <c r="V100" i="111" s="1"/>
  <c r="V100" i="112"/>
  <c r="P59" i="112"/>
  <c r="O59" i="112"/>
  <c r="N59" i="112" s="1"/>
  <c r="L59" i="112" s="1"/>
  <c r="M60" i="112" s="1"/>
  <c r="L87" i="94"/>
  <c r="P87" i="94" s="1"/>
  <c r="N87" i="94" s="1"/>
  <c r="X122" i="94"/>
  <c r="H51" i="61"/>
  <c r="J51" i="61" s="1"/>
  <c r="L52" i="61"/>
  <c r="E138" i="108" l="1"/>
  <c r="G138" i="108"/>
  <c r="F138" i="108"/>
  <c r="K56" i="59"/>
  <c r="T56" i="66"/>
  <c r="S56" i="66"/>
  <c r="R56" i="66" s="1"/>
  <c r="P56" i="66" s="1"/>
  <c r="M59" i="111"/>
  <c r="AU62" i="59"/>
  <c r="AV62" i="59"/>
  <c r="M91" i="109"/>
  <c r="S91" i="109" s="1"/>
  <c r="L92" i="109" s="1"/>
  <c r="J91" i="109"/>
  <c r="Y126" i="109"/>
  <c r="BL91" i="109"/>
  <c r="AW56" i="111"/>
  <c r="AV56" i="111"/>
  <c r="AQ56" i="111"/>
  <c r="AU56" i="111"/>
  <c r="I59" i="111"/>
  <c r="P59" i="111"/>
  <c r="Q59" i="111"/>
  <c r="K59" i="111"/>
  <c r="O59" i="111"/>
  <c r="K87" i="94"/>
  <c r="BL87" i="94" s="1"/>
  <c r="G59" i="112"/>
  <c r="BA59" i="112" s="1"/>
  <c r="P51" i="61"/>
  <c r="T81" i="61"/>
  <c r="H56" i="66" l="1"/>
  <c r="O56" i="66"/>
  <c r="Q56" i="59"/>
  <c r="U103" i="59"/>
  <c r="D138" i="108"/>
  <c r="C139" i="108" s="1"/>
  <c r="AT62" i="59"/>
  <c r="AR62" i="59" s="1"/>
  <c r="Q57" i="66"/>
  <c r="P92" i="109"/>
  <c r="N92" i="109" s="1"/>
  <c r="S92" i="109"/>
  <c r="L93" i="109" s="1"/>
  <c r="X127" i="109"/>
  <c r="K92" i="109"/>
  <c r="M92" i="109" s="1"/>
  <c r="N59" i="111"/>
  <c r="L59" i="111" s="1"/>
  <c r="G59" i="111" s="1"/>
  <c r="BA59" i="111" s="1"/>
  <c r="S60" i="111"/>
  <c r="H60" i="111"/>
  <c r="AT56" i="111"/>
  <c r="AR56" i="111" s="1"/>
  <c r="AY57" i="111"/>
  <c r="BB102" i="111"/>
  <c r="AP57" i="111"/>
  <c r="J87" i="94"/>
  <c r="M87" i="94"/>
  <c r="S87" i="94" s="1"/>
  <c r="X123" i="94" s="1"/>
  <c r="Y122" i="94"/>
  <c r="AI50" i="94" s="1"/>
  <c r="L88" i="94"/>
  <c r="P88" i="94" s="1"/>
  <c r="N88" i="94" s="1"/>
  <c r="K59" i="112"/>
  <c r="Q59" i="112" s="1"/>
  <c r="S60" i="112" s="1"/>
  <c r="T101" i="111"/>
  <c r="V101" i="111" s="1"/>
  <c r="S82" i="61"/>
  <c r="I52" i="61"/>
  <c r="R52" i="61"/>
  <c r="AO62" i="59" l="1"/>
  <c r="AQ62" i="59" s="1"/>
  <c r="BB62" i="59" s="1"/>
  <c r="AS63" i="59"/>
  <c r="E139" i="108"/>
  <c r="F139" i="108"/>
  <c r="G139" i="108"/>
  <c r="S57" i="59"/>
  <c r="T104" i="59"/>
  <c r="J57" i="59"/>
  <c r="V56" i="66"/>
  <c r="Z56" i="66"/>
  <c r="P93" i="109"/>
  <c r="N93" i="109" s="1"/>
  <c r="S93" i="109"/>
  <c r="L94" i="109" s="1"/>
  <c r="X128" i="109"/>
  <c r="T92" i="109"/>
  <c r="W92" i="109" s="1"/>
  <c r="W109" i="109" s="1"/>
  <c r="J92" i="109"/>
  <c r="BL92" i="109"/>
  <c r="Y127" i="109"/>
  <c r="K109" i="109"/>
  <c r="BL109" i="109" s="1"/>
  <c r="AW57" i="111"/>
  <c r="AQ57" i="111"/>
  <c r="AU57" i="111"/>
  <c r="AV57" i="111"/>
  <c r="AS57" i="111"/>
  <c r="Q60" i="111"/>
  <c r="K60" i="111"/>
  <c r="O60" i="111"/>
  <c r="N60" i="111" s="1"/>
  <c r="L60" i="111" s="1"/>
  <c r="G60" i="111" s="1"/>
  <c r="BA60" i="111" s="1"/>
  <c r="P60" i="111"/>
  <c r="I60" i="111"/>
  <c r="M60" i="111"/>
  <c r="K88" i="94"/>
  <c r="T101" i="112"/>
  <c r="V101" i="112" s="1"/>
  <c r="H60" i="112"/>
  <c r="I60" i="112" s="1"/>
  <c r="O60" i="112"/>
  <c r="P60" i="112"/>
  <c r="O52" i="61"/>
  <c r="N52" i="61"/>
  <c r="M52" i="61" s="1"/>
  <c r="K52" i="61" s="1"/>
  <c r="BD69" i="59" l="1"/>
  <c r="AP63" i="59"/>
  <c r="BG108" i="59"/>
  <c r="O57" i="59"/>
  <c r="P57" i="59"/>
  <c r="D139" i="108"/>
  <c r="C140" i="108" s="1"/>
  <c r="K57" i="66"/>
  <c r="J57" i="66"/>
  <c r="I57" i="66" s="1"/>
  <c r="X57" i="66"/>
  <c r="N57" i="59"/>
  <c r="L57" i="59" s="1"/>
  <c r="I57" i="59" s="1"/>
  <c r="BF63" i="59" s="1"/>
  <c r="AL62" i="59"/>
  <c r="AJ101" i="59"/>
  <c r="BL115" i="109"/>
  <c r="P94" i="109"/>
  <c r="N94" i="109" s="1"/>
  <c r="X129" i="109"/>
  <c r="S94" i="109"/>
  <c r="L95" i="109" s="1"/>
  <c r="Z144" i="109"/>
  <c r="Y144" i="109"/>
  <c r="S61" i="111"/>
  <c r="H61" i="111"/>
  <c r="AS58" i="111"/>
  <c r="M61" i="111"/>
  <c r="AT57" i="111"/>
  <c r="AR57" i="111" s="1"/>
  <c r="AO57" i="111" s="1"/>
  <c r="AL57" i="111" s="1"/>
  <c r="BB103" i="111"/>
  <c r="AP58" i="111"/>
  <c r="AY58" i="111"/>
  <c r="BL88" i="94"/>
  <c r="J88" i="94"/>
  <c r="Y123" i="94"/>
  <c r="M88" i="94"/>
  <c r="S88" i="94" s="1"/>
  <c r="N60" i="112"/>
  <c r="L60" i="112" s="1"/>
  <c r="M61" i="112" s="1"/>
  <c r="H52" i="61"/>
  <c r="J52" i="61" s="1"/>
  <c r="L53" i="61"/>
  <c r="T57" i="66" l="1"/>
  <c r="S57" i="66"/>
  <c r="M58" i="59"/>
  <c r="K57" i="59"/>
  <c r="R57" i="66"/>
  <c r="P57" i="66" s="1"/>
  <c r="F140" i="108"/>
  <c r="G140" i="108"/>
  <c r="E140" i="108"/>
  <c r="AV63" i="59"/>
  <c r="AU63" i="59"/>
  <c r="S95" i="109"/>
  <c r="L96" i="109" s="1"/>
  <c r="P95" i="109"/>
  <c r="N95" i="109" s="1"/>
  <c r="X130" i="109"/>
  <c r="I61" i="111"/>
  <c r="AQ58" i="111"/>
  <c r="AU58" i="111"/>
  <c r="AV58" i="111"/>
  <c r="AW58" i="111"/>
  <c r="K61" i="111"/>
  <c r="O61" i="111"/>
  <c r="N61" i="111" s="1"/>
  <c r="L61" i="111" s="1"/>
  <c r="G61" i="111" s="1"/>
  <c r="BA61" i="111" s="1"/>
  <c r="P61" i="111"/>
  <c r="Q61" i="111"/>
  <c r="X124" i="94"/>
  <c r="L89" i="94"/>
  <c r="P89" i="94" s="1"/>
  <c r="N89" i="94" s="1"/>
  <c r="G60" i="112"/>
  <c r="P52" i="61"/>
  <c r="T82" i="61"/>
  <c r="AT63" i="59" l="1"/>
  <c r="AR63" i="59" s="1"/>
  <c r="H57" i="66"/>
  <c r="O57" i="66" s="1"/>
  <c r="Q57" i="59"/>
  <c r="U104" i="59"/>
  <c r="D140" i="108"/>
  <c r="C141" i="108" s="1"/>
  <c r="Q58" i="66"/>
  <c r="P96" i="109"/>
  <c r="N96" i="109" s="1"/>
  <c r="X131" i="109"/>
  <c r="S96" i="109"/>
  <c r="L97" i="109" s="1"/>
  <c r="S62" i="111"/>
  <c r="H62" i="111"/>
  <c r="AP59" i="111"/>
  <c r="BB104" i="111"/>
  <c r="AY59" i="111"/>
  <c r="M62" i="111"/>
  <c r="AT58" i="111"/>
  <c r="AR58" i="111" s="1"/>
  <c r="AO58" i="111" s="1"/>
  <c r="AL58" i="111" s="1"/>
  <c r="K89" i="94"/>
  <c r="BA60" i="112"/>
  <c r="K60" i="112"/>
  <c r="Q60" i="112" s="1"/>
  <c r="S83" i="61"/>
  <c r="I53" i="61"/>
  <c r="R53" i="61"/>
  <c r="V57" i="66" l="1"/>
  <c r="Z57" i="66"/>
  <c r="S58" i="59"/>
  <c r="T105" i="59"/>
  <c r="J58" i="59"/>
  <c r="F141" i="108"/>
  <c r="E141" i="108"/>
  <c r="G141" i="108"/>
  <c r="AO63" i="59"/>
  <c r="AQ63" i="59"/>
  <c r="BB63" i="59" s="1"/>
  <c r="AS64" i="59"/>
  <c r="S97" i="109"/>
  <c r="L98" i="109" s="1"/>
  <c r="P97" i="109"/>
  <c r="N97" i="109" s="1"/>
  <c r="X132" i="109"/>
  <c r="AS59" i="111"/>
  <c r="I62" i="111"/>
  <c r="N62" i="111"/>
  <c r="L62" i="111" s="1"/>
  <c r="G62" i="111" s="1"/>
  <c r="BA62" i="111" s="1"/>
  <c r="AU59" i="111"/>
  <c r="AT59" i="111" s="1"/>
  <c r="AR59" i="111" s="1"/>
  <c r="AO59" i="111" s="1"/>
  <c r="AL59" i="111" s="1"/>
  <c r="AW59" i="111"/>
  <c r="AQ59" i="111"/>
  <c r="AV59" i="111"/>
  <c r="K62" i="111"/>
  <c r="O62" i="111"/>
  <c r="P62" i="111"/>
  <c r="Q62" i="111"/>
  <c r="M89" i="94"/>
  <c r="S89" i="94" s="1"/>
  <c r="Y124" i="94"/>
  <c r="J89" i="94"/>
  <c r="BL89" i="94"/>
  <c r="S61" i="112"/>
  <c r="T102" i="112"/>
  <c r="H61" i="112"/>
  <c r="T102" i="111"/>
  <c r="V102" i="111" s="1"/>
  <c r="N53" i="61"/>
  <c r="M53" i="61" s="1"/>
  <c r="K53" i="61" s="1"/>
  <c r="O53" i="61"/>
  <c r="AJ102" i="59" l="1"/>
  <c r="AL63" i="59"/>
  <c r="O58" i="59"/>
  <c r="P58" i="59"/>
  <c r="BD70" i="59"/>
  <c r="BG109" i="59"/>
  <c r="AP64" i="59"/>
  <c r="D141" i="108"/>
  <c r="C142" i="108" s="1"/>
  <c r="J58" i="66"/>
  <c r="I58" i="66" s="1"/>
  <c r="K58" i="66"/>
  <c r="X58" i="66"/>
  <c r="P98" i="109"/>
  <c r="N98" i="109" s="1"/>
  <c r="S98" i="109"/>
  <c r="L99" i="109" s="1"/>
  <c r="X133" i="109"/>
  <c r="S63" i="111"/>
  <c r="H63" i="111"/>
  <c r="M63" i="111"/>
  <c r="AP60" i="111"/>
  <c r="BB105" i="111"/>
  <c r="AY60" i="111"/>
  <c r="AS60" i="111"/>
  <c r="L90" i="94"/>
  <c r="X125" i="94"/>
  <c r="P61" i="112"/>
  <c r="O61" i="112"/>
  <c r="I61" i="112"/>
  <c r="V102" i="112"/>
  <c r="H53" i="61"/>
  <c r="J53" i="61" s="1"/>
  <c r="L54" i="61"/>
  <c r="E142" i="108" l="1"/>
  <c r="G142" i="108"/>
  <c r="F142" i="108"/>
  <c r="AT64" i="59"/>
  <c r="AR64" i="59" s="1"/>
  <c r="AO64" i="59" s="1"/>
  <c r="S58" i="66"/>
  <c r="T58" i="66"/>
  <c r="AV64" i="59"/>
  <c r="AU64" i="59"/>
  <c r="N58" i="59"/>
  <c r="L58" i="59" s="1"/>
  <c r="S99" i="109"/>
  <c r="L100" i="109" s="1"/>
  <c r="X134" i="109"/>
  <c r="P99" i="109"/>
  <c r="N99" i="109" s="1"/>
  <c r="AU60" i="111"/>
  <c r="AV60" i="111"/>
  <c r="AW60" i="111"/>
  <c r="AQ60" i="111"/>
  <c r="I63" i="111"/>
  <c r="AT60" i="111"/>
  <c r="AR60" i="111" s="1"/>
  <c r="AO60" i="111" s="1"/>
  <c r="AL60" i="111" s="1"/>
  <c r="P63" i="111"/>
  <c r="Q63" i="111"/>
  <c r="O63" i="111"/>
  <c r="K63" i="111"/>
  <c r="P90" i="94"/>
  <c r="N90" i="94" s="1"/>
  <c r="K90" i="94"/>
  <c r="N61" i="112"/>
  <c r="L61" i="112" s="1"/>
  <c r="M62" i="112" s="1"/>
  <c r="P53" i="61"/>
  <c r="T83" i="61"/>
  <c r="AL64" i="59" l="1"/>
  <c r="AJ103" i="59"/>
  <c r="I58" i="59"/>
  <c r="BF64" i="59" s="1"/>
  <c r="K58" i="59"/>
  <c r="M59" i="59"/>
  <c r="AQ64" i="59"/>
  <c r="BB64" i="59" s="1"/>
  <c r="AS65" i="59"/>
  <c r="D142" i="108"/>
  <c r="C143" i="108" s="1"/>
  <c r="R58" i="66"/>
  <c r="P58" i="66" s="1"/>
  <c r="X135" i="109"/>
  <c r="S100" i="109"/>
  <c r="L101" i="109" s="1"/>
  <c r="P100" i="109"/>
  <c r="N100" i="109" s="1"/>
  <c r="BB106" i="111"/>
  <c r="AP61" i="111"/>
  <c r="AY61" i="111"/>
  <c r="N63" i="111"/>
  <c r="L63" i="111" s="1"/>
  <c r="G63" i="111" s="1"/>
  <c r="BA63" i="111" s="1"/>
  <c r="S64" i="111"/>
  <c r="H64" i="111"/>
  <c r="AS61" i="111"/>
  <c r="M90" i="94"/>
  <c r="S90" i="94" s="1"/>
  <c r="J90" i="94"/>
  <c r="Y125" i="94"/>
  <c r="BL90" i="94"/>
  <c r="G61" i="112"/>
  <c r="K61" i="112" s="1"/>
  <c r="Q61" i="112" s="1"/>
  <c r="I54" i="61"/>
  <c r="S84" i="61"/>
  <c r="R54" i="61"/>
  <c r="F143" i="108" l="1"/>
  <c r="E143" i="108"/>
  <c r="G143" i="108"/>
  <c r="D143" i="108" s="1"/>
  <c r="C144" i="108" s="1"/>
  <c r="AP65" i="59"/>
  <c r="BG110" i="59"/>
  <c r="BD71" i="59"/>
  <c r="U105" i="59"/>
  <c r="Q58" i="59"/>
  <c r="H58" i="66"/>
  <c r="O58" i="66"/>
  <c r="M64" i="111"/>
  <c r="Q59" i="66"/>
  <c r="S101" i="109"/>
  <c r="L102" i="109" s="1"/>
  <c r="P101" i="109"/>
  <c r="N101" i="109" s="1"/>
  <c r="X136" i="109"/>
  <c r="I64" i="111"/>
  <c r="Q64" i="111"/>
  <c r="K64" i="111"/>
  <c r="O64" i="111"/>
  <c r="N64" i="111" s="1"/>
  <c r="L64" i="111" s="1"/>
  <c r="G64" i="111" s="1"/>
  <c r="BA64" i="111" s="1"/>
  <c r="P64" i="111"/>
  <c r="AT61" i="111"/>
  <c r="AR61" i="111" s="1"/>
  <c r="AO61" i="111" s="1"/>
  <c r="AL61" i="111" s="1"/>
  <c r="AQ61" i="111"/>
  <c r="AU61" i="111"/>
  <c r="AV61" i="111"/>
  <c r="AW61" i="111"/>
  <c r="L91" i="94"/>
  <c r="P91" i="94" s="1"/>
  <c r="N91" i="94" s="1"/>
  <c r="X126" i="94"/>
  <c r="S62" i="112"/>
  <c r="T103" i="112"/>
  <c r="V103" i="112" s="1"/>
  <c r="H62" i="112"/>
  <c r="BA61" i="112"/>
  <c r="O54" i="61"/>
  <c r="N54" i="61"/>
  <c r="M54" i="61" s="1"/>
  <c r="K54" i="61" s="1"/>
  <c r="G144" i="108" l="1"/>
  <c r="E144" i="108"/>
  <c r="F144" i="108"/>
  <c r="AV65" i="59"/>
  <c r="AU65" i="59"/>
  <c r="V58" i="66"/>
  <c r="Z58" i="66"/>
  <c r="S59" i="59"/>
  <c r="J59" i="59"/>
  <c r="T106" i="59"/>
  <c r="P102" i="109"/>
  <c r="N102" i="109" s="1"/>
  <c r="X137" i="109"/>
  <c r="S102" i="109"/>
  <c r="L103" i="109" s="1"/>
  <c r="AP62" i="111"/>
  <c r="BB107" i="111"/>
  <c r="AY62" i="111"/>
  <c r="S65" i="111"/>
  <c r="H65" i="111"/>
  <c r="AS62" i="111"/>
  <c r="M65" i="111"/>
  <c r="K91" i="94"/>
  <c r="I62" i="112"/>
  <c r="P62" i="112"/>
  <c r="O62" i="112"/>
  <c r="T103" i="111"/>
  <c r="V103" i="111" s="1"/>
  <c r="H54" i="61"/>
  <c r="J54" i="61" s="1"/>
  <c r="L55" i="61"/>
  <c r="N59" i="59" l="1"/>
  <c r="L59" i="59" s="1"/>
  <c r="I59" i="59" s="1"/>
  <c r="BF65" i="59" s="1"/>
  <c r="P59" i="59"/>
  <c r="O59" i="59"/>
  <c r="K59" i="66"/>
  <c r="J59" i="66"/>
  <c r="I59" i="66" s="1"/>
  <c r="X59" i="66"/>
  <c r="AT65" i="59"/>
  <c r="AR65" i="59" s="1"/>
  <c r="D144" i="108"/>
  <c r="C145" i="108" s="1"/>
  <c r="P103" i="109"/>
  <c r="N103" i="109" s="1"/>
  <c r="S103" i="109"/>
  <c r="L104" i="109" s="1"/>
  <c r="X138" i="109"/>
  <c r="K65" i="111"/>
  <c r="O65" i="111"/>
  <c r="P65" i="111"/>
  <c r="Q65" i="111"/>
  <c r="AV62" i="111"/>
  <c r="AW62" i="111"/>
  <c r="AQ62" i="111"/>
  <c r="AU62" i="111"/>
  <c r="I65" i="111"/>
  <c r="M91" i="94"/>
  <c r="S91" i="94" s="1"/>
  <c r="Y126" i="94"/>
  <c r="J91" i="94"/>
  <c r="BL91" i="94"/>
  <c r="N62" i="112"/>
  <c r="L62" i="112" s="1"/>
  <c r="M63" i="112" s="1"/>
  <c r="P54" i="61"/>
  <c r="T84" i="61"/>
  <c r="E145" i="108" l="1"/>
  <c r="F145" i="108"/>
  <c r="G145" i="108"/>
  <c r="M60" i="59"/>
  <c r="AO65" i="59"/>
  <c r="AQ65" i="59" s="1"/>
  <c r="BB65" i="59" s="1"/>
  <c r="T59" i="66"/>
  <c r="S59" i="66"/>
  <c r="R59" i="66" s="1"/>
  <c r="P59" i="66" s="1"/>
  <c r="K59" i="59"/>
  <c r="AS66" i="59"/>
  <c r="X139" i="109"/>
  <c r="P104" i="109"/>
  <c r="N104" i="109" s="1"/>
  <c r="S104" i="109"/>
  <c r="L105" i="109" s="1"/>
  <c r="S66" i="111"/>
  <c r="H66" i="111"/>
  <c r="AT62" i="111"/>
  <c r="AR62" i="111" s="1"/>
  <c r="AO62" i="111" s="1"/>
  <c r="AL62" i="111" s="1"/>
  <c r="BB108" i="111"/>
  <c r="AP63" i="111"/>
  <c r="AY63" i="111"/>
  <c r="N65" i="111"/>
  <c r="L65" i="111" s="1"/>
  <c r="G65" i="111" s="1"/>
  <c r="BA65" i="111" s="1"/>
  <c r="L92" i="94"/>
  <c r="P92" i="94" s="1"/>
  <c r="N92" i="94" s="1"/>
  <c r="S92" i="94"/>
  <c r="X127" i="94"/>
  <c r="G62" i="112"/>
  <c r="I55" i="61"/>
  <c r="S85" i="61"/>
  <c r="R55" i="61"/>
  <c r="H59" i="66" l="1"/>
  <c r="O59" i="66" s="1"/>
  <c r="BD72" i="59"/>
  <c r="BG111" i="59"/>
  <c r="AP66" i="59"/>
  <c r="AL65" i="59"/>
  <c r="AJ104" i="59"/>
  <c r="D145" i="108"/>
  <c r="C146" i="108" s="1"/>
  <c r="U106" i="59"/>
  <c r="Q59" i="59"/>
  <c r="M66" i="111"/>
  <c r="Q60" i="66"/>
  <c r="P105" i="109"/>
  <c r="N105" i="109" s="1"/>
  <c r="S105" i="109"/>
  <c r="L106" i="109" s="1"/>
  <c r="X140" i="109"/>
  <c r="K66" i="111"/>
  <c r="O66" i="111"/>
  <c r="P66" i="111"/>
  <c r="Q66" i="111"/>
  <c r="AS63" i="111"/>
  <c r="AV63" i="111"/>
  <c r="AW63" i="111"/>
  <c r="AQ63" i="111"/>
  <c r="AU63" i="111"/>
  <c r="I66" i="111"/>
  <c r="N66" i="111"/>
  <c r="L66" i="111" s="1"/>
  <c r="G66" i="111" s="1"/>
  <c r="BA66" i="111" s="1"/>
  <c r="K92" i="94"/>
  <c r="X128" i="94"/>
  <c r="L93" i="94"/>
  <c r="P93" i="94" s="1"/>
  <c r="N93" i="94" s="1"/>
  <c r="S93" i="94"/>
  <c r="BA62" i="112"/>
  <c r="K62" i="112"/>
  <c r="Q62" i="112" s="1"/>
  <c r="T104" i="111"/>
  <c r="V104" i="111" s="1"/>
  <c r="O55" i="61"/>
  <c r="N55" i="61"/>
  <c r="V59" i="66" l="1"/>
  <c r="Z59" i="66"/>
  <c r="E146" i="108"/>
  <c r="F146" i="108"/>
  <c r="G146" i="108"/>
  <c r="S60" i="59"/>
  <c r="J60" i="59"/>
  <c r="T107" i="59"/>
  <c r="AU66" i="59"/>
  <c r="AT66" i="59" s="1"/>
  <c r="AR66" i="59" s="1"/>
  <c r="AV66" i="59"/>
  <c r="X141" i="109"/>
  <c r="S106" i="109"/>
  <c r="L107" i="109" s="1"/>
  <c r="BB109" i="111"/>
  <c r="AP64" i="111"/>
  <c r="AY64" i="111"/>
  <c r="S67" i="111"/>
  <c r="H67" i="111"/>
  <c r="M67" i="111"/>
  <c r="AT63" i="111"/>
  <c r="AR63" i="111" s="1"/>
  <c r="AO63" i="111" s="1"/>
  <c r="AL63" i="111" s="1"/>
  <c r="L94" i="94"/>
  <c r="P94" i="94" s="1"/>
  <c r="N94" i="94" s="1"/>
  <c r="S94" i="94"/>
  <c r="X129" i="94"/>
  <c r="M92" i="94"/>
  <c r="BL92" i="94"/>
  <c r="Y127" i="94"/>
  <c r="J92" i="94"/>
  <c r="K109" i="94"/>
  <c r="BL109" i="94" s="1"/>
  <c r="T92" i="94"/>
  <c r="W92" i="94" s="1"/>
  <c r="W109" i="94" s="1"/>
  <c r="S63" i="112"/>
  <c r="T104" i="112"/>
  <c r="H63" i="112"/>
  <c r="M55" i="61"/>
  <c r="K55" i="61" s="1"/>
  <c r="AO66" i="59" l="1"/>
  <c r="AQ66" i="59" s="1"/>
  <c r="BB66" i="59" s="1"/>
  <c r="P60" i="59"/>
  <c r="O60" i="59"/>
  <c r="J60" i="66"/>
  <c r="I60" i="66" s="1"/>
  <c r="K60" i="66"/>
  <c r="X60" i="66"/>
  <c r="AS64" i="111"/>
  <c r="AS67" i="59"/>
  <c r="D146" i="108"/>
  <c r="C147" i="108" s="1"/>
  <c r="P107" i="109"/>
  <c r="N107" i="109" s="1"/>
  <c r="S107" i="109"/>
  <c r="L108" i="109" s="1"/>
  <c r="X142" i="109"/>
  <c r="P106" i="109"/>
  <c r="AW64" i="111"/>
  <c r="AQ64" i="111"/>
  <c r="AU64" i="111"/>
  <c r="AV64" i="111"/>
  <c r="P67" i="111"/>
  <c r="Q67" i="111"/>
  <c r="K67" i="111"/>
  <c r="O67" i="111"/>
  <c r="I67" i="111"/>
  <c r="Y144" i="94"/>
  <c r="Z144" i="94"/>
  <c r="L95" i="94"/>
  <c r="P95" i="94" s="1"/>
  <c r="N95" i="94" s="1"/>
  <c r="S95" i="94"/>
  <c r="X130" i="94"/>
  <c r="BL115" i="94"/>
  <c r="I63" i="112"/>
  <c r="V104" i="112"/>
  <c r="P63" i="112"/>
  <c r="O63" i="112"/>
  <c r="H55" i="61"/>
  <c r="J55" i="61" s="1"/>
  <c r="L56" i="61"/>
  <c r="BG112" i="59" l="1"/>
  <c r="AP67" i="59"/>
  <c r="BD73" i="59"/>
  <c r="G147" i="108"/>
  <c r="F147" i="108"/>
  <c r="E147" i="108"/>
  <c r="M61" i="59"/>
  <c r="T60" i="66"/>
  <c r="S60" i="66"/>
  <c r="N60" i="59"/>
  <c r="L60" i="59" s="1"/>
  <c r="AL66" i="59"/>
  <c r="AJ105" i="59"/>
  <c r="N106" i="109"/>
  <c r="X143" i="109"/>
  <c r="V108" i="109"/>
  <c r="N67" i="111"/>
  <c r="L67" i="111" s="1"/>
  <c r="G67" i="111" s="1"/>
  <c r="BA67" i="111" s="1"/>
  <c r="S68" i="111"/>
  <c r="H68" i="111"/>
  <c r="AT64" i="111"/>
  <c r="AR64" i="111" s="1"/>
  <c r="AO64" i="111" s="1"/>
  <c r="AL64" i="111" s="1"/>
  <c r="BB110" i="111"/>
  <c r="AP65" i="111"/>
  <c r="AY65" i="111"/>
  <c r="S96" i="94"/>
  <c r="X131" i="94"/>
  <c r="L96" i="94"/>
  <c r="P96" i="94" s="1"/>
  <c r="N96" i="94" s="1"/>
  <c r="N63" i="112"/>
  <c r="L63" i="112" s="1"/>
  <c r="M64" i="112" s="1"/>
  <c r="P55" i="61"/>
  <c r="T85" i="61"/>
  <c r="I60" i="59" l="1"/>
  <c r="BF66" i="59" s="1"/>
  <c r="D147" i="108"/>
  <c r="C148" i="108" s="1"/>
  <c r="AV67" i="59"/>
  <c r="AU67" i="59"/>
  <c r="AT67" i="59"/>
  <c r="AR67" i="59" s="1"/>
  <c r="AO67" i="59" s="1"/>
  <c r="R60" i="66"/>
  <c r="P60" i="66" s="1"/>
  <c r="Q61" i="66" s="1"/>
  <c r="L109" i="109"/>
  <c r="C28" i="109" s="1"/>
  <c r="E28" i="109" s="1"/>
  <c r="Q108" i="109"/>
  <c r="M108" i="109"/>
  <c r="M109" i="109" s="1"/>
  <c r="S108" i="109"/>
  <c r="R108" i="109"/>
  <c r="R109" i="109" s="1"/>
  <c r="Q68" i="111"/>
  <c r="K68" i="111"/>
  <c r="O68" i="111"/>
  <c r="P68" i="111"/>
  <c r="AS65" i="111"/>
  <c r="AW65" i="111"/>
  <c r="AQ65" i="111"/>
  <c r="AU65" i="111"/>
  <c r="AV65" i="111"/>
  <c r="I68" i="111"/>
  <c r="N68" i="111"/>
  <c r="L68" i="111" s="1"/>
  <c r="G68" i="111" s="1"/>
  <c r="BA68" i="111" s="1"/>
  <c r="M68" i="111"/>
  <c r="L97" i="94"/>
  <c r="P97" i="94" s="1"/>
  <c r="N97" i="94" s="1"/>
  <c r="X132" i="94"/>
  <c r="S97" i="94"/>
  <c r="G63" i="112"/>
  <c r="S86" i="61"/>
  <c r="R56" i="61"/>
  <c r="I56" i="61"/>
  <c r="AS68" i="59" l="1"/>
  <c r="AQ67" i="59"/>
  <c r="BB67" i="59" s="1"/>
  <c r="E148" i="108"/>
  <c r="G148" i="108"/>
  <c r="F148" i="108"/>
  <c r="H60" i="66"/>
  <c r="O60" i="66" s="1"/>
  <c r="K60" i="59"/>
  <c r="AL67" i="59"/>
  <c r="AJ106" i="59"/>
  <c r="Q109" i="109"/>
  <c r="J108" i="109"/>
  <c r="J109" i="109" s="1"/>
  <c r="P108" i="109"/>
  <c r="M69" i="111"/>
  <c r="AT65" i="111"/>
  <c r="AR65" i="111" s="1"/>
  <c r="AO65" i="111" s="1"/>
  <c r="AL65" i="111" s="1"/>
  <c r="AP66" i="111"/>
  <c r="BB111" i="111"/>
  <c r="AY66" i="111"/>
  <c r="S69" i="111"/>
  <c r="H69" i="111"/>
  <c r="X133" i="94"/>
  <c r="S98" i="94"/>
  <c r="L98" i="94"/>
  <c r="P98" i="94" s="1"/>
  <c r="N98" i="94" s="1"/>
  <c r="BA63" i="112"/>
  <c r="K63" i="112"/>
  <c r="Q63" i="112" s="1"/>
  <c r="T105" i="111"/>
  <c r="V105" i="111" s="1"/>
  <c r="N56" i="61"/>
  <c r="O56" i="61"/>
  <c r="V60" i="66" l="1"/>
  <c r="Z60" i="66"/>
  <c r="D148" i="108"/>
  <c r="C149" i="108" s="1"/>
  <c r="BD74" i="59"/>
  <c r="BG113" i="59"/>
  <c r="AP68" i="59"/>
  <c r="Q60" i="59"/>
  <c r="U107" i="59"/>
  <c r="N108" i="109"/>
  <c r="N109" i="109" s="1"/>
  <c r="P109" i="109"/>
  <c r="K69" i="111"/>
  <c r="O69" i="111"/>
  <c r="N69" i="111" s="1"/>
  <c r="L69" i="111" s="1"/>
  <c r="G69" i="111" s="1"/>
  <c r="BA69" i="111" s="1"/>
  <c r="P69" i="111"/>
  <c r="Q69" i="111"/>
  <c r="AQ66" i="111"/>
  <c r="AW66" i="111"/>
  <c r="AV66" i="111"/>
  <c r="AU66" i="111"/>
  <c r="I69" i="111"/>
  <c r="AS66" i="111"/>
  <c r="X134" i="94"/>
  <c r="S99" i="94"/>
  <c r="L99" i="94"/>
  <c r="P99" i="94" s="1"/>
  <c r="N99" i="94" s="1"/>
  <c r="S64" i="112"/>
  <c r="T105" i="112"/>
  <c r="H64" i="112"/>
  <c r="M56" i="61"/>
  <c r="K56" i="61" s="1"/>
  <c r="S61" i="59" l="1"/>
  <c r="J61" i="59"/>
  <c r="T108" i="59"/>
  <c r="AU68" i="59"/>
  <c r="AQ68" i="59"/>
  <c r="BB68" i="59"/>
  <c r="AV68" i="59"/>
  <c r="F149" i="108"/>
  <c r="G149" i="108"/>
  <c r="D149" i="108" s="1"/>
  <c r="E149" i="108"/>
  <c r="C150" i="108"/>
  <c r="J61" i="66"/>
  <c r="I61" i="66" s="1"/>
  <c r="K61" i="66"/>
  <c r="X61" i="66"/>
  <c r="S70" i="111"/>
  <c r="H70" i="111"/>
  <c r="AP67" i="111"/>
  <c r="BB112" i="111"/>
  <c r="AY67" i="111"/>
  <c r="M70" i="111"/>
  <c r="AT66" i="111"/>
  <c r="AR66" i="111" s="1"/>
  <c r="AO66" i="111" s="1"/>
  <c r="AL66" i="111" s="1"/>
  <c r="L100" i="94"/>
  <c r="P100" i="94" s="1"/>
  <c r="N100" i="94" s="1"/>
  <c r="S100" i="94"/>
  <c r="X135" i="94"/>
  <c r="V105" i="112"/>
  <c r="I64" i="112"/>
  <c r="O64" i="112"/>
  <c r="N64" i="112" s="1"/>
  <c r="L64" i="112" s="1"/>
  <c r="G64" i="112" s="1"/>
  <c r="BA64" i="112" s="1"/>
  <c r="P64" i="112"/>
  <c r="H56" i="61"/>
  <c r="J56" i="61" s="1"/>
  <c r="L57" i="61"/>
  <c r="BD75" i="59" l="1"/>
  <c r="AP69" i="59"/>
  <c r="BG114" i="59"/>
  <c r="E150" i="108"/>
  <c r="F150" i="108"/>
  <c r="G150" i="108"/>
  <c r="D150" i="108" s="1"/>
  <c r="C151" i="108" s="1"/>
  <c r="T61" i="66"/>
  <c r="S61" i="66"/>
  <c r="O61" i="59"/>
  <c r="P61" i="59"/>
  <c r="AT68" i="59"/>
  <c r="AR68" i="59" s="1"/>
  <c r="AS69" i="59" s="1"/>
  <c r="AS67" i="111"/>
  <c r="I70" i="111"/>
  <c r="N70" i="111"/>
  <c r="L70" i="111" s="1"/>
  <c r="G70" i="111" s="1"/>
  <c r="BA70" i="111" s="1"/>
  <c r="AV67" i="111"/>
  <c r="AU67" i="111"/>
  <c r="AW67" i="111"/>
  <c r="AQ67" i="111"/>
  <c r="K70" i="111"/>
  <c r="O70" i="111"/>
  <c r="P70" i="111"/>
  <c r="Q70" i="111"/>
  <c r="S101" i="94"/>
  <c r="L101" i="94"/>
  <c r="P101" i="94" s="1"/>
  <c r="N101" i="94" s="1"/>
  <c r="X136" i="94"/>
  <c r="K64" i="112"/>
  <c r="Q64" i="112" s="1"/>
  <c r="M65" i="112"/>
  <c r="P56" i="61"/>
  <c r="T86" i="61"/>
  <c r="F151" i="108" l="1"/>
  <c r="G151" i="108"/>
  <c r="E151" i="108"/>
  <c r="M62" i="59"/>
  <c r="R61" i="66"/>
  <c r="P61" i="66" s="1"/>
  <c r="AO68" i="59"/>
  <c r="N61" i="59"/>
  <c r="L61" i="59" s="1"/>
  <c r="AU69" i="59"/>
  <c r="BB69" i="59"/>
  <c r="AQ69" i="59"/>
  <c r="AV69" i="59"/>
  <c r="BB113" i="111"/>
  <c r="AP68" i="111"/>
  <c r="AY68" i="111"/>
  <c r="S71" i="111"/>
  <c r="H71" i="111"/>
  <c r="M71" i="111"/>
  <c r="AT67" i="111"/>
  <c r="AR67" i="111" s="1"/>
  <c r="AO67" i="111" s="1"/>
  <c r="AL67" i="111" s="1"/>
  <c r="X137" i="94"/>
  <c r="L102" i="94"/>
  <c r="P102" i="94" s="1"/>
  <c r="N102" i="94" s="1"/>
  <c r="S102" i="94"/>
  <c r="S65" i="112"/>
  <c r="T106" i="112"/>
  <c r="H65" i="112"/>
  <c r="I57" i="61"/>
  <c r="R57" i="61"/>
  <c r="S87" i="61"/>
  <c r="AL68" i="59" l="1"/>
  <c r="AJ107" i="59"/>
  <c r="H61" i="66"/>
  <c r="O61" i="66" s="1"/>
  <c r="Q62" i="66"/>
  <c r="AP70" i="59"/>
  <c r="BG115" i="59"/>
  <c r="BD76" i="59"/>
  <c r="AT69" i="59"/>
  <c r="AR69" i="59" s="1"/>
  <c r="AO69" i="59" s="1"/>
  <c r="D151" i="108"/>
  <c r="C152" i="108" s="1"/>
  <c r="I61" i="59"/>
  <c r="BF67" i="59" s="1"/>
  <c r="K61" i="59"/>
  <c r="AS68" i="111"/>
  <c r="P71" i="111"/>
  <c r="Q71" i="111"/>
  <c r="K71" i="111"/>
  <c r="O71" i="111"/>
  <c r="N71" i="111" s="1"/>
  <c r="L71" i="111" s="1"/>
  <c r="G71" i="111" s="1"/>
  <c r="BA71" i="111" s="1"/>
  <c r="AQ68" i="111"/>
  <c r="AU68" i="111"/>
  <c r="AV68" i="111"/>
  <c r="AW68" i="111"/>
  <c r="I71" i="111"/>
  <c r="X138" i="94"/>
  <c r="S103" i="94"/>
  <c r="L103" i="94"/>
  <c r="P103" i="94" s="1"/>
  <c r="N103" i="94" s="1"/>
  <c r="V106" i="112"/>
  <c r="I65" i="112"/>
  <c r="P65" i="112"/>
  <c r="O65" i="112"/>
  <c r="N65" i="112" s="1"/>
  <c r="L65" i="112" s="1"/>
  <c r="T106" i="111"/>
  <c r="V106" i="111" s="1"/>
  <c r="O57" i="61"/>
  <c r="N57" i="61"/>
  <c r="M57" i="61" s="1"/>
  <c r="K57" i="61" s="1"/>
  <c r="V61" i="66" l="1"/>
  <c r="Z61" i="66"/>
  <c r="AQ70" i="59"/>
  <c r="AU70" i="59"/>
  <c r="AV70" i="59"/>
  <c r="BB70" i="59"/>
  <c r="AT70" i="59"/>
  <c r="AR70" i="59" s="1"/>
  <c r="AO70" i="59" s="1"/>
  <c r="Q61" i="59"/>
  <c r="U108" i="59"/>
  <c r="G152" i="108"/>
  <c r="F152" i="108"/>
  <c r="E152" i="108"/>
  <c r="AL69" i="59"/>
  <c r="AJ108" i="59"/>
  <c r="AS70" i="59"/>
  <c r="S72" i="111"/>
  <c r="H72" i="111"/>
  <c r="AT68" i="111"/>
  <c r="AR68" i="111" s="1"/>
  <c r="AO68" i="111" s="1"/>
  <c r="AL68" i="111" s="1"/>
  <c r="AP69" i="111"/>
  <c r="BB114" i="111"/>
  <c r="AY69" i="111"/>
  <c r="M72" i="111"/>
  <c r="X139" i="94"/>
  <c r="S104" i="94"/>
  <c r="L104" i="94"/>
  <c r="P104" i="94" s="1"/>
  <c r="N104" i="94" s="1"/>
  <c r="G65" i="112"/>
  <c r="BA65" i="112" s="1"/>
  <c r="M66" i="112"/>
  <c r="L58" i="61"/>
  <c r="H57" i="61"/>
  <c r="J57" i="61" s="1"/>
  <c r="S62" i="59" l="1"/>
  <c r="J62" i="59"/>
  <c r="T109" i="59"/>
  <c r="BD77" i="59"/>
  <c r="AP71" i="59"/>
  <c r="BG116" i="59"/>
  <c r="AS71" i="59"/>
  <c r="AJ109" i="59"/>
  <c r="AL70" i="59"/>
  <c r="D152" i="108"/>
  <c r="C153" i="108" s="1"/>
  <c r="J62" i="66"/>
  <c r="I62" i="66" s="1"/>
  <c r="K62" i="66"/>
  <c r="X62" i="66"/>
  <c r="AQ69" i="111"/>
  <c r="AU69" i="111"/>
  <c r="AV69" i="111"/>
  <c r="AW69" i="111"/>
  <c r="I72" i="111"/>
  <c r="AT69" i="111"/>
  <c r="AR69" i="111" s="1"/>
  <c r="AO69" i="111" s="1"/>
  <c r="AL69" i="111" s="1"/>
  <c r="Q72" i="111"/>
  <c r="K72" i="111"/>
  <c r="O72" i="111"/>
  <c r="P72" i="111"/>
  <c r="AS69" i="111"/>
  <c r="L105" i="94"/>
  <c r="X140" i="94"/>
  <c r="S105" i="94"/>
  <c r="K65" i="112"/>
  <c r="Q65" i="112" s="1"/>
  <c r="P57" i="61"/>
  <c r="T87" i="61"/>
  <c r="AQ71" i="59" l="1"/>
  <c r="AV71" i="59"/>
  <c r="BB71" i="59"/>
  <c r="AU71" i="59"/>
  <c r="AT71" i="59"/>
  <c r="AR71" i="59" s="1"/>
  <c r="AO71" i="59" s="1"/>
  <c r="N62" i="59"/>
  <c r="L62" i="59" s="1"/>
  <c r="I62" i="59" s="1"/>
  <c r="BF68" i="59" s="1"/>
  <c r="F153" i="108"/>
  <c r="E153" i="108"/>
  <c r="G153" i="108"/>
  <c r="S62" i="66"/>
  <c r="T62" i="66"/>
  <c r="P62" i="59"/>
  <c r="O62" i="59"/>
  <c r="AP70" i="111"/>
  <c r="BB115" i="111"/>
  <c r="AY70" i="111"/>
  <c r="N72" i="111"/>
  <c r="L72" i="111" s="1"/>
  <c r="G72" i="111" s="1"/>
  <c r="BA72" i="111" s="1"/>
  <c r="AS70" i="111"/>
  <c r="S73" i="111"/>
  <c r="H73" i="111"/>
  <c r="P105" i="94"/>
  <c r="L106" i="94"/>
  <c r="P106" i="94" s="1"/>
  <c r="N106" i="94" s="1"/>
  <c r="S106" i="94"/>
  <c r="X141" i="94"/>
  <c r="S66" i="112"/>
  <c r="H66" i="112"/>
  <c r="T107" i="112"/>
  <c r="S88" i="61"/>
  <c r="I58" i="61"/>
  <c r="R58" i="61"/>
  <c r="AL71" i="59" l="1"/>
  <c r="AJ110" i="59"/>
  <c r="R62" i="66"/>
  <c r="P62" i="66" s="1"/>
  <c r="AS72" i="59"/>
  <c r="M63" i="59"/>
  <c r="D153" i="108"/>
  <c r="C154" i="108" s="1"/>
  <c r="BD78" i="59"/>
  <c r="AP72" i="59"/>
  <c r="BG117" i="59"/>
  <c r="K62" i="59"/>
  <c r="I73" i="111"/>
  <c r="M73" i="111"/>
  <c r="K73" i="111"/>
  <c r="O73" i="111"/>
  <c r="P73" i="111"/>
  <c r="Q73" i="111"/>
  <c r="AV70" i="111"/>
  <c r="AW70" i="111"/>
  <c r="AU70" i="111"/>
  <c r="AQ70" i="111"/>
  <c r="AT70" i="111"/>
  <c r="AR70" i="111" s="1"/>
  <c r="AO70" i="111" s="1"/>
  <c r="AL70" i="111" s="1"/>
  <c r="S107" i="94"/>
  <c r="L107" i="94"/>
  <c r="P107" i="94" s="1"/>
  <c r="N107" i="94" s="1"/>
  <c r="X142" i="94"/>
  <c r="N105" i="94"/>
  <c r="P66" i="112"/>
  <c r="O66" i="112"/>
  <c r="N66" i="112" s="1"/>
  <c r="L66" i="112" s="1"/>
  <c r="G66" i="112" s="1"/>
  <c r="BA66" i="112" s="1"/>
  <c r="V107" i="112"/>
  <c r="I66" i="112"/>
  <c r="O58" i="61"/>
  <c r="N58" i="61"/>
  <c r="M58" i="61" s="1"/>
  <c r="K58" i="61" s="1"/>
  <c r="E154" i="108" l="1"/>
  <c r="G154" i="108"/>
  <c r="F154" i="108"/>
  <c r="Q62" i="59"/>
  <c r="U109" i="59"/>
  <c r="H62" i="66"/>
  <c r="O62" i="66" s="1"/>
  <c r="BB72" i="59"/>
  <c r="AQ72" i="59"/>
  <c r="AU72" i="59"/>
  <c r="AV72" i="59"/>
  <c r="Q63" i="66"/>
  <c r="S74" i="111"/>
  <c r="H74" i="111"/>
  <c r="AS71" i="111"/>
  <c r="BB116" i="111"/>
  <c r="AP71" i="111"/>
  <c r="AY71" i="111"/>
  <c r="N73" i="111"/>
  <c r="L73" i="111" s="1"/>
  <c r="G73" i="111" s="1"/>
  <c r="BA73" i="111" s="1"/>
  <c r="X143" i="94"/>
  <c r="L108" i="94"/>
  <c r="V108" i="94"/>
  <c r="K66" i="112"/>
  <c r="Q66" i="112" s="1"/>
  <c r="M67" i="112"/>
  <c r="T107" i="111"/>
  <c r="V107" i="111" s="1"/>
  <c r="H58" i="61"/>
  <c r="J58" i="61" s="1"/>
  <c r="L59" i="61"/>
  <c r="V62" i="66" l="1"/>
  <c r="Z62" i="66"/>
  <c r="S63" i="59"/>
  <c r="J63" i="59"/>
  <c r="T110" i="59"/>
  <c r="D154" i="108"/>
  <c r="C155" i="108" s="1"/>
  <c r="BD79" i="59"/>
  <c r="AP73" i="59"/>
  <c r="BG118" i="59"/>
  <c r="AT72" i="59"/>
  <c r="AR72" i="59" s="1"/>
  <c r="AO72" i="59" s="1"/>
  <c r="M74" i="111"/>
  <c r="AQ71" i="111"/>
  <c r="AU71" i="111"/>
  <c r="AW71" i="111"/>
  <c r="AV71" i="111"/>
  <c r="I74" i="111"/>
  <c r="N74" i="111"/>
  <c r="L74" i="111" s="1"/>
  <c r="G74" i="111" s="1"/>
  <c r="BA74" i="111" s="1"/>
  <c r="AT71" i="111"/>
  <c r="AR71" i="111" s="1"/>
  <c r="AO71" i="111" s="1"/>
  <c r="AL71" i="111" s="1"/>
  <c r="K74" i="111"/>
  <c r="O74" i="111"/>
  <c r="P74" i="111"/>
  <c r="Q74" i="111"/>
  <c r="S108" i="94"/>
  <c r="R108" i="94"/>
  <c r="R109" i="94" s="1"/>
  <c r="M108" i="94"/>
  <c r="M109" i="94" s="1"/>
  <c r="Q108" i="94"/>
  <c r="P108" i="94" s="1"/>
  <c r="L109" i="94"/>
  <c r="C28" i="94" s="1"/>
  <c r="E28" i="94" s="1"/>
  <c r="S67" i="112"/>
  <c r="T108" i="112"/>
  <c r="H67" i="112"/>
  <c r="P58" i="61"/>
  <c r="T88" i="61"/>
  <c r="E155" i="108" l="1"/>
  <c r="F155" i="108"/>
  <c r="G155" i="108"/>
  <c r="D155" i="108" s="1"/>
  <c r="C156" i="108" s="1"/>
  <c r="AS73" i="59"/>
  <c r="AL72" i="59"/>
  <c r="AJ111" i="59"/>
  <c r="O63" i="59"/>
  <c r="P63" i="59"/>
  <c r="AT73" i="59"/>
  <c r="AR73" i="59" s="1"/>
  <c r="AO73" i="59" s="1"/>
  <c r="AQ73" i="59"/>
  <c r="AV73" i="59"/>
  <c r="AU73" i="59"/>
  <c r="BB73" i="59"/>
  <c r="J63" i="66"/>
  <c r="K63" i="66"/>
  <c r="I63" i="66" s="1"/>
  <c r="X63" i="66"/>
  <c r="S75" i="111"/>
  <c r="H75" i="111"/>
  <c r="BB117" i="111"/>
  <c r="AP72" i="111"/>
  <c r="AY72" i="111"/>
  <c r="AS72" i="111"/>
  <c r="M75" i="111"/>
  <c r="N108" i="94"/>
  <c r="N109" i="94" s="1"/>
  <c r="P109" i="94"/>
  <c r="Q109" i="94"/>
  <c r="J108" i="94"/>
  <c r="J109" i="94" s="1"/>
  <c r="I67" i="112"/>
  <c r="V108" i="112"/>
  <c r="P67" i="112"/>
  <c r="O67" i="112"/>
  <c r="N67" i="112" s="1"/>
  <c r="L67" i="112" s="1"/>
  <c r="I59" i="61"/>
  <c r="R59" i="61"/>
  <c r="S89" i="61"/>
  <c r="F156" i="108" l="1"/>
  <c r="G156" i="108"/>
  <c r="E156" i="108"/>
  <c r="T63" i="66"/>
  <c r="S63" i="66"/>
  <c r="R63" i="66"/>
  <c r="P63" i="66" s="1"/>
  <c r="AJ112" i="59"/>
  <c r="AL73" i="59"/>
  <c r="AP74" i="59"/>
  <c r="BG119" i="59"/>
  <c r="BD80" i="59"/>
  <c r="AS74" i="59"/>
  <c r="N63" i="59"/>
  <c r="L63" i="59" s="1"/>
  <c r="M64" i="59" s="1"/>
  <c r="I75" i="111"/>
  <c r="AW72" i="111"/>
  <c r="AQ72" i="111"/>
  <c r="AU72" i="111"/>
  <c r="AV72" i="111"/>
  <c r="AT72" i="111"/>
  <c r="AR72" i="111" s="1"/>
  <c r="AO72" i="111" s="1"/>
  <c r="AL72" i="111" s="1"/>
  <c r="P75" i="111"/>
  <c r="Q75" i="111"/>
  <c r="K75" i="111"/>
  <c r="O75" i="111"/>
  <c r="G67" i="112"/>
  <c r="BA67" i="112" s="1"/>
  <c r="M68" i="112"/>
  <c r="N59" i="61"/>
  <c r="M59" i="61" s="1"/>
  <c r="K59" i="61" s="1"/>
  <c r="O59" i="61"/>
  <c r="H63" i="66" l="1"/>
  <c r="O63" i="66" s="1"/>
  <c r="Q64" i="66"/>
  <c r="D156" i="108"/>
  <c r="C157" i="108" s="1"/>
  <c r="BB74" i="59"/>
  <c r="AU74" i="59"/>
  <c r="AQ74" i="59"/>
  <c r="AQ109" i="59" s="1"/>
  <c r="AV74" i="59"/>
  <c r="I63" i="59"/>
  <c r="BF69" i="59" s="1"/>
  <c r="AP73" i="111"/>
  <c r="BB118" i="111"/>
  <c r="AY73" i="111"/>
  <c r="N75" i="111"/>
  <c r="L75" i="111" s="1"/>
  <c r="G75" i="111" s="1"/>
  <c r="BA75" i="111" s="1"/>
  <c r="S76" i="111"/>
  <c r="H76" i="111"/>
  <c r="AS73" i="111"/>
  <c r="K67" i="112"/>
  <c r="Q67" i="112" s="1"/>
  <c r="H59" i="61"/>
  <c r="J59" i="61" s="1"/>
  <c r="L60" i="61"/>
  <c r="V63" i="66" l="1"/>
  <c r="Z63" i="66"/>
  <c r="BB75" i="59"/>
  <c r="BD81" i="59"/>
  <c r="BG120" i="59"/>
  <c r="AP75" i="59"/>
  <c r="F157" i="108"/>
  <c r="E157" i="108"/>
  <c r="G157" i="108"/>
  <c r="AT74" i="59"/>
  <c r="AR74" i="59" s="1"/>
  <c r="AO74" i="59" s="1"/>
  <c r="K63" i="59"/>
  <c r="I76" i="111"/>
  <c r="AW73" i="111"/>
  <c r="AU73" i="111"/>
  <c r="AV73" i="111"/>
  <c r="AQ73" i="111"/>
  <c r="Q76" i="111"/>
  <c r="K76" i="111"/>
  <c r="O76" i="111"/>
  <c r="N76" i="111" s="1"/>
  <c r="L76" i="111" s="1"/>
  <c r="G76" i="111" s="1"/>
  <c r="BA76" i="111" s="1"/>
  <c r="P76" i="111"/>
  <c r="M76" i="111"/>
  <c r="S68" i="112"/>
  <c r="T109" i="112"/>
  <c r="H68" i="112"/>
  <c r="T108" i="111"/>
  <c r="V108" i="111" s="1"/>
  <c r="P59" i="61"/>
  <c r="T89" i="61"/>
  <c r="Q63" i="59" l="1"/>
  <c r="U110" i="59"/>
  <c r="AV75" i="59"/>
  <c r="AU75" i="59"/>
  <c r="BG121" i="59"/>
  <c r="AP76" i="59"/>
  <c r="BD82" i="59"/>
  <c r="BB76" i="59"/>
  <c r="D157" i="108"/>
  <c r="C158" i="108" s="1"/>
  <c r="AS75" i="59"/>
  <c r="AJ113" i="59"/>
  <c r="AL74" i="59"/>
  <c r="K64" i="66"/>
  <c r="J64" i="66"/>
  <c r="I64" i="66" s="1"/>
  <c r="X64" i="66"/>
  <c r="S77" i="111"/>
  <c r="H77" i="111"/>
  <c r="BB119" i="111"/>
  <c r="AP74" i="111"/>
  <c r="AY74" i="111"/>
  <c r="AT73" i="111"/>
  <c r="AR73" i="111" s="1"/>
  <c r="AO73" i="111" s="1"/>
  <c r="AL73" i="111" s="1"/>
  <c r="M77" i="111"/>
  <c r="I68" i="112"/>
  <c r="J68" i="112" s="1"/>
  <c r="V109" i="112"/>
  <c r="P68" i="112"/>
  <c r="O68" i="112"/>
  <c r="S90" i="61"/>
  <c r="I60" i="61"/>
  <c r="R60" i="61"/>
  <c r="AV76" i="59" l="1"/>
  <c r="AU76" i="59"/>
  <c r="AT76" i="59"/>
  <c r="AR76" i="59" s="1"/>
  <c r="T64" i="66"/>
  <c r="S64" i="66"/>
  <c r="E158" i="108"/>
  <c r="G158" i="108"/>
  <c r="F158" i="108"/>
  <c r="BD83" i="59"/>
  <c r="BG122" i="59"/>
  <c r="AP77" i="59"/>
  <c r="BB77" i="59"/>
  <c r="S64" i="59"/>
  <c r="J64" i="59"/>
  <c r="T111" i="59"/>
  <c r="AT75" i="59"/>
  <c r="AR75" i="59" s="1"/>
  <c r="AO75" i="59" s="1"/>
  <c r="I77" i="111"/>
  <c r="AV74" i="111"/>
  <c r="AW74" i="111"/>
  <c r="AU74" i="111"/>
  <c r="AQ74" i="111"/>
  <c r="AT74" i="111"/>
  <c r="AR74" i="111" s="1"/>
  <c r="AO74" i="111" s="1"/>
  <c r="AL74" i="111" s="1"/>
  <c r="K77" i="111"/>
  <c r="O77" i="111"/>
  <c r="P77" i="111"/>
  <c r="Q77" i="111"/>
  <c r="AS74" i="111"/>
  <c r="N68" i="112"/>
  <c r="L68" i="112" s="1"/>
  <c r="M69" i="112" s="1"/>
  <c r="O60" i="61"/>
  <c r="N60" i="61"/>
  <c r="AL75" i="59" l="1"/>
  <c r="AJ114" i="59"/>
  <c r="BD84" i="59"/>
  <c r="AP78" i="59"/>
  <c r="BG123" i="59"/>
  <c r="BB78" i="59"/>
  <c r="AS76" i="59"/>
  <c r="AV77" i="59"/>
  <c r="AU77" i="59"/>
  <c r="AO76" i="59"/>
  <c r="AS77" i="59"/>
  <c r="K64" i="59"/>
  <c r="Q64" i="59" s="1"/>
  <c r="P64" i="59"/>
  <c r="O64" i="59"/>
  <c r="D158" i="108"/>
  <c r="C159" i="108" s="1"/>
  <c r="N64" i="59"/>
  <c r="L64" i="59" s="1"/>
  <c r="I64" i="59" s="1"/>
  <c r="BF70" i="59" s="1"/>
  <c r="R64" i="66"/>
  <c r="P64" i="66" s="1"/>
  <c r="Q65" i="66" s="1"/>
  <c r="AP75" i="111"/>
  <c r="BB120" i="111"/>
  <c r="AY75" i="111"/>
  <c r="S78" i="111"/>
  <c r="H78" i="111"/>
  <c r="AS75" i="111"/>
  <c r="N77" i="111"/>
  <c r="L77" i="111" s="1"/>
  <c r="G77" i="111" s="1"/>
  <c r="BA77" i="111" s="1"/>
  <c r="G68" i="112"/>
  <c r="M60" i="61"/>
  <c r="K60" i="61" s="1"/>
  <c r="S65" i="59" l="1"/>
  <c r="T112" i="59"/>
  <c r="J65" i="59"/>
  <c r="H64" i="66"/>
  <c r="O64" i="66" s="1"/>
  <c r="BD85" i="59"/>
  <c r="AP79" i="59"/>
  <c r="BG124" i="59"/>
  <c r="BB79" i="59"/>
  <c r="AL76" i="59"/>
  <c r="AJ115" i="59"/>
  <c r="U111" i="59"/>
  <c r="F159" i="108"/>
  <c r="G159" i="108"/>
  <c r="E159" i="108"/>
  <c r="AU78" i="59"/>
  <c r="AV78" i="59"/>
  <c r="M65" i="59"/>
  <c r="AT77" i="59"/>
  <c r="AR77" i="59" s="1"/>
  <c r="AO77" i="59" s="1"/>
  <c r="K68" i="112"/>
  <c r="Q68" i="112" s="1"/>
  <c r="C68" i="112"/>
  <c r="K78" i="111"/>
  <c r="O78" i="111"/>
  <c r="P78" i="111"/>
  <c r="Q78" i="111"/>
  <c r="I78" i="111"/>
  <c r="N78" i="111"/>
  <c r="L78" i="111" s="1"/>
  <c r="G78" i="111" s="1"/>
  <c r="BA78" i="111" s="1"/>
  <c r="M78" i="111"/>
  <c r="AV75" i="111"/>
  <c r="AW75" i="111"/>
  <c r="AQ75" i="111"/>
  <c r="AU75" i="111"/>
  <c r="AT75" i="111"/>
  <c r="AR75" i="111" s="1"/>
  <c r="AO75" i="111" s="1"/>
  <c r="AL75" i="111" s="1"/>
  <c r="S69" i="112"/>
  <c r="T110" i="112"/>
  <c r="V110" i="112" s="1"/>
  <c r="H69" i="112"/>
  <c r="BA68" i="112"/>
  <c r="H60" i="61"/>
  <c r="J60" i="61" s="1"/>
  <c r="L61" i="61"/>
  <c r="V64" i="66" l="1"/>
  <c r="Z64" i="66"/>
  <c r="AU79" i="59"/>
  <c r="AV79" i="59"/>
  <c r="AS78" i="59"/>
  <c r="AT78" i="59"/>
  <c r="AR78" i="59" s="1"/>
  <c r="AO78" i="59" s="1"/>
  <c r="AL77" i="59"/>
  <c r="AJ116" i="59"/>
  <c r="D159" i="108"/>
  <c r="C160" i="108" s="1"/>
  <c r="BD86" i="59"/>
  <c r="AP80" i="59"/>
  <c r="BG125" i="59"/>
  <c r="BB80" i="59"/>
  <c r="O65" i="59"/>
  <c r="N65" i="59" s="1"/>
  <c r="L65" i="59" s="1"/>
  <c r="P65" i="59"/>
  <c r="S79" i="111"/>
  <c r="H79" i="111"/>
  <c r="AS76" i="111"/>
  <c r="M79" i="111"/>
  <c r="AP76" i="111"/>
  <c r="BB121" i="111"/>
  <c r="AY76" i="111"/>
  <c r="P69" i="112"/>
  <c r="O69" i="112"/>
  <c r="N69" i="112" s="1"/>
  <c r="L69" i="112" s="1"/>
  <c r="G69" i="112" s="1"/>
  <c r="BA69" i="112" s="1"/>
  <c r="I69" i="112"/>
  <c r="T109" i="111"/>
  <c r="V109" i="111" s="1"/>
  <c r="P60" i="61"/>
  <c r="T90" i="61"/>
  <c r="I65" i="59" l="1"/>
  <c r="BF71" i="59" s="1"/>
  <c r="AV80" i="59"/>
  <c r="AU80" i="59"/>
  <c r="M66" i="59"/>
  <c r="G160" i="108"/>
  <c r="D160" i="108" s="1"/>
  <c r="C161" i="108" s="1"/>
  <c r="E160" i="108"/>
  <c r="F160" i="108"/>
  <c r="AT79" i="59"/>
  <c r="AR79" i="59" s="1"/>
  <c r="AO79" i="59" s="1"/>
  <c r="AL78" i="59"/>
  <c r="AJ117" i="59"/>
  <c r="BD87" i="59"/>
  <c r="AP81" i="59"/>
  <c r="BG126" i="59"/>
  <c r="BB81" i="59"/>
  <c r="AS79" i="59"/>
  <c r="J65" i="66"/>
  <c r="I65" i="66" s="1"/>
  <c r="K65" i="66"/>
  <c r="X65" i="66"/>
  <c r="AW76" i="111"/>
  <c r="AQ76" i="111"/>
  <c r="AU76" i="111"/>
  <c r="AV76" i="111"/>
  <c r="I79" i="111"/>
  <c r="AT76" i="111"/>
  <c r="AR76" i="111" s="1"/>
  <c r="AO76" i="111" s="1"/>
  <c r="AL76" i="111" s="1"/>
  <c r="K79" i="111"/>
  <c r="O79" i="111"/>
  <c r="P79" i="111"/>
  <c r="Q79" i="111"/>
  <c r="M70" i="112"/>
  <c r="K69" i="112"/>
  <c r="Q69" i="112" s="1"/>
  <c r="S91" i="61"/>
  <c r="I61" i="61"/>
  <c r="R61" i="61"/>
  <c r="E161" i="108" l="1"/>
  <c r="F161" i="108"/>
  <c r="G161" i="108"/>
  <c r="AU81" i="59"/>
  <c r="AV81" i="59"/>
  <c r="AL79" i="59"/>
  <c r="AJ118" i="59"/>
  <c r="AS80" i="59"/>
  <c r="AT80" i="59"/>
  <c r="AR80" i="59" s="1"/>
  <c r="AO80" i="59" s="1"/>
  <c r="S65" i="66"/>
  <c r="R65" i="66" s="1"/>
  <c r="P65" i="66" s="1"/>
  <c r="T65" i="66"/>
  <c r="BD88" i="59"/>
  <c r="BG127" i="59"/>
  <c r="AP82" i="59"/>
  <c r="BB82" i="59"/>
  <c r="K65" i="59"/>
  <c r="AS77" i="111"/>
  <c r="S80" i="111"/>
  <c r="H80" i="111"/>
  <c r="N79" i="111"/>
  <c r="L79" i="111" s="1"/>
  <c r="G79" i="111" s="1"/>
  <c r="BA79" i="111" s="1"/>
  <c r="AP77" i="111"/>
  <c r="BB122" i="111"/>
  <c r="AY77" i="111"/>
  <c r="S70" i="112"/>
  <c r="H70" i="112"/>
  <c r="T111" i="112"/>
  <c r="N61" i="61"/>
  <c r="M61" i="61" s="1"/>
  <c r="K61" i="61" s="1"/>
  <c r="O61" i="61"/>
  <c r="H65" i="66" l="1"/>
  <c r="O65" i="66"/>
  <c r="Q66" i="66"/>
  <c r="Q65" i="59"/>
  <c r="U112" i="59"/>
  <c r="AJ119" i="59"/>
  <c r="AL80" i="59"/>
  <c r="AP83" i="59"/>
  <c r="BD89" i="59"/>
  <c r="BG128" i="59"/>
  <c r="BB83" i="59"/>
  <c r="AT81" i="59"/>
  <c r="AR81" i="59" s="1"/>
  <c r="AO81" i="59" s="1"/>
  <c r="D161" i="108"/>
  <c r="C162" i="108" s="1"/>
  <c r="AS81" i="59"/>
  <c r="AV82" i="59"/>
  <c r="AU82" i="59"/>
  <c r="AT82" i="59" s="1"/>
  <c r="AR82" i="59" s="1"/>
  <c r="AO82" i="59" s="1"/>
  <c r="I80" i="111"/>
  <c r="AT77" i="111"/>
  <c r="AR77" i="111" s="1"/>
  <c r="AO77" i="111" s="1"/>
  <c r="AL77" i="111" s="1"/>
  <c r="K80" i="111"/>
  <c r="O80" i="111"/>
  <c r="N80" i="111" s="1"/>
  <c r="L80" i="111" s="1"/>
  <c r="G80" i="111" s="1"/>
  <c r="BA80" i="111" s="1"/>
  <c r="P80" i="111"/>
  <c r="Q80" i="111"/>
  <c r="AV77" i="111"/>
  <c r="AW77" i="111"/>
  <c r="AU77" i="111"/>
  <c r="AQ77" i="111"/>
  <c r="M80" i="111"/>
  <c r="I70" i="112"/>
  <c r="V111" i="112"/>
  <c r="P70" i="112"/>
  <c r="O70" i="112"/>
  <c r="N70" i="112" s="1"/>
  <c r="L70" i="112" s="1"/>
  <c r="T110" i="111"/>
  <c r="V110" i="111" s="1"/>
  <c r="H61" i="61"/>
  <c r="J61" i="61" s="1"/>
  <c r="L62" i="61"/>
  <c r="AL82" i="59" l="1"/>
  <c r="AJ121" i="59"/>
  <c r="E162" i="108"/>
  <c r="F162" i="108"/>
  <c r="G162" i="108"/>
  <c r="AS82" i="59"/>
  <c r="AJ120" i="59"/>
  <c r="AL81" i="59"/>
  <c r="AP84" i="59"/>
  <c r="BG129" i="59"/>
  <c r="BD90" i="59"/>
  <c r="BB84" i="59"/>
  <c r="S66" i="59"/>
  <c r="T113" i="59"/>
  <c r="J66" i="59"/>
  <c r="AS83" i="59"/>
  <c r="AV83" i="59"/>
  <c r="AU83" i="59"/>
  <c r="AT83" i="59" s="1"/>
  <c r="AR83" i="59" s="1"/>
  <c r="AO83" i="59" s="1"/>
  <c r="V65" i="66"/>
  <c r="Z65" i="66"/>
  <c r="AS78" i="111"/>
  <c r="S81" i="111"/>
  <c r="H81" i="111"/>
  <c r="BB123" i="111"/>
  <c r="AP78" i="111"/>
  <c r="AY78" i="111"/>
  <c r="M81" i="111"/>
  <c r="G70" i="112"/>
  <c r="BA70" i="112" s="1"/>
  <c r="M71" i="112"/>
  <c r="P61" i="61"/>
  <c r="T91" i="61"/>
  <c r="AL83" i="59" l="1"/>
  <c r="AJ122" i="59"/>
  <c r="O66" i="59"/>
  <c r="P66" i="59"/>
  <c r="K66" i="66"/>
  <c r="J66" i="66"/>
  <c r="I66" i="66" s="1"/>
  <c r="X66" i="66"/>
  <c r="D162" i="108"/>
  <c r="C163" i="108" s="1"/>
  <c r="AS84" i="59"/>
  <c r="BG130" i="59"/>
  <c r="AP85" i="59"/>
  <c r="BD91" i="59"/>
  <c r="BB85" i="59"/>
  <c r="AV84" i="59"/>
  <c r="AU84" i="59"/>
  <c r="AT84" i="59" s="1"/>
  <c r="AR84" i="59" s="1"/>
  <c r="AO84" i="59" s="1"/>
  <c r="N66" i="59"/>
  <c r="L66" i="59" s="1"/>
  <c r="I66" i="59" s="1"/>
  <c r="BF72" i="59" s="1"/>
  <c r="AV78" i="111"/>
  <c r="AW78" i="111"/>
  <c r="AQ78" i="111"/>
  <c r="AU78" i="111"/>
  <c r="I81" i="111"/>
  <c r="P81" i="111"/>
  <c r="Q81" i="111"/>
  <c r="O81" i="111"/>
  <c r="K81" i="111"/>
  <c r="K70" i="112"/>
  <c r="Q70" i="112" s="1"/>
  <c r="S92" i="61"/>
  <c r="I62" i="61"/>
  <c r="R62" i="61"/>
  <c r="AL84" i="59" l="1"/>
  <c r="AJ123" i="59"/>
  <c r="G163" i="108"/>
  <c r="F163" i="108"/>
  <c r="E163" i="108"/>
  <c r="M67" i="59"/>
  <c r="BD92" i="59"/>
  <c r="BG131" i="59"/>
  <c r="AP86" i="59"/>
  <c r="BB86" i="59"/>
  <c r="T66" i="66"/>
  <c r="S66" i="66"/>
  <c r="K66" i="59"/>
  <c r="AS85" i="59"/>
  <c r="R66" i="66"/>
  <c r="P66" i="66" s="1"/>
  <c r="AV85" i="59"/>
  <c r="AU85" i="59"/>
  <c r="AT78" i="111"/>
  <c r="AR78" i="111" s="1"/>
  <c r="AO78" i="111" s="1"/>
  <c r="AL78" i="111" s="1"/>
  <c r="N81" i="111"/>
  <c r="L81" i="111" s="1"/>
  <c r="G81" i="111" s="1"/>
  <c r="BA81" i="111" s="1"/>
  <c r="BB124" i="111"/>
  <c r="AP79" i="111"/>
  <c r="AY79" i="111"/>
  <c r="S82" i="111"/>
  <c r="H82" i="111"/>
  <c r="H71" i="112"/>
  <c r="I71" i="112" s="1"/>
  <c r="S71" i="112"/>
  <c r="T112" i="112"/>
  <c r="O62" i="61"/>
  <c r="N62" i="61"/>
  <c r="M62" i="61" s="1"/>
  <c r="K62" i="61" s="1"/>
  <c r="Q66" i="59" l="1"/>
  <c r="U113" i="59"/>
  <c r="Q67" i="66"/>
  <c r="BG132" i="59"/>
  <c r="BD93" i="59"/>
  <c r="AP87" i="59"/>
  <c r="BB87" i="59"/>
  <c r="D163" i="108"/>
  <c r="C164" i="108" s="1"/>
  <c r="AT85" i="59"/>
  <c r="AR85" i="59" s="1"/>
  <c r="AO85" i="59" s="1"/>
  <c r="H66" i="66"/>
  <c r="O66" i="66" s="1"/>
  <c r="AV86" i="59"/>
  <c r="AU86" i="59"/>
  <c r="I82" i="111"/>
  <c r="Q82" i="111"/>
  <c r="K82" i="111"/>
  <c r="O82" i="111"/>
  <c r="N82" i="111" s="1"/>
  <c r="L82" i="111" s="1"/>
  <c r="G82" i="111" s="1"/>
  <c r="BA82" i="111" s="1"/>
  <c r="P82" i="111"/>
  <c r="AV79" i="111"/>
  <c r="AW79" i="111"/>
  <c r="AU79" i="111"/>
  <c r="AQ79" i="111"/>
  <c r="M82" i="111"/>
  <c r="AT79" i="111"/>
  <c r="AR79" i="111" s="1"/>
  <c r="AO79" i="111" s="1"/>
  <c r="AL79" i="111" s="1"/>
  <c r="AS79" i="111"/>
  <c r="V112" i="112"/>
  <c r="P71" i="112"/>
  <c r="O71" i="112"/>
  <c r="H62" i="61"/>
  <c r="J62" i="61" s="1"/>
  <c r="L63" i="61"/>
  <c r="V66" i="66" l="1"/>
  <c r="Z66" i="66"/>
  <c r="BD94" i="59"/>
  <c r="AP88" i="59"/>
  <c r="BG133" i="59"/>
  <c r="BB88" i="59"/>
  <c r="AV87" i="59"/>
  <c r="AU87" i="59"/>
  <c r="AL85" i="59"/>
  <c r="AJ124" i="59"/>
  <c r="AS86" i="59"/>
  <c r="AT86" i="59"/>
  <c r="AR86" i="59" s="1"/>
  <c r="AO86" i="59" s="1"/>
  <c r="E164" i="108"/>
  <c r="G164" i="108"/>
  <c r="F164" i="108"/>
  <c r="J67" i="59"/>
  <c r="T114" i="59"/>
  <c r="S67" i="59"/>
  <c r="AP80" i="111"/>
  <c r="BB125" i="111"/>
  <c r="AY80" i="111"/>
  <c r="S83" i="111"/>
  <c r="H83" i="111"/>
  <c r="AS80" i="111"/>
  <c r="M83" i="111"/>
  <c r="N71" i="112"/>
  <c r="L71" i="112" s="1"/>
  <c r="M72" i="112" s="1"/>
  <c r="T111" i="111"/>
  <c r="V111" i="111" s="1"/>
  <c r="P62" i="61"/>
  <c r="T92" i="61"/>
  <c r="BG134" i="59" l="1"/>
  <c r="AP89" i="59"/>
  <c r="BD95" i="59"/>
  <c r="BB89" i="59"/>
  <c r="O67" i="59"/>
  <c r="P67" i="59"/>
  <c r="AL86" i="59"/>
  <c r="AJ125" i="59"/>
  <c r="AV88" i="59"/>
  <c r="AU88" i="59"/>
  <c r="AS88" i="59"/>
  <c r="AS87" i="59"/>
  <c r="N67" i="59"/>
  <c r="L67" i="59" s="1"/>
  <c r="I67" i="59" s="1"/>
  <c r="BF73" i="59" s="1"/>
  <c r="D164" i="108"/>
  <c r="C165" i="108" s="1"/>
  <c r="AT87" i="59"/>
  <c r="AR87" i="59" s="1"/>
  <c r="AO87" i="59" s="1"/>
  <c r="J67" i="66"/>
  <c r="I67" i="66" s="1"/>
  <c r="K67" i="66"/>
  <c r="X67" i="66"/>
  <c r="K83" i="111"/>
  <c r="O83" i="111"/>
  <c r="P83" i="111"/>
  <c r="Q83" i="111"/>
  <c r="AQ80" i="111"/>
  <c r="AW80" i="111"/>
  <c r="AU80" i="111"/>
  <c r="AT80" i="111" s="1"/>
  <c r="AR80" i="111" s="1"/>
  <c r="AO80" i="111" s="1"/>
  <c r="AL80" i="111" s="1"/>
  <c r="AV80" i="111"/>
  <c r="N83" i="111"/>
  <c r="L83" i="111" s="1"/>
  <c r="G83" i="111" s="1"/>
  <c r="BA83" i="111" s="1"/>
  <c r="I83" i="111"/>
  <c r="G71" i="112"/>
  <c r="I63" i="61"/>
  <c r="S93" i="61"/>
  <c r="R63" i="61"/>
  <c r="M68" i="59" l="1"/>
  <c r="AJ126" i="59"/>
  <c r="AL87" i="59"/>
  <c r="AT88" i="59"/>
  <c r="AR88" i="59" s="1"/>
  <c r="AO88" i="59" s="1"/>
  <c r="BD96" i="59"/>
  <c r="BG135" i="59"/>
  <c r="AP90" i="59"/>
  <c r="BB90" i="59"/>
  <c r="G165" i="108"/>
  <c r="F165" i="108"/>
  <c r="E165" i="108"/>
  <c r="AV89" i="59"/>
  <c r="AU89" i="59"/>
  <c r="AT89" i="59" s="1"/>
  <c r="AR89" i="59" s="1"/>
  <c r="AO89" i="59" s="1"/>
  <c r="T67" i="66"/>
  <c r="S67" i="66"/>
  <c r="K67" i="59"/>
  <c r="S84" i="111"/>
  <c r="H84" i="111"/>
  <c r="AS81" i="111"/>
  <c r="AP81" i="111"/>
  <c r="BB126" i="111"/>
  <c r="AY81" i="111"/>
  <c r="M84" i="111"/>
  <c r="BA71" i="112"/>
  <c r="K71" i="112"/>
  <c r="Q71" i="112" s="1"/>
  <c r="N63" i="61"/>
  <c r="M63" i="61" s="1"/>
  <c r="K63" i="61" s="1"/>
  <c r="O63" i="61"/>
  <c r="AL89" i="59" l="1"/>
  <c r="AJ128" i="59"/>
  <c r="AU90" i="59"/>
  <c r="AV90" i="59"/>
  <c r="AJ127" i="59"/>
  <c r="AL88" i="59"/>
  <c r="U114" i="59"/>
  <c r="Q67" i="59"/>
  <c r="D165" i="108"/>
  <c r="C166" i="108" s="1"/>
  <c r="BD97" i="59"/>
  <c r="BG136" i="59"/>
  <c r="AP91" i="59"/>
  <c r="BB91" i="59"/>
  <c r="AS89" i="59"/>
  <c r="AS90" i="59"/>
  <c r="AT90" i="59"/>
  <c r="AR90" i="59" s="1"/>
  <c r="AO90" i="59" s="1"/>
  <c r="R67" i="66"/>
  <c r="P67" i="66" s="1"/>
  <c r="AU81" i="111"/>
  <c r="AT81" i="111" s="1"/>
  <c r="AR81" i="111" s="1"/>
  <c r="AO81" i="111" s="1"/>
  <c r="AL81" i="111" s="1"/>
  <c r="AV81" i="111"/>
  <c r="AW81" i="111"/>
  <c r="AQ81" i="111"/>
  <c r="I84" i="111"/>
  <c r="K84" i="111"/>
  <c r="O84" i="111"/>
  <c r="N84" i="111" s="1"/>
  <c r="L84" i="111" s="1"/>
  <c r="G84" i="111" s="1"/>
  <c r="BA84" i="111" s="1"/>
  <c r="P84" i="111"/>
  <c r="Q84" i="111"/>
  <c r="S72" i="112"/>
  <c r="H72" i="112"/>
  <c r="T113" i="112"/>
  <c r="H63" i="61"/>
  <c r="J63" i="61" s="1"/>
  <c r="L64" i="61"/>
  <c r="T115" i="59" l="1"/>
  <c r="J68" i="59"/>
  <c r="S68" i="59"/>
  <c r="BG137" i="59"/>
  <c r="BD98" i="59"/>
  <c r="AP92" i="59"/>
  <c r="BB92" i="59"/>
  <c r="H67" i="66"/>
  <c r="O67" i="66" s="1"/>
  <c r="AU91" i="59"/>
  <c r="AV91" i="59"/>
  <c r="AS91" i="59"/>
  <c r="AL90" i="59"/>
  <c r="AJ129" i="59"/>
  <c r="E166" i="108"/>
  <c r="F166" i="108"/>
  <c r="G166" i="108"/>
  <c r="D166" i="108" s="1"/>
  <c r="C167" i="108" s="1"/>
  <c r="Q68" i="66"/>
  <c r="BB127" i="111"/>
  <c r="AP82" i="111"/>
  <c r="AY82" i="111"/>
  <c r="S85" i="111"/>
  <c r="H85" i="111"/>
  <c r="M85" i="111"/>
  <c r="AS82" i="111"/>
  <c r="V113" i="112"/>
  <c r="I72" i="112"/>
  <c r="P72" i="112"/>
  <c r="O72" i="112"/>
  <c r="N72" i="112" s="1"/>
  <c r="L72" i="112" s="1"/>
  <c r="G72" i="112" s="1"/>
  <c r="BA72" i="112" s="1"/>
  <c r="P63" i="61"/>
  <c r="T93" i="61"/>
  <c r="F167" i="108" l="1"/>
  <c r="G167" i="108"/>
  <c r="E167" i="108"/>
  <c r="V67" i="66"/>
  <c r="Z67" i="66"/>
  <c r="AT92" i="59"/>
  <c r="AR92" i="59" s="1"/>
  <c r="AO92" i="59" s="1"/>
  <c r="AU92" i="59"/>
  <c r="AV92" i="59"/>
  <c r="P68" i="59"/>
  <c r="K68" i="59"/>
  <c r="O68" i="59"/>
  <c r="Q68" i="59"/>
  <c r="N68" i="59"/>
  <c r="L68" i="59" s="1"/>
  <c r="U115" i="59" s="1"/>
  <c r="AT91" i="59"/>
  <c r="AR91" i="59" s="1"/>
  <c r="AO91" i="59" s="1"/>
  <c r="BD99" i="59"/>
  <c r="AP93" i="59"/>
  <c r="BG138" i="59"/>
  <c r="BB93" i="59"/>
  <c r="P85" i="111"/>
  <c r="Q85" i="111"/>
  <c r="K85" i="111"/>
  <c r="O85" i="111"/>
  <c r="AU82" i="111"/>
  <c r="AV82" i="111"/>
  <c r="AQ82" i="111"/>
  <c r="AW82" i="111"/>
  <c r="I85" i="111"/>
  <c r="AT82" i="111"/>
  <c r="AR82" i="111" s="1"/>
  <c r="AO82" i="111" s="1"/>
  <c r="AL82" i="111" s="1"/>
  <c r="K72" i="112"/>
  <c r="Q72" i="112" s="1"/>
  <c r="M73" i="112"/>
  <c r="T112" i="111"/>
  <c r="V112" i="111" s="1"/>
  <c r="S94" i="61"/>
  <c r="I64" i="61"/>
  <c r="R64" i="61"/>
  <c r="AL92" i="59" l="1"/>
  <c r="AJ131" i="59"/>
  <c r="AS93" i="59"/>
  <c r="J69" i="59"/>
  <c r="T116" i="59"/>
  <c r="S69" i="59"/>
  <c r="BD100" i="59"/>
  <c r="AP94" i="59"/>
  <c r="BG139" i="59"/>
  <c r="BB94" i="59"/>
  <c r="M69" i="59"/>
  <c r="K68" i="66"/>
  <c r="J68" i="66"/>
  <c r="I68" i="66" s="1"/>
  <c r="X68" i="66"/>
  <c r="AT93" i="59"/>
  <c r="AR93" i="59" s="1"/>
  <c r="AO93" i="59" s="1"/>
  <c r="AV93" i="59"/>
  <c r="AU93" i="59"/>
  <c r="AS92" i="59"/>
  <c r="D167" i="108"/>
  <c r="C168" i="108" s="1"/>
  <c r="AL91" i="59"/>
  <c r="AJ130" i="59"/>
  <c r="BB128" i="111"/>
  <c r="AP83" i="111"/>
  <c r="AY83" i="111"/>
  <c r="N85" i="111"/>
  <c r="L85" i="111" s="1"/>
  <c r="G85" i="111" s="1"/>
  <c r="BA85" i="111" s="1"/>
  <c r="S86" i="111"/>
  <c r="H86" i="111"/>
  <c r="AS83" i="111"/>
  <c r="S73" i="112"/>
  <c r="H73" i="112"/>
  <c r="I73" i="112" s="1"/>
  <c r="T114" i="112"/>
  <c r="O64" i="61"/>
  <c r="N64" i="61"/>
  <c r="M64" i="61" s="1"/>
  <c r="K64" i="61" s="1"/>
  <c r="Q69" i="59" l="1"/>
  <c r="P69" i="59"/>
  <c r="K69" i="59"/>
  <c r="U116" i="59" s="1"/>
  <c r="O69" i="59"/>
  <c r="AS94" i="59"/>
  <c r="AJ132" i="59"/>
  <c r="AL93" i="59"/>
  <c r="N69" i="59"/>
  <c r="L69" i="59" s="1"/>
  <c r="AP95" i="59"/>
  <c r="BG140" i="59"/>
  <c r="BD101" i="59"/>
  <c r="BB95" i="59"/>
  <c r="I68" i="59"/>
  <c r="BF74" i="59" s="1"/>
  <c r="S68" i="66"/>
  <c r="T68" i="66"/>
  <c r="AT94" i="59"/>
  <c r="AR94" i="59" s="1"/>
  <c r="AO94" i="59" s="1"/>
  <c r="G168" i="108"/>
  <c r="D168" i="108" s="1"/>
  <c r="C169" i="108" s="1"/>
  <c r="F168" i="108"/>
  <c r="E168" i="108"/>
  <c r="R68" i="66"/>
  <c r="P68" i="66" s="1"/>
  <c r="AU94" i="59"/>
  <c r="AV94" i="59"/>
  <c r="I86" i="111"/>
  <c r="M86" i="111"/>
  <c r="AV83" i="111"/>
  <c r="AW83" i="111"/>
  <c r="AQ83" i="111"/>
  <c r="AU83" i="111"/>
  <c r="AT83" i="111" s="1"/>
  <c r="AR83" i="111" s="1"/>
  <c r="AO83" i="111" s="1"/>
  <c r="AL83" i="111" s="1"/>
  <c r="Q86" i="111"/>
  <c r="K86" i="111"/>
  <c r="O86" i="111"/>
  <c r="P86" i="111"/>
  <c r="V114" i="112"/>
  <c r="O73" i="112"/>
  <c r="P73" i="112"/>
  <c r="H64" i="61"/>
  <c r="J64" i="61" s="1"/>
  <c r="L65" i="61"/>
  <c r="E169" i="108" l="1"/>
  <c r="F169" i="108"/>
  <c r="G169" i="108"/>
  <c r="D169" i="108" s="1"/>
  <c r="C170" i="108" s="1"/>
  <c r="H68" i="66"/>
  <c r="O68" i="66"/>
  <c r="Q69" i="66"/>
  <c r="I69" i="59"/>
  <c r="BF75" i="59" s="1"/>
  <c r="BD102" i="59"/>
  <c r="AP96" i="59"/>
  <c r="BG141" i="59"/>
  <c r="BB96" i="59"/>
  <c r="AV95" i="59"/>
  <c r="AU95" i="59"/>
  <c r="M70" i="59"/>
  <c r="AJ133" i="59"/>
  <c r="AL94" i="59"/>
  <c r="AS95" i="59"/>
  <c r="J70" i="59"/>
  <c r="T117" i="59"/>
  <c r="S70" i="59"/>
  <c r="S87" i="111"/>
  <c r="H87" i="111"/>
  <c r="AS84" i="111"/>
  <c r="N86" i="111"/>
  <c r="L86" i="111" s="1"/>
  <c r="G86" i="111" s="1"/>
  <c r="BA86" i="111" s="1"/>
  <c r="AP84" i="111"/>
  <c r="BB129" i="111"/>
  <c r="AY84" i="111"/>
  <c r="N73" i="112"/>
  <c r="L73" i="112" s="1"/>
  <c r="M74" i="112" s="1"/>
  <c r="P64" i="61"/>
  <c r="T94" i="61"/>
  <c r="E170" i="108" l="1"/>
  <c r="G170" i="108"/>
  <c r="F170" i="108"/>
  <c r="Q70" i="59"/>
  <c r="P70" i="59"/>
  <c r="O70" i="59"/>
  <c r="K70" i="59"/>
  <c r="V68" i="66"/>
  <c r="Z68" i="66"/>
  <c r="M87" i="111"/>
  <c r="BD103" i="59"/>
  <c r="AP97" i="59"/>
  <c r="BG142" i="59"/>
  <c r="BB97" i="59"/>
  <c r="AT95" i="59"/>
  <c r="AR95" i="59" s="1"/>
  <c r="AO95" i="59" s="1"/>
  <c r="AU96" i="59"/>
  <c r="AV96" i="59"/>
  <c r="I87" i="111"/>
  <c r="AT84" i="111"/>
  <c r="AR84" i="111" s="1"/>
  <c r="AO84" i="111" s="1"/>
  <c r="AL84" i="111" s="1"/>
  <c r="AQ84" i="111"/>
  <c r="AU84" i="111"/>
  <c r="AW84" i="111"/>
  <c r="AV84" i="111"/>
  <c r="K87" i="111"/>
  <c r="O87" i="111"/>
  <c r="P87" i="111"/>
  <c r="Q87" i="111"/>
  <c r="G73" i="112"/>
  <c r="K73" i="112" s="1"/>
  <c r="Q73" i="112" s="1"/>
  <c r="T113" i="111"/>
  <c r="V113" i="111" s="1"/>
  <c r="S95" i="61"/>
  <c r="I65" i="61"/>
  <c r="R65" i="61"/>
  <c r="AU97" i="59" l="1"/>
  <c r="AV97" i="59"/>
  <c r="AJ134" i="59"/>
  <c r="AL95" i="59"/>
  <c r="AS96" i="59"/>
  <c r="J71" i="59"/>
  <c r="T118" i="59"/>
  <c r="S71" i="59"/>
  <c r="AT96" i="59"/>
  <c r="AR96" i="59" s="1"/>
  <c r="AO96" i="59" s="1"/>
  <c r="N70" i="59"/>
  <c r="L70" i="59" s="1"/>
  <c r="I70" i="59" s="1"/>
  <c r="BF76" i="59" s="1"/>
  <c r="D170" i="108"/>
  <c r="C171" i="108" s="1"/>
  <c r="BG143" i="59"/>
  <c r="AP98" i="59"/>
  <c r="BD104" i="59"/>
  <c r="BB98" i="59"/>
  <c r="K69" i="66"/>
  <c r="J69" i="66"/>
  <c r="I69" i="66" s="1"/>
  <c r="X69" i="66"/>
  <c r="S88" i="111"/>
  <c r="H88" i="111"/>
  <c r="BB130" i="111"/>
  <c r="AP85" i="111"/>
  <c r="AY85" i="111"/>
  <c r="AS85" i="111"/>
  <c r="N87" i="111"/>
  <c r="L87" i="111" s="1"/>
  <c r="G87" i="111" s="1"/>
  <c r="BA87" i="111" s="1"/>
  <c r="S74" i="112"/>
  <c r="T115" i="112"/>
  <c r="V115" i="112" s="1"/>
  <c r="H74" i="112"/>
  <c r="BA73" i="112"/>
  <c r="O65" i="61"/>
  <c r="N65" i="61"/>
  <c r="E171" i="108" l="1"/>
  <c r="F171" i="108"/>
  <c r="G171" i="108"/>
  <c r="AJ135" i="59"/>
  <c r="AL96" i="59"/>
  <c r="AS97" i="59"/>
  <c r="Q71" i="59"/>
  <c r="P71" i="59"/>
  <c r="O71" i="59"/>
  <c r="K71" i="59"/>
  <c r="M71" i="59"/>
  <c r="AP99" i="59"/>
  <c r="BD105" i="59"/>
  <c r="BG144" i="59"/>
  <c r="BB99" i="59"/>
  <c r="AV98" i="59"/>
  <c r="AU98" i="59"/>
  <c r="AS98" i="59"/>
  <c r="AT98" i="59"/>
  <c r="AR98" i="59" s="1"/>
  <c r="AO98" i="59" s="1"/>
  <c r="N71" i="59"/>
  <c r="L71" i="59" s="1"/>
  <c r="I71" i="59" s="1"/>
  <c r="BF77" i="59" s="1"/>
  <c r="U118" i="59"/>
  <c r="AT97" i="59"/>
  <c r="AR97" i="59" s="1"/>
  <c r="AO97" i="59" s="1"/>
  <c r="S69" i="66"/>
  <c r="T69" i="66"/>
  <c r="U117" i="59"/>
  <c r="I88" i="111"/>
  <c r="M88" i="111"/>
  <c r="AU85" i="111"/>
  <c r="AV85" i="111"/>
  <c r="AW85" i="111"/>
  <c r="AQ85" i="111"/>
  <c r="K88" i="111"/>
  <c r="O88" i="111"/>
  <c r="P88" i="111"/>
  <c r="Q88" i="111"/>
  <c r="I74" i="112"/>
  <c r="P74" i="112"/>
  <c r="O74" i="112"/>
  <c r="M65" i="61"/>
  <c r="K65" i="61" s="1"/>
  <c r="AV99" i="59" l="1"/>
  <c r="AU99" i="59"/>
  <c r="AT99" i="59"/>
  <c r="AR99" i="59" s="1"/>
  <c r="AO99" i="59" s="1"/>
  <c r="AL98" i="59"/>
  <c r="AJ137" i="59"/>
  <c r="D171" i="108"/>
  <c r="C172" i="108" s="1"/>
  <c r="AS99" i="59"/>
  <c r="M72" i="59"/>
  <c r="BD106" i="59"/>
  <c r="BG145" i="59"/>
  <c r="AP100" i="59"/>
  <c r="BB100" i="59"/>
  <c r="AL97" i="59"/>
  <c r="AJ136" i="59"/>
  <c r="S72" i="59"/>
  <c r="J72" i="59"/>
  <c r="T119" i="59"/>
  <c r="R69" i="66"/>
  <c r="P69" i="66" s="1"/>
  <c r="S89" i="111"/>
  <c r="H89" i="111"/>
  <c r="AP86" i="111"/>
  <c r="BB131" i="111"/>
  <c r="AY86" i="111"/>
  <c r="N88" i="111"/>
  <c r="L88" i="111" s="1"/>
  <c r="G88" i="111" s="1"/>
  <c r="BA88" i="111" s="1"/>
  <c r="AT85" i="111"/>
  <c r="AR85" i="111" s="1"/>
  <c r="AO85" i="111" s="1"/>
  <c r="AL85" i="111" s="1"/>
  <c r="N74" i="112"/>
  <c r="L74" i="112" s="1"/>
  <c r="T114" i="111"/>
  <c r="V114" i="111" s="1"/>
  <c r="H65" i="61"/>
  <c r="J65" i="61" s="1"/>
  <c r="L66" i="61"/>
  <c r="F172" i="108" l="1"/>
  <c r="G172" i="108"/>
  <c r="E172" i="108"/>
  <c r="H69" i="66"/>
  <c r="O69" i="66" s="1"/>
  <c r="BD107" i="59"/>
  <c r="AP101" i="59"/>
  <c r="BG146" i="59"/>
  <c r="BB101" i="59"/>
  <c r="AL99" i="59"/>
  <c r="AJ138" i="59"/>
  <c r="N72" i="59"/>
  <c r="L72" i="59" s="1"/>
  <c r="I72" i="59" s="1"/>
  <c r="BF78" i="59" s="1"/>
  <c r="K72" i="59"/>
  <c r="U119" i="59" s="1"/>
  <c r="P72" i="59"/>
  <c r="O72" i="59"/>
  <c r="Q72" i="59"/>
  <c r="AU100" i="59"/>
  <c r="AV100" i="59"/>
  <c r="AS100" i="59"/>
  <c r="Q70" i="66"/>
  <c r="AV86" i="111"/>
  <c r="AW86" i="111"/>
  <c r="AU86" i="111"/>
  <c r="AQ86" i="111"/>
  <c r="I89" i="111"/>
  <c r="AT86" i="111"/>
  <c r="AR86" i="111" s="1"/>
  <c r="AO86" i="111" s="1"/>
  <c r="AL86" i="111" s="1"/>
  <c r="P89" i="111"/>
  <c r="Q89" i="111"/>
  <c r="K89" i="111"/>
  <c r="O89" i="111"/>
  <c r="N89" i="111" s="1"/>
  <c r="L89" i="111" s="1"/>
  <c r="G89" i="111" s="1"/>
  <c r="BA89" i="111" s="1"/>
  <c r="M89" i="111"/>
  <c r="AS86" i="111"/>
  <c r="G74" i="112"/>
  <c r="K74" i="112" s="1"/>
  <c r="Q74" i="112" s="1"/>
  <c r="M75" i="112"/>
  <c r="P65" i="61"/>
  <c r="T95" i="61"/>
  <c r="V69" i="66" l="1"/>
  <c r="Z69" i="66"/>
  <c r="AU101" i="59"/>
  <c r="AV101" i="59"/>
  <c r="T120" i="59"/>
  <c r="J73" i="59"/>
  <c r="S73" i="59"/>
  <c r="AT100" i="59"/>
  <c r="AR100" i="59" s="1"/>
  <c r="AO100" i="59" s="1"/>
  <c r="M73" i="59"/>
  <c r="BD108" i="59"/>
  <c r="AP102" i="59"/>
  <c r="BG147" i="59"/>
  <c r="BB102" i="59"/>
  <c r="D172" i="108"/>
  <c r="C173" i="108" s="1"/>
  <c r="AS87" i="111"/>
  <c r="AP87" i="111"/>
  <c r="BB132" i="111"/>
  <c r="AY87" i="111"/>
  <c r="M90" i="111"/>
  <c r="S90" i="111"/>
  <c r="H90" i="111"/>
  <c r="T116" i="112"/>
  <c r="V116" i="112" s="1"/>
  <c r="S75" i="112"/>
  <c r="H75" i="112"/>
  <c r="BA74" i="112"/>
  <c r="J66" i="61"/>
  <c r="I66" i="61"/>
  <c r="R66" i="61"/>
  <c r="P66" i="61"/>
  <c r="S96" i="61"/>
  <c r="AU102" i="59" l="1"/>
  <c r="AV102" i="59"/>
  <c r="AS101" i="59"/>
  <c r="AL100" i="59"/>
  <c r="AJ139" i="59"/>
  <c r="AT101" i="59"/>
  <c r="AR101" i="59" s="1"/>
  <c r="AO101" i="59" s="1"/>
  <c r="F173" i="108"/>
  <c r="E173" i="108"/>
  <c r="G173" i="108"/>
  <c r="P73" i="59"/>
  <c r="O73" i="59"/>
  <c r="K73" i="59"/>
  <c r="U120" i="59" s="1"/>
  <c r="Q73" i="59"/>
  <c r="BG148" i="59"/>
  <c r="BD109" i="59"/>
  <c r="AP103" i="59"/>
  <c r="BB103" i="59"/>
  <c r="N73" i="59"/>
  <c r="L73" i="59" s="1"/>
  <c r="I73" i="59" s="1"/>
  <c r="BF79" i="59" s="1"/>
  <c r="J70" i="66"/>
  <c r="I70" i="66" s="1"/>
  <c r="K70" i="66"/>
  <c r="X70" i="66"/>
  <c r="AW87" i="111"/>
  <c r="AV87" i="111"/>
  <c r="AQ87" i="111"/>
  <c r="AU87" i="111"/>
  <c r="Q90" i="111"/>
  <c r="K90" i="111"/>
  <c r="O90" i="111"/>
  <c r="P90" i="111"/>
  <c r="I90" i="111"/>
  <c r="N90" i="111"/>
  <c r="L90" i="111" s="1"/>
  <c r="G90" i="111" s="1"/>
  <c r="BA90" i="111" s="1"/>
  <c r="I75" i="112"/>
  <c r="P75" i="112"/>
  <c r="O75" i="112"/>
  <c r="N75" i="112" s="1"/>
  <c r="L75" i="112" s="1"/>
  <c r="N66" i="61"/>
  <c r="M66" i="61" s="1"/>
  <c r="K66" i="61" s="1"/>
  <c r="H66" i="61" s="1"/>
  <c r="O66" i="61"/>
  <c r="R67" i="61"/>
  <c r="S97" i="61"/>
  <c r="I67" i="61"/>
  <c r="P67" i="61"/>
  <c r="S74" i="59" l="1"/>
  <c r="J74" i="59"/>
  <c r="T121" i="59"/>
  <c r="AJ140" i="59"/>
  <c r="AL101" i="59"/>
  <c r="M74" i="59"/>
  <c r="BD110" i="59"/>
  <c r="BG149" i="59"/>
  <c r="AP104" i="59"/>
  <c r="BB104" i="59"/>
  <c r="T70" i="66"/>
  <c r="S70" i="66"/>
  <c r="AS102" i="59"/>
  <c r="D173" i="108"/>
  <c r="C174" i="108" s="1"/>
  <c r="D16" i="108"/>
  <c r="D17" i="108" s="1"/>
  <c r="AV103" i="59"/>
  <c r="AU103" i="59"/>
  <c r="AR109" i="59"/>
  <c r="AS103" i="59"/>
  <c r="AT102" i="59"/>
  <c r="AR102" i="59" s="1"/>
  <c r="AO102" i="59" s="1"/>
  <c r="M91" i="111"/>
  <c r="AT87" i="111"/>
  <c r="AR87" i="111" s="1"/>
  <c r="AO87" i="111" s="1"/>
  <c r="AL87" i="111" s="1"/>
  <c r="S91" i="111"/>
  <c r="H91" i="111"/>
  <c r="AP88" i="111"/>
  <c r="BB133" i="111"/>
  <c r="AY88" i="111"/>
  <c r="G75" i="112"/>
  <c r="BA75" i="112" s="1"/>
  <c r="M76" i="112"/>
  <c r="N67" i="61"/>
  <c r="M67" i="61" s="1"/>
  <c r="K67" i="61" s="1"/>
  <c r="H67" i="61" s="1"/>
  <c r="O67" i="61"/>
  <c r="T96" i="61"/>
  <c r="R68" i="61"/>
  <c r="I68" i="61"/>
  <c r="P68" i="61"/>
  <c r="S98" i="61"/>
  <c r="L67" i="61"/>
  <c r="BD111" i="59" l="1"/>
  <c r="BG150" i="59"/>
  <c r="AP105" i="59"/>
  <c r="BB105" i="59"/>
  <c r="Q74" i="59"/>
  <c r="K74" i="59"/>
  <c r="O74" i="59"/>
  <c r="P74" i="59"/>
  <c r="G174" i="108"/>
  <c r="F174" i="108"/>
  <c r="E174" i="108"/>
  <c r="AT103" i="59"/>
  <c r="AR103" i="59" s="1"/>
  <c r="AO103" i="59" s="1"/>
  <c r="AV104" i="59"/>
  <c r="AU104" i="59"/>
  <c r="AL102" i="59"/>
  <c r="AJ141" i="59"/>
  <c r="R70" i="66"/>
  <c r="P70" i="66" s="1"/>
  <c r="K91" i="111"/>
  <c r="O91" i="111"/>
  <c r="P91" i="111"/>
  <c r="Q91" i="111"/>
  <c r="AO56" i="111"/>
  <c r="AL56" i="111" s="1"/>
  <c r="N91" i="111"/>
  <c r="L91" i="111" s="1"/>
  <c r="G91" i="111" s="1"/>
  <c r="BA91" i="111" s="1"/>
  <c r="I91" i="111"/>
  <c r="AW88" i="111"/>
  <c r="AQ88" i="111"/>
  <c r="AV88" i="111"/>
  <c r="AU88" i="111"/>
  <c r="AS88" i="111"/>
  <c r="K75" i="112"/>
  <c r="Q75" i="112" s="1"/>
  <c r="T115" i="111"/>
  <c r="V115" i="111" s="1"/>
  <c r="N68" i="61"/>
  <c r="M68" i="61" s="1"/>
  <c r="K68" i="61" s="1"/>
  <c r="H68" i="61" s="1"/>
  <c r="O68" i="61"/>
  <c r="T97" i="61"/>
  <c r="P69" i="61"/>
  <c r="S99" i="61"/>
  <c r="I69" i="61"/>
  <c r="R69" i="61"/>
  <c r="L68" i="61"/>
  <c r="H70" i="66" l="1"/>
  <c r="O70" i="66" s="1"/>
  <c r="D174" i="108"/>
  <c r="BD112" i="59"/>
  <c r="BG151" i="59"/>
  <c r="AP106" i="59"/>
  <c r="BB106" i="59"/>
  <c r="AT105" i="59"/>
  <c r="AR105" i="59" s="1"/>
  <c r="T122" i="59"/>
  <c r="J75" i="59"/>
  <c r="S75" i="59"/>
  <c r="AV105" i="59"/>
  <c r="AU105" i="59"/>
  <c r="AJ142" i="59"/>
  <c r="AL103" i="59"/>
  <c r="AT104" i="59"/>
  <c r="AR104" i="59" s="1"/>
  <c r="AO104" i="59" s="1"/>
  <c r="AS104" i="59"/>
  <c r="N74" i="59"/>
  <c r="L74" i="59" s="1"/>
  <c r="I74" i="59" s="1"/>
  <c r="BF80" i="59" s="1"/>
  <c r="Q71" i="66"/>
  <c r="S92" i="111"/>
  <c r="H92" i="111"/>
  <c r="M92" i="111"/>
  <c r="AP89" i="111"/>
  <c r="BB134" i="111"/>
  <c r="AY89" i="111"/>
  <c r="AT88" i="111"/>
  <c r="AR88" i="111" s="1"/>
  <c r="AO88" i="111" s="1"/>
  <c r="AL88" i="111" s="1"/>
  <c r="S76" i="112"/>
  <c r="H76" i="112"/>
  <c r="T117" i="112"/>
  <c r="P70" i="61"/>
  <c r="S100" i="61"/>
  <c r="R70" i="61"/>
  <c r="I70" i="61"/>
  <c r="N69" i="61"/>
  <c r="O69" i="61"/>
  <c r="T98" i="61"/>
  <c r="L69" i="61"/>
  <c r="V70" i="66" l="1"/>
  <c r="Z70" i="66"/>
  <c r="O75" i="59"/>
  <c r="P75" i="59"/>
  <c r="Q75" i="59"/>
  <c r="K75" i="59"/>
  <c r="AT106" i="59"/>
  <c r="AR106" i="59" s="1"/>
  <c r="AV106" i="59"/>
  <c r="AU106" i="59"/>
  <c r="AJ143" i="59"/>
  <c r="AL104" i="59"/>
  <c r="M75" i="59"/>
  <c r="AS105" i="59"/>
  <c r="AO105" i="59"/>
  <c r="AS106" i="59"/>
  <c r="AP107" i="59"/>
  <c r="BD113" i="59"/>
  <c r="BG152" i="59"/>
  <c r="BB107" i="59"/>
  <c r="U121" i="59"/>
  <c r="AU89" i="111"/>
  <c r="AT89" i="111" s="1"/>
  <c r="AR89" i="111" s="1"/>
  <c r="AO89" i="111" s="1"/>
  <c r="AL89" i="111" s="1"/>
  <c r="AV89" i="111"/>
  <c r="AQ89" i="111"/>
  <c r="AW89" i="111"/>
  <c r="I92" i="111"/>
  <c r="K92" i="111"/>
  <c r="O92" i="111"/>
  <c r="N92" i="111" s="1"/>
  <c r="L92" i="111" s="1"/>
  <c r="G92" i="111" s="1"/>
  <c r="BA92" i="111" s="1"/>
  <c r="P92" i="111"/>
  <c r="Q92" i="111"/>
  <c r="AS89" i="111"/>
  <c r="V117" i="112"/>
  <c r="I76" i="112"/>
  <c r="P76" i="112"/>
  <c r="O76" i="112"/>
  <c r="N76" i="112" s="1"/>
  <c r="L76" i="112" s="1"/>
  <c r="G76" i="112" s="1"/>
  <c r="N70" i="61"/>
  <c r="O70" i="61"/>
  <c r="S101" i="61"/>
  <c r="I71" i="61"/>
  <c r="R71" i="61"/>
  <c r="P71" i="61"/>
  <c r="M69" i="61"/>
  <c r="K69" i="61" s="1"/>
  <c r="AL105" i="59" l="1"/>
  <c r="AJ144" i="59"/>
  <c r="AO106" i="59"/>
  <c r="BD114" i="59"/>
  <c r="BG153" i="59"/>
  <c r="BG154" i="59" s="1"/>
  <c r="AP108" i="59"/>
  <c r="BB108" i="59"/>
  <c r="S76" i="59"/>
  <c r="T123" i="59"/>
  <c r="J76" i="59"/>
  <c r="AU107" i="59"/>
  <c r="AV107" i="59"/>
  <c r="AS107" i="59"/>
  <c r="M76" i="59"/>
  <c r="N75" i="59"/>
  <c r="L75" i="59" s="1"/>
  <c r="K71" i="66"/>
  <c r="J71" i="66"/>
  <c r="I71" i="66" s="1"/>
  <c r="X71" i="66"/>
  <c r="AP90" i="111"/>
  <c r="BB135" i="111"/>
  <c r="AY90" i="111"/>
  <c r="S93" i="111"/>
  <c r="H93" i="111"/>
  <c r="M93" i="111"/>
  <c r="AS90" i="111"/>
  <c r="M77" i="112"/>
  <c r="K76" i="112"/>
  <c r="Q76" i="112" s="1"/>
  <c r="BA76" i="112"/>
  <c r="H69" i="61"/>
  <c r="T99" i="61"/>
  <c r="L70" i="61"/>
  <c r="R72" i="61"/>
  <c r="S102" i="61"/>
  <c r="I72" i="61"/>
  <c r="P72" i="61"/>
  <c r="O71" i="61"/>
  <c r="N71" i="61"/>
  <c r="M70" i="61"/>
  <c r="K70" i="61" s="1"/>
  <c r="T71" i="66" l="1"/>
  <c r="S71" i="66"/>
  <c r="AP109" i="59"/>
  <c r="D31" i="59" s="1"/>
  <c r="D32" i="59" s="1"/>
  <c r="D38" i="59" s="1"/>
  <c r="R71" i="66"/>
  <c r="P71" i="66" s="1"/>
  <c r="N76" i="59"/>
  <c r="L76" i="59" s="1"/>
  <c r="I76" i="59" s="1"/>
  <c r="BF82" i="59" s="1"/>
  <c r="AV108" i="59"/>
  <c r="AU108" i="59"/>
  <c r="AT108" i="59" s="1"/>
  <c r="AR108" i="59" s="1"/>
  <c r="AO108" i="59" s="1"/>
  <c r="AJ145" i="59"/>
  <c r="AL106" i="59"/>
  <c r="I75" i="59"/>
  <c r="BF81" i="59" s="1"/>
  <c r="U122" i="59"/>
  <c r="Q76" i="59"/>
  <c r="O76" i="59"/>
  <c r="K76" i="59"/>
  <c r="U123" i="59" s="1"/>
  <c r="P76" i="59"/>
  <c r="AT107" i="59"/>
  <c r="AR107" i="59" s="1"/>
  <c r="AO107" i="59" s="1"/>
  <c r="I93" i="111"/>
  <c r="P93" i="111"/>
  <c r="Q93" i="111"/>
  <c r="K93" i="111"/>
  <c r="O93" i="111"/>
  <c r="AV90" i="111"/>
  <c r="AU90" i="111"/>
  <c r="AW90" i="111"/>
  <c r="AQ90" i="111"/>
  <c r="S77" i="112"/>
  <c r="H77" i="112"/>
  <c r="T118" i="112"/>
  <c r="H70" i="61"/>
  <c r="T100" i="61"/>
  <c r="N72" i="61"/>
  <c r="M72" i="61" s="1"/>
  <c r="K72" i="61" s="1"/>
  <c r="O72" i="61"/>
  <c r="I73" i="61"/>
  <c r="R73" i="61"/>
  <c r="P73" i="61"/>
  <c r="S103" i="61"/>
  <c r="M71" i="61"/>
  <c r="K71" i="61" s="1"/>
  <c r="L71" i="61"/>
  <c r="AJ147" i="59" l="1"/>
  <c r="AL108" i="59"/>
  <c r="AL7" i="59" s="1"/>
  <c r="AO109" i="59"/>
  <c r="D30" i="59" s="1"/>
  <c r="Z51" i="59" s="1"/>
  <c r="Y51" i="59" s="1"/>
  <c r="T124" i="59"/>
  <c r="J77" i="59"/>
  <c r="S77" i="59"/>
  <c r="O71" i="66"/>
  <c r="H71" i="66"/>
  <c r="AS108" i="59"/>
  <c r="D40" i="59"/>
  <c r="D41" i="59" s="1"/>
  <c r="D39" i="59"/>
  <c r="Q72" i="66"/>
  <c r="AL107" i="59"/>
  <c r="AJ146" i="59"/>
  <c r="M77" i="59"/>
  <c r="S94" i="111"/>
  <c r="H94" i="111"/>
  <c r="AT90" i="111"/>
  <c r="AR90" i="111" s="1"/>
  <c r="AO90" i="111" s="1"/>
  <c r="AL90" i="111" s="1"/>
  <c r="N93" i="111"/>
  <c r="L93" i="111" s="1"/>
  <c r="G93" i="111" s="1"/>
  <c r="BA93" i="111" s="1"/>
  <c r="AP91" i="111"/>
  <c r="BB136" i="111"/>
  <c r="AY91" i="111"/>
  <c r="V118" i="112"/>
  <c r="I77" i="112"/>
  <c r="O77" i="112"/>
  <c r="N77" i="112" s="1"/>
  <c r="L77" i="112" s="1"/>
  <c r="P77" i="112"/>
  <c r="T116" i="111"/>
  <c r="V116" i="111" s="1"/>
  <c r="T102" i="61"/>
  <c r="O73" i="61"/>
  <c r="N73" i="61"/>
  <c r="H71" i="61"/>
  <c r="H72" i="61" s="1"/>
  <c r="T101" i="61"/>
  <c r="L72" i="61"/>
  <c r="L73" i="61"/>
  <c r="I74" i="61"/>
  <c r="P74" i="61"/>
  <c r="S104" i="61"/>
  <c r="R74" i="61"/>
  <c r="V71" i="66" l="1"/>
  <c r="Z71" i="66"/>
  <c r="K77" i="59"/>
  <c r="P77" i="59"/>
  <c r="Q77" i="59"/>
  <c r="O77" i="59"/>
  <c r="N77" i="59"/>
  <c r="L77" i="59" s="1"/>
  <c r="I77" i="59" s="1"/>
  <c r="BF83" i="59" s="1"/>
  <c r="D43" i="59"/>
  <c r="BI33" i="59"/>
  <c r="AK148" i="59"/>
  <c r="AJ148" i="59"/>
  <c r="I94" i="111"/>
  <c r="AT91" i="111"/>
  <c r="AR91" i="111" s="1"/>
  <c r="AO91" i="111" s="1"/>
  <c r="AL91" i="111" s="1"/>
  <c r="AV91" i="111"/>
  <c r="AW91" i="111"/>
  <c r="AU91" i="111"/>
  <c r="AQ91" i="111"/>
  <c r="M94" i="111"/>
  <c r="Q94" i="111"/>
  <c r="K94" i="111"/>
  <c r="O94" i="111"/>
  <c r="P94" i="111"/>
  <c r="AS91" i="111"/>
  <c r="G77" i="112"/>
  <c r="BA77" i="112" s="1"/>
  <c r="M78" i="112"/>
  <c r="O74" i="61"/>
  <c r="N74" i="61"/>
  <c r="M74" i="61" s="1"/>
  <c r="K74" i="61" s="1"/>
  <c r="S105" i="61"/>
  <c r="R75" i="61"/>
  <c r="I75" i="61"/>
  <c r="P75" i="61"/>
  <c r="M73" i="61"/>
  <c r="K73" i="61" s="1"/>
  <c r="U124" i="59" l="1"/>
  <c r="M78" i="59"/>
  <c r="S78" i="59"/>
  <c r="J78" i="59"/>
  <c r="T125" i="59"/>
  <c r="K72" i="66"/>
  <c r="J72" i="66"/>
  <c r="I72" i="66" s="1"/>
  <c r="X72" i="66"/>
  <c r="AS92" i="111"/>
  <c r="N94" i="111"/>
  <c r="L94" i="111" s="1"/>
  <c r="G94" i="111" s="1"/>
  <c r="BA94" i="111" s="1"/>
  <c r="S95" i="111"/>
  <c r="H95" i="111"/>
  <c r="BB137" i="111"/>
  <c r="AP92" i="111"/>
  <c r="AY92" i="111"/>
  <c r="K77" i="112"/>
  <c r="Q77" i="112" s="1"/>
  <c r="I76" i="61"/>
  <c r="P76" i="61"/>
  <c r="S106" i="61"/>
  <c r="R76" i="61"/>
  <c r="N75" i="61"/>
  <c r="O75" i="61"/>
  <c r="L75" i="61"/>
  <c r="H73" i="61"/>
  <c r="H74" i="61" s="1"/>
  <c r="T103" i="61"/>
  <c r="L74" i="61"/>
  <c r="T104" i="61"/>
  <c r="N78" i="59" l="1"/>
  <c r="L78" i="59" s="1"/>
  <c r="I78" i="59" s="1"/>
  <c r="BF84" i="59" s="1"/>
  <c r="T72" i="66"/>
  <c r="S72" i="66"/>
  <c r="P78" i="59"/>
  <c r="Q78" i="59"/>
  <c r="O78" i="59"/>
  <c r="K78" i="59"/>
  <c r="K95" i="111"/>
  <c r="O95" i="111"/>
  <c r="P95" i="111"/>
  <c r="Q95" i="111"/>
  <c r="I95" i="111"/>
  <c r="AQ92" i="111"/>
  <c r="AW92" i="111"/>
  <c r="AU92" i="111"/>
  <c r="AV92" i="111"/>
  <c r="M95" i="111"/>
  <c r="S78" i="112"/>
  <c r="T119" i="112"/>
  <c r="H78" i="112"/>
  <c r="I78" i="112" s="1"/>
  <c r="T117" i="111"/>
  <c r="V117" i="111" s="1"/>
  <c r="O76" i="61"/>
  <c r="N76" i="61"/>
  <c r="I77" i="61"/>
  <c r="S107" i="61"/>
  <c r="P77" i="61"/>
  <c r="R77" i="61"/>
  <c r="M75" i="61"/>
  <c r="K75" i="61" s="1"/>
  <c r="S79" i="59" l="1"/>
  <c r="T126" i="59"/>
  <c r="J79" i="59"/>
  <c r="U125" i="59"/>
  <c r="R72" i="66"/>
  <c r="P72" i="66" s="1"/>
  <c r="M79" i="59"/>
  <c r="N95" i="111"/>
  <c r="L95" i="111" s="1"/>
  <c r="G95" i="111" s="1"/>
  <c r="BA95" i="111" s="1"/>
  <c r="AP93" i="111"/>
  <c r="BB138" i="111"/>
  <c r="AY93" i="111"/>
  <c r="S96" i="111"/>
  <c r="H96" i="111"/>
  <c r="AT92" i="111"/>
  <c r="AR92" i="111" s="1"/>
  <c r="AO92" i="111" s="1"/>
  <c r="AL92" i="111" s="1"/>
  <c r="V119" i="112"/>
  <c r="P78" i="112"/>
  <c r="O78" i="112"/>
  <c r="I78" i="61"/>
  <c r="S108" i="61"/>
  <c r="R78" i="61"/>
  <c r="P78" i="61"/>
  <c r="O77" i="61"/>
  <c r="N77" i="61"/>
  <c r="H75" i="61"/>
  <c r="T105" i="61"/>
  <c r="M76" i="61"/>
  <c r="K76" i="61" s="1"/>
  <c r="L76" i="61"/>
  <c r="H72" i="66" l="1"/>
  <c r="O72" i="66" s="1"/>
  <c r="Q73" i="66"/>
  <c r="K79" i="59"/>
  <c r="Q79" i="59"/>
  <c r="O79" i="59"/>
  <c r="P79" i="59"/>
  <c r="K96" i="111"/>
  <c r="O96" i="111"/>
  <c r="P96" i="111"/>
  <c r="Q96" i="111"/>
  <c r="AQ93" i="111"/>
  <c r="AW93" i="111"/>
  <c r="AU93" i="111"/>
  <c r="AV93" i="111"/>
  <c r="AS93" i="111"/>
  <c r="I96" i="111"/>
  <c r="N96" i="111"/>
  <c r="L96" i="111" s="1"/>
  <c r="G96" i="111" s="1"/>
  <c r="BA96" i="111" s="1"/>
  <c r="M96" i="111"/>
  <c r="N78" i="112"/>
  <c r="L78" i="112" s="1"/>
  <c r="M79" i="112" s="1"/>
  <c r="P79" i="61"/>
  <c r="S109" i="61"/>
  <c r="R79" i="61"/>
  <c r="I79" i="61"/>
  <c r="H76" i="61"/>
  <c r="T106" i="61"/>
  <c r="L77" i="61"/>
  <c r="N78" i="61"/>
  <c r="M78" i="61" s="1"/>
  <c r="K78" i="61" s="1"/>
  <c r="O78" i="61"/>
  <c r="M77" i="61"/>
  <c r="K77" i="61" s="1"/>
  <c r="V72" i="66" l="1"/>
  <c r="Z72" i="66"/>
  <c r="N79" i="59"/>
  <c r="L79" i="59" s="1"/>
  <c r="I79" i="59" s="1"/>
  <c r="BF85" i="59" s="1"/>
  <c r="S80" i="59"/>
  <c r="J80" i="59"/>
  <c r="T127" i="59"/>
  <c r="AP94" i="111"/>
  <c r="BB139" i="111"/>
  <c r="AY94" i="111"/>
  <c r="M97" i="111"/>
  <c r="S97" i="111"/>
  <c r="H97" i="111"/>
  <c r="AT93" i="111"/>
  <c r="AR93" i="111" s="1"/>
  <c r="AO93" i="111" s="1"/>
  <c r="AL93" i="111" s="1"/>
  <c r="G78" i="112"/>
  <c r="K78" i="112" s="1"/>
  <c r="Q78" i="112" s="1"/>
  <c r="N79" i="61"/>
  <c r="O79" i="61"/>
  <c r="I80" i="61"/>
  <c r="S110" i="61"/>
  <c r="P80" i="61"/>
  <c r="R80" i="61"/>
  <c r="T108" i="61"/>
  <c r="H77" i="61"/>
  <c r="H78" i="61" s="1"/>
  <c r="T107" i="61"/>
  <c r="L79" i="61"/>
  <c r="L78" i="61"/>
  <c r="O80" i="59" l="1"/>
  <c r="P80" i="59"/>
  <c r="Q80" i="59"/>
  <c r="K80" i="59"/>
  <c r="M80" i="59"/>
  <c r="J73" i="66"/>
  <c r="I73" i="66" s="1"/>
  <c r="K73" i="66"/>
  <c r="X73" i="66"/>
  <c r="U126" i="59"/>
  <c r="I97" i="111"/>
  <c r="AQ94" i="111"/>
  <c r="AU94" i="111"/>
  <c r="AV94" i="111"/>
  <c r="AW94" i="111"/>
  <c r="P97" i="111"/>
  <c r="Q97" i="111"/>
  <c r="O97" i="111"/>
  <c r="N97" i="111" s="1"/>
  <c r="L97" i="111" s="1"/>
  <c r="G97" i="111" s="1"/>
  <c r="BA97" i="111" s="1"/>
  <c r="K97" i="111"/>
  <c r="AS94" i="111"/>
  <c r="S79" i="112"/>
  <c r="H79" i="112"/>
  <c r="I79" i="112" s="1"/>
  <c r="T120" i="112"/>
  <c r="V120" i="112" s="1"/>
  <c r="BA78" i="112"/>
  <c r="I81" i="61"/>
  <c r="R81" i="61"/>
  <c r="P81" i="61"/>
  <c r="S111" i="61"/>
  <c r="O80" i="61"/>
  <c r="N80" i="61"/>
  <c r="M80" i="61" s="1"/>
  <c r="K80" i="61" s="1"/>
  <c r="M79" i="61"/>
  <c r="K79" i="61" s="1"/>
  <c r="J81" i="59" l="1"/>
  <c r="T128" i="59"/>
  <c r="S81" i="59"/>
  <c r="S73" i="66"/>
  <c r="T73" i="66"/>
  <c r="M81" i="59"/>
  <c r="N80" i="59"/>
  <c r="L80" i="59" s="1"/>
  <c r="I80" i="59" s="1"/>
  <c r="BF86" i="59" s="1"/>
  <c r="S98" i="111"/>
  <c r="H98" i="111"/>
  <c r="AT94" i="111"/>
  <c r="AR94" i="111" s="1"/>
  <c r="AO94" i="111" s="1"/>
  <c r="AL94" i="111" s="1"/>
  <c r="BB140" i="111"/>
  <c r="AP95" i="111"/>
  <c r="AY95" i="111"/>
  <c r="M98" i="111"/>
  <c r="O79" i="112"/>
  <c r="P79" i="112"/>
  <c r="T118" i="111"/>
  <c r="V118" i="111" s="1"/>
  <c r="T110" i="61"/>
  <c r="I82" i="61"/>
  <c r="R82" i="61"/>
  <c r="P82" i="61"/>
  <c r="S112" i="61"/>
  <c r="H79" i="61"/>
  <c r="H80" i="61" s="1"/>
  <c r="T109" i="61"/>
  <c r="N81" i="61"/>
  <c r="O81" i="61"/>
  <c r="L81" i="61"/>
  <c r="L80" i="61"/>
  <c r="K81" i="59" l="1"/>
  <c r="P81" i="59"/>
  <c r="Q81" i="59"/>
  <c r="O81" i="59"/>
  <c r="N81" i="59"/>
  <c r="L81" i="59" s="1"/>
  <c r="I81" i="59" s="1"/>
  <c r="BF87" i="59" s="1"/>
  <c r="R73" i="66"/>
  <c r="P73" i="66" s="1"/>
  <c r="U127" i="59"/>
  <c r="AW95" i="111"/>
  <c r="AQ95" i="111"/>
  <c r="AU95" i="111"/>
  <c r="AV95" i="111"/>
  <c r="AS95" i="111"/>
  <c r="I98" i="111"/>
  <c r="Q98" i="111"/>
  <c r="K98" i="111"/>
  <c r="O98" i="111"/>
  <c r="N98" i="111" s="1"/>
  <c r="L98" i="111" s="1"/>
  <c r="G98" i="111" s="1"/>
  <c r="BA98" i="111" s="1"/>
  <c r="P98" i="111"/>
  <c r="N79" i="112"/>
  <c r="L79" i="112" s="1"/>
  <c r="M80" i="112" s="1"/>
  <c r="N82" i="61"/>
  <c r="M82" i="61" s="1"/>
  <c r="K82" i="61" s="1"/>
  <c r="O82" i="61"/>
  <c r="I83" i="61"/>
  <c r="P83" i="61"/>
  <c r="S113" i="61"/>
  <c r="R83" i="61"/>
  <c r="M81" i="61"/>
  <c r="K81" i="61" s="1"/>
  <c r="H73" i="66" l="1"/>
  <c r="O73" i="66"/>
  <c r="U128" i="59"/>
  <c r="M82" i="59"/>
  <c r="S82" i="59"/>
  <c r="T129" i="59"/>
  <c r="J82" i="59"/>
  <c r="Q74" i="66"/>
  <c r="M99" i="111"/>
  <c r="AT95" i="111"/>
  <c r="AR95" i="111" s="1"/>
  <c r="AO95" i="111" s="1"/>
  <c r="AL95" i="111" s="1"/>
  <c r="S99" i="111"/>
  <c r="H99" i="111"/>
  <c r="AP96" i="111"/>
  <c r="BB141" i="111"/>
  <c r="AY96" i="111"/>
  <c r="G79" i="112"/>
  <c r="K79" i="112" s="1"/>
  <c r="Q79" i="112" s="1"/>
  <c r="T112" i="61"/>
  <c r="I84" i="61"/>
  <c r="S114" i="61"/>
  <c r="P84" i="61"/>
  <c r="R84" i="61"/>
  <c r="H81" i="61"/>
  <c r="H82" i="61" s="1"/>
  <c r="T111" i="61"/>
  <c r="L82" i="61"/>
  <c r="O83" i="61"/>
  <c r="N83" i="61"/>
  <c r="M83" i="61" s="1"/>
  <c r="K83" i="61" s="1"/>
  <c r="L83" i="61"/>
  <c r="P82" i="59" l="1"/>
  <c r="Q82" i="59"/>
  <c r="K82" i="59"/>
  <c r="O82" i="59"/>
  <c r="V73" i="66"/>
  <c r="Z73" i="66"/>
  <c r="K99" i="111"/>
  <c r="O99" i="111"/>
  <c r="P99" i="111"/>
  <c r="Q99" i="111"/>
  <c r="N99" i="111"/>
  <c r="L99" i="111" s="1"/>
  <c r="G99" i="111" s="1"/>
  <c r="BA99" i="111" s="1"/>
  <c r="I99" i="111"/>
  <c r="AS96" i="111"/>
  <c r="AU96" i="111"/>
  <c r="AV96" i="111"/>
  <c r="AW96" i="111"/>
  <c r="AQ96" i="111"/>
  <c r="H80" i="112"/>
  <c r="S80" i="112"/>
  <c r="T121" i="112"/>
  <c r="V121" i="112" s="1"/>
  <c r="BA79" i="112"/>
  <c r="T119" i="111"/>
  <c r="V119" i="111" s="1"/>
  <c r="N84" i="61"/>
  <c r="M84" i="61" s="1"/>
  <c r="K84" i="61" s="1"/>
  <c r="O84" i="61"/>
  <c r="H83" i="61"/>
  <c r="T113" i="61"/>
  <c r="L84" i="61"/>
  <c r="I85" i="61"/>
  <c r="P85" i="61"/>
  <c r="J85" i="61"/>
  <c r="J86" i="61" s="1"/>
  <c r="R85" i="61"/>
  <c r="S115" i="61"/>
  <c r="S116" i="61" s="1"/>
  <c r="K74" i="66" l="1"/>
  <c r="V74" i="66"/>
  <c r="O74" i="66"/>
  <c r="O192" i="66" s="1"/>
  <c r="J74" i="66"/>
  <c r="I74" i="66" s="1"/>
  <c r="X74" i="66"/>
  <c r="S83" i="59"/>
  <c r="T130" i="59"/>
  <c r="J83" i="59"/>
  <c r="N82" i="59"/>
  <c r="L82" i="59" s="1"/>
  <c r="I82" i="59" s="1"/>
  <c r="BF88" i="59" s="1"/>
  <c r="S100" i="111"/>
  <c r="H100" i="111"/>
  <c r="BB142" i="111"/>
  <c r="AP97" i="111"/>
  <c r="AY97" i="111"/>
  <c r="M100" i="111"/>
  <c r="AT96" i="111"/>
  <c r="AR96" i="111" s="1"/>
  <c r="AO96" i="111" s="1"/>
  <c r="AL96" i="111" s="1"/>
  <c r="P80" i="112"/>
  <c r="O80" i="112"/>
  <c r="N80" i="112" s="1"/>
  <c r="L80" i="112" s="1"/>
  <c r="I80" i="112"/>
  <c r="H84" i="61"/>
  <c r="T114" i="61"/>
  <c r="I86" i="61"/>
  <c r="N85" i="61"/>
  <c r="M85" i="61" s="1"/>
  <c r="K85" i="61" s="1"/>
  <c r="O85" i="61"/>
  <c r="L85" i="61"/>
  <c r="M83" i="59" l="1"/>
  <c r="S74" i="66"/>
  <c r="T74" i="66"/>
  <c r="R74" i="66"/>
  <c r="P74" i="66" s="1"/>
  <c r="Z74" i="66" s="1"/>
  <c r="K75" i="66"/>
  <c r="I75" i="66" s="1"/>
  <c r="V75" i="66"/>
  <c r="J75" i="66"/>
  <c r="X75" i="66"/>
  <c r="Q83" i="59"/>
  <c r="P83" i="59"/>
  <c r="O83" i="59"/>
  <c r="K83" i="59"/>
  <c r="U129" i="59"/>
  <c r="I100" i="111"/>
  <c r="AS97" i="111"/>
  <c r="AQ97" i="111"/>
  <c r="AU97" i="111"/>
  <c r="AV97" i="111"/>
  <c r="AW97" i="111"/>
  <c r="AT97" i="111"/>
  <c r="AR97" i="111" s="1"/>
  <c r="AO97" i="111" s="1"/>
  <c r="AL97" i="111" s="1"/>
  <c r="K100" i="111"/>
  <c r="O100" i="111"/>
  <c r="P100" i="111"/>
  <c r="Q100" i="111"/>
  <c r="M81" i="112"/>
  <c r="G80" i="112"/>
  <c r="BA80" i="112" s="1"/>
  <c r="K86" i="61"/>
  <c r="H85" i="61"/>
  <c r="H86" i="61" s="1"/>
  <c r="D19" i="61" s="1"/>
  <c r="Y40" i="61" s="1"/>
  <c r="X40" i="61" s="1"/>
  <c r="T115" i="61"/>
  <c r="N83" i="59" l="1"/>
  <c r="L83" i="59" s="1"/>
  <c r="I83" i="59" s="1"/>
  <c r="BF89" i="59" s="1"/>
  <c r="S84" i="59"/>
  <c r="J84" i="59"/>
  <c r="T131" i="59"/>
  <c r="H74" i="66"/>
  <c r="S75" i="66"/>
  <c r="R75" i="66" s="1"/>
  <c r="P75" i="66" s="1"/>
  <c r="T75" i="66"/>
  <c r="Q75" i="66"/>
  <c r="J76" i="66"/>
  <c r="I76" i="66" s="1"/>
  <c r="K76" i="66"/>
  <c r="V76" i="66"/>
  <c r="X76" i="66"/>
  <c r="S101" i="111"/>
  <c r="H101" i="111"/>
  <c r="AP98" i="111"/>
  <c r="BB143" i="111"/>
  <c r="AY98" i="111"/>
  <c r="N100" i="111"/>
  <c r="L100" i="111" s="1"/>
  <c r="G100" i="111" s="1"/>
  <c r="BA100" i="111" s="1"/>
  <c r="AS98" i="111"/>
  <c r="K80" i="112"/>
  <c r="Q80" i="112" s="1"/>
  <c r="T120" i="111"/>
  <c r="V120" i="111" s="1"/>
  <c r="AD39" i="61"/>
  <c r="C19" i="61" s="1"/>
  <c r="T116" i="61"/>
  <c r="H75" i="66" l="1"/>
  <c r="Z75" i="66"/>
  <c r="J77" i="66"/>
  <c r="I77" i="66" s="1"/>
  <c r="K77" i="66"/>
  <c r="X77" i="66"/>
  <c r="V77" i="66"/>
  <c r="N84" i="59"/>
  <c r="L84" i="59" s="1"/>
  <c r="I84" i="59" s="1"/>
  <c r="BF90" i="59" s="1"/>
  <c r="O84" i="59"/>
  <c r="K84" i="59"/>
  <c r="U131" i="59" s="1"/>
  <c r="P84" i="59"/>
  <c r="Q84" i="59"/>
  <c r="Q76" i="66"/>
  <c r="M84" i="59"/>
  <c r="S76" i="66"/>
  <c r="T76" i="66"/>
  <c r="U130" i="59"/>
  <c r="I101" i="111"/>
  <c r="M101" i="111"/>
  <c r="AV98" i="111"/>
  <c r="AW98" i="111"/>
  <c r="AU98" i="111"/>
  <c r="AQ98" i="111"/>
  <c r="P101" i="111"/>
  <c r="Q101" i="111"/>
  <c r="K101" i="111"/>
  <c r="O101" i="111"/>
  <c r="N101" i="111" s="1"/>
  <c r="L101" i="111" s="1"/>
  <c r="G101" i="111" s="1"/>
  <c r="BA101" i="111" s="1"/>
  <c r="H81" i="112"/>
  <c r="I81" i="112" s="1"/>
  <c r="S81" i="112"/>
  <c r="T122" i="112"/>
  <c r="S85" i="59" l="1"/>
  <c r="T132" i="59"/>
  <c r="J85" i="59"/>
  <c r="J78" i="66"/>
  <c r="I78" i="66" s="1"/>
  <c r="K78" i="66"/>
  <c r="X78" i="66"/>
  <c r="V78" i="66"/>
  <c r="T77" i="66"/>
  <c r="S77" i="66"/>
  <c r="R77" i="66"/>
  <c r="P77" i="66" s="1"/>
  <c r="Z77" i="66" s="1"/>
  <c r="M85" i="59"/>
  <c r="Q77" i="66"/>
  <c r="R76" i="66"/>
  <c r="P76" i="66" s="1"/>
  <c r="AP99" i="111"/>
  <c r="BB144" i="111"/>
  <c r="AY99" i="111"/>
  <c r="M102" i="111"/>
  <c r="S102" i="111"/>
  <c r="H102" i="111"/>
  <c r="AT98" i="111"/>
  <c r="AR98" i="111" s="1"/>
  <c r="AO98" i="111" s="1"/>
  <c r="AL98" i="111" s="1"/>
  <c r="V122" i="112"/>
  <c r="O81" i="112"/>
  <c r="P81" i="112"/>
  <c r="H76" i="66" l="1"/>
  <c r="Z76" i="66"/>
  <c r="K79" i="66"/>
  <c r="J79" i="66"/>
  <c r="I79" i="66" s="1"/>
  <c r="X79" i="66"/>
  <c r="V79" i="66"/>
  <c r="T78" i="66"/>
  <c r="Z78" i="66" s="1"/>
  <c r="S78" i="66"/>
  <c r="R78" i="66"/>
  <c r="P78" i="66" s="1"/>
  <c r="H77" i="66"/>
  <c r="N85" i="59"/>
  <c r="L85" i="59" s="1"/>
  <c r="I85" i="59" s="1"/>
  <c r="BF91" i="59" s="1"/>
  <c r="K85" i="59"/>
  <c r="U132" i="59" s="1"/>
  <c r="P85" i="59"/>
  <c r="O85" i="59"/>
  <c r="Q85" i="59"/>
  <c r="Q78" i="66"/>
  <c r="I102" i="111"/>
  <c r="AW99" i="111"/>
  <c r="AU99" i="111"/>
  <c r="AQ99" i="111"/>
  <c r="AV99" i="111"/>
  <c r="Q102" i="111"/>
  <c r="K102" i="111"/>
  <c r="O102" i="111"/>
  <c r="P102" i="111"/>
  <c r="AS99" i="111"/>
  <c r="N81" i="112"/>
  <c r="L81" i="112" s="1"/>
  <c r="M82" i="112" s="1"/>
  <c r="K80" i="66" l="1"/>
  <c r="J80" i="66"/>
  <c r="I80" i="66" s="1"/>
  <c r="X80" i="66"/>
  <c r="V80" i="66"/>
  <c r="S79" i="66"/>
  <c r="T79" i="66"/>
  <c r="R79" i="66"/>
  <c r="P79" i="66" s="1"/>
  <c r="H79" i="66" s="1"/>
  <c r="J86" i="59"/>
  <c r="T133" i="59"/>
  <c r="S86" i="59"/>
  <c r="H78" i="66"/>
  <c r="M86" i="59"/>
  <c r="Q79" i="66"/>
  <c r="BB145" i="111"/>
  <c r="AP100" i="111"/>
  <c r="AY100" i="111"/>
  <c r="N102" i="111"/>
  <c r="L102" i="111" s="1"/>
  <c r="G102" i="111" s="1"/>
  <c r="BA102" i="111" s="1"/>
  <c r="S103" i="111"/>
  <c r="H103" i="111"/>
  <c r="AT99" i="111"/>
  <c r="AR99" i="111" s="1"/>
  <c r="AO99" i="111" s="1"/>
  <c r="AL99" i="111" s="1"/>
  <c r="G81" i="112"/>
  <c r="K81" i="112" s="1"/>
  <c r="Q81" i="112" s="1"/>
  <c r="Q80" i="66" l="1"/>
  <c r="P86" i="59"/>
  <c r="Q86" i="59"/>
  <c r="O86" i="59"/>
  <c r="K86" i="59"/>
  <c r="J81" i="66"/>
  <c r="I81" i="66" s="1"/>
  <c r="K81" i="66"/>
  <c r="X81" i="66"/>
  <c r="V81" i="66"/>
  <c r="T80" i="66"/>
  <c r="S80" i="66"/>
  <c r="N86" i="59"/>
  <c r="L86" i="59" s="1"/>
  <c r="I86" i="59" s="1"/>
  <c r="BF92" i="59" s="1"/>
  <c r="R80" i="66"/>
  <c r="P80" i="66" s="1"/>
  <c r="H80" i="66" s="1"/>
  <c r="Z80" i="66"/>
  <c r="Z79" i="66"/>
  <c r="I103" i="111"/>
  <c r="M103" i="111"/>
  <c r="AS100" i="111"/>
  <c r="K103" i="111"/>
  <c r="O103" i="111"/>
  <c r="P103" i="111"/>
  <c r="Q103" i="111"/>
  <c r="AV100" i="111"/>
  <c r="AQ100" i="111"/>
  <c r="AW100" i="111"/>
  <c r="AU100" i="111"/>
  <c r="T123" i="112"/>
  <c r="V123" i="112" s="1"/>
  <c r="H82" i="112"/>
  <c r="I82" i="112" s="1"/>
  <c r="S82" i="112"/>
  <c r="BA81" i="112"/>
  <c r="T121" i="111"/>
  <c r="V121" i="111" s="1"/>
  <c r="S81" i="66" l="1"/>
  <c r="T81" i="66"/>
  <c r="R81" i="66"/>
  <c r="P81" i="66" s="1"/>
  <c r="H81" i="66" s="1"/>
  <c r="Q81" i="66"/>
  <c r="M87" i="59"/>
  <c r="U133" i="59"/>
  <c r="S87" i="59"/>
  <c r="J87" i="59"/>
  <c r="T134" i="59"/>
  <c r="J82" i="66"/>
  <c r="I82" i="66" s="1"/>
  <c r="K82" i="66"/>
  <c r="X82" i="66"/>
  <c r="V82" i="66"/>
  <c r="BB146" i="111"/>
  <c r="AP101" i="111"/>
  <c r="AY101" i="111"/>
  <c r="S104" i="111"/>
  <c r="H104" i="111"/>
  <c r="AT100" i="111"/>
  <c r="AR100" i="111" s="1"/>
  <c r="AO100" i="111" s="1"/>
  <c r="AL100" i="111" s="1"/>
  <c r="N103" i="111"/>
  <c r="L103" i="111" s="1"/>
  <c r="G103" i="111" s="1"/>
  <c r="BA103" i="111" s="1"/>
  <c r="O82" i="112"/>
  <c r="P82" i="112"/>
  <c r="P87" i="59" l="1"/>
  <c r="K87" i="59"/>
  <c r="Q87" i="59"/>
  <c r="O87" i="59"/>
  <c r="J83" i="66"/>
  <c r="I83" i="66" s="1"/>
  <c r="K83" i="66"/>
  <c r="X83" i="66"/>
  <c r="V83" i="66"/>
  <c r="T82" i="66"/>
  <c r="S82" i="66"/>
  <c r="R82" i="66"/>
  <c r="P82" i="66" s="1"/>
  <c r="H82" i="66" s="1"/>
  <c r="Z82" i="66"/>
  <c r="Z81" i="66"/>
  <c r="N87" i="59"/>
  <c r="L87" i="59" s="1"/>
  <c r="I87" i="59" s="1"/>
  <c r="BF93" i="59" s="1"/>
  <c r="Q82" i="66"/>
  <c r="I104" i="111"/>
  <c r="AW101" i="111"/>
  <c r="AU101" i="111"/>
  <c r="AQ101" i="111"/>
  <c r="AV101" i="111"/>
  <c r="K104" i="111"/>
  <c r="O104" i="111"/>
  <c r="N104" i="111" s="1"/>
  <c r="L104" i="111" s="1"/>
  <c r="G104" i="111" s="1"/>
  <c r="BA104" i="111" s="1"/>
  <c r="P104" i="111"/>
  <c r="Q104" i="111"/>
  <c r="M104" i="111"/>
  <c r="AS101" i="111"/>
  <c r="N82" i="112"/>
  <c r="L82" i="112" s="1"/>
  <c r="M83" i="112" s="1"/>
  <c r="K84" i="66" l="1"/>
  <c r="J84" i="66"/>
  <c r="I84" i="66" s="1"/>
  <c r="X84" i="66"/>
  <c r="V84" i="66"/>
  <c r="M88" i="59"/>
  <c r="S88" i="59"/>
  <c r="T135" i="59"/>
  <c r="J88" i="59"/>
  <c r="U134" i="59"/>
  <c r="AE50" i="59" s="1"/>
  <c r="S83" i="66"/>
  <c r="T83" i="66"/>
  <c r="Q83" i="66"/>
  <c r="AP102" i="111"/>
  <c r="BB147" i="111"/>
  <c r="AY102" i="111"/>
  <c r="AT101" i="111"/>
  <c r="AR101" i="111" s="1"/>
  <c r="AO101" i="111" s="1"/>
  <c r="AL101" i="111" s="1"/>
  <c r="S105" i="111"/>
  <c r="H105" i="111"/>
  <c r="M105" i="111"/>
  <c r="G82" i="112"/>
  <c r="K82" i="112" s="1"/>
  <c r="Q82" i="112" s="1"/>
  <c r="R83" i="66" l="1"/>
  <c r="P83" i="66" s="1"/>
  <c r="K85" i="66"/>
  <c r="J85" i="66"/>
  <c r="I85" i="66" s="1"/>
  <c r="X85" i="66"/>
  <c r="V85" i="66"/>
  <c r="S84" i="66"/>
  <c r="T84" i="66"/>
  <c r="O88" i="59"/>
  <c r="N88" i="59" s="1"/>
  <c r="L88" i="59" s="1"/>
  <c r="I88" i="59" s="1"/>
  <c r="BF94" i="59" s="1"/>
  <c r="Q88" i="59"/>
  <c r="K88" i="59"/>
  <c r="P88" i="59"/>
  <c r="R84" i="66"/>
  <c r="P84" i="66" s="1"/>
  <c r="AS102" i="111"/>
  <c r="I105" i="111"/>
  <c r="AV102" i="111"/>
  <c r="AQ102" i="111"/>
  <c r="AW102" i="111"/>
  <c r="AU102" i="111"/>
  <c r="AT102" i="111" s="1"/>
  <c r="AR102" i="111" s="1"/>
  <c r="AO102" i="111" s="1"/>
  <c r="AL102" i="111" s="1"/>
  <c r="P105" i="111"/>
  <c r="Q105" i="111"/>
  <c r="K105" i="111"/>
  <c r="O105" i="111"/>
  <c r="S83" i="112"/>
  <c r="H83" i="112"/>
  <c r="I83" i="112" s="1"/>
  <c r="T124" i="112"/>
  <c r="V124" i="112" s="1"/>
  <c r="BA82" i="112"/>
  <c r="U135" i="59" l="1"/>
  <c r="K86" i="66"/>
  <c r="J86" i="66"/>
  <c r="I86" i="66" s="1"/>
  <c r="X86" i="66"/>
  <c r="V86" i="66"/>
  <c r="S85" i="66"/>
  <c r="T85" i="66"/>
  <c r="H84" i="66"/>
  <c r="S89" i="59"/>
  <c r="T136" i="59"/>
  <c r="J89" i="59"/>
  <c r="M89" i="59"/>
  <c r="Q85" i="66"/>
  <c r="H83" i="66"/>
  <c r="Z83" i="66"/>
  <c r="Z84" i="66"/>
  <c r="Q84" i="66"/>
  <c r="N105" i="111"/>
  <c r="L105" i="111" s="1"/>
  <c r="G105" i="111" s="1"/>
  <c r="BA105" i="111" s="1"/>
  <c r="AP103" i="111"/>
  <c r="BB148" i="111"/>
  <c r="AY103" i="111"/>
  <c r="AS103" i="111"/>
  <c r="S106" i="111"/>
  <c r="H106" i="111"/>
  <c r="O83" i="112"/>
  <c r="P83" i="112"/>
  <c r="T122" i="111"/>
  <c r="V122" i="111" s="1"/>
  <c r="Q89" i="59" l="1"/>
  <c r="K89" i="59"/>
  <c r="O89" i="59"/>
  <c r="P89" i="59"/>
  <c r="J87" i="66"/>
  <c r="K87" i="66"/>
  <c r="I87" i="66" s="1"/>
  <c r="X87" i="66"/>
  <c r="V87" i="66"/>
  <c r="Q86" i="66"/>
  <c r="T86" i="66"/>
  <c r="S86" i="66"/>
  <c r="R86" i="66"/>
  <c r="P86" i="66" s="1"/>
  <c r="Z86" i="66" s="1"/>
  <c r="R85" i="66"/>
  <c r="P85" i="66" s="1"/>
  <c r="Q106" i="111"/>
  <c r="K106" i="111"/>
  <c r="O106" i="111"/>
  <c r="P106" i="111"/>
  <c r="I106" i="111"/>
  <c r="AV103" i="111"/>
  <c r="AU103" i="111"/>
  <c r="AW103" i="111"/>
  <c r="AQ103" i="111"/>
  <c r="M106" i="111"/>
  <c r="N83" i="112"/>
  <c r="L83" i="112" s="1"/>
  <c r="G83" i="112" s="1"/>
  <c r="S90" i="59" l="1"/>
  <c r="J90" i="59"/>
  <c r="T137" i="59"/>
  <c r="Q87" i="66"/>
  <c r="J88" i="66"/>
  <c r="I88" i="66" s="1"/>
  <c r="K88" i="66"/>
  <c r="X88" i="66"/>
  <c r="V88" i="66"/>
  <c r="H86" i="66"/>
  <c r="H85" i="66"/>
  <c r="Z85" i="66"/>
  <c r="S87" i="66"/>
  <c r="R87" i="66" s="1"/>
  <c r="P87" i="66" s="1"/>
  <c r="T87" i="66"/>
  <c r="N89" i="59"/>
  <c r="L89" i="59" s="1"/>
  <c r="I89" i="59" s="1"/>
  <c r="BF95" i="59" s="1"/>
  <c r="AP104" i="111"/>
  <c r="BB149" i="111"/>
  <c r="AY104" i="111"/>
  <c r="S107" i="111"/>
  <c r="H107" i="111"/>
  <c r="N106" i="111"/>
  <c r="L106" i="111" s="1"/>
  <c r="G106" i="111" s="1"/>
  <c r="BA106" i="111" s="1"/>
  <c r="AT103" i="111"/>
  <c r="AR103" i="111" s="1"/>
  <c r="AO103" i="111" s="1"/>
  <c r="AL103" i="111" s="1"/>
  <c r="M84" i="112"/>
  <c r="K83" i="112"/>
  <c r="Q83" i="112" s="1"/>
  <c r="BA83" i="112"/>
  <c r="H87" i="66" l="1"/>
  <c r="Z87" i="66"/>
  <c r="K89" i="66"/>
  <c r="J89" i="66"/>
  <c r="I89" i="66" s="1"/>
  <c r="X89" i="66"/>
  <c r="V89" i="66"/>
  <c r="K90" i="59"/>
  <c r="P90" i="59"/>
  <c r="Q90" i="59"/>
  <c r="O90" i="59"/>
  <c r="T88" i="66"/>
  <c r="S88" i="66"/>
  <c r="M90" i="59"/>
  <c r="Q88" i="66"/>
  <c r="U136" i="59"/>
  <c r="I107" i="111"/>
  <c r="K107" i="111"/>
  <c r="O107" i="111"/>
  <c r="P107" i="111"/>
  <c r="Q107" i="111"/>
  <c r="M107" i="111"/>
  <c r="AV104" i="111"/>
  <c r="AQ104" i="111"/>
  <c r="AU104" i="111"/>
  <c r="AW104" i="111"/>
  <c r="AS104" i="111"/>
  <c r="T125" i="112"/>
  <c r="H84" i="112"/>
  <c r="I84" i="112" s="1"/>
  <c r="S84" i="112"/>
  <c r="K90" i="66" l="1"/>
  <c r="J90" i="66"/>
  <c r="I90" i="66" s="1"/>
  <c r="X90" i="66"/>
  <c r="V90" i="66"/>
  <c r="T89" i="66"/>
  <c r="S89" i="66"/>
  <c r="J91" i="59"/>
  <c r="T138" i="59"/>
  <c r="S91" i="59"/>
  <c r="N90" i="59"/>
  <c r="L90" i="59" s="1"/>
  <c r="I90" i="59" s="1"/>
  <c r="BF96" i="59" s="1"/>
  <c r="R88" i="66"/>
  <c r="P88" i="66" s="1"/>
  <c r="BB150" i="111"/>
  <c r="AP105" i="111"/>
  <c r="AY105" i="111"/>
  <c r="S108" i="111"/>
  <c r="H108" i="111"/>
  <c r="AT104" i="111"/>
  <c r="AR104" i="111" s="1"/>
  <c r="AO104" i="111" s="1"/>
  <c r="AL104" i="111" s="1"/>
  <c r="N107" i="111"/>
  <c r="L107" i="111" s="1"/>
  <c r="G107" i="111" s="1"/>
  <c r="BA107" i="111" s="1"/>
  <c r="P84" i="112"/>
  <c r="O84" i="112"/>
  <c r="V125" i="112"/>
  <c r="Q91" i="59" l="1"/>
  <c r="P91" i="59"/>
  <c r="K91" i="59"/>
  <c r="O91" i="59"/>
  <c r="J91" i="66"/>
  <c r="I91" i="66" s="1"/>
  <c r="K91" i="66"/>
  <c r="X91" i="66"/>
  <c r="V91" i="66"/>
  <c r="T90" i="66"/>
  <c r="S90" i="66"/>
  <c r="M91" i="59"/>
  <c r="R90" i="66"/>
  <c r="P90" i="66" s="1"/>
  <c r="H88" i="66"/>
  <c r="Z88" i="66"/>
  <c r="Q89" i="66"/>
  <c r="R89" i="66"/>
  <c r="P89" i="66" s="1"/>
  <c r="U137" i="59"/>
  <c r="I108" i="111"/>
  <c r="K108" i="111"/>
  <c r="O108" i="111"/>
  <c r="P108" i="111"/>
  <c r="Q108" i="111"/>
  <c r="AS105" i="111"/>
  <c r="M108" i="111"/>
  <c r="AQ105" i="111"/>
  <c r="AW105" i="111"/>
  <c r="AU105" i="111"/>
  <c r="AV105" i="111"/>
  <c r="N84" i="112"/>
  <c r="L84" i="112" s="1"/>
  <c r="G84" i="112" s="1"/>
  <c r="T123" i="111"/>
  <c r="V123" i="111" s="1"/>
  <c r="S91" i="66" l="1"/>
  <c r="T91" i="66"/>
  <c r="R91" i="66"/>
  <c r="P91" i="66" s="1"/>
  <c r="H89" i="66"/>
  <c r="H90" i="66" s="1"/>
  <c r="Z89" i="66"/>
  <c r="Z90" i="66"/>
  <c r="Q91" i="66"/>
  <c r="S92" i="59"/>
  <c r="J92" i="59"/>
  <c r="T139" i="59"/>
  <c r="N91" i="59"/>
  <c r="L91" i="59" s="1"/>
  <c r="M92" i="59" s="1"/>
  <c r="K92" i="66"/>
  <c r="J92" i="66"/>
  <c r="I92" i="66" s="1"/>
  <c r="X92" i="66"/>
  <c r="V92" i="66"/>
  <c r="Q90" i="66"/>
  <c r="AP106" i="111"/>
  <c r="BB151" i="111"/>
  <c r="AY106" i="111"/>
  <c r="S109" i="111"/>
  <c r="H109" i="111"/>
  <c r="N108" i="111"/>
  <c r="L108" i="111" s="1"/>
  <c r="G108" i="111" s="1"/>
  <c r="AT105" i="111"/>
  <c r="AR105" i="111" s="1"/>
  <c r="AO105" i="111" s="1"/>
  <c r="AL105" i="111" s="1"/>
  <c r="M85" i="112"/>
  <c r="K84" i="112"/>
  <c r="Q84" i="112" s="1"/>
  <c r="BA84" i="112"/>
  <c r="I91" i="59" l="1"/>
  <c r="BF97" i="59" s="1"/>
  <c r="U138" i="59"/>
  <c r="H91" i="66"/>
  <c r="J93" i="66"/>
  <c r="I93" i="66" s="1"/>
  <c r="K93" i="66"/>
  <c r="X93" i="66"/>
  <c r="V93" i="66"/>
  <c r="O92" i="59"/>
  <c r="Q92" i="59"/>
  <c r="P92" i="59"/>
  <c r="K92" i="59"/>
  <c r="Z91" i="66"/>
  <c r="T92" i="66"/>
  <c r="S92" i="66"/>
  <c r="R92" i="66"/>
  <c r="P92" i="66" s="1"/>
  <c r="Q92" i="66"/>
  <c r="I109" i="111"/>
  <c r="P109" i="111"/>
  <c r="Q109" i="111"/>
  <c r="K109" i="111"/>
  <c r="O109" i="111"/>
  <c r="AS106" i="111"/>
  <c r="AQ106" i="111"/>
  <c r="AW106" i="111"/>
  <c r="AU106" i="111"/>
  <c r="AV106" i="111"/>
  <c r="M109" i="111"/>
  <c r="H85" i="112"/>
  <c r="S85" i="112"/>
  <c r="T126" i="112"/>
  <c r="S93" i="66" l="1"/>
  <c r="T93" i="66"/>
  <c r="R93" i="66"/>
  <c r="P93" i="66" s="1"/>
  <c r="H93" i="66" s="1"/>
  <c r="S93" i="59"/>
  <c r="T140" i="59"/>
  <c r="J93" i="59"/>
  <c r="H92" i="66"/>
  <c r="N92" i="59"/>
  <c r="L92" i="59" s="1"/>
  <c r="I92" i="59" s="1"/>
  <c r="BF98" i="59" s="1"/>
  <c r="Z92" i="66"/>
  <c r="Q93" i="66"/>
  <c r="K94" i="66"/>
  <c r="J94" i="66"/>
  <c r="I94" i="66" s="1"/>
  <c r="X94" i="66"/>
  <c r="V94" i="66"/>
  <c r="N109" i="111"/>
  <c r="L109" i="111" s="1"/>
  <c r="G109" i="111" s="1"/>
  <c r="AP107" i="111"/>
  <c r="BB152" i="111"/>
  <c r="AY107" i="111"/>
  <c r="S110" i="111"/>
  <c r="H110" i="111"/>
  <c r="AT106" i="111"/>
  <c r="AR106" i="111" s="1"/>
  <c r="AO106" i="111" s="1"/>
  <c r="AL106" i="111" s="1"/>
  <c r="V126" i="112"/>
  <c r="P85" i="112"/>
  <c r="O85" i="112"/>
  <c r="I85" i="112"/>
  <c r="T124" i="111"/>
  <c r="V124" i="111" s="1"/>
  <c r="Z93" i="66" l="1"/>
  <c r="M93" i="59"/>
  <c r="Q93" i="59"/>
  <c r="K93" i="59"/>
  <c r="O93" i="59"/>
  <c r="P93" i="59"/>
  <c r="J95" i="66"/>
  <c r="I95" i="66" s="1"/>
  <c r="K95" i="66"/>
  <c r="X95" i="66"/>
  <c r="V95" i="66"/>
  <c r="Q94" i="66"/>
  <c r="T94" i="66"/>
  <c r="S94" i="66"/>
  <c r="U139" i="59"/>
  <c r="I110" i="111"/>
  <c r="Q110" i="111"/>
  <c r="K110" i="111"/>
  <c r="O110" i="111"/>
  <c r="N110" i="111" s="1"/>
  <c r="L110" i="111" s="1"/>
  <c r="G110" i="111" s="1"/>
  <c r="P110" i="111"/>
  <c r="AS107" i="111"/>
  <c r="AQ107" i="111"/>
  <c r="AW107" i="111"/>
  <c r="AU107" i="111"/>
  <c r="AV107" i="111"/>
  <c r="M110" i="111"/>
  <c r="N85" i="112"/>
  <c r="L85" i="112" s="1"/>
  <c r="G85" i="112" s="1"/>
  <c r="S94" i="59" l="1"/>
  <c r="J94" i="59"/>
  <c r="T141" i="59"/>
  <c r="K96" i="66"/>
  <c r="J96" i="66"/>
  <c r="I96" i="66" s="1"/>
  <c r="X96" i="66"/>
  <c r="V96" i="66"/>
  <c r="S95" i="66"/>
  <c r="T95" i="66"/>
  <c r="R94" i="66"/>
  <c r="P94" i="66" s="1"/>
  <c r="Q95" i="66" s="1"/>
  <c r="N93" i="59"/>
  <c r="L93" i="59" s="1"/>
  <c r="I93" i="59" s="1"/>
  <c r="BF99" i="59" s="1"/>
  <c r="AP108" i="111"/>
  <c r="BB153" i="111"/>
  <c r="AY108" i="111"/>
  <c r="M111" i="111"/>
  <c r="S111" i="111"/>
  <c r="H111" i="111"/>
  <c r="AT107" i="111"/>
  <c r="AR107" i="111" s="1"/>
  <c r="AO107" i="111" s="1"/>
  <c r="AL107" i="111" s="1"/>
  <c r="K85" i="112"/>
  <c r="Q85" i="112" s="1"/>
  <c r="BA85" i="112"/>
  <c r="M86" i="112"/>
  <c r="Q94" i="59" l="1"/>
  <c r="O94" i="59"/>
  <c r="P94" i="59"/>
  <c r="K94" i="59"/>
  <c r="J97" i="66"/>
  <c r="I97" i="66" s="1"/>
  <c r="K97" i="66"/>
  <c r="X97" i="66"/>
  <c r="V97" i="66"/>
  <c r="M94" i="59"/>
  <c r="T96" i="66"/>
  <c r="S96" i="66"/>
  <c r="H94" i="66"/>
  <c r="Z94" i="66"/>
  <c r="R95" i="66"/>
  <c r="P95" i="66" s="1"/>
  <c r="U140" i="59"/>
  <c r="K111" i="111"/>
  <c r="O111" i="111"/>
  <c r="N111" i="111" s="1"/>
  <c r="L111" i="111" s="1"/>
  <c r="G111" i="111" s="1"/>
  <c r="P111" i="111"/>
  <c r="Q111" i="111"/>
  <c r="AS108" i="111"/>
  <c r="I111" i="111"/>
  <c r="AQ108" i="111"/>
  <c r="AU108" i="111"/>
  <c r="AT108" i="111" s="1"/>
  <c r="AR108" i="111" s="1"/>
  <c r="AO108" i="111" s="1"/>
  <c r="AL108" i="111" s="1"/>
  <c r="AV108" i="111"/>
  <c r="AW108" i="111"/>
  <c r="S86" i="112"/>
  <c r="H86" i="112"/>
  <c r="I86" i="112" s="1"/>
  <c r="T127" i="112"/>
  <c r="R96" i="66" l="1"/>
  <c r="P96" i="66" s="1"/>
  <c r="M95" i="59"/>
  <c r="J95" i="59"/>
  <c r="T142" i="59"/>
  <c r="S95" i="59"/>
  <c r="H95" i="66"/>
  <c r="Z95" i="66"/>
  <c r="J98" i="66"/>
  <c r="I98" i="66" s="1"/>
  <c r="K98" i="66"/>
  <c r="X98" i="66"/>
  <c r="V98" i="66"/>
  <c r="N94" i="59"/>
  <c r="L94" i="59" s="1"/>
  <c r="I94" i="59" s="1"/>
  <c r="BF100" i="59" s="1"/>
  <c r="Q96" i="66"/>
  <c r="S97" i="66"/>
  <c r="T97" i="66"/>
  <c r="AP109" i="111"/>
  <c r="BB154" i="111"/>
  <c r="AY109" i="111"/>
  <c r="M112" i="111"/>
  <c r="S112" i="111"/>
  <c r="H112" i="111"/>
  <c r="AS109" i="111"/>
  <c r="V127" i="112"/>
  <c r="P86" i="112"/>
  <c r="O86" i="112"/>
  <c r="K99" i="66" l="1"/>
  <c r="I99" i="66" s="1"/>
  <c r="J99" i="66"/>
  <c r="X99" i="66"/>
  <c r="V99" i="66"/>
  <c r="R98" i="66"/>
  <c r="P98" i="66" s="1"/>
  <c r="H96" i="66"/>
  <c r="Z96" i="66"/>
  <c r="S98" i="66"/>
  <c r="T98" i="66"/>
  <c r="Q97" i="66"/>
  <c r="O95" i="59"/>
  <c r="N95" i="59" s="1"/>
  <c r="L95" i="59" s="1"/>
  <c r="Q95" i="59"/>
  <c r="K95" i="59"/>
  <c r="P95" i="59"/>
  <c r="R97" i="66"/>
  <c r="P97" i="66" s="1"/>
  <c r="Q98" i="66" s="1"/>
  <c r="U141" i="59"/>
  <c r="K112" i="111"/>
  <c r="O112" i="111"/>
  <c r="N112" i="111" s="1"/>
  <c r="L112" i="111" s="1"/>
  <c r="G112" i="111" s="1"/>
  <c r="P112" i="111"/>
  <c r="Q112" i="111"/>
  <c r="I112" i="111"/>
  <c r="AU109" i="111"/>
  <c r="AQ109" i="111"/>
  <c r="AV109" i="111"/>
  <c r="AW109" i="111"/>
  <c r="AT109" i="111"/>
  <c r="AR109" i="111" s="1"/>
  <c r="AO109" i="111" s="1"/>
  <c r="AL109" i="111" s="1"/>
  <c r="AL7" i="111" s="1"/>
  <c r="BD33" i="111" s="1"/>
  <c r="N86" i="112"/>
  <c r="L86" i="112" s="1"/>
  <c r="M87" i="112" s="1"/>
  <c r="T125" i="111"/>
  <c r="V125" i="111" s="1"/>
  <c r="I95" i="59" l="1"/>
  <c r="BF101" i="59" s="1"/>
  <c r="U142" i="59"/>
  <c r="M96" i="59"/>
  <c r="H97" i="66"/>
  <c r="H98" i="66" s="1"/>
  <c r="Z97" i="66"/>
  <c r="Q99" i="66"/>
  <c r="K100" i="66"/>
  <c r="J100" i="66"/>
  <c r="I100" i="66" s="1"/>
  <c r="X100" i="66"/>
  <c r="V100" i="66"/>
  <c r="T99" i="66"/>
  <c r="S99" i="66"/>
  <c r="S96" i="59"/>
  <c r="J96" i="59"/>
  <c r="T143" i="59"/>
  <c r="Z98" i="66"/>
  <c r="S113" i="111"/>
  <c r="H113" i="111"/>
  <c r="AS110" i="111"/>
  <c r="M113" i="111"/>
  <c r="AP110" i="111"/>
  <c r="AY110" i="111"/>
  <c r="G86" i="112"/>
  <c r="K86" i="112" s="1"/>
  <c r="Q86" i="112" s="1"/>
  <c r="O96" i="59" l="1"/>
  <c r="Q96" i="59"/>
  <c r="K96" i="59"/>
  <c r="P96" i="59"/>
  <c r="R99" i="66"/>
  <c r="P99" i="66" s="1"/>
  <c r="K101" i="66"/>
  <c r="J101" i="66"/>
  <c r="I101" i="66" s="1"/>
  <c r="X101" i="66"/>
  <c r="V101" i="66"/>
  <c r="T100" i="66"/>
  <c r="S100" i="66"/>
  <c r="AW110" i="111"/>
  <c r="AQ110" i="111"/>
  <c r="AR131" i="111"/>
  <c r="AU110" i="111"/>
  <c r="AV110" i="111"/>
  <c r="I113" i="111"/>
  <c r="N113" i="111"/>
  <c r="L113" i="111" s="1"/>
  <c r="G113" i="111" s="1"/>
  <c r="K113" i="111"/>
  <c r="O113" i="111"/>
  <c r="P113" i="111"/>
  <c r="Q113" i="111"/>
  <c r="H87" i="112"/>
  <c r="T128" i="112"/>
  <c r="V128" i="112" s="1"/>
  <c r="S87" i="112"/>
  <c r="BA86" i="112"/>
  <c r="H99" i="66" l="1"/>
  <c r="Z99" i="66"/>
  <c r="Q100" i="66"/>
  <c r="J102" i="66"/>
  <c r="I102" i="66" s="1"/>
  <c r="K102" i="66"/>
  <c r="X102" i="66"/>
  <c r="V102" i="66"/>
  <c r="S97" i="59"/>
  <c r="T144" i="59"/>
  <c r="J97" i="59"/>
  <c r="T101" i="66"/>
  <c r="S101" i="66"/>
  <c r="R100" i="66"/>
  <c r="P100" i="66" s="1"/>
  <c r="Q101" i="66" s="1"/>
  <c r="N96" i="59"/>
  <c r="L96" i="59" s="1"/>
  <c r="I96" i="59" s="1"/>
  <c r="BF102" i="59" s="1"/>
  <c r="S114" i="111"/>
  <c r="H114" i="111"/>
  <c r="AP111" i="111"/>
  <c r="AY111" i="111"/>
  <c r="M114" i="111"/>
  <c r="AT110" i="111"/>
  <c r="AR110" i="111" s="1"/>
  <c r="AO110" i="111" s="1"/>
  <c r="O87" i="112"/>
  <c r="N87" i="112" s="1"/>
  <c r="L87" i="112" s="1"/>
  <c r="G87" i="112" s="1"/>
  <c r="BA87" i="112" s="1"/>
  <c r="P87" i="112"/>
  <c r="I87" i="112"/>
  <c r="B87" i="112"/>
  <c r="T102" i="66" l="1"/>
  <c r="S102" i="66"/>
  <c r="R102" i="66"/>
  <c r="P102" i="66" s="1"/>
  <c r="Z102" i="66" s="1"/>
  <c r="N97" i="59"/>
  <c r="L97" i="59" s="1"/>
  <c r="I97" i="59" s="1"/>
  <c r="BF103" i="59" s="1"/>
  <c r="Q97" i="59"/>
  <c r="O97" i="59"/>
  <c r="K97" i="59"/>
  <c r="P97" i="59"/>
  <c r="H100" i="66"/>
  <c r="Z100" i="66"/>
  <c r="R101" i="66"/>
  <c r="P101" i="66" s="1"/>
  <c r="M97" i="59"/>
  <c r="J103" i="66"/>
  <c r="I103" i="66" s="1"/>
  <c r="K103" i="66"/>
  <c r="X103" i="66"/>
  <c r="V103" i="66"/>
  <c r="U143" i="59"/>
  <c r="AS111" i="111"/>
  <c r="I114" i="111"/>
  <c r="N114" i="111"/>
  <c r="L114" i="111" s="1"/>
  <c r="G114" i="111" s="1"/>
  <c r="AU111" i="111"/>
  <c r="AQ111" i="111"/>
  <c r="AV111" i="111"/>
  <c r="AW111" i="111"/>
  <c r="P114" i="111"/>
  <c r="Q114" i="111"/>
  <c r="O114" i="111"/>
  <c r="K114" i="111"/>
  <c r="K87" i="112"/>
  <c r="M88" i="112"/>
  <c r="S98" i="59" l="1"/>
  <c r="J98" i="59"/>
  <c r="T145" i="59"/>
  <c r="U144" i="59"/>
  <c r="K104" i="66"/>
  <c r="J104" i="66"/>
  <c r="I104" i="66" s="1"/>
  <c r="X104" i="66"/>
  <c r="V104" i="66"/>
  <c r="Q103" i="66"/>
  <c r="H101" i="66"/>
  <c r="H102" i="66" s="1"/>
  <c r="Z101" i="66"/>
  <c r="T103" i="66"/>
  <c r="S103" i="66"/>
  <c r="R103" i="66" s="1"/>
  <c r="P103" i="66" s="1"/>
  <c r="M98" i="59"/>
  <c r="Q102" i="66"/>
  <c r="AP112" i="111"/>
  <c r="AY112" i="111"/>
  <c r="S115" i="111"/>
  <c r="H115" i="111"/>
  <c r="M115" i="111"/>
  <c r="AT111" i="111"/>
  <c r="AR111" i="111" s="1"/>
  <c r="AO111" i="111" s="1"/>
  <c r="C87" i="112"/>
  <c r="Q87" i="112"/>
  <c r="T126" i="111"/>
  <c r="V126" i="111" s="1"/>
  <c r="H103" i="66" l="1"/>
  <c r="Z103" i="66"/>
  <c r="T104" i="66"/>
  <c r="S104" i="66"/>
  <c r="K105" i="66"/>
  <c r="J105" i="66"/>
  <c r="I105" i="66" s="1"/>
  <c r="X105" i="66"/>
  <c r="V105" i="66"/>
  <c r="Q104" i="66"/>
  <c r="R104" i="66"/>
  <c r="P104" i="66" s="1"/>
  <c r="H104" i="66" s="1"/>
  <c r="O98" i="59"/>
  <c r="Q98" i="59"/>
  <c r="P98" i="59"/>
  <c r="K98" i="59"/>
  <c r="I115" i="111"/>
  <c r="Q115" i="111"/>
  <c r="K115" i="111"/>
  <c r="O115" i="111"/>
  <c r="N115" i="111" s="1"/>
  <c r="L115" i="111" s="1"/>
  <c r="G115" i="111" s="1"/>
  <c r="P115" i="111"/>
  <c r="AS112" i="111"/>
  <c r="AW112" i="111"/>
  <c r="AQ112" i="111"/>
  <c r="AV112" i="111"/>
  <c r="AU112" i="111"/>
  <c r="AT112" i="111"/>
  <c r="AR112" i="111" s="1"/>
  <c r="AO112" i="111" s="1"/>
  <c r="S88" i="112"/>
  <c r="H88" i="112"/>
  <c r="T129" i="112"/>
  <c r="S99" i="59" l="1"/>
  <c r="T146" i="59"/>
  <c r="J99" i="59"/>
  <c r="K106" i="66"/>
  <c r="J106" i="66"/>
  <c r="I106" i="66" s="1"/>
  <c r="X106" i="66"/>
  <c r="V106" i="66"/>
  <c r="T105" i="66"/>
  <c r="S105" i="66"/>
  <c r="R105" i="66" s="1"/>
  <c r="P105" i="66" s="1"/>
  <c r="M99" i="59"/>
  <c r="Q105" i="66"/>
  <c r="N98" i="59"/>
  <c r="L98" i="59" s="1"/>
  <c r="I98" i="59" s="1"/>
  <c r="BF104" i="59" s="1"/>
  <c r="Z104" i="66"/>
  <c r="S116" i="111"/>
  <c r="H116" i="111"/>
  <c r="AP113" i="111"/>
  <c r="AY113" i="111"/>
  <c r="AS113" i="111"/>
  <c r="M116" i="111"/>
  <c r="V129" i="112"/>
  <c r="I88" i="112"/>
  <c r="O88" i="112"/>
  <c r="N88" i="112" s="1"/>
  <c r="L88" i="112" s="1"/>
  <c r="G88" i="112" s="1"/>
  <c r="BA88" i="112" s="1"/>
  <c r="P88" i="112"/>
  <c r="H105" i="66" l="1"/>
  <c r="Z105" i="66"/>
  <c r="T106" i="66"/>
  <c r="S106" i="66"/>
  <c r="R106" i="66"/>
  <c r="P106" i="66" s="1"/>
  <c r="H106" i="66" s="1"/>
  <c r="Z106" i="66"/>
  <c r="N99" i="59"/>
  <c r="L99" i="59" s="1"/>
  <c r="I99" i="59" s="1"/>
  <c r="BF105" i="59" s="1"/>
  <c r="K99" i="59"/>
  <c r="Q99" i="59"/>
  <c r="O99" i="59"/>
  <c r="P99" i="59"/>
  <c r="Q106" i="66"/>
  <c r="J107" i="66"/>
  <c r="I107" i="66" s="1"/>
  <c r="K107" i="66"/>
  <c r="X107" i="66"/>
  <c r="V107" i="66"/>
  <c r="U145" i="59"/>
  <c r="I116" i="111"/>
  <c r="AQ113" i="111"/>
  <c r="AV113" i="111"/>
  <c r="AU113" i="111"/>
  <c r="AW113" i="111"/>
  <c r="K116" i="111"/>
  <c r="O116" i="111"/>
  <c r="N116" i="111" s="1"/>
  <c r="L116" i="111" s="1"/>
  <c r="G116" i="111" s="1"/>
  <c r="P116" i="111"/>
  <c r="Q116" i="111"/>
  <c r="K88" i="112"/>
  <c r="Q88" i="112" s="1"/>
  <c r="M89" i="112"/>
  <c r="U146" i="59" l="1"/>
  <c r="T107" i="66"/>
  <c r="S107" i="66"/>
  <c r="Q107" i="66"/>
  <c r="M100" i="59"/>
  <c r="S100" i="59"/>
  <c r="T147" i="59"/>
  <c r="J100" i="59"/>
  <c r="J108" i="66"/>
  <c r="I108" i="66" s="1"/>
  <c r="K108" i="66"/>
  <c r="X108" i="66"/>
  <c r="V108" i="66"/>
  <c r="AP114" i="111"/>
  <c r="AY114" i="111"/>
  <c r="S117" i="111"/>
  <c r="H117" i="111"/>
  <c r="M117" i="111"/>
  <c r="AT113" i="111"/>
  <c r="AR113" i="111" s="1"/>
  <c r="AO113" i="111" s="1"/>
  <c r="T130" i="112"/>
  <c r="S89" i="112"/>
  <c r="H89" i="112"/>
  <c r="I89" i="112" s="1"/>
  <c r="K109" i="66" l="1"/>
  <c r="J109" i="66"/>
  <c r="I109" i="66" s="1"/>
  <c r="X109" i="66"/>
  <c r="V109" i="66"/>
  <c r="O100" i="59"/>
  <c r="Q100" i="59"/>
  <c r="P100" i="59"/>
  <c r="K100" i="59"/>
  <c r="T108" i="66"/>
  <c r="S108" i="66"/>
  <c r="R107" i="66"/>
  <c r="P107" i="66" s="1"/>
  <c r="N100" i="59"/>
  <c r="L100" i="59" s="1"/>
  <c r="I100" i="59" s="1"/>
  <c r="BF106" i="59" s="1"/>
  <c r="K117" i="111"/>
  <c r="O117" i="111"/>
  <c r="P117" i="111"/>
  <c r="Q117" i="111"/>
  <c r="I117" i="111"/>
  <c r="N117" i="111"/>
  <c r="L117" i="111" s="1"/>
  <c r="G117" i="111" s="1"/>
  <c r="AS114" i="111"/>
  <c r="AW114" i="111"/>
  <c r="AQ114" i="111"/>
  <c r="AV114" i="111"/>
  <c r="AU114" i="111"/>
  <c r="AT114" i="111" s="1"/>
  <c r="AR114" i="111" s="1"/>
  <c r="AO114" i="111" s="1"/>
  <c r="P89" i="112"/>
  <c r="O89" i="112"/>
  <c r="V130" i="112"/>
  <c r="H107" i="66" l="1"/>
  <c r="Z107" i="66"/>
  <c r="Q108" i="66"/>
  <c r="M101" i="59"/>
  <c r="Q109" i="66"/>
  <c r="J110" i="66"/>
  <c r="I110" i="66" s="1"/>
  <c r="K110" i="66"/>
  <c r="X110" i="66"/>
  <c r="V110" i="66"/>
  <c r="S101" i="59"/>
  <c r="T148" i="59"/>
  <c r="J101" i="59"/>
  <c r="S109" i="66"/>
  <c r="T109" i="66"/>
  <c r="R108" i="66"/>
  <c r="P108" i="66" s="1"/>
  <c r="U147" i="59"/>
  <c r="AP115" i="111"/>
  <c r="AY115" i="111"/>
  <c r="AS115" i="111"/>
  <c r="S118" i="111"/>
  <c r="H118" i="111"/>
  <c r="M118" i="111"/>
  <c r="N89" i="112"/>
  <c r="L89" i="112" s="1"/>
  <c r="M90" i="112" s="1"/>
  <c r="S110" i="66" l="1"/>
  <c r="T110" i="66"/>
  <c r="R110" i="66"/>
  <c r="P110" i="66" s="1"/>
  <c r="Z110" i="66"/>
  <c r="K101" i="59"/>
  <c r="P101" i="59"/>
  <c r="O101" i="59"/>
  <c r="Q101" i="59"/>
  <c r="R109" i="66"/>
  <c r="P109" i="66" s="1"/>
  <c r="H108" i="66"/>
  <c r="Z108" i="66"/>
  <c r="J111" i="66"/>
  <c r="K111" i="66"/>
  <c r="I111" i="66" s="1"/>
  <c r="X111" i="66"/>
  <c r="V111" i="66"/>
  <c r="P118" i="111"/>
  <c r="Q118" i="111"/>
  <c r="K118" i="111"/>
  <c r="O118" i="111"/>
  <c r="I118" i="111"/>
  <c r="AW115" i="111"/>
  <c r="AQ115" i="111"/>
  <c r="AU115" i="111"/>
  <c r="AV115" i="111"/>
  <c r="AT115" i="111"/>
  <c r="AR115" i="111" s="1"/>
  <c r="AO115" i="111" s="1"/>
  <c r="G89" i="112"/>
  <c r="K89" i="112" s="1"/>
  <c r="Q89" i="112" s="1"/>
  <c r="H109" i="66" l="1"/>
  <c r="H110" i="66" s="1"/>
  <c r="Z109" i="66"/>
  <c r="N101" i="59"/>
  <c r="L101" i="59" s="1"/>
  <c r="I101" i="59" s="1"/>
  <c r="BF107" i="59" s="1"/>
  <c r="Q110" i="66"/>
  <c r="K112" i="66"/>
  <c r="J112" i="66"/>
  <c r="I112" i="66" s="1"/>
  <c r="X112" i="66"/>
  <c r="V112" i="66"/>
  <c r="T111" i="66"/>
  <c r="S111" i="66"/>
  <c r="T149" i="59"/>
  <c r="J102" i="59"/>
  <c r="S102" i="59"/>
  <c r="Q111" i="66"/>
  <c r="S119" i="111"/>
  <c r="H119" i="111"/>
  <c r="AP116" i="111"/>
  <c r="AY116" i="111"/>
  <c r="N118" i="111"/>
  <c r="L118" i="111" s="1"/>
  <c r="G118" i="111" s="1"/>
  <c r="AS116" i="111"/>
  <c r="T131" i="112"/>
  <c r="V131" i="112" s="1"/>
  <c r="S90" i="112"/>
  <c r="H90" i="112"/>
  <c r="BA89" i="112"/>
  <c r="R111" i="66" l="1"/>
  <c r="P111" i="66" s="1"/>
  <c r="K102" i="59"/>
  <c r="P102" i="59"/>
  <c r="O102" i="59"/>
  <c r="Q102" i="59"/>
  <c r="N102" i="59"/>
  <c r="L102" i="59" s="1"/>
  <c r="I102" i="59" s="1"/>
  <c r="BF108" i="59" s="1"/>
  <c r="K113" i="66"/>
  <c r="J113" i="66"/>
  <c r="I113" i="66" s="1"/>
  <c r="X113" i="66"/>
  <c r="V113" i="66"/>
  <c r="S112" i="66"/>
  <c r="T112" i="66"/>
  <c r="M102" i="59"/>
  <c r="U148" i="59"/>
  <c r="I119" i="111"/>
  <c r="AV116" i="111"/>
  <c r="AW116" i="111"/>
  <c r="AQ116" i="111"/>
  <c r="AU116" i="111"/>
  <c r="AT116" i="111" s="1"/>
  <c r="AR116" i="111" s="1"/>
  <c r="AO116" i="111" s="1"/>
  <c r="Q119" i="111"/>
  <c r="K119" i="111"/>
  <c r="O119" i="111"/>
  <c r="N119" i="111" s="1"/>
  <c r="L119" i="111" s="1"/>
  <c r="G119" i="111" s="1"/>
  <c r="P119" i="111"/>
  <c r="M119" i="111"/>
  <c r="I90" i="112"/>
  <c r="P90" i="112"/>
  <c r="O90" i="112"/>
  <c r="N90" i="112" s="1"/>
  <c r="L90" i="112" s="1"/>
  <c r="G90" i="112" s="1"/>
  <c r="BA90" i="112" s="1"/>
  <c r="U149" i="59" l="1"/>
  <c r="T150" i="59"/>
  <c r="J103" i="59"/>
  <c r="S103" i="59"/>
  <c r="M103" i="59"/>
  <c r="J114" i="66"/>
  <c r="I114" i="66" s="1"/>
  <c r="K114" i="66"/>
  <c r="X114" i="66"/>
  <c r="V114" i="66"/>
  <c r="S113" i="66"/>
  <c r="T113" i="66"/>
  <c r="R112" i="66"/>
  <c r="P112" i="66" s="1"/>
  <c r="H111" i="66"/>
  <c r="Z111" i="66"/>
  <c r="Q112" i="66"/>
  <c r="AP117" i="111"/>
  <c r="AY117" i="111"/>
  <c r="AS117" i="111"/>
  <c r="S120" i="111"/>
  <c r="H120" i="111"/>
  <c r="M120" i="111"/>
  <c r="K90" i="112"/>
  <c r="Q90" i="112" s="1"/>
  <c r="M91" i="112"/>
  <c r="H112" i="66" l="1"/>
  <c r="Z112" i="66"/>
  <c r="K103" i="59"/>
  <c r="Q103" i="59"/>
  <c r="O103" i="59"/>
  <c r="P103" i="59"/>
  <c r="K115" i="66"/>
  <c r="J115" i="66"/>
  <c r="I115" i="66" s="1"/>
  <c r="X115" i="66"/>
  <c r="V115" i="66"/>
  <c r="S114" i="66"/>
  <c r="T114" i="66"/>
  <c r="Q113" i="66"/>
  <c r="R113" i="66"/>
  <c r="P113" i="66" s="1"/>
  <c r="K120" i="111"/>
  <c r="O120" i="111"/>
  <c r="P120" i="111"/>
  <c r="Q120" i="111"/>
  <c r="I120" i="111"/>
  <c r="AU117" i="111"/>
  <c r="AT117" i="111" s="1"/>
  <c r="AR117" i="111" s="1"/>
  <c r="AO117" i="111" s="1"/>
  <c r="AV117" i="111"/>
  <c r="AW117" i="111"/>
  <c r="AQ117" i="111"/>
  <c r="T132" i="112"/>
  <c r="H91" i="112"/>
  <c r="S91" i="112"/>
  <c r="K116" i="66" l="1"/>
  <c r="J116" i="66"/>
  <c r="I116" i="66" s="1"/>
  <c r="X116" i="66"/>
  <c r="V116" i="66"/>
  <c r="S104" i="59"/>
  <c r="J104" i="59"/>
  <c r="T151" i="59"/>
  <c r="H113" i="66"/>
  <c r="Z113" i="66"/>
  <c r="T115" i="66"/>
  <c r="S115" i="66"/>
  <c r="R115" i="66" s="1"/>
  <c r="P115" i="66" s="1"/>
  <c r="N103" i="59"/>
  <c r="L103" i="59" s="1"/>
  <c r="I103" i="59" s="1"/>
  <c r="BF109" i="59" s="1"/>
  <c r="Q114" i="66"/>
  <c r="R114" i="66"/>
  <c r="P114" i="66" s="1"/>
  <c r="S121" i="111"/>
  <c r="H121" i="111"/>
  <c r="AS118" i="111"/>
  <c r="AP118" i="111"/>
  <c r="AY118" i="111"/>
  <c r="N120" i="111"/>
  <c r="L120" i="111" s="1"/>
  <c r="G120" i="111" s="1"/>
  <c r="O91" i="112"/>
  <c r="N91" i="112" s="1"/>
  <c r="L91" i="112" s="1"/>
  <c r="G91" i="112" s="1"/>
  <c r="P91" i="112"/>
  <c r="I91" i="112"/>
  <c r="V132" i="112"/>
  <c r="Z115" i="66" l="1"/>
  <c r="M104" i="59"/>
  <c r="H114" i="66"/>
  <c r="H115" i="66" s="1"/>
  <c r="Z114" i="66"/>
  <c r="K117" i="66"/>
  <c r="J117" i="66"/>
  <c r="I117" i="66" s="1"/>
  <c r="X117" i="66"/>
  <c r="V117" i="66"/>
  <c r="S116" i="66"/>
  <c r="T116" i="66"/>
  <c r="Q104" i="59"/>
  <c r="K104" i="59"/>
  <c r="P104" i="59"/>
  <c r="O104" i="59"/>
  <c r="Q115" i="66"/>
  <c r="R116" i="66"/>
  <c r="P116" i="66" s="1"/>
  <c r="Q116" i="66"/>
  <c r="U150" i="59"/>
  <c r="M121" i="111"/>
  <c r="I121" i="111"/>
  <c r="AQ118" i="111"/>
  <c r="AU118" i="111"/>
  <c r="AT118" i="111" s="1"/>
  <c r="AR118" i="111" s="1"/>
  <c r="AO118" i="111" s="1"/>
  <c r="AV118" i="111"/>
  <c r="AW118" i="111"/>
  <c r="K121" i="111"/>
  <c r="O121" i="111"/>
  <c r="N121" i="111" s="1"/>
  <c r="L121" i="111" s="1"/>
  <c r="G121" i="111" s="1"/>
  <c r="P121" i="111"/>
  <c r="Q121" i="111"/>
  <c r="K91" i="112"/>
  <c r="Q91" i="112" s="1"/>
  <c r="BA91" i="112"/>
  <c r="M92" i="112"/>
  <c r="S117" i="66" l="1"/>
  <c r="T117" i="66"/>
  <c r="R117" i="66"/>
  <c r="P117" i="66" s="1"/>
  <c r="Z117" i="66"/>
  <c r="M105" i="59"/>
  <c r="J105" i="59"/>
  <c r="T152" i="59"/>
  <c r="S105" i="59"/>
  <c r="N104" i="59"/>
  <c r="L104" i="59" s="1"/>
  <c r="I104" i="59" s="1"/>
  <c r="BF110" i="59" s="1"/>
  <c r="H116" i="66"/>
  <c r="Q117" i="66"/>
  <c r="Z116" i="66"/>
  <c r="K118" i="66"/>
  <c r="J118" i="66"/>
  <c r="I118" i="66" s="1"/>
  <c r="X118" i="66"/>
  <c r="V118" i="66"/>
  <c r="S122" i="111"/>
  <c r="H122" i="111"/>
  <c r="AP119" i="111"/>
  <c r="AY119" i="111"/>
  <c r="M122" i="111"/>
  <c r="AS119" i="111"/>
  <c r="H92" i="112"/>
  <c r="S92" i="112"/>
  <c r="T133" i="112"/>
  <c r="H117" i="66" l="1"/>
  <c r="K119" i="66"/>
  <c r="J119" i="66"/>
  <c r="I119" i="66" s="1"/>
  <c r="X119" i="66"/>
  <c r="V119" i="66"/>
  <c r="K105" i="59"/>
  <c r="P105" i="59"/>
  <c r="O105" i="59"/>
  <c r="Q105" i="59"/>
  <c r="Q118" i="66"/>
  <c r="S118" i="66"/>
  <c r="R118" i="66" s="1"/>
  <c r="P118" i="66" s="1"/>
  <c r="T118" i="66"/>
  <c r="U151" i="59"/>
  <c r="I122" i="111"/>
  <c r="AQ119" i="111"/>
  <c r="AU119" i="111"/>
  <c r="AV119" i="111"/>
  <c r="AW119" i="111"/>
  <c r="P122" i="111"/>
  <c r="Q122" i="111"/>
  <c r="K122" i="111"/>
  <c r="O122" i="111"/>
  <c r="N122" i="111" s="1"/>
  <c r="L122" i="111" s="1"/>
  <c r="G122" i="111" s="1"/>
  <c r="V133" i="112"/>
  <c r="P92" i="112"/>
  <c r="O92" i="112"/>
  <c r="I92" i="112"/>
  <c r="J92" i="112" s="1"/>
  <c r="J160" i="112" s="1"/>
  <c r="H118" i="66" l="1"/>
  <c r="Z118" i="66"/>
  <c r="S119" i="66"/>
  <c r="T119" i="66"/>
  <c r="R119" i="66"/>
  <c r="P119" i="66" s="1"/>
  <c r="H119" i="66" s="1"/>
  <c r="Q119" i="66"/>
  <c r="S106" i="59"/>
  <c r="T153" i="59"/>
  <c r="J106" i="59"/>
  <c r="N105" i="59"/>
  <c r="L105" i="59" s="1"/>
  <c r="I105" i="59" s="1"/>
  <c r="BF111" i="59" s="1"/>
  <c r="J120" i="66"/>
  <c r="I120" i="66" s="1"/>
  <c r="K120" i="66"/>
  <c r="X120" i="66"/>
  <c r="V120" i="66"/>
  <c r="AP120" i="111"/>
  <c r="AY120" i="111"/>
  <c r="M123" i="111"/>
  <c r="S123" i="111"/>
  <c r="H123" i="111"/>
  <c r="AT119" i="111"/>
  <c r="AR119" i="111" s="1"/>
  <c r="AO119" i="111" s="1"/>
  <c r="N92" i="112"/>
  <c r="L92" i="112" s="1"/>
  <c r="G92" i="112" s="1"/>
  <c r="M106" i="59" l="1"/>
  <c r="Z119" i="66"/>
  <c r="Q120" i="66"/>
  <c r="K121" i="66"/>
  <c r="J121" i="66"/>
  <c r="I121" i="66" s="1"/>
  <c r="X121" i="66"/>
  <c r="V121" i="66"/>
  <c r="O106" i="59"/>
  <c r="K106" i="59"/>
  <c r="P106" i="59"/>
  <c r="Q106" i="59"/>
  <c r="T120" i="66"/>
  <c r="S120" i="66"/>
  <c r="R120" i="66" s="1"/>
  <c r="P120" i="66" s="1"/>
  <c r="U152" i="59"/>
  <c r="Q123" i="111"/>
  <c r="K123" i="111"/>
  <c r="O123" i="111"/>
  <c r="N123" i="111" s="1"/>
  <c r="L123" i="111" s="1"/>
  <c r="G123" i="111" s="1"/>
  <c r="P123" i="111"/>
  <c r="AS120" i="111"/>
  <c r="I123" i="111"/>
  <c r="AV120" i="111"/>
  <c r="AU120" i="111"/>
  <c r="AW120" i="111"/>
  <c r="AQ120" i="111"/>
  <c r="AT120" i="111"/>
  <c r="AR120" i="111" s="1"/>
  <c r="AO120" i="111" s="1"/>
  <c r="K92" i="112"/>
  <c r="Q92" i="112" s="1"/>
  <c r="BA92" i="112"/>
  <c r="M93" i="112"/>
  <c r="H120" i="66" l="1"/>
  <c r="Z120" i="66"/>
  <c r="N106" i="59"/>
  <c r="L106" i="59" s="1"/>
  <c r="I106" i="59" s="1"/>
  <c r="BF112" i="59" s="1"/>
  <c r="K122" i="66"/>
  <c r="J122" i="66"/>
  <c r="I122" i="66" s="1"/>
  <c r="X122" i="66"/>
  <c r="V122" i="66"/>
  <c r="S107" i="59"/>
  <c r="J107" i="59"/>
  <c r="T154" i="59"/>
  <c r="T121" i="66"/>
  <c r="S121" i="66"/>
  <c r="Q121" i="66"/>
  <c r="M124" i="111"/>
  <c r="AP121" i="111"/>
  <c r="AY121" i="111"/>
  <c r="AS121" i="111"/>
  <c r="S124" i="111"/>
  <c r="H124" i="111"/>
  <c r="S93" i="112"/>
  <c r="H93" i="112"/>
  <c r="T134" i="112"/>
  <c r="V134" i="112" s="1"/>
  <c r="Q122" i="66" l="1"/>
  <c r="T122" i="66"/>
  <c r="S122" i="66"/>
  <c r="N107" i="59"/>
  <c r="L107" i="59" s="1"/>
  <c r="I107" i="59" s="1"/>
  <c r="BF113" i="59" s="1"/>
  <c r="M107" i="59"/>
  <c r="R121" i="66"/>
  <c r="P121" i="66" s="1"/>
  <c r="Q107" i="59"/>
  <c r="P107" i="59"/>
  <c r="O107" i="59"/>
  <c r="K107" i="59"/>
  <c r="U154" i="59" s="1"/>
  <c r="U153" i="59"/>
  <c r="J123" i="66"/>
  <c r="K123" i="66"/>
  <c r="I123" i="66" s="1"/>
  <c r="X123" i="66"/>
  <c r="V123" i="66"/>
  <c r="I124" i="111"/>
  <c r="AW121" i="111"/>
  <c r="AU121" i="111"/>
  <c r="AQ121" i="111"/>
  <c r="AV121" i="111"/>
  <c r="K124" i="111"/>
  <c r="O124" i="111"/>
  <c r="P124" i="111"/>
  <c r="Q124" i="111"/>
  <c r="I93" i="112"/>
  <c r="P93" i="112"/>
  <c r="O93" i="112"/>
  <c r="M108" i="59" l="1"/>
  <c r="J124" i="66"/>
  <c r="I124" i="66" s="1"/>
  <c r="K124" i="66"/>
  <c r="X124" i="66"/>
  <c r="V124" i="66"/>
  <c r="J108" i="59"/>
  <c r="T155" i="59"/>
  <c r="T156" i="59" s="1"/>
  <c r="S108" i="59"/>
  <c r="S123" i="66"/>
  <c r="T123" i="66"/>
  <c r="H121" i="66"/>
  <c r="Z121" i="66"/>
  <c r="R122" i="66"/>
  <c r="P122" i="66" s="1"/>
  <c r="Q123" i="66" s="1"/>
  <c r="AP122" i="111"/>
  <c r="AY122" i="111"/>
  <c r="S125" i="111"/>
  <c r="H125" i="111"/>
  <c r="AT121" i="111"/>
  <c r="AR121" i="111" s="1"/>
  <c r="AO121" i="111" s="1"/>
  <c r="N124" i="111"/>
  <c r="L124" i="111" s="1"/>
  <c r="G124" i="111" s="1"/>
  <c r="N93" i="112"/>
  <c r="L93" i="112" s="1"/>
  <c r="J125" i="66" l="1"/>
  <c r="I125" i="66" s="1"/>
  <c r="K125" i="66"/>
  <c r="X125" i="66"/>
  <c r="V125" i="66"/>
  <c r="S124" i="66"/>
  <c r="T124" i="66"/>
  <c r="P108" i="59"/>
  <c r="Q108" i="59"/>
  <c r="K108" i="59"/>
  <c r="K109" i="59" s="1"/>
  <c r="O108" i="59"/>
  <c r="N108" i="59"/>
  <c r="L108" i="59" s="1"/>
  <c r="U155" i="59" s="1"/>
  <c r="J109" i="59"/>
  <c r="H122" i="66"/>
  <c r="Z122" i="66"/>
  <c r="R123" i="66"/>
  <c r="P123" i="66" s="1"/>
  <c r="Q124" i="66" s="1"/>
  <c r="M125" i="111"/>
  <c r="I125" i="111"/>
  <c r="K125" i="111"/>
  <c r="O125" i="111"/>
  <c r="N125" i="111" s="1"/>
  <c r="L125" i="111" s="1"/>
  <c r="G125" i="111" s="1"/>
  <c r="P125" i="111"/>
  <c r="Q125" i="111"/>
  <c r="AS122" i="111"/>
  <c r="AW122" i="111"/>
  <c r="AQ122" i="111"/>
  <c r="AV122" i="111"/>
  <c r="AU122" i="111"/>
  <c r="M94" i="112"/>
  <c r="V156" i="59" l="1"/>
  <c r="U156" i="59"/>
  <c r="L109" i="59"/>
  <c r="I108" i="59"/>
  <c r="R124" i="66"/>
  <c r="P124" i="66" s="1"/>
  <c r="H123" i="66"/>
  <c r="Z123" i="66"/>
  <c r="J126" i="66"/>
  <c r="I126" i="66" s="1"/>
  <c r="K126" i="66"/>
  <c r="X126" i="66"/>
  <c r="V126" i="66"/>
  <c r="T125" i="66"/>
  <c r="S125" i="66"/>
  <c r="C17" i="59"/>
  <c r="C31" i="59"/>
  <c r="S126" i="111"/>
  <c r="H126" i="111"/>
  <c r="AT122" i="111"/>
  <c r="AR122" i="111" s="1"/>
  <c r="AO122" i="111" s="1"/>
  <c r="AP123" i="111"/>
  <c r="AY123" i="111"/>
  <c r="M126" i="111"/>
  <c r="E17" i="59" l="1"/>
  <c r="C18" i="59"/>
  <c r="E18" i="59" s="1"/>
  <c r="E31" i="59"/>
  <c r="C32" i="59"/>
  <c r="H124" i="66"/>
  <c r="Z124" i="66"/>
  <c r="Q125" i="66"/>
  <c r="J127" i="66"/>
  <c r="I127" i="66" s="1"/>
  <c r="K127" i="66"/>
  <c r="X127" i="66"/>
  <c r="V127" i="66"/>
  <c r="BF114" i="59"/>
  <c r="BF115" i="59" s="1"/>
  <c r="I109" i="59"/>
  <c r="C30" i="59" s="1"/>
  <c r="E30" i="59" s="1"/>
  <c r="T126" i="66"/>
  <c r="S126" i="66"/>
  <c r="R125" i="66"/>
  <c r="P125" i="66" s="1"/>
  <c r="Q126" i="66" s="1"/>
  <c r="AU123" i="111"/>
  <c r="AT123" i="111" s="1"/>
  <c r="AR123" i="111" s="1"/>
  <c r="AO123" i="111" s="1"/>
  <c r="AV123" i="111"/>
  <c r="AW123" i="111"/>
  <c r="AQ123" i="111"/>
  <c r="AS123" i="111"/>
  <c r="I126" i="111"/>
  <c r="P126" i="111"/>
  <c r="Q126" i="111"/>
  <c r="K126" i="111"/>
  <c r="O126" i="111"/>
  <c r="K128" i="66" l="1"/>
  <c r="J128" i="66"/>
  <c r="I128" i="66" s="1"/>
  <c r="X128" i="66"/>
  <c r="V128" i="66"/>
  <c r="S127" i="66"/>
  <c r="T127" i="66"/>
  <c r="E32" i="59"/>
  <c r="C38" i="59"/>
  <c r="H125" i="66"/>
  <c r="Z125" i="66"/>
  <c r="R127" i="66"/>
  <c r="P127" i="66" s="1"/>
  <c r="R126" i="66"/>
  <c r="P126" i="66" s="1"/>
  <c r="N126" i="111"/>
  <c r="L126" i="111" s="1"/>
  <c r="G126" i="111" s="1"/>
  <c r="S127" i="111"/>
  <c r="H127" i="111"/>
  <c r="AP124" i="111"/>
  <c r="AY124" i="111"/>
  <c r="AS124" i="111"/>
  <c r="H126" i="66" l="1"/>
  <c r="Z126" i="66"/>
  <c r="H127" i="66"/>
  <c r="Q128" i="66"/>
  <c r="Z127" i="66"/>
  <c r="Q127" i="66"/>
  <c r="J129" i="66"/>
  <c r="I129" i="66" s="1"/>
  <c r="K129" i="66"/>
  <c r="X129" i="66"/>
  <c r="V129" i="66"/>
  <c r="T128" i="66"/>
  <c r="S128" i="66"/>
  <c r="R128" i="66"/>
  <c r="P128" i="66" s="1"/>
  <c r="H128" i="66" s="1"/>
  <c r="E38" i="59"/>
  <c r="C39" i="59"/>
  <c r="C40" i="59"/>
  <c r="I127" i="111"/>
  <c r="AV124" i="111"/>
  <c r="AW124" i="111"/>
  <c r="AQ124" i="111"/>
  <c r="AU124" i="111"/>
  <c r="AT124" i="111" s="1"/>
  <c r="AR124" i="111" s="1"/>
  <c r="AO124" i="111" s="1"/>
  <c r="Q127" i="111"/>
  <c r="K127" i="111"/>
  <c r="O127" i="111"/>
  <c r="N127" i="111" s="1"/>
  <c r="L127" i="111" s="1"/>
  <c r="G127" i="111" s="1"/>
  <c r="P127" i="111"/>
  <c r="M127" i="111"/>
  <c r="K93" i="112"/>
  <c r="Q93" i="112" s="1"/>
  <c r="Z128" i="66" l="1"/>
  <c r="Q129" i="66"/>
  <c r="E40" i="59"/>
  <c r="C41" i="59"/>
  <c r="E41" i="59" s="1"/>
  <c r="J130" i="66"/>
  <c r="I130" i="66" s="1"/>
  <c r="K130" i="66"/>
  <c r="X130" i="66"/>
  <c r="V130" i="66"/>
  <c r="S129" i="66"/>
  <c r="T129" i="66"/>
  <c r="AP125" i="111"/>
  <c r="AY125" i="111"/>
  <c r="AS125" i="111"/>
  <c r="S128" i="111"/>
  <c r="H128" i="111"/>
  <c r="M128" i="111"/>
  <c r="S94" i="112"/>
  <c r="H94" i="112"/>
  <c r="G93" i="112" s="1"/>
  <c r="BA93" i="112" s="1"/>
  <c r="T135" i="112"/>
  <c r="V135" i="112" s="1"/>
  <c r="J131" i="66" l="1"/>
  <c r="I131" i="66" s="1"/>
  <c r="K131" i="66"/>
  <c r="X131" i="66"/>
  <c r="V131" i="66"/>
  <c r="S130" i="66"/>
  <c r="T130" i="66"/>
  <c r="R129" i="66"/>
  <c r="P129" i="66" s="1"/>
  <c r="Q130" i="66" s="1"/>
  <c r="K128" i="111"/>
  <c r="O128" i="111"/>
  <c r="P128" i="111"/>
  <c r="Q128" i="111"/>
  <c r="I128" i="111"/>
  <c r="AQ125" i="111"/>
  <c r="AU125" i="111"/>
  <c r="AV125" i="111"/>
  <c r="AW125" i="111"/>
  <c r="I94" i="112"/>
  <c r="O94" i="112"/>
  <c r="N94" i="112" s="1"/>
  <c r="L94" i="112" s="1"/>
  <c r="P94" i="112"/>
  <c r="S131" i="66" l="1"/>
  <c r="T131" i="66"/>
  <c r="R131" i="66"/>
  <c r="P131" i="66" s="1"/>
  <c r="J132" i="66"/>
  <c r="I132" i="66" s="1"/>
  <c r="K132" i="66"/>
  <c r="X132" i="66"/>
  <c r="V132" i="66"/>
  <c r="H129" i="66"/>
  <c r="Z129" i="66"/>
  <c r="R130" i="66"/>
  <c r="P130" i="66" s="1"/>
  <c r="Q131" i="66" s="1"/>
  <c r="AP126" i="111"/>
  <c r="AY126" i="111"/>
  <c r="S129" i="111"/>
  <c r="H129" i="111"/>
  <c r="AT125" i="111"/>
  <c r="AR125" i="111" s="1"/>
  <c r="AO125" i="111" s="1"/>
  <c r="N128" i="111"/>
  <c r="L128" i="111" s="1"/>
  <c r="G128" i="111" s="1"/>
  <c r="M95" i="112"/>
  <c r="J133" i="66" l="1"/>
  <c r="I133" i="66" s="1"/>
  <c r="K133" i="66"/>
  <c r="X133" i="66"/>
  <c r="V133" i="66"/>
  <c r="S132" i="66"/>
  <c r="T132" i="66"/>
  <c r="R132" i="66"/>
  <c r="P132" i="66" s="1"/>
  <c r="Z131" i="66"/>
  <c r="H130" i="66"/>
  <c r="H131" i="66" s="1"/>
  <c r="Z130" i="66"/>
  <c r="Q132" i="66"/>
  <c r="M129" i="111"/>
  <c r="I129" i="111"/>
  <c r="AQ126" i="111"/>
  <c r="AV126" i="111"/>
  <c r="AW126" i="111"/>
  <c r="AU126" i="111"/>
  <c r="AT126" i="111"/>
  <c r="AR126" i="111" s="1"/>
  <c r="AO126" i="111" s="1"/>
  <c r="K129" i="111"/>
  <c r="O129" i="111"/>
  <c r="N129" i="111" s="1"/>
  <c r="L129" i="111" s="1"/>
  <c r="G129" i="111" s="1"/>
  <c r="P129" i="111"/>
  <c r="Q129" i="111"/>
  <c r="AS126" i="111"/>
  <c r="K94" i="112"/>
  <c r="Q94" i="112" s="1"/>
  <c r="H132" i="66" l="1"/>
  <c r="Q133" i="66"/>
  <c r="J134" i="66"/>
  <c r="I134" i="66" s="1"/>
  <c r="K134" i="66"/>
  <c r="X134" i="66"/>
  <c r="V134" i="66"/>
  <c r="S133" i="66"/>
  <c r="T133" i="66"/>
  <c r="Z132" i="66"/>
  <c r="AP127" i="111"/>
  <c r="AY127" i="111"/>
  <c r="S130" i="111"/>
  <c r="H130" i="111"/>
  <c r="AS127" i="111"/>
  <c r="M130" i="111"/>
  <c r="H95" i="112"/>
  <c r="T136" i="112"/>
  <c r="V136" i="112" s="1"/>
  <c r="S95" i="112"/>
  <c r="J135" i="66" l="1"/>
  <c r="K135" i="66"/>
  <c r="I135" i="66" s="1"/>
  <c r="X135" i="66"/>
  <c r="V135" i="66"/>
  <c r="S134" i="66"/>
  <c r="T134" i="66"/>
  <c r="R133" i="66"/>
  <c r="P133" i="66" s="1"/>
  <c r="I95" i="112"/>
  <c r="G94" i="112"/>
  <c r="BA94" i="112" s="1"/>
  <c r="I130" i="111"/>
  <c r="P130" i="111"/>
  <c r="Q130" i="111"/>
  <c r="O130" i="111"/>
  <c r="N130" i="111" s="1"/>
  <c r="L130" i="111" s="1"/>
  <c r="G130" i="111" s="1"/>
  <c r="K130" i="111"/>
  <c r="AQ127" i="111"/>
  <c r="AU127" i="111"/>
  <c r="AV127" i="111"/>
  <c r="AW127" i="111"/>
  <c r="P95" i="112"/>
  <c r="O95" i="112"/>
  <c r="K136" i="66" l="1"/>
  <c r="J136" i="66"/>
  <c r="I136" i="66" s="1"/>
  <c r="X136" i="66"/>
  <c r="V136" i="66"/>
  <c r="S135" i="66"/>
  <c r="T135" i="66"/>
  <c r="H133" i="66"/>
  <c r="Z133" i="66"/>
  <c r="R134" i="66"/>
  <c r="P134" i="66" s="1"/>
  <c r="Q134" i="66"/>
  <c r="S131" i="111"/>
  <c r="H131" i="111"/>
  <c r="AP128" i="111"/>
  <c r="AY128" i="111"/>
  <c r="AT127" i="111"/>
  <c r="AR127" i="111" s="1"/>
  <c r="AO127" i="111" s="1"/>
  <c r="M131" i="111"/>
  <c r="N95" i="112"/>
  <c r="L95" i="112" s="1"/>
  <c r="M96" i="112" s="1"/>
  <c r="H134" i="66" l="1"/>
  <c r="Z134" i="66"/>
  <c r="K137" i="66"/>
  <c r="J137" i="66"/>
  <c r="I137" i="66" s="1"/>
  <c r="X137" i="66"/>
  <c r="V137" i="66"/>
  <c r="S136" i="66"/>
  <c r="T136" i="66"/>
  <c r="R136" i="66"/>
  <c r="P136" i="66" s="1"/>
  <c r="Z136" i="66" s="1"/>
  <c r="AS128" i="111"/>
  <c r="R135" i="66"/>
  <c r="P135" i="66" s="1"/>
  <c r="Q135" i="66"/>
  <c r="I131" i="111"/>
  <c r="AV128" i="111"/>
  <c r="AQ128" i="111"/>
  <c r="AU128" i="111"/>
  <c r="AW128" i="111"/>
  <c r="Q131" i="111"/>
  <c r="K131" i="111"/>
  <c r="O131" i="111"/>
  <c r="N131" i="111" s="1"/>
  <c r="L131" i="111" s="1"/>
  <c r="G131" i="111" s="1"/>
  <c r="P131" i="111"/>
  <c r="T137" i="66" l="1"/>
  <c r="S137" i="66"/>
  <c r="J138" i="66"/>
  <c r="I138" i="66" s="1"/>
  <c r="K138" i="66"/>
  <c r="X138" i="66"/>
  <c r="V138" i="66"/>
  <c r="R137" i="66"/>
  <c r="P137" i="66" s="1"/>
  <c r="H137" i="66" s="1"/>
  <c r="H135" i="66"/>
  <c r="Z135" i="66"/>
  <c r="H136" i="66"/>
  <c r="Q137" i="66"/>
  <c r="Q136" i="66"/>
  <c r="S132" i="111"/>
  <c r="H132" i="111"/>
  <c r="M132" i="111"/>
  <c r="AP129" i="111"/>
  <c r="AP131" i="111" s="1"/>
  <c r="AY129" i="111"/>
  <c r="AT128" i="111"/>
  <c r="AR128" i="111" s="1"/>
  <c r="AO128" i="111" s="1"/>
  <c r="K95" i="112"/>
  <c r="Q95" i="112" s="1"/>
  <c r="J139" i="66" l="1"/>
  <c r="I139" i="66" s="1"/>
  <c r="K139" i="66"/>
  <c r="X139" i="66"/>
  <c r="V139" i="66"/>
  <c r="T138" i="66"/>
  <c r="S138" i="66"/>
  <c r="R138" i="66"/>
  <c r="P138" i="66" s="1"/>
  <c r="H138" i="66" s="1"/>
  <c r="Q138" i="66"/>
  <c r="Z137" i="66"/>
  <c r="I132" i="111"/>
  <c r="AU129" i="111"/>
  <c r="AT129" i="111" s="1"/>
  <c r="AR129" i="111" s="1"/>
  <c r="AO129" i="111" s="1"/>
  <c r="AO131" i="111" s="1"/>
  <c r="AQ129" i="111"/>
  <c r="AQ131" i="111" s="1"/>
  <c r="AV129" i="111"/>
  <c r="AW129" i="111"/>
  <c r="AS129" i="111"/>
  <c r="K132" i="111"/>
  <c r="O132" i="111"/>
  <c r="P132" i="111"/>
  <c r="Q132" i="111"/>
  <c r="S96" i="112"/>
  <c r="H96" i="112"/>
  <c r="G95" i="112" s="1"/>
  <c r="BA95" i="112" s="1"/>
  <c r="T137" i="112"/>
  <c r="V137" i="112" s="1"/>
  <c r="Q139" i="66" l="1"/>
  <c r="J140" i="66"/>
  <c r="I140" i="66" s="1"/>
  <c r="K140" i="66"/>
  <c r="X140" i="66"/>
  <c r="V140" i="66"/>
  <c r="T139" i="66"/>
  <c r="S139" i="66"/>
  <c r="Z138" i="66"/>
  <c r="S133" i="111"/>
  <c r="H133" i="111"/>
  <c r="N132" i="111"/>
  <c r="L132" i="111" s="1"/>
  <c r="G132" i="111" s="1"/>
  <c r="I96" i="112"/>
  <c r="O96" i="112"/>
  <c r="N96" i="112" s="1"/>
  <c r="L96" i="112" s="1"/>
  <c r="P96" i="112"/>
  <c r="K141" i="66" l="1"/>
  <c r="J141" i="66"/>
  <c r="I141" i="66" s="1"/>
  <c r="X141" i="66"/>
  <c r="V141" i="66"/>
  <c r="R140" i="66"/>
  <c r="P140" i="66" s="1"/>
  <c r="T140" i="66"/>
  <c r="S140" i="66"/>
  <c r="R139" i="66"/>
  <c r="P139" i="66" s="1"/>
  <c r="I133" i="111"/>
  <c r="M133" i="111"/>
  <c r="K133" i="111"/>
  <c r="O133" i="111"/>
  <c r="N133" i="111" s="1"/>
  <c r="L133" i="111" s="1"/>
  <c r="G133" i="111" s="1"/>
  <c r="P133" i="111"/>
  <c r="Q133" i="111"/>
  <c r="M97" i="112"/>
  <c r="J142" i="66" l="1"/>
  <c r="I142" i="66" s="1"/>
  <c r="K142" i="66"/>
  <c r="X142" i="66"/>
  <c r="V142" i="66"/>
  <c r="T141" i="66"/>
  <c r="S141" i="66"/>
  <c r="H140" i="66"/>
  <c r="Z140" i="66"/>
  <c r="H139" i="66"/>
  <c r="Z139" i="66"/>
  <c r="Q141" i="66"/>
  <c r="Q140" i="66"/>
  <c r="S134" i="111"/>
  <c r="H134" i="111"/>
  <c r="M134" i="111"/>
  <c r="K96" i="112"/>
  <c r="Q96" i="112" s="1"/>
  <c r="K143" i="66" l="1"/>
  <c r="J143" i="66"/>
  <c r="I143" i="66" s="1"/>
  <c r="X143" i="66"/>
  <c r="V143" i="66"/>
  <c r="S142" i="66"/>
  <c r="T142" i="66"/>
  <c r="R141" i="66"/>
  <c r="P141" i="66" s="1"/>
  <c r="I134" i="111"/>
  <c r="P134" i="111"/>
  <c r="Q134" i="111"/>
  <c r="K134" i="111"/>
  <c r="O134" i="111"/>
  <c r="S97" i="112"/>
  <c r="H97" i="112"/>
  <c r="G96" i="112" s="1"/>
  <c r="BA96" i="112" s="1"/>
  <c r="T138" i="112"/>
  <c r="V138" i="112" s="1"/>
  <c r="J144" i="66" l="1"/>
  <c r="I144" i="66" s="1"/>
  <c r="K144" i="66"/>
  <c r="X144" i="66"/>
  <c r="V144" i="66"/>
  <c r="T143" i="66"/>
  <c r="S143" i="66"/>
  <c r="R142" i="66"/>
  <c r="P142" i="66" s="1"/>
  <c r="H141" i="66"/>
  <c r="Z141" i="66"/>
  <c r="Q142" i="66"/>
  <c r="N134" i="111"/>
  <c r="L134" i="111" s="1"/>
  <c r="G134" i="111" s="1"/>
  <c r="S135" i="111"/>
  <c r="H135" i="111"/>
  <c r="I97" i="112"/>
  <c r="P97" i="112"/>
  <c r="O97" i="112"/>
  <c r="N97" i="112" s="1"/>
  <c r="L97" i="112" s="1"/>
  <c r="K145" i="66" l="1"/>
  <c r="J145" i="66"/>
  <c r="I145" i="66" s="1"/>
  <c r="X145" i="66"/>
  <c r="V145" i="66"/>
  <c r="T144" i="66"/>
  <c r="S144" i="66"/>
  <c r="H142" i="66"/>
  <c r="Z142" i="66"/>
  <c r="R143" i="66"/>
  <c r="P143" i="66" s="1"/>
  <c r="Q143" i="66"/>
  <c r="I135" i="111"/>
  <c r="Q135" i="111"/>
  <c r="K135" i="111"/>
  <c r="O135" i="111"/>
  <c r="N135" i="111" s="1"/>
  <c r="L135" i="111" s="1"/>
  <c r="G135" i="111" s="1"/>
  <c r="P135" i="111"/>
  <c r="M135" i="111"/>
  <c r="M98" i="112"/>
  <c r="K146" i="66" l="1"/>
  <c r="J146" i="66"/>
  <c r="I146" i="66" s="1"/>
  <c r="X146" i="66"/>
  <c r="V146" i="66"/>
  <c r="H143" i="66"/>
  <c r="Z143" i="66"/>
  <c r="T145" i="66"/>
  <c r="S145" i="66"/>
  <c r="R145" i="66"/>
  <c r="P145" i="66" s="1"/>
  <c r="R144" i="66"/>
  <c r="P144" i="66" s="1"/>
  <c r="Q144" i="66"/>
  <c r="S136" i="111"/>
  <c r="H136" i="111"/>
  <c r="M136" i="111"/>
  <c r="K97" i="112"/>
  <c r="Q97" i="112" s="1"/>
  <c r="J147" i="66" l="1"/>
  <c r="K147" i="66"/>
  <c r="I147" i="66" s="1"/>
  <c r="X147" i="66"/>
  <c r="V147" i="66"/>
  <c r="T146" i="66"/>
  <c r="S146" i="66"/>
  <c r="H144" i="66"/>
  <c r="Z144" i="66"/>
  <c r="H145" i="66"/>
  <c r="Z145" i="66"/>
  <c r="Q146" i="66"/>
  <c r="Q145" i="66"/>
  <c r="I136" i="111"/>
  <c r="K136" i="111"/>
  <c r="O136" i="111"/>
  <c r="P136" i="111"/>
  <c r="Q136" i="111"/>
  <c r="T139" i="112"/>
  <c r="V139" i="112" s="1"/>
  <c r="S98" i="112"/>
  <c r="H98" i="112"/>
  <c r="G97" i="112" s="1"/>
  <c r="BA97" i="112" s="1"/>
  <c r="K148" i="66" l="1"/>
  <c r="J148" i="66"/>
  <c r="I148" i="66" s="1"/>
  <c r="X148" i="66"/>
  <c r="V148" i="66"/>
  <c r="S147" i="66"/>
  <c r="T147" i="66"/>
  <c r="R146" i="66"/>
  <c r="P146" i="66" s="1"/>
  <c r="S137" i="111"/>
  <c r="H137" i="111"/>
  <c r="N136" i="111"/>
  <c r="L136" i="111" s="1"/>
  <c r="G136" i="111" s="1"/>
  <c r="I98" i="112"/>
  <c r="P98" i="112"/>
  <c r="O98" i="112"/>
  <c r="N98" i="112" s="1"/>
  <c r="L98" i="112" s="1"/>
  <c r="K149" i="66" l="1"/>
  <c r="J149" i="66"/>
  <c r="I149" i="66" s="1"/>
  <c r="X149" i="66"/>
  <c r="V149" i="66"/>
  <c r="S148" i="66"/>
  <c r="T148" i="66"/>
  <c r="H146" i="66"/>
  <c r="Z146" i="66"/>
  <c r="R147" i="66"/>
  <c r="P147" i="66" s="1"/>
  <c r="Q148" i="66" s="1"/>
  <c r="Q147" i="66"/>
  <c r="I137" i="111"/>
  <c r="M137" i="111"/>
  <c r="K137" i="111"/>
  <c r="O137" i="111"/>
  <c r="N137" i="111" s="1"/>
  <c r="L137" i="111" s="1"/>
  <c r="G137" i="111" s="1"/>
  <c r="P137" i="111"/>
  <c r="Q137" i="111"/>
  <c r="M99" i="112"/>
  <c r="H147" i="66" l="1"/>
  <c r="Z147" i="66"/>
  <c r="J150" i="66"/>
  <c r="I150" i="66" s="1"/>
  <c r="K150" i="66"/>
  <c r="X150" i="66"/>
  <c r="V150" i="66"/>
  <c r="T149" i="66"/>
  <c r="S149" i="66"/>
  <c r="R149" i="66"/>
  <c r="P149" i="66" s="1"/>
  <c r="R148" i="66"/>
  <c r="P148" i="66" s="1"/>
  <c r="S138" i="111"/>
  <c r="H138" i="111"/>
  <c r="M138" i="111"/>
  <c r="K98" i="112"/>
  <c r="Q98" i="112" s="1"/>
  <c r="T150" i="66" l="1"/>
  <c r="S150" i="66"/>
  <c r="Z149" i="66"/>
  <c r="H148" i="66"/>
  <c r="H149" i="66" s="1"/>
  <c r="Z148" i="66"/>
  <c r="Q150" i="66"/>
  <c r="J151" i="66"/>
  <c r="I151" i="66" s="1"/>
  <c r="K151" i="66"/>
  <c r="X151" i="66"/>
  <c r="V151" i="66"/>
  <c r="R150" i="66"/>
  <c r="P150" i="66" s="1"/>
  <c r="Q149" i="66"/>
  <c r="I138" i="111"/>
  <c r="P138" i="111"/>
  <c r="Q138" i="111"/>
  <c r="K138" i="111"/>
  <c r="O138" i="111"/>
  <c r="S99" i="112"/>
  <c r="T140" i="112"/>
  <c r="V140" i="112" s="1"/>
  <c r="H99" i="112"/>
  <c r="G98" i="112" s="1"/>
  <c r="BA98" i="112" s="1"/>
  <c r="H150" i="66" l="1"/>
  <c r="J152" i="66"/>
  <c r="I152" i="66" s="1"/>
  <c r="K152" i="66"/>
  <c r="X152" i="66"/>
  <c r="V152" i="66"/>
  <c r="Z150" i="66"/>
  <c r="S151" i="66"/>
  <c r="T151" i="66"/>
  <c r="Q151" i="66"/>
  <c r="N138" i="111"/>
  <c r="L138" i="111" s="1"/>
  <c r="G138" i="111" s="1"/>
  <c r="S139" i="111"/>
  <c r="H139" i="111"/>
  <c r="I99" i="112"/>
  <c r="P99" i="112"/>
  <c r="O99" i="112"/>
  <c r="N99" i="112" s="1"/>
  <c r="L99" i="112" s="1"/>
  <c r="S152" i="66" l="1"/>
  <c r="T152" i="66"/>
  <c r="K153" i="66"/>
  <c r="J153" i="66"/>
  <c r="I153" i="66" s="1"/>
  <c r="X153" i="66"/>
  <c r="V153" i="66"/>
  <c r="Z152" i="66"/>
  <c r="R152" i="66"/>
  <c r="P152" i="66" s="1"/>
  <c r="R151" i="66"/>
  <c r="P151" i="66" s="1"/>
  <c r="Q139" i="111"/>
  <c r="K139" i="111"/>
  <c r="O139" i="111"/>
  <c r="P139" i="111"/>
  <c r="I139" i="111"/>
  <c r="M139" i="111"/>
  <c r="M100" i="112"/>
  <c r="J154" i="66" l="1"/>
  <c r="I154" i="66" s="1"/>
  <c r="K154" i="66"/>
  <c r="X154" i="66"/>
  <c r="V154" i="66"/>
  <c r="S153" i="66"/>
  <c r="T153" i="66"/>
  <c r="H151" i="66"/>
  <c r="Z151" i="66"/>
  <c r="Q152" i="66"/>
  <c r="H152" i="66"/>
  <c r="Q153" i="66"/>
  <c r="N139" i="111"/>
  <c r="L139" i="111" s="1"/>
  <c r="G139" i="111" s="1"/>
  <c r="S140" i="111"/>
  <c r="H140" i="111"/>
  <c r="K155" i="66" l="1"/>
  <c r="J155" i="66"/>
  <c r="I155" i="66" s="1"/>
  <c r="X155" i="66"/>
  <c r="V155" i="66"/>
  <c r="R154" i="66"/>
  <c r="P154" i="66" s="1"/>
  <c r="S154" i="66"/>
  <c r="T154" i="66"/>
  <c r="R153" i="66"/>
  <c r="P153" i="66" s="1"/>
  <c r="K99" i="112"/>
  <c r="Q99" i="112" s="1"/>
  <c r="K140" i="111"/>
  <c r="O140" i="111"/>
  <c r="P140" i="111"/>
  <c r="Q140" i="111"/>
  <c r="I140" i="111"/>
  <c r="M140" i="111"/>
  <c r="K156" i="66" l="1"/>
  <c r="J156" i="66"/>
  <c r="I156" i="66" s="1"/>
  <c r="X156" i="66"/>
  <c r="V156" i="66"/>
  <c r="T155" i="66"/>
  <c r="S155" i="66"/>
  <c r="H154" i="66"/>
  <c r="Z154" i="66"/>
  <c r="H153" i="66"/>
  <c r="Z153" i="66"/>
  <c r="Q155" i="66"/>
  <c r="Q154" i="66"/>
  <c r="H100" i="112"/>
  <c r="G99" i="112" s="1"/>
  <c r="BA99" i="112" s="1"/>
  <c r="T141" i="112"/>
  <c r="V141" i="112" s="1"/>
  <c r="S100" i="112"/>
  <c r="S141" i="111"/>
  <c r="H141" i="111"/>
  <c r="N140" i="111"/>
  <c r="L140" i="111" s="1"/>
  <c r="G140" i="111" s="1"/>
  <c r="K157" i="66" l="1"/>
  <c r="J157" i="66"/>
  <c r="I157" i="66" s="1"/>
  <c r="X157" i="66"/>
  <c r="V157" i="66"/>
  <c r="T156" i="66"/>
  <c r="S156" i="66"/>
  <c r="R155" i="66"/>
  <c r="P155" i="66" s="1"/>
  <c r="P100" i="112"/>
  <c r="O100" i="112"/>
  <c r="I100" i="112"/>
  <c r="I141" i="111"/>
  <c r="K141" i="111"/>
  <c r="O141" i="111"/>
  <c r="N141" i="111" s="1"/>
  <c r="L141" i="111" s="1"/>
  <c r="G141" i="111" s="1"/>
  <c r="P141" i="111"/>
  <c r="Q141" i="111"/>
  <c r="M141" i="111"/>
  <c r="K158" i="66" l="1"/>
  <c r="J158" i="66"/>
  <c r="I158" i="66" s="1"/>
  <c r="X158" i="66"/>
  <c r="V158" i="66"/>
  <c r="T157" i="66"/>
  <c r="S157" i="66"/>
  <c r="R156" i="66"/>
  <c r="P156" i="66" s="1"/>
  <c r="H155" i="66"/>
  <c r="Z155" i="66"/>
  <c r="Q156" i="66"/>
  <c r="N100" i="112"/>
  <c r="L100" i="112" s="1"/>
  <c r="S142" i="111"/>
  <c r="H142" i="111"/>
  <c r="M142" i="111"/>
  <c r="J159" i="66" l="1"/>
  <c r="K159" i="66"/>
  <c r="I159" i="66" s="1"/>
  <c r="X159" i="66"/>
  <c r="V159" i="66"/>
  <c r="T158" i="66"/>
  <c r="S158" i="66"/>
  <c r="H156" i="66"/>
  <c r="Z156" i="66"/>
  <c r="R157" i="66"/>
  <c r="P157" i="66" s="1"/>
  <c r="Q157" i="66"/>
  <c r="M101" i="112"/>
  <c r="I142" i="111"/>
  <c r="P142" i="111"/>
  <c r="Q142" i="111"/>
  <c r="K142" i="111"/>
  <c r="O142" i="111"/>
  <c r="K160" i="66" l="1"/>
  <c r="J160" i="66"/>
  <c r="I160" i="66" s="1"/>
  <c r="X160" i="66"/>
  <c r="V160" i="66"/>
  <c r="S159" i="66"/>
  <c r="T159" i="66"/>
  <c r="H157" i="66"/>
  <c r="Z157" i="66"/>
  <c r="R158" i="66"/>
  <c r="P158" i="66" s="1"/>
  <c r="Q158" i="66"/>
  <c r="K100" i="112"/>
  <c r="Q100" i="112" s="1"/>
  <c r="N142" i="111"/>
  <c r="L142" i="111" s="1"/>
  <c r="G142" i="111" s="1"/>
  <c r="S143" i="111"/>
  <c r="H143" i="111"/>
  <c r="K161" i="66" l="1"/>
  <c r="J161" i="66"/>
  <c r="I161" i="66" s="1"/>
  <c r="X161" i="66"/>
  <c r="V161" i="66"/>
  <c r="S160" i="66"/>
  <c r="T160" i="66"/>
  <c r="R159" i="66"/>
  <c r="P159" i="66" s="1"/>
  <c r="H158" i="66"/>
  <c r="Z158" i="66"/>
  <c r="Q159" i="66"/>
  <c r="S101" i="112"/>
  <c r="H101" i="112"/>
  <c r="G100" i="112" s="1"/>
  <c r="BA100" i="112" s="1"/>
  <c r="T142" i="112"/>
  <c r="V142" i="112" s="1"/>
  <c r="Q143" i="111"/>
  <c r="K143" i="111"/>
  <c r="O143" i="111"/>
  <c r="P143" i="111"/>
  <c r="I143" i="111"/>
  <c r="M143" i="111"/>
  <c r="J162" i="66" l="1"/>
  <c r="I162" i="66" s="1"/>
  <c r="K162" i="66"/>
  <c r="X162" i="66"/>
  <c r="V162" i="66"/>
  <c r="S161" i="66"/>
  <c r="T161" i="66"/>
  <c r="H159" i="66"/>
  <c r="Z159" i="66"/>
  <c r="R160" i="66"/>
  <c r="P160" i="66" s="1"/>
  <c r="Q160" i="66"/>
  <c r="I101" i="112"/>
  <c r="O101" i="112"/>
  <c r="K101" i="112"/>
  <c r="Q101" i="112"/>
  <c r="P101" i="112"/>
  <c r="N143" i="111"/>
  <c r="L143" i="111" s="1"/>
  <c r="G143" i="111" s="1"/>
  <c r="S144" i="111"/>
  <c r="H144" i="111"/>
  <c r="K163" i="66" l="1"/>
  <c r="J163" i="66"/>
  <c r="I163" i="66" s="1"/>
  <c r="X163" i="66"/>
  <c r="V163" i="66"/>
  <c r="S162" i="66"/>
  <c r="T162" i="66"/>
  <c r="H160" i="66"/>
  <c r="Z160" i="66"/>
  <c r="R161" i="66"/>
  <c r="P161" i="66" s="1"/>
  <c r="Q161" i="66"/>
  <c r="N101" i="112"/>
  <c r="L101" i="112" s="1"/>
  <c r="H102" i="112"/>
  <c r="I102" i="112" s="1"/>
  <c r="T143" i="112"/>
  <c r="V143" i="112" s="1"/>
  <c r="S102" i="112"/>
  <c r="K144" i="111"/>
  <c r="O144" i="111"/>
  <c r="P144" i="111"/>
  <c r="Q144" i="111"/>
  <c r="I144" i="111"/>
  <c r="M144" i="111"/>
  <c r="H161" i="66" l="1"/>
  <c r="Z161" i="66"/>
  <c r="J164" i="66"/>
  <c r="I164" i="66" s="1"/>
  <c r="K164" i="66"/>
  <c r="X164" i="66"/>
  <c r="V164" i="66"/>
  <c r="S163" i="66"/>
  <c r="T163" i="66"/>
  <c r="R163" i="66"/>
  <c r="P163" i="66" s="1"/>
  <c r="R162" i="66"/>
  <c r="P162" i="66" s="1"/>
  <c r="Q162" i="66"/>
  <c r="G101" i="112"/>
  <c r="BA101" i="112" s="1"/>
  <c r="O102" i="112"/>
  <c r="K102" i="112"/>
  <c r="Q102" i="112" s="1"/>
  <c r="P102" i="112"/>
  <c r="M102" i="112"/>
  <c r="S145" i="111"/>
  <c r="H145" i="111"/>
  <c r="N144" i="111"/>
  <c r="L144" i="111" s="1"/>
  <c r="G144" i="111" s="1"/>
  <c r="K165" i="66" l="1"/>
  <c r="J165" i="66"/>
  <c r="I165" i="66" s="1"/>
  <c r="X165" i="66"/>
  <c r="V165" i="66"/>
  <c r="T164" i="66"/>
  <c r="S164" i="66"/>
  <c r="H162" i="66"/>
  <c r="H163" i="66" s="1"/>
  <c r="Z162" i="66"/>
  <c r="Z163" i="66"/>
  <c r="Q164" i="66"/>
  <c r="Q163" i="66"/>
  <c r="N102" i="112"/>
  <c r="L102" i="112" s="1"/>
  <c r="T144" i="112"/>
  <c r="V144" i="112" s="1"/>
  <c r="S103" i="112"/>
  <c r="H103" i="112"/>
  <c r="I145" i="111"/>
  <c r="K145" i="111"/>
  <c r="O145" i="111"/>
  <c r="P145" i="111"/>
  <c r="Q145" i="111"/>
  <c r="M145" i="111"/>
  <c r="K166" i="66" l="1"/>
  <c r="J166" i="66"/>
  <c r="I166" i="66" s="1"/>
  <c r="X166" i="66"/>
  <c r="V166" i="66"/>
  <c r="R164" i="66"/>
  <c r="P164" i="66" s="1"/>
  <c r="T165" i="66"/>
  <c r="Z165" i="66" s="1"/>
  <c r="S165" i="66"/>
  <c r="R165" i="66"/>
  <c r="P165" i="66" s="1"/>
  <c r="G102" i="112"/>
  <c r="BA102" i="112" s="1"/>
  <c r="O103" i="112"/>
  <c r="N103" i="112" s="1"/>
  <c r="L103" i="112" s="1"/>
  <c r="P103" i="112"/>
  <c r="K103" i="112"/>
  <c r="Q103" i="112" s="1"/>
  <c r="M103" i="112"/>
  <c r="I103" i="112"/>
  <c r="S146" i="111"/>
  <c r="H146" i="111"/>
  <c r="N145" i="111"/>
  <c r="L145" i="111" s="1"/>
  <c r="G145" i="111" s="1"/>
  <c r="H164" i="66" l="1"/>
  <c r="Z164" i="66"/>
  <c r="K167" i="66"/>
  <c r="J167" i="66"/>
  <c r="I167" i="66" s="1"/>
  <c r="X167" i="66"/>
  <c r="V167" i="66"/>
  <c r="S166" i="66"/>
  <c r="T166" i="66"/>
  <c r="H165" i="66"/>
  <c r="Q166" i="66"/>
  <c r="Q165" i="66"/>
  <c r="H104" i="112"/>
  <c r="G103" i="112" s="1"/>
  <c r="BA103" i="112" s="1"/>
  <c r="S104" i="112"/>
  <c r="T145" i="112"/>
  <c r="V145" i="112" s="1"/>
  <c r="M104" i="112"/>
  <c r="I146" i="111"/>
  <c r="P146" i="111"/>
  <c r="Q146" i="111"/>
  <c r="O146" i="111"/>
  <c r="N146" i="111" s="1"/>
  <c r="L146" i="111" s="1"/>
  <c r="G146" i="111" s="1"/>
  <c r="K146" i="111"/>
  <c r="M146" i="111"/>
  <c r="T167" i="66" l="1"/>
  <c r="S167" i="66"/>
  <c r="R167" i="66"/>
  <c r="P167" i="66" s="1"/>
  <c r="R166" i="66"/>
  <c r="P166" i="66" s="1"/>
  <c r="K168" i="66"/>
  <c r="J168" i="66"/>
  <c r="I168" i="66" s="1"/>
  <c r="X168" i="66"/>
  <c r="V168" i="66"/>
  <c r="P104" i="112"/>
  <c r="K104" i="112"/>
  <c r="Q104" i="112" s="1"/>
  <c r="O104" i="112"/>
  <c r="N104" i="112" s="1"/>
  <c r="L104" i="112" s="1"/>
  <c r="I104" i="112"/>
  <c r="S147" i="111"/>
  <c r="H147" i="111"/>
  <c r="M147" i="111"/>
  <c r="H166" i="66" l="1"/>
  <c r="H167" i="66" s="1"/>
  <c r="Z166" i="66"/>
  <c r="Z167" i="66"/>
  <c r="Q168" i="66"/>
  <c r="K169" i="66"/>
  <c r="J169" i="66"/>
  <c r="I169" i="66" s="1"/>
  <c r="X169" i="66"/>
  <c r="V169" i="66"/>
  <c r="T168" i="66"/>
  <c r="S168" i="66"/>
  <c r="Q167" i="66"/>
  <c r="M105" i="112"/>
  <c r="H105" i="112"/>
  <c r="G104" i="112" s="1"/>
  <c r="BA104" i="112" s="1"/>
  <c r="S105" i="112"/>
  <c r="T146" i="112"/>
  <c r="V146" i="112" s="1"/>
  <c r="I147" i="111"/>
  <c r="P147" i="111"/>
  <c r="Q147" i="111"/>
  <c r="K147" i="111"/>
  <c r="O147" i="111"/>
  <c r="K170" i="66" l="1"/>
  <c r="J170" i="66"/>
  <c r="I170" i="66" s="1"/>
  <c r="X170" i="66"/>
  <c r="V170" i="66"/>
  <c r="S169" i="66"/>
  <c r="T169" i="66"/>
  <c r="R168" i="66"/>
  <c r="P168" i="66" s="1"/>
  <c r="P105" i="112"/>
  <c r="O105" i="112"/>
  <c r="N105" i="112" s="1"/>
  <c r="L105" i="112" s="1"/>
  <c r="K105" i="112"/>
  <c r="Q105" i="112"/>
  <c r="I105" i="112"/>
  <c r="N147" i="111"/>
  <c r="L147" i="111" s="1"/>
  <c r="G147" i="111" s="1"/>
  <c r="S148" i="111"/>
  <c r="H148" i="111"/>
  <c r="J171" i="66" l="1"/>
  <c r="K171" i="66"/>
  <c r="I171" i="66" s="1"/>
  <c r="X171" i="66"/>
  <c r="V171" i="66"/>
  <c r="S170" i="66"/>
  <c r="T170" i="66"/>
  <c r="H168" i="66"/>
  <c r="Z168" i="66"/>
  <c r="R169" i="66"/>
  <c r="P169" i="66" s="1"/>
  <c r="Q169" i="66"/>
  <c r="T147" i="112"/>
  <c r="V147" i="112" s="1"/>
  <c r="S106" i="112"/>
  <c r="H106" i="112"/>
  <c r="I106" i="112" s="1"/>
  <c r="M106" i="112"/>
  <c r="Q148" i="111"/>
  <c r="P148" i="111"/>
  <c r="K148" i="111"/>
  <c r="O148" i="111"/>
  <c r="I148" i="111"/>
  <c r="M148" i="111"/>
  <c r="H169" i="66" l="1"/>
  <c r="Z169" i="66"/>
  <c r="Q170" i="66"/>
  <c r="K172" i="66"/>
  <c r="J172" i="66"/>
  <c r="I172" i="66" s="1"/>
  <c r="X172" i="66"/>
  <c r="V172" i="66"/>
  <c r="T171" i="66"/>
  <c r="S171" i="66"/>
  <c r="R170" i="66"/>
  <c r="P170" i="66" s="1"/>
  <c r="R171" i="66"/>
  <c r="P171" i="66" s="1"/>
  <c r="G105" i="112"/>
  <c r="BA105" i="112" s="1"/>
  <c r="O106" i="112"/>
  <c r="K106" i="112"/>
  <c r="Q106" i="112"/>
  <c r="P106" i="112"/>
  <c r="N148" i="111"/>
  <c r="L148" i="111" s="1"/>
  <c r="G148" i="111" s="1"/>
  <c r="S149" i="111"/>
  <c r="H149" i="111"/>
  <c r="T172" i="66" l="1"/>
  <c r="S172" i="66"/>
  <c r="J173" i="66"/>
  <c r="I173" i="66" s="1"/>
  <c r="K173" i="66"/>
  <c r="X173" i="66"/>
  <c r="V173" i="66"/>
  <c r="Q172" i="66"/>
  <c r="Z171" i="66"/>
  <c r="H170" i="66"/>
  <c r="H171" i="66" s="1"/>
  <c r="Z170" i="66"/>
  <c r="Q171" i="66"/>
  <c r="T148" i="112"/>
  <c r="V148" i="112" s="1"/>
  <c r="H107" i="112"/>
  <c r="S107" i="112"/>
  <c r="N106" i="112"/>
  <c r="L106" i="112" s="1"/>
  <c r="K149" i="111"/>
  <c r="O149" i="111"/>
  <c r="P149" i="111"/>
  <c r="Q149" i="111"/>
  <c r="N149" i="111"/>
  <c r="L149" i="111" s="1"/>
  <c r="G149" i="111" s="1"/>
  <c r="I149" i="111"/>
  <c r="M149" i="111"/>
  <c r="J174" i="66" l="1"/>
  <c r="I174" i="66" s="1"/>
  <c r="K174" i="66"/>
  <c r="X174" i="66"/>
  <c r="V174" i="66"/>
  <c r="S173" i="66"/>
  <c r="T173" i="66"/>
  <c r="R172" i="66"/>
  <c r="P172" i="66" s="1"/>
  <c r="Q173" i="66" s="1"/>
  <c r="G106" i="112"/>
  <c r="BA106" i="112" s="1"/>
  <c r="M107" i="112"/>
  <c r="Q107" i="112"/>
  <c r="O107" i="112"/>
  <c r="N107" i="112" s="1"/>
  <c r="L107" i="112" s="1"/>
  <c r="P107" i="112"/>
  <c r="K107" i="112"/>
  <c r="I107" i="112"/>
  <c r="S150" i="111"/>
  <c r="H150" i="111"/>
  <c r="M150" i="111"/>
  <c r="J175" i="66" l="1"/>
  <c r="I175" i="66" s="1"/>
  <c r="K175" i="66"/>
  <c r="X175" i="66"/>
  <c r="V175" i="66"/>
  <c r="S174" i="66"/>
  <c r="T174" i="66"/>
  <c r="H172" i="66"/>
  <c r="Z172" i="66"/>
  <c r="R173" i="66"/>
  <c r="P173" i="66" s="1"/>
  <c r="M108" i="112"/>
  <c r="T149" i="112"/>
  <c r="V149" i="112" s="1"/>
  <c r="S108" i="112"/>
  <c r="H108" i="112"/>
  <c r="G107" i="112" s="1"/>
  <c r="BA107" i="112" s="1"/>
  <c r="I150" i="111"/>
  <c r="K150" i="111"/>
  <c r="O150" i="111"/>
  <c r="P150" i="111"/>
  <c r="Q150" i="111"/>
  <c r="J176" i="66" l="1"/>
  <c r="I176" i="66" s="1"/>
  <c r="K176" i="66"/>
  <c r="X176" i="66"/>
  <c r="V176" i="66"/>
  <c r="Q175" i="66"/>
  <c r="S175" i="66"/>
  <c r="T175" i="66"/>
  <c r="R174" i="66"/>
  <c r="P174" i="66" s="1"/>
  <c r="H173" i="66"/>
  <c r="Z173" i="66"/>
  <c r="Q174" i="66"/>
  <c r="I108" i="112"/>
  <c r="P108" i="112"/>
  <c r="K108" i="112"/>
  <c r="Q108" i="112"/>
  <c r="O108" i="112"/>
  <c r="S151" i="111"/>
  <c r="H151" i="111"/>
  <c r="N150" i="111"/>
  <c r="L150" i="111" s="1"/>
  <c r="G150" i="111" s="1"/>
  <c r="R175" i="66" l="1"/>
  <c r="P175" i="66" s="1"/>
  <c r="K177" i="66"/>
  <c r="J177" i="66"/>
  <c r="I177" i="66" s="1"/>
  <c r="X177" i="66"/>
  <c r="V177" i="66"/>
  <c r="T176" i="66"/>
  <c r="S176" i="66"/>
  <c r="H174" i="66"/>
  <c r="Z174" i="66"/>
  <c r="R176" i="66"/>
  <c r="P176" i="66" s="1"/>
  <c r="Z176" i="66" s="1"/>
  <c r="N108" i="112"/>
  <c r="L108" i="112" s="1"/>
  <c r="T150" i="112"/>
  <c r="V150" i="112" s="1"/>
  <c r="H109" i="112"/>
  <c r="S109" i="112"/>
  <c r="M151" i="111"/>
  <c r="I151" i="111"/>
  <c r="P151" i="111"/>
  <c r="Q151" i="111"/>
  <c r="K151" i="111"/>
  <c r="O151" i="111"/>
  <c r="N151" i="111" s="1"/>
  <c r="L151" i="111" s="1"/>
  <c r="G151" i="111" s="1"/>
  <c r="J178" i="66" l="1"/>
  <c r="I178" i="66" s="1"/>
  <c r="K178" i="66"/>
  <c r="X178" i="66"/>
  <c r="V178" i="66"/>
  <c r="T177" i="66"/>
  <c r="S177" i="66"/>
  <c r="R177" i="66"/>
  <c r="P177" i="66" s="1"/>
  <c r="H177" i="66" s="1"/>
  <c r="H175" i="66"/>
  <c r="Z175" i="66"/>
  <c r="H176" i="66"/>
  <c r="Q177" i="66"/>
  <c r="Q176" i="66"/>
  <c r="G108" i="112"/>
  <c r="I109" i="112"/>
  <c r="Q109" i="112"/>
  <c r="P109" i="112"/>
  <c r="O109" i="112"/>
  <c r="N109" i="112" s="1"/>
  <c r="L109" i="112" s="1"/>
  <c r="K109" i="112"/>
  <c r="M109" i="112"/>
  <c r="M152" i="111"/>
  <c r="S152" i="111"/>
  <c r="H152" i="111"/>
  <c r="Q178" i="66" l="1"/>
  <c r="J179" i="66"/>
  <c r="I179" i="66" s="1"/>
  <c r="K179" i="66"/>
  <c r="X179" i="66"/>
  <c r="V179" i="66"/>
  <c r="T178" i="66"/>
  <c r="S178" i="66"/>
  <c r="Z177" i="66"/>
  <c r="H110" i="112"/>
  <c r="I110" i="112" s="1"/>
  <c r="T151" i="112"/>
  <c r="V151" i="112" s="1"/>
  <c r="S110" i="112"/>
  <c r="M110" i="112"/>
  <c r="I152" i="111"/>
  <c r="Q152" i="111"/>
  <c r="K152" i="111"/>
  <c r="O152" i="111"/>
  <c r="N152" i="111" s="1"/>
  <c r="L152" i="111" s="1"/>
  <c r="G152" i="111" s="1"/>
  <c r="P152" i="111"/>
  <c r="J180" i="66" l="1"/>
  <c r="I180" i="66" s="1"/>
  <c r="K180" i="66"/>
  <c r="X180" i="66"/>
  <c r="V180" i="66"/>
  <c r="T179" i="66"/>
  <c r="S179" i="66"/>
  <c r="R178" i="66"/>
  <c r="P178" i="66" s="1"/>
  <c r="G109" i="112"/>
  <c r="O110" i="112"/>
  <c r="P110" i="112"/>
  <c r="K110" i="112"/>
  <c r="Q110" i="112" s="1"/>
  <c r="S153" i="111"/>
  <c r="H153" i="111"/>
  <c r="M153" i="111"/>
  <c r="K181" i="66" l="1"/>
  <c r="J181" i="66"/>
  <c r="I181" i="66" s="1"/>
  <c r="X181" i="66"/>
  <c r="V181" i="66"/>
  <c r="S180" i="66"/>
  <c r="R180" i="66" s="1"/>
  <c r="P180" i="66" s="1"/>
  <c r="T180" i="66"/>
  <c r="H178" i="66"/>
  <c r="Z178" i="66"/>
  <c r="R179" i="66"/>
  <c r="P179" i="66" s="1"/>
  <c r="Q179" i="66"/>
  <c r="N110" i="112"/>
  <c r="L110" i="112" s="1"/>
  <c r="T152" i="112"/>
  <c r="V152" i="112" s="1"/>
  <c r="S111" i="112"/>
  <c r="H111" i="112"/>
  <c r="I153" i="111"/>
  <c r="K153" i="111"/>
  <c r="O153" i="111"/>
  <c r="P153" i="111"/>
  <c r="Q153" i="111"/>
  <c r="Z180" i="66" l="1"/>
  <c r="H179" i="66"/>
  <c r="H180" i="66" s="1"/>
  <c r="Z179" i="66"/>
  <c r="J182" i="66"/>
  <c r="I182" i="66" s="1"/>
  <c r="K182" i="66"/>
  <c r="X182" i="66"/>
  <c r="V182" i="66"/>
  <c r="S181" i="66"/>
  <c r="T181" i="66"/>
  <c r="R181" i="66"/>
  <c r="P181" i="66" s="1"/>
  <c r="Q181" i="66"/>
  <c r="Q180" i="66"/>
  <c r="G110" i="112"/>
  <c r="K111" i="112"/>
  <c r="O111" i="112"/>
  <c r="P111" i="112"/>
  <c r="Q111" i="112"/>
  <c r="M111" i="112"/>
  <c r="I111" i="112"/>
  <c r="N111" i="112"/>
  <c r="L111" i="112" s="1"/>
  <c r="S154" i="111"/>
  <c r="H154" i="111"/>
  <c r="N153" i="111"/>
  <c r="L153" i="111" s="1"/>
  <c r="G153" i="111" s="1"/>
  <c r="K183" i="66" l="1"/>
  <c r="I183" i="66" s="1"/>
  <c r="J183" i="66"/>
  <c r="X183" i="66"/>
  <c r="V183" i="66"/>
  <c r="S182" i="66"/>
  <c r="R182" i="66" s="1"/>
  <c r="P182" i="66" s="1"/>
  <c r="T182" i="66"/>
  <c r="H181" i="66"/>
  <c r="Z181" i="66"/>
  <c r="Q182" i="66"/>
  <c r="T153" i="112"/>
  <c r="V153" i="112" s="1"/>
  <c r="H112" i="112"/>
  <c r="G111" i="112" s="1"/>
  <c r="S112" i="112"/>
  <c r="M112" i="112"/>
  <c r="M154" i="111"/>
  <c r="N154" i="111"/>
  <c r="L154" i="111" s="1"/>
  <c r="G154" i="111" s="1"/>
  <c r="I154" i="111"/>
  <c r="K154" i="111"/>
  <c r="O154" i="111"/>
  <c r="P154" i="111"/>
  <c r="Q154" i="111"/>
  <c r="H182" i="66" l="1"/>
  <c r="Z182" i="66"/>
  <c r="Q183" i="66"/>
  <c r="K184" i="66"/>
  <c r="J184" i="66"/>
  <c r="I184" i="66" s="1"/>
  <c r="X184" i="66"/>
  <c r="V184" i="66"/>
  <c r="S183" i="66"/>
  <c r="T183" i="66"/>
  <c r="R183" i="66"/>
  <c r="P183" i="66" s="1"/>
  <c r="H183" i="66" s="1"/>
  <c r="Z183" i="66"/>
  <c r="P112" i="112"/>
  <c r="K112" i="112"/>
  <c r="Q112" i="112"/>
  <c r="O112" i="112"/>
  <c r="I112" i="112"/>
  <c r="S155" i="111"/>
  <c r="H155" i="111"/>
  <c r="M155" i="111"/>
  <c r="T184" i="66" l="1"/>
  <c r="S184" i="66"/>
  <c r="R184" i="66"/>
  <c r="P184" i="66" s="1"/>
  <c r="H184" i="66" s="1"/>
  <c r="K185" i="66"/>
  <c r="J185" i="66"/>
  <c r="I185" i="66" s="1"/>
  <c r="X185" i="66"/>
  <c r="V185" i="66"/>
  <c r="Q184" i="66"/>
  <c r="T154" i="112"/>
  <c r="V154" i="112" s="1"/>
  <c r="H113" i="112"/>
  <c r="S113" i="112"/>
  <c r="N112" i="112"/>
  <c r="L112" i="112" s="1"/>
  <c r="I155" i="111"/>
  <c r="N155" i="111"/>
  <c r="L155" i="111" s="1"/>
  <c r="G155" i="111" s="1"/>
  <c r="P155" i="111"/>
  <c r="Q155" i="111"/>
  <c r="O155" i="111"/>
  <c r="K155" i="111"/>
  <c r="J186" i="66" l="1"/>
  <c r="I186" i="66" s="1"/>
  <c r="K186" i="66"/>
  <c r="X186" i="66"/>
  <c r="V186" i="66"/>
  <c r="S185" i="66"/>
  <c r="T185" i="66"/>
  <c r="R185" i="66"/>
  <c r="P185" i="66" s="1"/>
  <c r="H185" i="66" s="1"/>
  <c r="Z184" i="66"/>
  <c r="Q185" i="66"/>
  <c r="G112" i="112"/>
  <c r="P113" i="112"/>
  <c r="O113" i="112"/>
  <c r="N113" i="112" s="1"/>
  <c r="L113" i="112" s="1"/>
  <c r="K113" i="112"/>
  <c r="Q113" i="112" s="1"/>
  <c r="I113" i="112"/>
  <c r="M113" i="112"/>
  <c r="S156" i="111"/>
  <c r="H156" i="111"/>
  <c r="M156" i="111"/>
  <c r="Q186" i="66" l="1"/>
  <c r="J187" i="66"/>
  <c r="I187" i="66" s="1"/>
  <c r="K187" i="66"/>
  <c r="X187" i="66"/>
  <c r="V187" i="66"/>
  <c r="T186" i="66"/>
  <c r="S186" i="66"/>
  <c r="Z185" i="66"/>
  <c r="S114" i="112"/>
  <c r="H114" i="112"/>
  <c r="G113" i="112" s="1"/>
  <c r="T155" i="112"/>
  <c r="V155" i="112" s="1"/>
  <c r="M114" i="112"/>
  <c r="I156" i="111"/>
  <c r="Q156" i="111"/>
  <c r="P156" i="111"/>
  <c r="K156" i="111"/>
  <c r="O156" i="111"/>
  <c r="N156" i="111" s="1"/>
  <c r="L156" i="111" s="1"/>
  <c r="G156" i="111" s="1"/>
  <c r="K188" i="66" l="1"/>
  <c r="J188" i="66"/>
  <c r="I188" i="66" s="1"/>
  <c r="X188" i="66"/>
  <c r="V188" i="66"/>
  <c r="T187" i="66"/>
  <c r="S187" i="66"/>
  <c r="R186" i="66"/>
  <c r="P186" i="66" s="1"/>
  <c r="O114" i="112"/>
  <c r="N114" i="112" s="1"/>
  <c r="L114" i="112" s="1"/>
  <c r="K114" i="112"/>
  <c r="Q114" i="112" s="1"/>
  <c r="P114" i="112"/>
  <c r="I114" i="112"/>
  <c r="S157" i="111"/>
  <c r="H157" i="111"/>
  <c r="M157" i="111"/>
  <c r="K189" i="66" l="1"/>
  <c r="J189" i="66"/>
  <c r="I189" i="66" s="1"/>
  <c r="X189" i="66"/>
  <c r="V189" i="66"/>
  <c r="T188" i="66"/>
  <c r="S188" i="66"/>
  <c r="H186" i="66"/>
  <c r="Z186" i="66"/>
  <c r="R187" i="66"/>
  <c r="P187" i="66" s="1"/>
  <c r="Q187" i="66"/>
  <c r="H115" i="112"/>
  <c r="G114" i="112" s="1"/>
  <c r="T156" i="112"/>
  <c r="V156" i="112" s="1"/>
  <c r="S115" i="112"/>
  <c r="M115" i="112"/>
  <c r="I157" i="111"/>
  <c r="K157" i="111"/>
  <c r="O157" i="111"/>
  <c r="Q157" i="111"/>
  <c r="P157" i="111"/>
  <c r="J190" i="66" l="1"/>
  <c r="I190" i="66" s="1"/>
  <c r="K190" i="66"/>
  <c r="X190" i="66"/>
  <c r="V190" i="66"/>
  <c r="S189" i="66"/>
  <c r="T189" i="66"/>
  <c r="R188" i="66"/>
  <c r="P188" i="66" s="1"/>
  <c r="H187" i="66"/>
  <c r="Z187" i="66"/>
  <c r="Q188" i="66"/>
  <c r="O115" i="112"/>
  <c r="N115" i="112" s="1"/>
  <c r="L115" i="112" s="1"/>
  <c r="K115" i="112"/>
  <c r="Q115" i="112" s="1"/>
  <c r="P115" i="112"/>
  <c r="I115" i="112"/>
  <c r="S158" i="111"/>
  <c r="H158" i="111"/>
  <c r="N157" i="111"/>
  <c r="L157" i="111" s="1"/>
  <c r="G157" i="111" s="1"/>
  <c r="K191" i="66" l="1"/>
  <c r="J191" i="66"/>
  <c r="I191" i="66" s="1"/>
  <c r="X191" i="66"/>
  <c r="V191" i="66"/>
  <c r="T190" i="66"/>
  <c r="S190" i="66"/>
  <c r="H188" i="66"/>
  <c r="Z188" i="66"/>
  <c r="R189" i="66"/>
  <c r="P189" i="66" s="1"/>
  <c r="Q189" i="66"/>
  <c r="T157" i="112"/>
  <c r="V157" i="112" s="1"/>
  <c r="S116" i="112"/>
  <c r="H116" i="112"/>
  <c r="G115" i="112" s="1"/>
  <c r="M116" i="112"/>
  <c r="I158" i="111"/>
  <c r="K158" i="111"/>
  <c r="O158" i="111"/>
  <c r="N158" i="111" s="1"/>
  <c r="L158" i="111" s="1"/>
  <c r="G158" i="111" s="1"/>
  <c r="BA108" i="111" s="1"/>
  <c r="P158" i="111"/>
  <c r="Q158" i="111"/>
  <c r="M158" i="111"/>
  <c r="H189" i="66" l="1"/>
  <c r="Z189" i="66"/>
  <c r="T191" i="66"/>
  <c r="S191" i="66"/>
  <c r="R191" i="66" s="1"/>
  <c r="P191" i="66" s="1"/>
  <c r="I192" i="66"/>
  <c r="R190" i="66"/>
  <c r="P190" i="66" s="1"/>
  <c r="Q190" i="66"/>
  <c r="I116" i="112"/>
  <c r="K116" i="112"/>
  <c r="Q116" i="112"/>
  <c r="P116" i="112"/>
  <c r="O116" i="112"/>
  <c r="M159" i="111"/>
  <c r="S159" i="111"/>
  <c r="H159" i="111"/>
  <c r="P192" i="66" l="1"/>
  <c r="Z191" i="66"/>
  <c r="H190" i="66"/>
  <c r="H191" i="66" s="1"/>
  <c r="H192" i="66" s="1"/>
  <c r="D24" i="66" s="1"/>
  <c r="Z190" i="66"/>
  <c r="Q191" i="66"/>
  <c r="H117" i="112"/>
  <c r="T158" i="112"/>
  <c r="V158" i="112" s="1"/>
  <c r="S117" i="112"/>
  <c r="N116" i="112"/>
  <c r="L116" i="112" s="1"/>
  <c r="P159" i="111"/>
  <c r="Q159" i="111"/>
  <c r="K159" i="111"/>
  <c r="K160" i="111" s="1"/>
  <c r="O159" i="111"/>
  <c r="N159" i="111" s="1"/>
  <c r="L159" i="111" s="1"/>
  <c r="I159" i="111"/>
  <c r="H160" i="111"/>
  <c r="I6" i="66" l="1"/>
  <c r="J6" i="66"/>
  <c r="C24" i="66" s="1"/>
  <c r="G116" i="112"/>
  <c r="M117" i="112"/>
  <c r="K117" i="112"/>
  <c r="P117" i="112"/>
  <c r="Q117" i="112"/>
  <c r="O117" i="112"/>
  <c r="N117" i="112" s="1"/>
  <c r="L117" i="112" s="1"/>
  <c r="I117" i="112"/>
  <c r="L160" i="111"/>
  <c r="G159" i="111"/>
  <c r="S118" i="112" l="1"/>
  <c r="T159" i="112"/>
  <c r="V159" i="112" s="1"/>
  <c r="H118" i="112"/>
  <c r="I118" i="112" s="1"/>
  <c r="M118" i="112"/>
  <c r="BA109" i="111"/>
  <c r="G160" i="111"/>
  <c r="BA110" i="111" s="1"/>
  <c r="BA116" i="111" s="1"/>
  <c r="G117" i="112" l="1"/>
  <c r="O118" i="112"/>
  <c r="K118" i="112"/>
  <c r="Q118" i="112"/>
  <c r="P118" i="112"/>
  <c r="H119" i="112" l="1"/>
  <c r="I119" i="112" s="1"/>
  <c r="S119" i="112"/>
  <c r="T160" i="112"/>
  <c r="V160" i="112" s="1"/>
  <c r="N118" i="112"/>
  <c r="L118" i="112" s="1"/>
  <c r="G118" i="112" l="1"/>
  <c r="M119" i="112"/>
  <c r="K119" i="112"/>
  <c r="Q119" i="112" s="1"/>
  <c r="O119" i="112"/>
  <c r="P119" i="112"/>
  <c r="T161" i="112" l="1"/>
  <c r="V161" i="112" s="1"/>
  <c r="H120" i="112"/>
  <c r="I120" i="112" s="1"/>
  <c r="S120" i="112"/>
  <c r="N119" i="112"/>
  <c r="L119" i="112" s="1"/>
  <c r="G119" i="112" l="1"/>
  <c r="M120" i="112"/>
  <c r="Q120" i="112"/>
  <c r="O120" i="112"/>
  <c r="P120" i="112"/>
  <c r="K120" i="112"/>
  <c r="N120" i="112" l="1"/>
  <c r="L120" i="112" s="1"/>
  <c r="S121" i="112"/>
  <c r="H121" i="112"/>
  <c r="I121" i="112" s="1"/>
  <c r="T162" i="112"/>
  <c r="V162" i="112" s="1"/>
  <c r="G120" i="112" l="1"/>
  <c r="M121" i="112"/>
  <c r="O121" i="112"/>
  <c r="K121" i="112"/>
  <c r="Q121" i="112" s="1"/>
  <c r="P121" i="112"/>
  <c r="S122" i="112" l="1"/>
  <c r="H122" i="112"/>
  <c r="T163" i="112"/>
  <c r="V163" i="112" s="1"/>
  <c r="N121" i="112"/>
  <c r="L121" i="112" s="1"/>
  <c r="G121" i="112" l="1"/>
  <c r="M122" i="112"/>
  <c r="I122" i="112"/>
  <c r="O122" i="112"/>
  <c r="K122" i="112"/>
  <c r="Q122" i="112" s="1"/>
  <c r="P122" i="112"/>
  <c r="N122" i="112" l="1"/>
  <c r="L122" i="112" s="1"/>
  <c r="T164" i="112"/>
  <c r="V164" i="112" s="1"/>
  <c r="S123" i="112"/>
  <c r="H123" i="112"/>
  <c r="G122" i="112" l="1"/>
  <c r="P123" i="112"/>
  <c r="O123" i="112"/>
  <c r="N123" i="112" s="1"/>
  <c r="L123" i="112" s="1"/>
  <c r="K123" i="112"/>
  <c r="Q123" i="112"/>
  <c r="I123" i="112"/>
  <c r="M123" i="112"/>
  <c r="S124" i="112" l="1"/>
  <c r="T165" i="112"/>
  <c r="V165" i="112" s="1"/>
  <c r="H124" i="112"/>
  <c r="G123" i="112" s="1"/>
  <c r="M124" i="112"/>
  <c r="I124" i="112" l="1"/>
  <c r="P124" i="112"/>
  <c r="Q124" i="112"/>
  <c r="O124" i="112"/>
  <c r="N124" i="112" s="1"/>
  <c r="L124" i="112" s="1"/>
  <c r="K124" i="112"/>
  <c r="H125" i="112" l="1"/>
  <c r="G124" i="112" s="1"/>
  <c r="S125" i="112"/>
  <c r="T166" i="112"/>
  <c r="V166" i="112" s="1"/>
  <c r="M125" i="112"/>
  <c r="O125" i="112" l="1"/>
  <c r="N125" i="112" s="1"/>
  <c r="L125" i="112" s="1"/>
  <c r="K125" i="112"/>
  <c r="Q125" i="112" s="1"/>
  <c r="P125" i="112"/>
  <c r="I125" i="112"/>
  <c r="S126" i="112" l="1"/>
  <c r="H126" i="112"/>
  <c r="I126" i="112" s="1"/>
  <c r="T167" i="112"/>
  <c r="V167" i="112" s="1"/>
  <c r="M126" i="112"/>
  <c r="G125" i="112" l="1"/>
  <c r="P126" i="112"/>
  <c r="O126" i="112"/>
  <c r="K126" i="112"/>
  <c r="Q126" i="112" s="1"/>
  <c r="N126" i="112" l="1"/>
  <c r="L126" i="112" s="1"/>
  <c r="S127" i="112"/>
  <c r="T168" i="112"/>
  <c r="V168" i="112" s="1"/>
  <c r="H127" i="112"/>
  <c r="G126" i="112" l="1"/>
  <c r="K127" i="112"/>
  <c r="Q127" i="112"/>
  <c r="P127" i="112"/>
  <c r="O127" i="112"/>
  <c r="I127" i="112"/>
  <c r="M127" i="112"/>
  <c r="N127" i="112" l="1"/>
  <c r="L127" i="112" s="1"/>
  <c r="S128" i="112"/>
  <c r="H128" i="112"/>
  <c r="I128" i="112" s="1"/>
  <c r="T169" i="112"/>
  <c r="V169" i="112" s="1"/>
  <c r="G127" i="112" l="1"/>
  <c r="P128" i="112"/>
  <c r="O128" i="112"/>
  <c r="K128" i="112"/>
  <c r="Q128" i="112"/>
  <c r="M128" i="112"/>
  <c r="N128" i="112" l="1"/>
  <c r="L128" i="112" s="1"/>
  <c r="H129" i="112"/>
  <c r="I129" i="112" s="1"/>
  <c r="S129" i="112"/>
  <c r="T170" i="112"/>
  <c r="V170" i="112" s="1"/>
  <c r="G128" i="112" l="1"/>
  <c r="M129" i="112"/>
  <c r="K129" i="112"/>
  <c r="Q129" i="112" s="1"/>
  <c r="P129" i="112"/>
  <c r="O129" i="112"/>
  <c r="H130" i="112" l="1"/>
  <c r="I130" i="112" s="1"/>
  <c r="T171" i="112"/>
  <c r="V171" i="112" s="1"/>
  <c r="S130" i="112"/>
  <c r="N129" i="112"/>
  <c r="L129" i="112" s="1"/>
  <c r="G129" i="112" l="1"/>
  <c r="M130" i="112"/>
  <c r="P130" i="112"/>
  <c r="O130" i="112"/>
  <c r="Q130" i="112"/>
  <c r="K130" i="112"/>
  <c r="N130" i="112" l="1"/>
  <c r="L130" i="112" s="1"/>
  <c r="H131" i="112"/>
  <c r="I131" i="112" s="1"/>
  <c r="S131" i="112"/>
  <c r="T172" i="112"/>
  <c r="V172" i="112" s="1"/>
  <c r="G130" i="112" l="1"/>
  <c r="P131" i="112"/>
  <c r="K131" i="112"/>
  <c r="Q131" i="112" s="1"/>
  <c r="O131" i="112"/>
  <c r="M131" i="112"/>
  <c r="H132" i="112" l="1"/>
  <c r="I132" i="112" s="1"/>
  <c r="S132" i="112"/>
  <c r="T173" i="112"/>
  <c r="V173" i="112" s="1"/>
  <c r="N131" i="112"/>
  <c r="L131" i="112" s="1"/>
  <c r="G131" i="112" l="1"/>
  <c r="M132" i="112"/>
  <c r="Q132" i="112"/>
  <c r="P132" i="112"/>
  <c r="O132" i="112"/>
  <c r="K132" i="112"/>
  <c r="N132" i="112" l="1"/>
  <c r="L132" i="112" s="1"/>
  <c r="S133" i="112"/>
  <c r="H133" i="112"/>
  <c r="I133" i="112" s="1"/>
  <c r="T174" i="112"/>
  <c r="V174" i="112" s="1"/>
  <c r="G132" i="112" l="1"/>
  <c r="P133" i="112"/>
  <c r="O133" i="112"/>
  <c r="K133" i="112"/>
  <c r="Q133" i="112" s="1"/>
  <c r="M133" i="112"/>
  <c r="N133" i="112" l="1"/>
  <c r="L133" i="112" s="1"/>
  <c r="H134" i="112"/>
  <c r="S134" i="112"/>
  <c r="T175" i="112"/>
  <c r="V175" i="112" s="1"/>
  <c r="G133" i="112" l="1"/>
  <c r="P134" i="112"/>
  <c r="K134" i="112"/>
  <c r="O134" i="112"/>
  <c r="Q134" i="112"/>
  <c r="I134" i="112"/>
  <c r="M134" i="112"/>
  <c r="H135" i="112" l="1"/>
  <c r="S135" i="112"/>
  <c r="T176" i="112"/>
  <c r="V176" i="112" s="1"/>
  <c r="N134" i="112"/>
  <c r="L134" i="112" s="1"/>
  <c r="G134" i="112" l="1"/>
  <c r="M135" i="112"/>
  <c r="K135" i="112"/>
  <c r="Q135" i="112" s="1"/>
  <c r="P135" i="112"/>
  <c r="O135" i="112"/>
  <c r="I135" i="112"/>
  <c r="N135" i="112" l="1"/>
  <c r="L135" i="112" s="1"/>
  <c r="H136" i="112"/>
  <c r="S136" i="112"/>
  <c r="T177" i="112"/>
  <c r="V177" i="112" s="1"/>
  <c r="G135" i="112" l="1"/>
  <c r="M136" i="112"/>
  <c r="Q136" i="112"/>
  <c r="P136" i="112"/>
  <c r="O136" i="112"/>
  <c r="K136" i="112"/>
  <c r="I136" i="112"/>
  <c r="S137" i="112" l="1"/>
  <c r="H137" i="112"/>
  <c r="T178" i="112"/>
  <c r="N136" i="112"/>
  <c r="L136" i="112" s="1"/>
  <c r="G136" i="112" l="1"/>
  <c r="V178" i="112"/>
  <c r="I137" i="112"/>
  <c r="P137" i="112"/>
  <c r="O137" i="112"/>
  <c r="N137" i="112" s="1"/>
  <c r="L137" i="112" s="1"/>
  <c r="K137" i="112"/>
  <c r="Q137" i="112" s="1"/>
  <c r="M137" i="112"/>
  <c r="S138" i="112" l="1"/>
  <c r="H138" i="112"/>
  <c r="I138" i="112" s="1"/>
  <c r="T179" i="112"/>
  <c r="M138" i="112"/>
  <c r="G137" i="112" l="1"/>
  <c r="O138" i="112"/>
  <c r="P138" i="112"/>
  <c r="K138" i="112"/>
  <c r="Q138" i="112" s="1"/>
  <c r="V179" i="112"/>
  <c r="H139" i="112" l="1"/>
  <c r="S139" i="112"/>
  <c r="T180" i="112"/>
  <c r="N138" i="112"/>
  <c r="L138" i="112" s="1"/>
  <c r="G138" i="112" l="1"/>
  <c r="M139" i="112"/>
  <c r="V180" i="112"/>
  <c r="T181" i="112"/>
  <c r="K139" i="112"/>
  <c r="Q139" i="112" s="1"/>
  <c r="O139" i="112"/>
  <c r="P139" i="112"/>
  <c r="I139" i="112"/>
  <c r="N139" i="112" l="1"/>
  <c r="L139" i="112" s="1"/>
  <c r="H140" i="112"/>
  <c r="S140" i="112"/>
  <c r="G139" i="112" l="1"/>
  <c r="M140" i="112"/>
  <c r="O140" i="112"/>
  <c r="N140" i="112" s="1"/>
  <c r="L140" i="112" s="1"/>
  <c r="P140" i="112"/>
  <c r="K140" i="112"/>
  <c r="Q140" i="112" s="1"/>
  <c r="I140" i="112"/>
  <c r="H141" i="112" l="1"/>
  <c r="I141" i="112" s="1"/>
  <c r="S141" i="112"/>
  <c r="M141" i="112"/>
  <c r="G140" i="112" l="1"/>
  <c r="K141" i="112"/>
  <c r="O141" i="112"/>
  <c r="P141" i="112"/>
  <c r="Q141" i="112"/>
  <c r="H142" i="112" l="1"/>
  <c r="I142" i="112" s="1"/>
  <c r="S142" i="112"/>
  <c r="N141" i="112"/>
  <c r="L141" i="112" s="1"/>
  <c r="G141" i="112" l="1"/>
  <c r="M142" i="112"/>
  <c r="O142" i="112"/>
  <c r="K142" i="112"/>
  <c r="Q142" i="112"/>
  <c r="P142" i="112"/>
  <c r="H143" i="112" l="1"/>
  <c r="I143" i="112" s="1"/>
  <c r="S143" i="112"/>
  <c r="N142" i="112"/>
  <c r="L142" i="112" s="1"/>
  <c r="G142" i="112" l="1"/>
  <c r="M143" i="112"/>
  <c r="Q143" i="112"/>
  <c r="P143" i="112"/>
  <c r="O143" i="112"/>
  <c r="K143" i="112"/>
  <c r="N143" i="112" l="1"/>
  <c r="L143" i="112" s="1"/>
  <c r="H144" i="112"/>
  <c r="I144" i="112" s="1"/>
  <c r="S144" i="112"/>
  <c r="G143" i="112" l="1"/>
  <c r="O144" i="112"/>
  <c r="K144" i="112"/>
  <c r="Q144" i="112" s="1"/>
  <c r="P144" i="112"/>
  <c r="M144" i="112"/>
  <c r="S145" i="112" l="1"/>
  <c r="H145" i="112"/>
  <c r="I145" i="112" s="1"/>
  <c r="N144" i="112"/>
  <c r="L144" i="112" s="1"/>
  <c r="G144" i="112" l="1"/>
  <c r="M145" i="112"/>
  <c r="O145" i="112"/>
  <c r="K145" i="112"/>
  <c r="Q145" i="112" s="1"/>
  <c r="P145" i="112"/>
  <c r="S146" i="112" l="1"/>
  <c r="H146" i="112"/>
  <c r="N145" i="112"/>
  <c r="L145" i="112" s="1"/>
  <c r="G145" i="112" l="1"/>
  <c r="M146" i="112"/>
  <c r="I146" i="112"/>
  <c r="Q146" i="112"/>
  <c r="P146" i="112"/>
  <c r="O146" i="112"/>
  <c r="N146" i="112" s="1"/>
  <c r="L146" i="112" s="1"/>
  <c r="K146" i="112"/>
  <c r="H147" i="112" l="1"/>
  <c r="G146" i="112" s="1"/>
  <c r="S147" i="112"/>
  <c r="M147" i="112"/>
  <c r="Q147" i="112" l="1"/>
  <c r="K147" i="112"/>
  <c r="P147" i="112"/>
  <c r="O147" i="112"/>
  <c r="N147" i="112" s="1"/>
  <c r="L147" i="112" s="1"/>
  <c r="I147" i="112"/>
  <c r="M148" i="112" l="1"/>
  <c r="H148" i="112"/>
  <c r="I148" i="112" s="1"/>
  <c r="S148" i="112"/>
  <c r="G147" i="112" l="1"/>
  <c r="P148" i="112"/>
  <c r="O148" i="112"/>
  <c r="K148" i="112"/>
  <c r="Q148" i="112"/>
  <c r="H149" i="112" l="1"/>
  <c r="S149" i="112"/>
  <c r="N148" i="112"/>
  <c r="L148" i="112" s="1"/>
  <c r="G148" i="112" l="1"/>
  <c r="M149" i="112"/>
  <c r="O149" i="112"/>
  <c r="N149" i="112" s="1"/>
  <c r="L149" i="112" s="1"/>
  <c r="P149" i="112"/>
  <c r="K149" i="112"/>
  <c r="Q149" i="112" s="1"/>
  <c r="I149" i="112"/>
  <c r="S150" i="112" l="1"/>
  <c r="H150" i="112"/>
  <c r="I150" i="112" s="1"/>
  <c r="M150" i="112"/>
  <c r="G149" i="112" l="1"/>
  <c r="P150" i="112"/>
  <c r="O150" i="112"/>
  <c r="K150" i="112"/>
  <c r="Q150" i="112"/>
  <c r="S151" i="112" l="1"/>
  <c r="H151" i="112"/>
  <c r="N150" i="112"/>
  <c r="L150" i="112" s="1"/>
  <c r="G150" i="112" l="1"/>
  <c r="M151" i="112"/>
  <c r="I151" i="112"/>
  <c r="K151" i="112"/>
  <c r="Q151" i="112"/>
  <c r="P151" i="112"/>
  <c r="O151" i="112"/>
  <c r="N151" i="112" s="1"/>
  <c r="L151" i="112" s="1"/>
  <c r="S152" i="112" l="1"/>
  <c r="H152" i="112"/>
  <c r="I152" i="112" s="1"/>
  <c r="M152" i="112"/>
  <c r="G151" i="112" l="1"/>
  <c r="O152" i="112"/>
  <c r="K152" i="112"/>
  <c r="Q152" i="112"/>
  <c r="P152" i="112"/>
  <c r="S153" i="112" l="1"/>
  <c r="H153" i="112"/>
  <c r="N152" i="112"/>
  <c r="L152" i="112" s="1"/>
  <c r="G152" i="112" l="1"/>
  <c r="M153" i="112"/>
  <c r="K153" i="112"/>
  <c r="Q153" i="112"/>
  <c r="P153" i="112"/>
  <c r="O153" i="112"/>
  <c r="I153" i="112"/>
  <c r="H154" i="112" l="1"/>
  <c r="I154" i="112" s="1"/>
  <c r="S154" i="112"/>
  <c r="N153" i="112"/>
  <c r="L153" i="112" s="1"/>
  <c r="G153" i="112" l="1"/>
  <c r="M154" i="112"/>
  <c r="P154" i="112"/>
  <c r="K154" i="112"/>
  <c r="Q154" i="112" s="1"/>
  <c r="O154" i="112"/>
  <c r="H155" i="112" l="1"/>
  <c r="I155" i="112" s="1"/>
  <c r="S155" i="112"/>
  <c r="N154" i="112"/>
  <c r="L154" i="112" s="1"/>
  <c r="G154" i="112" l="1"/>
  <c r="M155" i="112"/>
  <c r="K155" i="112"/>
  <c r="Q155" i="112"/>
  <c r="O155" i="112"/>
  <c r="P155" i="112"/>
  <c r="N155" i="112" l="1"/>
  <c r="L155" i="112" s="1"/>
  <c r="H156" i="112"/>
  <c r="I156" i="112" s="1"/>
  <c r="S156" i="112"/>
  <c r="G155" i="112" l="1"/>
  <c r="K156" i="112"/>
  <c r="O156" i="112"/>
  <c r="P156" i="112"/>
  <c r="Q156" i="112"/>
  <c r="M156" i="112"/>
  <c r="S157" i="112" l="1"/>
  <c r="H157" i="112"/>
  <c r="N156" i="112"/>
  <c r="L156" i="112" s="1"/>
  <c r="G156" i="112" l="1"/>
  <c r="M157" i="112"/>
  <c r="I157" i="112"/>
  <c r="Q157" i="112"/>
  <c r="P157" i="112"/>
  <c r="K157" i="112"/>
  <c r="O157" i="112"/>
  <c r="S158" i="112" l="1"/>
  <c r="H158" i="112"/>
  <c r="N157" i="112"/>
  <c r="L157" i="112" s="1"/>
  <c r="M158" i="112" s="1"/>
  <c r="I158" i="112" l="1"/>
  <c r="G157" i="112"/>
  <c r="O158" i="112"/>
  <c r="Q158" i="112"/>
  <c r="P158" i="112"/>
  <c r="K158" i="112"/>
  <c r="T127" i="111"/>
  <c r="V127" i="111" s="1"/>
  <c r="S159" i="112" l="1"/>
  <c r="H159" i="112"/>
  <c r="N158" i="112"/>
  <c r="L158" i="112" s="1"/>
  <c r="M159" i="112" s="1"/>
  <c r="I159" i="112" l="1"/>
  <c r="H160" i="112"/>
  <c r="C26" i="112" s="1"/>
  <c r="K159" i="112"/>
  <c r="K160" i="112" s="1"/>
  <c r="O159" i="112"/>
  <c r="N159" i="112" s="1"/>
  <c r="L159" i="112" s="1"/>
  <c r="P159" i="112"/>
  <c r="G158" i="112"/>
  <c r="L160" i="112"/>
  <c r="T128" i="111"/>
  <c r="V128" i="111" s="1"/>
  <c r="Q159" i="112" l="1"/>
  <c r="U85" i="112"/>
  <c r="G159" i="112"/>
  <c r="BA109" i="112" s="1"/>
  <c r="C29" i="109"/>
  <c r="E29" i="109" s="1"/>
  <c r="U46" i="112"/>
  <c r="C27" i="112"/>
  <c r="C30" i="109" s="1"/>
  <c r="C31" i="109" s="1"/>
  <c r="BA108" i="112"/>
  <c r="B87" i="111"/>
  <c r="U86" i="112" l="1"/>
  <c r="U87" i="112" s="1"/>
  <c r="U88" i="112" s="1"/>
  <c r="U89" i="112" s="1"/>
  <c r="U90" i="112" s="1"/>
  <c r="U91" i="112" s="1"/>
  <c r="U92" i="112" s="1"/>
  <c r="U93" i="112" s="1"/>
  <c r="U94" i="112" s="1"/>
  <c r="U95" i="112" s="1"/>
  <c r="U96" i="112" s="1"/>
  <c r="U97" i="112" s="1"/>
  <c r="U98" i="112" s="1"/>
  <c r="U99" i="112" s="1"/>
  <c r="U100" i="112" s="1"/>
  <c r="U101" i="112" s="1"/>
  <c r="U102" i="112" s="1"/>
  <c r="U103" i="112" s="1"/>
  <c r="U104" i="112" s="1"/>
  <c r="U105" i="112" s="1"/>
  <c r="U106" i="112" s="1"/>
  <c r="U107" i="112" s="1"/>
  <c r="U108" i="112" s="1"/>
  <c r="U109" i="112" s="1"/>
  <c r="U110" i="112" s="1"/>
  <c r="U111" i="112" s="1"/>
  <c r="U112" i="112" s="1"/>
  <c r="U113" i="112" s="1"/>
  <c r="U114" i="112" s="1"/>
  <c r="U115" i="112" s="1"/>
  <c r="U116" i="112" s="1"/>
  <c r="U117" i="112" s="1"/>
  <c r="U118" i="112" s="1"/>
  <c r="U119" i="112" s="1"/>
  <c r="U120" i="112" s="1"/>
  <c r="U121" i="112" s="1"/>
  <c r="U122" i="112" s="1"/>
  <c r="U123" i="112" s="1"/>
  <c r="U124" i="112" s="1"/>
  <c r="U125" i="112" s="1"/>
  <c r="U126" i="112" s="1"/>
  <c r="U127" i="112" s="1"/>
  <c r="U128" i="112" s="1"/>
  <c r="U129" i="112" s="1"/>
  <c r="U130" i="112" s="1"/>
  <c r="U131" i="112" s="1"/>
  <c r="U132" i="112" s="1"/>
  <c r="U133" i="112" s="1"/>
  <c r="U134" i="112" s="1"/>
  <c r="U135" i="112" s="1"/>
  <c r="U136" i="112" s="1"/>
  <c r="U137" i="112" s="1"/>
  <c r="U138" i="112" s="1"/>
  <c r="U139" i="112" s="1"/>
  <c r="U140" i="112" s="1"/>
  <c r="U141" i="112" s="1"/>
  <c r="U142" i="112" s="1"/>
  <c r="U143" i="112" s="1"/>
  <c r="U144" i="112" s="1"/>
  <c r="U145" i="112" s="1"/>
  <c r="U146" i="112" s="1"/>
  <c r="U147" i="112" s="1"/>
  <c r="U148" i="112" s="1"/>
  <c r="U149" i="112" s="1"/>
  <c r="U150" i="112" s="1"/>
  <c r="U151" i="112" s="1"/>
  <c r="U152" i="112" s="1"/>
  <c r="U153" i="112" s="1"/>
  <c r="U154" i="112" s="1"/>
  <c r="U155" i="112" s="1"/>
  <c r="U156" i="112" s="1"/>
  <c r="U157" i="112" s="1"/>
  <c r="U158" i="112" s="1"/>
  <c r="U159" i="112" s="1"/>
  <c r="U160" i="112" s="1"/>
  <c r="U161" i="112" s="1"/>
  <c r="U162" i="112" s="1"/>
  <c r="U163" i="112" s="1"/>
  <c r="U164" i="112" s="1"/>
  <c r="U165" i="112" s="1"/>
  <c r="U166" i="112" s="1"/>
  <c r="U167" i="112" s="1"/>
  <c r="U168" i="112" s="1"/>
  <c r="U169" i="112" s="1"/>
  <c r="U170" i="112" s="1"/>
  <c r="U171" i="112" s="1"/>
  <c r="U172" i="112" s="1"/>
  <c r="U173" i="112" s="1"/>
  <c r="U174" i="112" s="1"/>
  <c r="U175" i="112" s="1"/>
  <c r="U176" i="112" s="1"/>
  <c r="U177" i="112" s="1"/>
  <c r="U178" i="112" s="1"/>
  <c r="U179" i="112" s="1"/>
  <c r="U180" i="112" s="1"/>
  <c r="G160" i="112"/>
  <c r="BA110" i="112" s="1"/>
  <c r="BA116" i="112" s="1"/>
  <c r="C33" i="109"/>
  <c r="E31" i="109"/>
  <c r="T129" i="111"/>
  <c r="V129" i="111" s="1"/>
  <c r="AE51" i="112" l="1"/>
  <c r="V181" i="112"/>
  <c r="C34" i="109"/>
  <c r="E33" i="109"/>
  <c r="C35" i="109"/>
  <c r="U181" i="112"/>
  <c r="C87" i="111"/>
  <c r="E35" i="109" l="1"/>
  <c r="C36" i="109"/>
  <c r="T93" i="109"/>
  <c r="C26" i="103"/>
  <c r="U46" i="103" s="1"/>
  <c r="E36" i="109" l="1"/>
  <c r="T94" i="109"/>
  <c r="T130" i="111"/>
  <c r="V130" i="111" l="1"/>
  <c r="T131" i="111" l="1"/>
  <c r="V131" i="111" l="1"/>
  <c r="T132" i="111" l="1"/>
  <c r="V132" i="111" l="1"/>
  <c r="T133" i="111" l="1"/>
  <c r="V133" i="111" l="1"/>
  <c r="T134" i="111" l="1"/>
  <c r="V134" i="111" l="1"/>
  <c r="T135" i="111" l="1"/>
  <c r="V135" i="111" s="1"/>
  <c r="T136" i="111" l="1"/>
  <c r="V136" i="111" s="1"/>
  <c r="T137" i="111" l="1"/>
  <c r="V137" i="111" s="1"/>
  <c r="T138" i="111" l="1"/>
  <c r="V138" i="111" s="1"/>
  <c r="T139" i="111" l="1"/>
  <c r="V139" i="111" s="1"/>
  <c r="T140" i="111" l="1"/>
  <c r="V140" i="111" s="1"/>
  <c r="T141" i="111" l="1"/>
  <c r="V141" i="111" s="1"/>
  <c r="T142" i="111" l="1"/>
  <c r="V142" i="111" s="1"/>
  <c r="T143" i="111" l="1"/>
  <c r="V143" i="111" s="1"/>
  <c r="T144" i="111" l="1"/>
  <c r="V144" i="111" s="1"/>
  <c r="T145" i="111" l="1"/>
  <c r="V145" i="111" s="1"/>
  <c r="T146" i="111" l="1"/>
  <c r="V146" i="111" s="1"/>
  <c r="T147" i="111" l="1"/>
  <c r="V147" i="111" s="1"/>
  <c r="T148" i="111" l="1"/>
  <c r="V148" i="111" s="1"/>
  <c r="T149" i="111" l="1"/>
  <c r="V149" i="111" s="1"/>
  <c r="T150" i="111" l="1"/>
  <c r="V150" i="111" s="1"/>
  <c r="T151" i="111" l="1"/>
  <c r="V151" i="111" s="1"/>
  <c r="T152" i="111" l="1"/>
  <c r="V152" i="111" s="1"/>
  <c r="T153" i="111" l="1"/>
  <c r="V153" i="111" s="1"/>
  <c r="T154" i="111" l="1"/>
  <c r="V154" i="111" s="1"/>
  <c r="T155" i="111" l="1"/>
  <c r="V155" i="111" s="1"/>
  <c r="T156" i="111" l="1"/>
  <c r="V156" i="111" s="1"/>
  <c r="T157" i="111" l="1"/>
  <c r="V157" i="111" s="1"/>
  <c r="T158" i="111" l="1"/>
  <c r="V158" i="111" s="1"/>
  <c r="T159" i="111" l="1"/>
  <c r="V159" i="111" s="1"/>
  <c r="T160" i="111" l="1"/>
  <c r="V160" i="111" s="1"/>
  <c r="T161" i="111" l="1"/>
  <c r="V161" i="111" s="1"/>
  <c r="T162" i="111" l="1"/>
  <c r="V162" i="111" s="1"/>
  <c r="T163" i="111" l="1"/>
  <c r="V163" i="111" s="1"/>
  <c r="T164" i="111" l="1"/>
  <c r="V164" i="111" s="1"/>
  <c r="T165" i="111" l="1"/>
  <c r="V165" i="111" s="1"/>
  <c r="T166" i="111" l="1"/>
  <c r="V166" i="111" s="1"/>
  <c r="T167" i="111" l="1"/>
  <c r="V167" i="111" s="1"/>
  <c r="T168" i="111" l="1"/>
  <c r="V168" i="111" s="1"/>
  <c r="T169" i="111" l="1"/>
  <c r="V169" i="111" s="1"/>
  <c r="T170" i="111" l="1"/>
  <c r="V170" i="111" s="1"/>
  <c r="T171" i="111" l="1"/>
  <c r="V171" i="111" s="1"/>
  <c r="T172" i="111" l="1"/>
  <c r="V172" i="111" s="1"/>
  <c r="T173" i="111" l="1"/>
  <c r="V173" i="111" s="1"/>
  <c r="T174" i="111" l="1"/>
  <c r="V174" i="111" s="1"/>
  <c r="T175" i="111" l="1"/>
  <c r="V175" i="111" s="1"/>
  <c r="T176" i="111" l="1"/>
  <c r="V176" i="111" s="1"/>
  <c r="T177" i="111" l="1"/>
  <c r="V177" i="111" s="1"/>
  <c r="T178" i="111" l="1"/>
  <c r="V178" i="111" s="1"/>
  <c r="T179" i="111" l="1"/>
  <c r="V179" i="111" s="1"/>
  <c r="T180" i="111" l="1"/>
  <c r="V180" i="111" l="1"/>
  <c r="T181" i="111"/>
  <c r="C26" i="111" l="1"/>
  <c r="U97" i="111" s="1"/>
  <c r="U98" i="111" s="1"/>
  <c r="U99" i="111" s="1"/>
  <c r="U100" i="111" s="1"/>
  <c r="U101" i="111" s="1"/>
  <c r="U102" i="111" s="1"/>
  <c r="U103" i="111" s="1"/>
  <c r="U104" i="111" s="1"/>
  <c r="U105" i="111" s="1"/>
  <c r="U106" i="111" s="1"/>
  <c r="U107" i="111" s="1"/>
  <c r="U108" i="111" s="1"/>
  <c r="U109" i="111" s="1"/>
  <c r="U110" i="111" s="1"/>
  <c r="U111" i="111" s="1"/>
  <c r="U112" i="111" s="1"/>
  <c r="U113" i="111" s="1"/>
  <c r="U114" i="111" s="1"/>
  <c r="U115" i="111" s="1"/>
  <c r="U116" i="111" s="1"/>
  <c r="U117" i="111" s="1"/>
  <c r="U118" i="111" s="1"/>
  <c r="U119" i="111" s="1"/>
  <c r="U120" i="111" s="1"/>
  <c r="U121" i="111" s="1"/>
  <c r="U122" i="111" s="1"/>
  <c r="U123" i="111" s="1"/>
  <c r="U124" i="111" s="1"/>
  <c r="U125" i="111" s="1"/>
  <c r="U126" i="111" s="1"/>
  <c r="U127" i="111" s="1"/>
  <c r="U128" i="111" s="1"/>
  <c r="U129" i="111" s="1"/>
  <c r="U130" i="111" s="1"/>
  <c r="U131" i="111" s="1"/>
  <c r="U132" i="111" s="1"/>
  <c r="C29" i="94" l="1"/>
  <c r="U46" i="111"/>
  <c r="C27" i="111"/>
  <c r="U133" i="111"/>
  <c r="U134" i="111" l="1"/>
  <c r="U135" i="111" s="1"/>
  <c r="U136" i="111" s="1"/>
  <c r="U137" i="111" s="1"/>
  <c r="U138" i="111" s="1"/>
  <c r="U139" i="111" s="1"/>
  <c r="U140" i="111" s="1"/>
  <c r="U141" i="111" s="1"/>
  <c r="U142" i="111" s="1"/>
  <c r="U143" i="111" s="1"/>
  <c r="U144" i="111" s="1"/>
  <c r="U145" i="111" s="1"/>
  <c r="U146" i="111" s="1"/>
  <c r="U147" i="111" s="1"/>
  <c r="U148" i="111" s="1"/>
  <c r="U149" i="111" s="1"/>
  <c r="U150" i="111" s="1"/>
  <c r="U151" i="111" s="1"/>
  <c r="U152" i="111" s="1"/>
  <c r="U153" i="111" s="1"/>
  <c r="U154" i="111" s="1"/>
  <c r="U155" i="111" s="1"/>
  <c r="U156" i="111" s="1"/>
  <c r="U157" i="111" s="1"/>
  <c r="U158" i="111" s="1"/>
  <c r="U159" i="111" s="1"/>
  <c r="E29" i="94"/>
  <c r="C30" i="94"/>
  <c r="C31" i="94" s="1"/>
  <c r="C33" i="94" l="1"/>
  <c r="E31" i="94"/>
  <c r="U160" i="111"/>
  <c r="U161" i="111" s="1"/>
  <c r="U162" i="111" s="1"/>
  <c r="U163" i="111" s="1"/>
  <c r="U164" i="111" s="1"/>
  <c r="U165" i="111" s="1"/>
  <c r="U166" i="111" s="1"/>
  <c r="U167" i="111" s="1"/>
  <c r="U168" i="111" s="1"/>
  <c r="U169" i="111" s="1"/>
  <c r="U170" i="111" s="1"/>
  <c r="U171" i="111" s="1"/>
  <c r="U172" i="111" s="1"/>
  <c r="U173" i="111" s="1"/>
  <c r="U174" i="111" s="1"/>
  <c r="U175" i="111" s="1"/>
  <c r="U176" i="111" s="1"/>
  <c r="U177" i="111" s="1"/>
  <c r="U178" i="111" s="1"/>
  <c r="U179" i="111" s="1"/>
  <c r="U180" i="111" s="1"/>
  <c r="AE51" i="111"/>
  <c r="U181" i="111" l="1"/>
  <c r="V181" i="111"/>
  <c r="C34" i="94"/>
  <c r="E33" i="94"/>
  <c r="C35" i="94"/>
  <c r="C36" i="94" l="1"/>
  <c r="T93" i="94"/>
  <c r="E35" i="94"/>
  <c r="E36" i="94" l="1"/>
  <c r="T94" i="94"/>
  <c r="G12" i="103"/>
  <c r="K12" i="103" s="1"/>
  <c r="Q12" i="103" s="1"/>
  <c r="T54" i="103" s="1"/>
  <c r="V54" i="103" s="1"/>
  <c r="J92" i="103"/>
  <c r="BA12" i="103" l="1"/>
  <c r="U53" i="103"/>
  <c r="S13" i="103"/>
  <c r="H13" i="103"/>
  <c r="O13" i="103" l="1"/>
  <c r="P13" i="103"/>
  <c r="N13" i="103"/>
  <c r="L13" i="103" s="1"/>
  <c r="I13" i="103"/>
  <c r="M14" i="103" l="1"/>
  <c r="G13" i="103"/>
  <c r="BA13" i="103" l="1"/>
  <c r="K13" i="103"/>
  <c r="Q13" i="103" l="1"/>
  <c r="S14" i="103" l="1"/>
  <c r="H14" i="103"/>
  <c r="T55" i="103"/>
  <c r="V55" i="103" l="1"/>
  <c r="U54" i="103"/>
  <c r="I14" i="103"/>
  <c r="O14" i="103"/>
  <c r="P14" i="103"/>
  <c r="N14" i="103" l="1"/>
  <c r="L14" i="103" s="1"/>
  <c r="G14" i="103" l="1"/>
  <c r="K14" i="103" s="1"/>
  <c r="M15" i="103"/>
  <c r="Q14" i="103" l="1"/>
  <c r="BA14" i="103"/>
  <c r="S15" i="103" l="1"/>
  <c r="H15" i="103"/>
  <c r="T56" i="103"/>
  <c r="I15" i="103" l="1"/>
  <c r="V56" i="103"/>
  <c r="U55" i="103"/>
  <c r="O15" i="103"/>
  <c r="P15" i="103"/>
  <c r="N15" i="103" l="1"/>
  <c r="L15" i="103" s="1"/>
  <c r="G15" i="103" l="1"/>
  <c r="M16" i="103"/>
  <c r="BA15" i="103" l="1"/>
  <c r="K15" i="103"/>
  <c r="Q15" i="103" l="1"/>
  <c r="S16" i="103" l="1"/>
  <c r="H16" i="103"/>
  <c r="T57" i="103"/>
  <c r="I16" i="103" l="1"/>
  <c r="V57" i="103"/>
  <c r="U56" i="103"/>
  <c r="O16" i="103"/>
  <c r="P16" i="103"/>
  <c r="N16" i="103" l="1"/>
  <c r="L16" i="103" s="1"/>
  <c r="G16" i="103" l="1"/>
  <c r="M17" i="103"/>
  <c r="BA16" i="103" l="1"/>
  <c r="K16" i="103"/>
  <c r="Q16" i="103" l="1"/>
  <c r="S17" i="103" l="1"/>
  <c r="H17" i="103"/>
  <c r="T58" i="103"/>
  <c r="V58" i="103" l="1"/>
  <c r="U57" i="103"/>
  <c r="I17" i="103"/>
  <c r="O17" i="103"/>
  <c r="P17" i="103"/>
  <c r="N17" i="103" l="1"/>
  <c r="L17" i="103" s="1"/>
  <c r="G17" i="103" l="1"/>
  <c r="M18" i="103"/>
  <c r="BA17" i="103" l="1"/>
  <c r="K17" i="103"/>
  <c r="Q17" i="103" l="1"/>
  <c r="S18" i="103" l="1"/>
  <c r="H18" i="103"/>
  <c r="T59" i="103"/>
  <c r="I18" i="103" l="1"/>
  <c r="V59" i="103"/>
  <c r="U58" i="103"/>
  <c r="O18" i="103"/>
  <c r="P18" i="103"/>
  <c r="N18" i="103" l="1"/>
  <c r="L18" i="103" s="1"/>
  <c r="G18" i="103" l="1"/>
  <c r="K18" i="103" s="1"/>
  <c r="Q18" i="103" s="1"/>
  <c r="M19" i="103"/>
  <c r="S19" i="103" l="1"/>
  <c r="H19" i="103"/>
  <c r="T60" i="103"/>
  <c r="V60" i="103" s="1"/>
  <c r="BA18" i="103"/>
  <c r="I19" i="103" l="1"/>
  <c r="U59" i="103"/>
  <c r="O19" i="103"/>
  <c r="P19" i="103"/>
  <c r="N19" i="103" l="1"/>
  <c r="L19" i="103" s="1"/>
  <c r="G19" i="103" l="1"/>
  <c r="K19" i="103" s="1"/>
  <c r="Q19" i="103" s="1"/>
  <c r="M20" i="103"/>
  <c r="S20" i="103" l="1"/>
  <c r="H20" i="103"/>
  <c r="T61" i="103"/>
  <c r="V61" i="103" s="1"/>
  <c r="BA19" i="103"/>
  <c r="I20" i="103" l="1"/>
  <c r="U60" i="103"/>
  <c r="O20" i="103"/>
  <c r="P20" i="103"/>
  <c r="N20" i="103" l="1"/>
  <c r="L20" i="103" s="1"/>
  <c r="M21" i="103" s="1"/>
  <c r="G20" i="103" l="1"/>
  <c r="K20" i="103" s="1"/>
  <c r="Q20" i="103" s="1"/>
  <c r="S21" i="103" l="1"/>
  <c r="H21" i="103"/>
  <c r="T62" i="103"/>
  <c r="V62" i="103" s="1"/>
  <c r="BA20" i="103"/>
  <c r="I21" i="103" l="1"/>
  <c r="U61" i="103"/>
  <c r="O21" i="103"/>
  <c r="P21" i="103"/>
  <c r="N21" i="103" l="1"/>
  <c r="L21" i="103" s="1"/>
  <c r="G21" i="103" l="1"/>
  <c r="K21" i="103" s="1"/>
  <c r="Q21" i="103" s="1"/>
  <c r="M22" i="103"/>
  <c r="S22" i="103" l="1"/>
  <c r="H22" i="103"/>
  <c r="T63" i="103"/>
  <c r="V63" i="103" s="1"/>
  <c r="BA21" i="103"/>
  <c r="I22" i="103" l="1"/>
  <c r="U62" i="103"/>
  <c r="O22" i="103"/>
  <c r="P22" i="103"/>
  <c r="N22" i="103" l="1"/>
  <c r="L22" i="103" s="1"/>
  <c r="G22" i="103" l="1"/>
  <c r="K22" i="103" s="1"/>
  <c r="Q22" i="103" s="1"/>
  <c r="M23" i="103"/>
  <c r="S23" i="103" l="1"/>
  <c r="H23" i="103"/>
  <c r="T64" i="103"/>
  <c r="V64" i="103" s="1"/>
  <c r="BA22" i="103"/>
  <c r="I23" i="103" l="1"/>
  <c r="U63" i="103"/>
  <c r="O23" i="103"/>
  <c r="P23" i="103"/>
  <c r="N23" i="103" l="1"/>
  <c r="L23" i="103" s="1"/>
  <c r="G23" i="103" l="1"/>
  <c r="K23" i="103" s="1"/>
  <c r="Q23" i="103" s="1"/>
  <c r="M24" i="103"/>
  <c r="S24" i="103" l="1"/>
  <c r="H24" i="103"/>
  <c r="T65" i="103"/>
  <c r="V65" i="103" s="1"/>
  <c r="BA23" i="103"/>
  <c r="I24" i="103" l="1"/>
  <c r="U64" i="103"/>
  <c r="O24" i="103"/>
  <c r="P24" i="103"/>
  <c r="N24" i="103" l="1"/>
  <c r="L24" i="103" s="1"/>
  <c r="G24" i="103" l="1"/>
  <c r="K24" i="103" s="1"/>
  <c r="Q24" i="103" s="1"/>
  <c r="M25" i="103"/>
  <c r="S25" i="103" l="1"/>
  <c r="H25" i="103"/>
  <c r="T66" i="103"/>
  <c r="V66" i="103" s="1"/>
  <c r="BA24" i="103"/>
  <c r="U65" i="103" l="1"/>
  <c r="I25" i="103"/>
  <c r="O25" i="103"/>
  <c r="N25" i="103" s="1"/>
  <c r="L25" i="103" s="1"/>
  <c r="P25" i="103"/>
  <c r="G25" i="103" l="1"/>
  <c r="BA25" i="103" s="1"/>
  <c r="M26" i="103"/>
  <c r="K25" i="103" l="1"/>
  <c r="Q25" i="103" s="1"/>
  <c r="H26" i="103" l="1"/>
  <c r="I26" i="103" s="1"/>
  <c r="S26" i="103"/>
  <c r="T67" i="103"/>
  <c r="V67" i="103" l="1"/>
  <c r="U66" i="103"/>
  <c r="P26" i="103"/>
  <c r="O26" i="103"/>
  <c r="N26" i="103" s="1"/>
  <c r="L26" i="103" s="1"/>
  <c r="G26" i="103" l="1"/>
  <c r="K26" i="103" s="1"/>
  <c r="Q26" i="103" s="1"/>
  <c r="H27" i="103" s="1"/>
  <c r="M27" i="103"/>
  <c r="T68" i="103" l="1"/>
  <c r="V68" i="103" s="1"/>
  <c r="S27" i="103"/>
  <c r="P27" i="103" s="1"/>
  <c r="BA26" i="103"/>
  <c r="I27" i="103"/>
  <c r="O27" i="103" l="1"/>
  <c r="U67" i="103"/>
  <c r="N27" i="103"/>
  <c r="L27" i="103" s="1"/>
  <c r="M28" i="103" s="1"/>
  <c r="G27" i="103" l="1"/>
  <c r="K27" i="103" s="1"/>
  <c r="Q27" i="103" s="1"/>
  <c r="S28" i="103" l="1"/>
  <c r="H28" i="103"/>
  <c r="T69" i="103"/>
  <c r="V69" i="103" s="1"/>
  <c r="BA27" i="103"/>
  <c r="I28" i="103" l="1"/>
  <c r="U68" i="103"/>
  <c r="O28" i="103"/>
  <c r="P28" i="103"/>
  <c r="N28" i="103" l="1"/>
  <c r="L28" i="103" s="1"/>
  <c r="G28" i="103" l="1"/>
  <c r="K28" i="103" s="1"/>
  <c r="Q28" i="103" s="1"/>
  <c r="M29" i="103"/>
  <c r="S29" i="103" l="1"/>
  <c r="H29" i="103"/>
  <c r="T70" i="103"/>
  <c r="V70" i="103" s="1"/>
  <c r="BA28" i="103"/>
  <c r="U69" i="103" l="1"/>
  <c r="I29" i="103"/>
  <c r="O29" i="103"/>
  <c r="N29" i="103" s="1"/>
  <c r="L29" i="103" s="1"/>
  <c r="P29" i="103"/>
  <c r="G29" i="103" l="1"/>
  <c r="BA29" i="103" s="1"/>
  <c r="M30" i="103"/>
  <c r="K29" i="103" l="1"/>
  <c r="Q29" i="103" s="1"/>
  <c r="S30" i="103" l="1"/>
  <c r="H30" i="103"/>
  <c r="T71" i="103"/>
  <c r="I30" i="103" l="1"/>
  <c r="V71" i="103"/>
  <c r="U70" i="103"/>
  <c r="O30" i="103"/>
  <c r="P30" i="103"/>
  <c r="N30" i="103" l="1"/>
  <c r="L30" i="103" s="1"/>
  <c r="M31" i="103" s="1"/>
  <c r="G30" i="103" l="1"/>
  <c r="K30" i="103" s="1"/>
  <c r="Q30" i="103" s="1"/>
  <c r="S31" i="103" l="1"/>
  <c r="H31" i="103"/>
  <c r="T72" i="103"/>
  <c r="V72" i="103" s="1"/>
  <c r="BA30" i="103"/>
  <c r="I31" i="103" l="1"/>
  <c r="U71" i="103"/>
  <c r="O31" i="103"/>
  <c r="P31" i="103"/>
  <c r="N31" i="103" l="1"/>
  <c r="L31" i="103" s="1"/>
  <c r="G31" i="103" l="1"/>
  <c r="K31" i="103" s="1"/>
  <c r="Q31" i="103" s="1"/>
  <c r="M32" i="103"/>
  <c r="S32" i="103" l="1"/>
  <c r="H32" i="103"/>
  <c r="T73" i="103"/>
  <c r="V73" i="103" s="1"/>
  <c r="BA31" i="103"/>
  <c r="U72" i="103" l="1"/>
  <c r="I32" i="103"/>
  <c r="O32" i="103"/>
  <c r="N32" i="103" s="1"/>
  <c r="L32" i="103" s="1"/>
  <c r="P32" i="103"/>
  <c r="G32" i="103" l="1"/>
  <c r="BA32" i="103" s="1"/>
  <c r="M33" i="103"/>
  <c r="K32" i="103" l="1"/>
  <c r="Q32" i="103" s="1"/>
  <c r="S33" i="103" l="1"/>
  <c r="H33" i="103"/>
  <c r="T74" i="103"/>
  <c r="I33" i="103" l="1"/>
  <c r="V74" i="103"/>
  <c r="U73" i="103"/>
  <c r="O33" i="103"/>
  <c r="P33" i="103"/>
  <c r="N33" i="103" l="1"/>
  <c r="L33" i="103" s="1"/>
  <c r="G33" i="103" l="1"/>
  <c r="K33" i="103" s="1"/>
  <c r="Q33" i="103" s="1"/>
  <c r="M34" i="103"/>
  <c r="S34" i="103" l="1"/>
  <c r="H34" i="103"/>
  <c r="T75" i="103"/>
  <c r="V75" i="103" s="1"/>
  <c r="BA33" i="103"/>
  <c r="U74" i="103" l="1"/>
  <c r="O34" i="103"/>
  <c r="P34" i="103"/>
  <c r="I34" i="103"/>
  <c r="N34" i="103" l="1"/>
  <c r="L34" i="103" s="1"/>
  <c r="G34" i="103" l="1"/>
  <c r="K34" i="103" s="1"/>
  <c r="Q34" i="103" s="1"/>
  <c r="M35" i="103"/>
  <c r="S35" i="103" l="1"/>
  <c r="H35" i="103"/>
  <c r="T76" i="103"/>
  <c r="V76" i="103" s="1"/>
  <c r="BA34" i="103"/>
  <c r="I35" i="103" l="1"/>
  <c r="U75" i="103"/>
  <c r="O35" i="103"/>
  <c r="P35" i="103"/>
  <c r="N35" i="103" l="1"/>
  <c r="L35" i="103" s="1"/>
  <c r="G35" i="103" l="1"/>
  <c r="K35" i="103" s="1"/>
  <c r="Q35" i="103" s="1"/>
  <c r="M36" i="103"/>
  <c r="S36" i="103" l="1"/>
  <c r="H36" i="103"/>
  <c r="T77" i="103"/>
  <c r="V77" i="103" s="1"/>
  <c r="BA35" i="103"/>
  <c r="I36" i="103" l="1"/>
  <c r="U76" i="103"/>
  <c r="O36" i="103"/>
  <c r="P36" i="103"/>
  <c r="N36" i="103" l="1"/>
  <c r="L36" i="103" s="1"/>
  <c r="M37" i="103" s="1"/>
  <c r="G36" i="103" l="1"/>
  <c r="K36" i="103" s="1"/>
  <c r="Q36" i="103" s="1"/>
  <c r="S37" i="103" l="1"/>
  <c r="H37" i="103"/>
  <c r="T78" i="103"/>
  <c r="V78" i="103" s="1"/>
  <c r="BA36" i="103"/>
  <c r="I37" i="103" l="1"/>
  <c r="U77" i="103"/>
  <c r="O37" i="103"/>
  <c r="P37" i="103"/>
  <c r="N37" i="103" l="1"/>
  <c r="L37" i="103" s="1"/>
  <c r="G37" i="103" l="1"/>
  <c r="K37" i="103" s="1"/>
  <c r="Q37" i="103" s="1"/>
  <c r="M38" i="103"/>
  <c r="S38" i="103" l="1"/>
  <c r="H38" i="103"/>
  <c r="T79" i="103"/>
  <c r="V79" i="103" s="1"/>
  <c r="BA37" i="103"/>
  <c r="U78" i="103" l="1"/>
  <c r="I38" i="103"/>
  <c r="O38" i="103"/>
  <c r="N38" i="103" s="1"/>
  <c r="L38" i="103" s="1"/>
  <c r="P38" i="103"/>
  <c r="G38" i="103" l="1"/>
  <c r="BA38" i="103" s="1"/>
  <c r="M39" i="103"/>
  <c r="K38" i="103" l="1"/>
  <c r="Q38" i="103" s="1"/>
  <c r="S39" i="103" l="1"/>
  <c r="H39" i="103"/>
  <c r="T80" i="103"/>
  <c r="I39" i="103" l="1"/>
  <c r="V80" i="103"/>
  <c r="U79" i="103"/>
  <c r="O39" i="103"/>
  <c r="P39" i="103"/>
  <c r="N39" i="103" l="1"/>
  <c r="L39" i="103" s="1"/>
  <c r="G39" i="103" l="1"/>
  <c r="K39" i="103" s="1"/>
  <c r="Q39" i="103" s="1"/>
  <c r="M40" i="103"/>
  <c r="S40" i="103" l="1"/>
  <c r="H40" i="103"/>
  <c r="T81" i="103"/>
  <c r="V81" i="103" s="1"/>
  <c r="BA39" i="103"/>
  <c r="I40" i="103" l="1"/>
  <c r="U80" i="103"/>
  <c r="O40" i="103"/>
  <c r="P40" i="103"/>
  <c r="N40" i="103" l="1"/>
  <c r="L40" i="103" s="1"/>
  <c r="M41" i="103" s="1"/>
  <c r="G40" i="103" l="1"/>
  <c r="K40" i="103" s="1"/>
  <c r="Q40" i="103" s="1"/>
  <c r="S41" i="103" l="1"/>
  <c r="H41" i="103"/>
  <c r="T82" i="103"/>
  <c r="V82" i="103" s="1"/>
  <c r="BA40" i="103"/>
  <c r="I41" i="103" l="1"/>
  <c r="U81" i="103"/>
  <c r="O41" i="103"/>
  <c r="P41" i="103"/>
  <c r="N41" i="103" l="1"/>
  <c r="L41" i="103" s="1"/>
  <c r="G41" i="103" l="1"/>
  <c r="K41" i="103" s="1"/>
  <c r="Q41" i="103" s="1"/>
  <c r="M42" i="103"/>
  <c r="S42" i="103" l="1"/>
  <c r="H42" i="103"/>
  <c r="T83" i="103"/>
  <c r="V83" i="103" s="1"/>
  <c r="BA41" i="103"/>
  <c r="I42" i="103" l="1"/>
  <c r="U82" i="103"/>
  <c r="O42" i="103"/>
  <c r="P42" i="103"/>
  <c r="N42" i="103" l="1"/>
  <c r="L42" i="103" s="1"/>
  <c r="G42" i="103" l="1"/>
  <c r="K42" i="103" s="1"/>
  <c r="Q42" i="103" s="1"/>
  <c r="M43" i="103"/>
  <c r="S43" i="103" l="1"/>
  <c r="H43" i="103"/>
  <c r="T84" i="103"/>
  <c r="V84" i="103" s="1"/>
  <c r="BA42" i="103"/>
  <c r="I43" i="103" l="1"/>
  <c r="U83" i="103"/>
  <c r="O43" i="103"/>
  <c r="P43" i="103"/>
  <c r="N43" i="103" l="1"/>
  <c r="L43" i="103" s="1"/>
  <c r="M44" i="103" s="1"/>
  <c r="G43" i="103" l="1"/>
  <c r="K43" i="103" s="1"/>
  <c r="Q43" i="103" s="1"/>
  <c r="S44" i="103" l="1"/>
  <c r="H44" i="103"/>
  <c r="T85" i="103"/>
  <c r="V85" i="103" s="1"/>
  <c r="BA43" i="103"/>
  <c r="I44" i="103" l="1"/>
  <c r="U84" i="103"/>
  <c r="O44" i="103"/>
  <c r="P44" i="103"/>
  <c r="N44" i="103" l="1"/>
  <c r="L44" i="103" s="1"/>
  <c r="M45" i="103" s="1"/>
  <c r="G44" i="103" l="1"/>
  <c r="K44" i="103" s="1"/>
  <c r="Q44" i="103" s="1"/>
  <c r="S45" i="103" l="1"/>
  <c r="H45" i="103"/>
  <c r="T86" i="103"/>
  <c r="V86" i="103" s="1"/>
  <c r="BA44" i="103"/>
  <c r="I45" i="103" l="1"/>
  <c r="U85" i="103"/>
  <c r="O45" i="103"/>
  <c r="P45" i="103"/>
  <c r="N45" i="103" l="1"/>
  <c r="L45" i="103" s="1"/>
  <c r="M46" i="103" s="1"/>
  <c r="G45" i="103" l="1"/>
  <c r="K45" i="103" s="1"/>
  <c r="Q45" i="103" s="1"/>
  <c r="S46" i="103" l="1"/>
  <c r="H46" i="103"/>
  <c r="T87" i="103"/>
  <c r="V87" i="103" s="1"/>
  <c r="BA45" i="103"/>
  <c r="I46" i="103" l="1"/>
  <c r="U86" i="103"/>
  <c r="O46" i="103"/>
  <c r="P46" i="103"/>
  <c r="N46" i="103" l="1"/>
  <c r="L46" i="103" s="1"/>
  <c r="G46" i="103" l="1"/>
  <c r="K46" i="103" s="1"/>
  <c r="Q46" i="103" s="1"/>
  <c r="M47" i="103"/>
  <c r="S47" i="103" l="1"/>
  <c r="H47" i="103"/>
  <c r="T88" i="103"/>
  <c r="V88" i="103" s="1"/>
  <c r="BA46" i="103"/>
  <c r="I47" i="103" l="1"/>
  <c r="U87" i="103"/>
  <c r="O47" i="103"/>
  <c r="P47" i="103"/>
  <c r="N47" i="103" l="1"/>
  <c r="L47" i="103" s="1"/>
  <c r="M48" i="103" s="1"/>
  <c r="G47" i="103" l="1"/>
  <c r="K47" i="103" s="1"/>
  <c r="Q47" i="103" s="1"/>
  <c r="S48" i="103" l="1"/>
  <c r="H48" i="103"/>
  <c r="T89" i="103"/>
  <c r="V89" i="103" s="1"/>
  <c r="BA47" i="103"/>
  <c r="I48" i="103" l="1"/>
  <c r="U88" i="103"/>
  <c r="O48" i="103"/>
  <c r="P48" i="103"/>
  <c r="N48" i="103" l="1"/>
  <c r="L48" i="103" s="1"/>
  <c r="M49" i="103" s="1"/>
  <c r="G48" i="103" l="1"/>
  <c r="K48" i="103" s="1"/>
  <c r="Q48" i="103" s="1"/>
  <c r="S49" i="103" l="1"/>
  <c r="H49" i="103"/>
  <c r="T90" i="103"/>
  <c r="V90" i="103" s="1"/>
  <c r="BA48" i="103"/>
  <c r="I49" i="103" l="1"/>
  <c r="U89" i="103"/>
  <c r="O49" i="103"/>
  <c r="P49" i="103"/>
  <c r="N49" i="103" l="1"/>
  <c r="L49" i="103" s="1"/>
  <c r="M50" i="103" s="1"/>
  <c r="G49" i="103" l="1"/>
  <c r="K49" i="103" s="1"/>
  <c r="Q49" i="103" s="1"/>
  <c r="S50" i="103" l="1"/>
  <c r="H50" i="103"/>
  <c r="T91" i="103"/>
  <c r="V91" i="103" s="1"/>
  <c r="BA49" i="103"/>
  <c r="I50" i="103" l="1"/>
  <c r="U90" i="103"/>
  <c r="O50" i="103"/>
  <c r="P50" i="103"/>
  <c r="N50" i="103" l="1"/>
  <c r="L50" i="103" s="1"/>
  <c r="M51" i="103" s="1"/>
  <c r="G50" i="103" l="1"/>
  <c r="K50" i="103" s="1"/>
  <c r="Q50" i="103" s="1"/>
  <c r="S51" i="103" l="1"/>
  <c r="H51" i="103"/>
  <c r="T92" i="103"/>
  <c r="V92" i="103" s="1"/>
  <c r="BA50" i="103"/>
  <c r="I51" i="103" l="1"/>
  <c r="U91" i="103"/>
  <c r="O51" i="103"/>
  <c r="P51" i="103"/>
  <c r="N51" i="103" l="1"/>
  <c r="L51" i="103" s="1"/>
  <c r="M52" i="103" s="1"/>
  <c r="G51" i="103" l="1"/>
  <c r="K51" i="103" s="1"/>
  <c r="Q51" i="103" s="1"/>
  <c r="S52" i="103" l="1"/>
  <c r="H52" i="103"/>
  <c r="T93" i="103"/>
  <c r="V93" i="103" s="1"/>
  <c r="BA51" i="103"/>
  <c r="I52" i="103" l="1"/>
  <c r="U92" i="103"/>
  <c r="O52" i="103"/>
  <c r="P52" i="103"/>
  <c r="N52" i="103" l="1"/>
  <c r="L52" i="103" s="1"/>
  <c r="M53" i="103" s="1"/>
  <c r="G52" i="103" l="1"/>
  <c r="K52" i="103" s="1"/>
  <c r="Q52" i="103" s="1"/>
  <c r="S53" i="103" l="1"/>
  <c r="H53" i="103"/>
  <c r="T94" i="103"/>
  <c r="V94" i="103" s="1"/>
  <c r="BA52" i="103"/>
  <c r="I53" i="103" l="1"/>
  <c r="U93" i="103"/>
  <c r="O53" i="103"/>
  <c r="P53" i="103"/>
  <c r="N53" i="103" l="1"/>
  <c r="L53" i="103" s="1"/>
  <c r="G53" i="103" l="1"/>
  <c r="K53" i="103" s="1"/>
  <c r="Q53" i="103" s="1"/>
  <c r="M54" i="103"/>
  <c r="S54" i="103" l="1"/>
  <c r="H54" i="103"/>
  <c r="T95" i="103"/>
  <c r="V95" i="103" s="1"/>
  <c r="BA53" i="103"/>
  <c r="U94" i="103" l="1"/>
  <c r="I54" i="103"/>
  <c r="O54" i="103"/>
  <c r="N54" i="103" s="1"/>
  <c r="L54" i="103" s="1"/>
  <c r="P54" i="103"/>
  <c r="G54" i="103" l="1"/>
  <c r="BA54" i="103" s="1"/>
  <c r="M55" i="103"/>
  <c r="K54" i="103" l="1"/>
  <c r="Q54" i="103" s="1"/>
  <c r="S55" i="103" l="1"/>
  <c r="H55" i="103"/>
  <c r="T96" i="103"/>
  <c r="I55" i="103" l="1"/>
  <c r="V96" i="103"/>
  <c r="U95" i="103"/>
  <c r="O55" i="103"/>
  <c r="P55" i="103"/>
  <c r="N55" i="103" l="1"/>
  <c r="L55" i="103" s="1"/>
  <c r="M56" i="103" s="1"/>
  <c r="G55" i="103" l="1"/>
  <c r="K55" i="103" s="1"/>
  <c r="Q55" i="103" s="1"/>
  <c r="H56" i="103" l="1"/>
  <c r="S56" i="103"/>
  <c r="T97" i="103"/>
  <c r="V97" i="103" s="1"/>
  <c r="BA55" i="103"/>
  <c r="O56" i="103" l="1"/>
  <c r="P56" i="103"/>
  <c r="U96" i="103"/>
  <c r="N56" i="103"/>
  <c r="L56" i="103" s="1"/>
  <c r="I56" i="103"/>
  <c r="J56" i="103" s="1"/>
  <c r="J160" i="103" s="1"/>
  <c r="C27" i="103" s="1"/>
  <c r="K56" i="103" l="1"/>
  <c r="Q56" i="103" s="1"/>
  <c r="M57" i="103"/>
  <c r="H57" i="103" l="1"/>
  <c r="G56" i="103" s="1"/>
  <c r="BA56" i="103" s="1"/>
  <c r="S57" i="103"/>
  <c r="T98" i="103"/>
  <c r="V98" i="103" l="1"/>
  <c r="U97" i="103"/>
  <c r="O57" i="103"/>
  <c r="N57" i="103" s="1"/>
  <c r="L57" i="103" s="1"/>
  <c r="G57" i="103" s="1"/>
  <c r="BA57" i="103" s="1"/>
  <c r="P57" i="103"/>
  <c r="I57" i="103"/>
  <c r="K57" i="103" l="1"/>
  <c r="Q57" i="103" s="1"/>
  <c r="M58" i="103"/>
  <c r="H58" i="103" l="1"/>
  <c r="S58" i="103"/>
  <c r="T99" i="103"/>
  <c r="V99" i="103" l="1"/>
  <c r="U98" i="103"/>
  <c r="O58" i="103"/>
  <c r="N58" i="103" s="1"/>
  <c r="L58" i="103" s="1"/>
  <c r="G58" i="103" s="1"/>
  <c r="BA58" i="103" s="1"/>
  <c r="P58" i="103"/>
  <c r="I58" i="103"/>
  <c r="K58" i="103" l="1"/>
  <c r="Q58" i="103" s="1"/>
  <c r="M59" i="103"/>
  <c r="H59" i="103" l="1"/>
  <c r="S59" i="103"/>
  <c r="T100" i="103"/>
  <c r="V100" i="103" l="1"/>
  <c r="U99" i="103"/>
  <c r="O59" i="103"/>
  <c r="P59" i="103"/>
  <c r="I59" i="103"/>
  <c r="N59" i="103" l="1"/>
  <c r="L59" i="103" s="1"/>
  <c r="G59" i="103" l="1"/>
  <c r="K59" i="103" s="1"/>
  <c r="Q59" i="103" s="1"/>
  <c r="M60" i="103"/>
  <c r="H60" i="103" l="1"/>
  <c r="S60" i="103"/>
  <c r="T101" i="103"/>
  <c r="V101" i="103" s="1"/>
  <c r="BA59" i="103"/>
  <c r="O60" i="103" l="1"/>
  <c r="P60" i="103"/>
  <c r="U100" i="103"/>
  <c r="N60" i="103"/>
  <c r="L60" i="103" s="1"/>
  <c r="G60" i="103" s="1"/>
  <c r="BA60" i="103" s="1"/>
  <c r="I60" i="103"/>
  <c r="K60" i="103" l="1"/>
  <c r="Q60" i="103" s="1"/>
  <c r="M61" i="103"/>
  <c r="H61" i="103" l="1"/>
  <c r="S61" i="103"/>
  <c r="T102" i="103"/>
  <c r="V102" i="103" l="1"/>
  <c r="U101" i="103"/>
  <c r="O61" i="103"/>
  <c r="P61" i="103"/>
  <c r="I61" i="103"/>
  <c r="N61" i="103" l="1"/>
  <c r="L61" i="103" s="1"/>
  <c r="G61" i="103" l="1"/>
  <c r="K61" i="103" s="1"/>
  <c r="Q61" i="103" s="1"/>
  <c r="M62" i="103"/>
  <c r="H62" i="103" l="1"/>
  <c r="S62" i="103"/>
  <c r="T103" i="103"/>
  <c r="V103" i="103" s="1"/>
  <c r="BA61" i="103"/>
  <c r="O62" i="103" l="1"/>
  <c r="P62" i="103"/>
  <c r="U102" i="103"/>
  <c r="N62" i="103"/>
  <c r="L62" i="103" s="1"/>
  <c r="G62" i="103" s="1"/>
  <c r="BA62" i="103" s="1"/>
  <c r="I62" i="103"/>
  <c r="K62" i="103" l="1"/>
  <c r="Q62" i="103" s="1"/>
  <c r="M63" i="103"/>
  <c r="H63" i="103" l="1"/>
  <c r="S63" i="103"/>
  <c r="T104" i="103"/>
  <c r="V104" i="103" l="1"/>
  <c r="U103" i="103"/>
  <c r="O63" i="103"/>
  <c r="N63" i="103" s="1"/>
  <c r="L63" i="103" s="1"/>
  <c r="G63" i="103" s="1"/>
  <c r="BA63" i="103" s="1"/>
  <c r="P63" i="103"/>
  <c r="I63" i="103"/>
  <c r="K63" i="103" l="1"/>
  <c r="Q63" i="103" s="1"/>
  <c r="M64" i="103"/>
  <c r="H64" i="103" l="1"/>
  <c r="S64" i="103"/>
  <c r="T105" i="103"/>
  <c r="V105" i="103" l="1"/>
  <c r="U104" i="103"/>
  <c r="I64" i="103"/>
  <c r="O64" i="103"/>
  <c r="N64" i="103" s="1"/>
  <c r="L64" i="103" s="1"/>
  <c r="G64" i="103" s="1"/>
  <c r="BA64" i="103" s="1"/>
  <c r="P64" i="103"/>
  <c r="K64" i="103" l="1"/>
  <c r="Q64" i="103" s="1"/>
  <c r="M65" i="103"/>
  <c r="H65" i="103" l="1"/>
  <c r="S65" i="103"/>
  <c r="T106" i="103"/>
  <c r="V106" i="103" l="1"/>
  <c r="U105" i="103"/>
  <c r="O65" i="103"/>
  <c r="N65" i="103" s="1"/>
  <c r="L65" i="103" s="1"/>
  <c r="G65" i="103" s="1"/>
  <c r="BA65" i="103" s="1"/>
  <c r="P65" i="103"/>
  <c r="I65" i="103"/>
  <c r="K65" i="103" l="1"/>
  <c r="Q65" i="103" s="1"/>
  <c r="M66" i="103"/>
  <c r="H66" i="103" l="1"/>
  <c r="S66" i="103"/>
  <c r="T107" i="103"/>
  <c r="V107" i="103" l="1"/>
  <c r="U106" i="103"/>
  <c r="O66" i="103"/>
  <c r="P66" i="103"/>
  <c r="I66" i="103"/>
  <c r="N66" i="103" l="1"/>
  <c r="L66" i="103" s="1"/>
  <c r="G66" i="103" l="1"/>
  <c r="K66" i="103" s="1"/>
  <c r="Q66" i="103" s="1"/>
  <c r="M67" i="103"/>
  <c r="H67" i="103" l="1"/>
  <c r="S67" i="103"/>
  <c r="T108" i="103"/>
  <c r="V108" i="103" s="1"/>
  <c r="BA66" i="103"/>
  <c r="O67" i="103" l="1"/>
  <c r="P67" i="103"/>
  <c r="U107" i="103"/>
  <c r="N67" i="103"/>
  <c r="L67" i="103" s="1"/>
  <c r="G67" i="103" s="1"/>
  <c r="BA67" i="103" s="1"/>
  <c r="I67" i="103"/>
  <c r="K67" i="103" l="1"/>
  <c r="Q67" i="103" s="1"/>
  <c r="M68" i="103"/>
  <c r="H68" i="103" l="1"/>
  <c r="S68" i="103"/>
  <c r="T109" i="103"/>
  <c r="V109" i="103" l="1"/>
  <c r="U108" i="103"/>
  <c r="O68" i="103"/>
  <c r="N68" i="103" s="1"/>
  <c r="L68" i="103" s="1"/>
  <c r="G68" i="103" s="1"/>
  <c r="BA68" i="103" s="1"/>
  <c r="P68" i="103"/>
  <c r="I68" i="103"/>
  <c r="M69" i="103" l="1"/>
  <c r="K68" i="103"/>
  <c r="Q68" i="103" s="1"/>
  <c r="H69" i="103" l="1"/>
  <c r="S69" i="103"/>
  <c r="T110" i="103"/>
  <c r="O69" i="103" l="1"/>
  <c r="P69" i="103"/>
  <c r="V110" i="103"/>
  <c r="U109" i="103"/>
  <c r="N69" i="103"/>
  <c r="L69" i="103" s="1"/>
  <c r="G69" i="103" s="1"/>
  <c r="BA69" i="103" s="1"/>
  <c r="I69" i="103"/>
  <c r="K69" i="103" l="1"/>
  <c r="Q69" i="103" s="1"/>
  <c r="M70" i="103"/>
  <c r="H70" i="103" l="1"/>
  <c r="S70" i="103"/>
  <c r="T111" i="103"/>
  <c r="O70" i="103" l="1"/>
  <c r="P70" i="103"/>
  <c r="V111" i="103"/>
  <c r="U110" i="103"/>
  <c r="N70" i="103"/>
  <c r="L70" i="103" s="1"/>
  <c r="G70" i="103" s="1"/>
  <c r="BA70" i="103" s="1"/>
  <c r="I70" i="103"/>
  <c r="K70" i="103" l="1"/>
  <c r="Q70" i="103" s="1"/>
  <c r="M71" i="103"/>
  <c r="H71" i="103" l="1"/>
  <c r="S71" i="103"/>
  <c r="T112" i="103"/>
  <c r="V112" i="103" l="1"/>
  <c r="U111" i="103"/>
  <c r="O71" i="103"/>
  <c r="N71" i="103" s="1"/>
  <c r="L71" i="103" s="1"/>
  <c r="G71" i="103" s="1"/>
  <c r="BA71" i="103" s="1"/>
  <c r="P71" i="103"/>
  <c r="I71" i="103"/>
  <c r="K71" i="103" l="1"/>
  <c r="Q71" i="103" s="1"/>
  <c r="M72" i="103"/>
  <c r="H72" i="103" l="1"/>
  <c r="S72" i="103"/>
  <c r="T113" i="103"/>
  <c r="V113" i="103" l="1"/>
  <c r="U112" i="103"/>
  <c r="O72" i="103"/>
  <c r="N72" i="103" s="1"/>
  <c r="L72" i="103" s="1"/>
  <c r="G72" i="103" s="1"/>
  <c r="BA72" i="103" s="1"/>
  <c r="P72" i="103"/>
  <c r="I72" i="103"/>
  <c r="K72" i="103" l="1"/>
  <c r="Q72" i="103" s="1"/>
  <c r="M73" i="103"/>
  <c r="H73" i="103" l="1"/>
  <c r="S73" i="103"/>
  <c r="T114" i="103"/>
  <c r="V114" i="103" l="1"/>
  <c r="U113" i="103"/>
  <c r="O73" i="103"/>
  <c r="N73" i="103" s="1"/>
  <c r="L73" i="103" s="1"/>
  <c r="G73" i="103" s="1"/>
  <c r="BA73" i="103" s="1"/>
  <c r="P73" i="103"/>
  <c r="I73" i="103"/>
  <c r="K73" i="103" l="1"/>
  <c r="Q73" i="103" s="1"/>
  <c r="M74" i="103"/>
  <c r="H74" i="103" l="1"/>
  <c r="S74" i="103"/>
  <c r="T115" i="103"/>
  <c r="O74" i="103" l="1"/>
  <c r="P74" i="103"/>
  <c r="V115" i="103"/>
  <c r="U114" i="103"/>
  <c r="N74" i="103"/>
  <c r="L74" i="103" s="1"/>
  <c r="G74" i="103" s="1"/>
  <c r="BA74" i="103" s="1"/>
  <c r="I74" i="103"/>
  <c r="K74" i="103" l="1"/>
  <c r="Q74" i="103" s="1"/>
  <c r="M75" i="103"/>
  <c r="H75" i="103" l="1"/>
  <c r="S75" i="103"/>
  <c r="T116" i="103"/>
  <c r="O75" i="103" l="1"/>
  <c r="P75" i="103"/>
  <c r="V116" i="103"/>
  <c r="U115" i="103"/>
  <c r="N75" i="103"/>
  <c r="L75" i="103" s="1"/>
  <c r="G75" i="103" s="1"/>
  <c r="BA75" i="103" s="1"/>
  <c r="I75" i="103"/>
  <c r="K75" i="103" l="1"/>
  <c r="Q75" i="103" s="1"/>
  <c r="M76" i="103"/>
  <c r="H76" i="103" l="1"/>
  <c r="S76" i="103"/>
  <c r="T117" i="103"/>
  <c r="V117" i="103" l="1"/>
  <c r="U116" i="103"/>
  <c r="O76" i="103"/>
  <c r="N76" i="103" s="1"/>
  <c r="L76" i="103" s="1"/>
  <c r="G76" i="103" s="1"/>
  <c r="BA76" i="103" s="1"/>
  <c r="P76" i="103"/>
  <c r="I76" i="103"/>
  <c r="K76" i="103" l="1"/>
  <c r="Q76" i="103" s="1"/>
  <c r="M77" i="103"/>
  <c r="H77" i="103" l="1"/>
  <c r="S77" i="103"/>
  <c r="T118" i="103"/>
  <c r="O77" i="103" l="1"/>
  <c r="P77" i="103"/>
  <c r="V118" i="103"/>
  <c r="U117" i="103"/>
  <c r="N77" i="103"/>
  <c r="L77" i="103" s="1"/>
  <c r="G77" i="103" s="1"/>
  <c r="BA77" i="103" s="1"/>
  <c r="I77" i="103"/>
  <c r="K77" i="103" l="1"/>
  <c r="Q77" i="103" s="1"/>
  <c r="M78" i="103"/>
  <c r="H78" i="103" l="1"/>
  <c r="S78" i="103"/>
  <c r="T119" i="103"/>
  <c r="O78" i="103" l="1"/>
  <c r="P78" i="103"/>
  <c r="V119" i="103"/>
  <c r="U118" i="103"/>
  <c r="N78" i="103"/>
  <c r="L78" i="103" s="1"/>
  <c r="G78" i="103" s="1"/>
  <c r="BA78" i="103" s="1"/>
  <c r="I78" i="103"/>
  <c r="K78" i="103" l="1"/>
  <c r="Q78" i="103" s="1"/>
  <c r="M79" i="103"/>
  <c r="H79" i="103" l="1"/>
  <c r="S79" i="103"/>
  <c r="T120" i="103"/>
  <c r="O79" i="103" l="1"/>
  <c r="P79" i="103"/>
  <c r="V120" i="103"/>
  <c r="U119" i="103"/>
  <c r="N79" i="103"/>
  <c r="L79" i="103" s="1"/>
  <c r="G79" i="103" s="1"/>
  <c r="BA79" i="103" s="1"/>
  <c r="I79" i="103"/>
  <c r="K79" i="103" l="1"/>
  <c r="Q79" i="103" s="1"/>
  <c r="M80" i="103"/>
  <c r="H80" i="103" l="1"/>
  <c r="S80" i="103"/>
  <c r="T121" i="103"/>
  <c r="V121" i="103" l="1"/>
  <c r="U120" i="103"/>
  <c r="O80" i="103"/>
  <c r="N80" i="103" s="1"/>
  <c r="L80" i="103" s="1"/>
  <c r="G80" i="103" s="1"/>
  <c r="BA80" i="103" s="1"/>
  <c r="P80" i="103"/>
  <c r="I80" i="103"/>
  <c r="K80" i="103" l="1"/>
  <c r="Q80" i="103" s="1"/>
  <c r="M81" i="103"/>
  <c r="H81" i="103" l="1"/>
  <c r="S81" i="103"/>
  <c r="T122" i="103"/>
  <c r="O81" i="103" l="1"/>
  <c r="P81" i="103"/>
  <c r="V122" i="103"/>
  <c r="U121" i="103"/>
  <c r="N81" i="103"/>
  <c r="L81" i="103" s="1"/>
  <c r="G81" i="103" s="1"/>
  <c r="BA81" i="103" s="1"/>
  <c r="I81" i="103"/>
  <c r="K81" i="103" l="1"/>
  <c r="Q81" i="103" s="1"/>
  <c r="M82" i="103"/>
  <c r="H82" i="103" l="1"/>
  <c r="S82" i="103"/>
  <c r="T123" i="103"/>
  <c r="O82" i="103" l="1"/>
  <c r="P82" i="103"/>
  <c r="V123" i="103"/>
  <c r="U122" i="103"/>
  <c r="N82" i="103"/>
  <c r="L82" i="103" s="1"/>
  <c r="G82" i="103" s="1"/>
  <c r="BA82" i="103" s="1"/>
  <c r="I82" i="103"/>
  <c r="K82" i="103" l="1"/>
  <c r="Q82" i="103" s="1"/>
  <c r="M83" i="103"/>
  <c r="H83" i="103" l="1"/>
  <c r="S83" i="103"/>
  <c r="T124" i="103"/>
  <c r="V124" i="103" l="1"/>
  <c r="U123" i="103"/>
  <c r="O83" i="103"/>
  <c r="P83" i="103"/>
  <c r="I83" i="103"/>
  <c r="N83" i="103" l="1"/>
  <c r="L83" i="103" s="1"/>
  <c r="G83" i="103" l="1"/>
  <c r="K83" i="103" s="1"/>
  <c r="Q83" i="103" s="1"/>
  <c r="M84" i="103"/>
  <c r="H84" i="103" l="1"/>
  <c r="S84" i="103"/>
  <c r="T125" i="103"/>
  <c r="V125" i="103" s="1"/>
  <c r="BA83" i="103"/>
  <c r="O84" i="103" l="1"/>
  <c r="P84" i="103"/>
  <c r="U124" i="103"/>
  <c r="N84" i="103"/>
  <c r="L84" i="103" s="1"/>
  <c r="G84" i="103" s="1"/>
  <c r="BA84" i="103" s="1"/>
  <c r="I84" i="103"/>
  <c r="K84" i="103" l="1"/>
  <c r="Q84" i="103" s="1"/>
  <c r="M85" i="103"/>
  <c r="H85" i="103" l="1"/>
  <c r="S85" i="103"/>
  <c r="T126" i="103"/>
  <c r="V126" i="103" l="1"/>
  <c r="U125" i="103"/>
  <c r="O85" i="103"/>
  <c r="N85" i="103" s="1"/>
  <c r="L85" i="103" s="1"/>
  <c r="G85" i="103" s="1"/>
  <c r="BA85" i="103" s="1"/>
  <c r="P85" i="103"/>
  <c r="I85" i="103"/>
  <c r="K85" i="103" l="1"/>
  <c r="Q85" i="103" s="1"/>
  <c r="M86" i="103"/>
  <c r="H86" i="103" l="1"/>
  <c r="S86" i="103"/>
  <c r="T127" i="103"/>
  <c r="V127" i="103" l="1"/>
  <c r="U126" i="103"/>
  <c r="O86" i="103"/>
  <c r="N86" i="103" s="1"/>
  <c r="L86" i="103" s="1"/>
  <c r="G86" i="103" s="1"/>
  <c r="BA86" i="103" s="1"/>
  <c r="P86" i="103"/>
  <c r="I86" i="103"/>
  <c r="K86" i="103" l="1"/>
  <c r="Q86" i="103" s="1"/>
  <c r="M87" i="103"/>
  <c r="H87" i="103" l="1"/>
  <c r="S87" i="103"/>
  <c r="T128" i="103"/>
  <c r="O87" i="103" l="1"/>
  <c r="P87" i="103"/>
  <c r="V128" i="103"/>
  <c r="U127" i="103"/>
  <c r="N87" i="103"/>
  <c r="L87" i="103" s="1"/>
  <c r="G87" i="103" s="1"/>
  <c r="BA87" i="103" s="1"/>
  <c r="I87" i="103"/>
  <c r="K87" i="103" l="1"/>
  <c r="Q87" i="103" s="1"/>
  <c r="M88" i="103"/>
  <c r="H88" i="103" l="1"/>
  <c r="S88" i="103"/>
  <c r="T129" i="103"/>
  <c r="O88" i="103" l="1"/>
  <c r="P88" i="103"/>
  <c r="V129" i="103"/>
  <c r="U128" i="103"/>
  <c r="N88" i="103"/>
  <c r="L88" i="103" s="1"/>
  <c r="G88" i="103" s="1"/>
  <c r="BA88" i="103" s="1"/>
  <c r="I88" i="103"/>
  <c r="K88" i="103" l="1"/>
  <c r="Q88" i="103" s="1"/>
  <c r="M89" i="103"/>
  <c r="H89" i="103" l="1"/>
  <c r="S89" i="103"/>
  <c r="T130" i="103"/>
  <c r="V130" i="103" l="1"/>
  <c r="U129" i="103"/>
  <c r="O89" i="103"/>
  <c r="N89" i="103" s="1"/>
  <c r="L89" i="103" s="1"/>
  <c r="G89" i="103" s="1"/>
  <c r="BA89" i="103" s="1"/>
  <c r="P89" i="103"/>
  <c r="I89" i="103"/>
  <c r="K89" i="103" l="1"/>
  <c r="Q89" i="103" s="1"/>
  <c r="M90" i="103"/>
  <c r="H90" i="103" l="1"/>
  <c r="S90" i="103"/>
  <c r="T131" i="103"/>
  <c r="O90" i="103" l="1"/>
  <c r="P90" i="103"/>
  <c r="V131" i="103"/>
  <c r="U130" i="103"/>
  <c r="N90" i="103"/>
  <c r="L90" i="103" s="1"/>
  <c r="G90" i="103" s="1"/>
  <c r="BA90" i="103" s="1"/>
  <c r="I90" i="103"/>
  <c r="K90" i="103" l="1"/>
  <c r="Q90" i="103" s="1"/>
  <c r="M91" i="103"/>
  <c r="H91" i="103" l="1"/>
  <c r="S91" i="103"/>
  <c r="T132" i="103"/>
  <c r="V132" i="103" l="1"/>
  <c r="U131" i="103"/>
  <c r="O91" i="103"/>
  <c r="N91" i="103" s="1"/>
  <c r="L91" i="103" s="1"/>
  <c r="G91" i="103" s="1"/>
  <c r="BA91" i="103" s="1"/>
  <c r="P91" i="103"/>
  <c r="I91" i="103"/>
  <c r="K91" i="103" l="1"/>
  <c r="Q91" i="103" s="1"/>
  <c r="M92" i="103"/>
  <c r="S92" i="103" l="1"/>
  <c r="H92" i="103"/>
  <c r="T133" i="103"/>
  <c r="V133" i="103" l="1"/>
  <c r="U132" i="103"/>
  <c r="I92" i="103"/>
  <c r="Q92" i="103"/>
  <c r="O92" i="103"/>
  <c r="N92" i="103" s="1"/>
  <c r="L92" i="103" s="1"/>
  <c r="K92" i="103"/>
  <c r="P92" i="103"/>
  <c r="M93" i="103" l="1"/>
  <c r="S93" i="103"/>
  <c r="H93" i="103"/>
  <c r="T134" i="103"/>
  <c r="V134" i="103" s="1"/>
  <c r="Q93" i="103" l="1"/>
  <c r="O93" i="103"/>
  <c r="N93" i="103" s="1"/>
  <c r="L93" i="103" s="1"/>
  <c r="K93" i="103"/>
  <c r="P93" i="103"/>
  <c r="I93" i="103"/>
  <c r="G92" i="103"/>
  <c r="BA92" i="103" l="1"/>
  <c r="U133" i="103"/>
  <c r="M94" i="103"/>
  <c r="G93" i="103"/>
  <c r="BA93" i="103" s="1"/>
  <c r="S94" i="103"/>
  <c r="H94" i="103"/>
  <c r="T135" i="103"/>
  <c r="V135" i="103" s="1"/>
  <c r="I94" i="103" l="1"/>
  <c r="U134" i="103"/>
  <c r="Q94" i="103"/>
  <c r="K94" i="103"/>
  <c r="O94" i="103"/>
  <c r="P94" i="103"/>
  <c r="S95" i="103" l="1"/>
  <c r="H95" i="103"/>
  <c r="T136" i="103"/>
  <c r="V136" i="103" s="1"/>
  <c r="N94" i="103"/>
  <c r="L94" i="103" s="1"/>
  <c r="G94" i="103" s="1"/>
  <c r="BA94" i="103" s="1"/>
  <c r="U135" i="103" l="1"/>
  <c r="I95" i="103"/>
  <c r="M95" i="103"/>
  <c r="Q95" i="103"/>
  <c r="O95" i="103"/>
  <c r="N95" i="103" s="1"/>
  <c r="L95" i="103" s="1"/>
  <c r="G95" i="103" s="1"/>
  <c r="BA95" i="103" s="1"/>
  <c r="K95" i="103"/>
  <c r="P95" i="103"/>
  <c r="S96" i="103" l="1"/>
  <c r="H96" i="103"/>
  <c r="T137" i="103"/>
  <c r="V137" i="103" s="1"/>
  <c r="M96" i="103"/>
  <c r="I96" i="103" l="1"/>
  <c r="U136" i="103"/>
  <c r="Q96" i="103"/>
  <c r="O96" i="103"/>
  <c r="K96" i="103"/>
  <c r="P96" i="103"/>
  <c r="S97" i="103" l="1"/>
  <c r="H97" i="103"/>
  <c r="T138" i="103"/>
  <c r="V138" i="103" s="1"/>
  <c r="N96" i="103"/>
  <c r="L96" i="103" s="1"/>
  <c r="G96" i="103" s="1"/>
  <c r="BA96" i="103" s="1"/>
  <c r="I97" i="103" l="1"/>
  <c r="M97" i="103"/>
  <c r="U137" i="103"/>
  <c r="Q97" i="103"/>
  <c r="O97" i="103"/>
  <c r="K97" i="103"/>
  <c r="P97" i="103"/>
  <c r="S98" i="103" l="1"/>
  <c r="H98" i="103"/>
  <c r="T139" i="103"/>
  <c r="V139" i="103" s="1"/>
  <c r="N97" i="103"/>
  <c r="L97" i="103" s="1"/>
  <c r="G97" i="103" s="1"/>
  <c r="BA97" i="103" s="1"/>
  <c r="I98" i="103" l="1"/>
  <c r="Q98" i="103"/>
  <c r="K98" i="103"/>
  <c r="O98" i="103"/>
  <c r="N98" i="103" s="1"/>
  <c r="L98" i="103" s="1"/>
  <c r="G98" i="103" s="1"/>
  <c r="BA98" i="103" s="1"/>
  <c r="P98" i="103"/>
  <c r="U138" i="103"/>
  <c r="M98" i="103"/>
  <c r="S99" i="103" l="1"/>
  <c r="H99" i="103"/>
  <c r="T140" i="103"/>
  <c r="V140" i="103" s="1"/>
  <c r="M99" i="103"/>
  <c r="Q99" i="103" l="1"/>
  <c r="O99" i="103"/>
  <c r="N99" i="103" s="1"/>
  <c r="L99" i="103" s="1"/>
  <c r="G99" i="103" s="1"/>
  <c r="BA99" i="103" s="1"/>
  <c r="K99" i="103"/>
  <c r="P99" i="103"/>
  <c r="I99" i="103"/>
  <c r="U139" i="103"/>
  <c r="M100" i="103" l="1"/>
  <c r="S100" i="103"/>
  <c r="H100" i="103"/>
  <c r="T141" i="103"/>
  <c r="V141" i="103" s="1"/>
  <c r="I100" i="103" l="1"/>
  <c r="Q100" i="103"/>
  <c r="O100" i="103"/>
  <c r="K100" i="103"/>
  <c r="P100" i="103"/>
  <c r="U140" i="103"/>
  <c r="S101" i="103" l="1"/>
  <c r="H101" i="103"/>
  <c r="T142" i="103"/>
  <c r="V142" i="103" s="1"/>
  <c r="N100" i="103"/>
  <c r="L100" i="103" s="1"/>
  <c r="G100" i="103" s="1"/>
  <c r="BA100" i="103" s="1"/>
  <c r="I101" i="103" l="1"/>
  <c r="Q101" i="103"/>
  <c r="O101" i="103"/>
  <c r="K101" i="103"/>
  <c r="P101" i="103"/>
  <c r="M101" i="103"/>
  <c r="U141" i="103"/>
  <c r="S102" i="103" l="1"/>
  <c r="H102" i="103"/>
  <c r="T143" i="103"/>
  <c r="V143" i="103" s="1"/>
  <c r="N101" i="103"/>
  <c r="L101" i="103" s="1"/>
  <c r="G101" i="103" s="1"/>
  <c r="BA101" i="103" s="1"/>
  <c r="I102" i="103" l="1"/>
  <c r="Q102" i="103"/>
  <c r="K102" i="103"/>
  <c r="O102" i="103"/>
  <c r="N102" i="103" s="1"/>
  <c r="L102" i="103" s="1"/>
  <c r="G102" i="103" s="1"/>
  <c r="BA102" i="103" s="1"/>
  <c r="P102" i="103"/>
  <c r="M102" i="103"/>
  <c r="U142" i="103"/>
  <c r="S103" i="103" l="1"/>
  <c r="H103" i="103"/>
  <c r="T144" i="103"/>
  <c r="V144" i="103" s="1"/>
  <c r="M103" i="103"/>
  <c r="I103" i="103" l="1"/>
  <c r="Q103" i="103"/>
  <c r="O103" i="103"/>
  <c r="K103" i="103"/>
  <c r="P103" i="103"/>
  <c r="U143" i="103"/>
  <c r="S104" i="103" l="1"/>
  <c r="T145" i="103"/>
  <c r="V145" i="103" s="1"/>
  <c r="H104" i="103"/>
  <c r="N103" i="103"/>
  <c r="L103" i="103" s="1"/>
  <c r="G103" i="103" s="1"/>
  <c r="BA103" i="103" s="1"/>
  <c r="Q104" i="103" l="1"/>
  <c r="O104" i="103"/>
  <c r="K104" i="103"/>
  <c r="P104" i="103"/>
  <c r="I104" i="103"/>
  <c r="U144" i="103"/>
  <c r="M104" i="103"/>
  <c r="N104" i="103" l="1"/>
  <c r="L104" i="103" s="1"/>
  <c r="G104" i="103" s="1"/>
  <c r="BA104" i="103" s="1"/>
  <c r="S105" i="103"/>
  <c r="H105" i="103"/>
  <c r="T146" i="103"/>
  <c r="V146" i="103" s="1"/>
  <c r="Q105" i="103" l="1"/>
  <c r="O105" i="103"/>
  <c r="N105" i="103" s="1"/>
  <c r="L105" i="103" s="1"/>
  <c r="G105" i="103" s="1"/>
  <c r="BA105" i="103" s="1"/>
  <c r="K105" i="103"/>
  <c r="P105" i="103"/>
  <c r="U145" i="103"/>
  <c r="I105" i="103"/>
  <c r="M105" i="103"/>
  <c r="M106" i="103" l="1"/>
  <c r="S106" i="103"/>
  <c r="H106" i="103"/>
  <c r="T147" i="103"/>
  <c r="V147" i="103" s="1"/>
  <c r="I106" i="103" l="1"/>
  <c r="O106" i="103"/>
  <c r="Q106" i="103"/>
  <c r="K106" i="103"/>
  <c r="P106" i="103"/>
  <c r="U146" i="103"/>
  <c r="S107" i="103" l="1"/>
  <c r="H107" i="103"/>
  <c r="T148" i="103"/>
  <c r="V148" i="103" s="1"/>
  <c r="N106" i="103"/>
  <c r="L106" i="103" s="1"/>
  <c r="G106" i="103" s="1"/>
  <c r="BA106" i="103" s="1"/>
  <c r="I107" i="103" l="1"/>
  <c r="M107" i="103"/>
  <c r="U147" i="103"/>
  <c r="Q107" i="103"/>
  <c r="O107" i="103"/>
  <c r="K107" i="103"/>
  <c r="P107" i="103"/>
  <c r="S108" i="103" l="1"/>
  <c r="T149" i="103"/>
  <c r="V149" i="103" s="1"/>
  <c r="H108" i="103"/>
  <c r="N107" i="103"/>
  <c r="L107" i="103" s="1"/>
  <c r="G107" i="103" s="1"/>
  <c r="BA107" i="103" s="1"/>
  <c r="O108" i="103" l="1"/>
  <c r="Q108" i="103"/>
  <c r="K108" i="103"/>
  <c r="P108" i="103"/>
  <c r="N108" i="103"/>
  <c r="L108" i="103" s="1"/>
  <c r="G108" i="103" s="1"/>
  <c r="I108" i="103"/>
  <c r="M108" i="103"/>
  <c r="U148" i="103"/>
  <c r="S109" i="103" l="1"/>
  <c r="H109" i="103"/>
  <c r="T150" i="103"/>
  <c r="V150" i="103" s="1"/>
  <c r="M109" i="103"/>
  <c r="I109" i="103" l="1"/>
  <c r="Q109" i="103"/>
  <c r="O109" i="103"/>
  <c r="K109" i="103"/>
  <c r="P109" i="103"/>
  <c r="U149" i="103"/>
  <c r="S110" i="103" l="1"/>
  <c r="H110" i="103"/>
  <c r="T151" i="103"/>
  <c r="V151" i="103" s="1"/>
  <c r="N109" i="103"/>
  <c r="L109" i="103" s="1"/>
  <c r="G109" i="103" s="1"/>
  <c r="I110" i="103" l="1"/>
  <c r="O110" i="103"/>
  <c r="Q110" i="103"/>
  <c r="K110" i="103"/>
  <c r="P110" i="103"/>
  <c r="M110" i="103"/>
  <c r="U150" i="103"/>
  <c r="S111" i="103" l="1"/>
  <c r="H111" i="103"/>
  <c r="T152" i="103"/>
  <c r="V152" i="103" s="1"/>
  <c r="N110" i="103"/>
  <c r="L110" i="103" s="1"/>
  <c r="G110" i="103" s="1"/>
  <c r="I111" i="103" l="1"/>
  <c r="M111" i="103"/>
  <c r="Q111" i="103"/>
  <c r="O111" i="103"/>
  <c r="K111" i="103"/>
  <c r="P111" i="103"/>
  <c r="U151" i="103"/>
  <c r="S112" i="103" l="1"/>
  <c r="T153" i="103"/>
  <c r="V153" i="103" s="1"/>
  <c r="H112" i="103"/>
  <c r="N111" i="103"/>
  <c r="L111" i="103" s="1"/>
  <c r="G111" i="103" s="1"/>
  <c r="M112" i="103" l="1"/>
  <c r="O112" i="103"/>
  <c r="N112" i="103" s="1"/>
  <c r="L112" i="103" s="1"/>
  <c r="G112" i="103" s="1"/>
  <c r="Q112" i="103"/>
  <c r="K112" i="103"/>
  <c r="P112" i="103"/>
  <c r="I112" i="103"/>
  <c r="U152" i="103"/>
  <c r="S113" i="103" l="1"/>
  <c r="H113" i="103"/>
  <c r="T154" i="103"/>
  <c r="V154" i="103" s="1"/>
  <c r="M113" i="103"/>
  <c r="I113" i="103" l="1"/>
  <c r="U153" i="103"/>
  <c r="Q113" i="103"/>
  <c r="O113" i="103"/>
  <c r="K113" i="103"/>
  <c r="P113" i="103"/>
  <c r="S114" i="103" l="1"/>
  <c r="H114" i="103"/>
  <c r="T155" i="103"/>
  <c r="V155" i="103" s="1"/>
  <c r="N113" i="103"/>
  <c r="L113" i="103" s="1"/>
  <c r="G113" i="103" s="1"/>
  <c r="I114" i="103" l="1"/>
  <c r="M114" i="103"/>
  <c r="U154" i="103"/>
  <c r="O114" i="103"/>
  <c r="Q114" i="103"/>
  <c r="K114" i="103"/>
  <c r="P114" i="103"/>
  <c r="S115" i="103" l="1"/>
  <c r="H115" i="103"/>
  <c r="T156" i="103"/>
  <c r="V156" i="103" s="1"/>
  <c r="N114" i="103"/>
  <c r="L114" i="103" s="1"/>
  <c r="G114" i="103" s="1"/>
  <c r="I115" i="103" l="1"/>
  <c r="M115" i="103"/>
  <c r="Q115" i="103"/>
  <c r="O115" i="103"/>
  <c r="K115" i="103"/>
  <c r="P115" i="103"/>
  <c r="U155" i="103"/>
  <c r="H116" i="103" l="1"/>
  <c r="S116" i="103"/>
  <c r="T157" i="103"/>
  <c r="V157" i="103" s="1"/>
  <c r="N115" i="103"/>
  <c r="L115" i="103" s="1"/>
  <c r="G115" i="103" s="1"/>
  <c r="M116" i="103" l="1"/>
  <c r="O116" i="103"/>
  <c r="Q116" i="103"/>
  <c r="K116" i="103"/>
  <c r="P116" i="103"/>
  <c r="I116" i="103"/>
  <c r="U156" i="103"/>
  <c r="S117" i="103" l="1"/>
  <c r="H117" i="103"/>
  <c r="T158" i="103"/>
  <c r="V158" i="103" s="1"/>
  <c r="N116" i="103"/>
  <c r="L116" i="103" s="1"/>
  <c r="G116" i="103" s="1"/>
  <c r="I117" i="103" l="1"/>
  <c r="Q117" i="103"/>
  <c r="O117" i="103"/>
  <c r="K117" i="103"/>
  <c r="P117" i="103"/>
  <c r="U157" i="103"/>
  <c r="M117" i="103"/>
  <c r="H118" i="103" l="1"/>
  <c r="S118" i="103"/>
  <c r="T159" i="103"/>
  <c r="V159" i="103" s="1"/>
  <c r="N117" i="103"/>
  <c r="L117" i="103" s="1"/>
  <c r="G117" i="103" s="1"/>
  <c r="O118" i="103" l="1"/>
  <c r="Q118" i="103"/>
  <c r="K118" i="103"/>
  <c r="P118" i="103"/>
  <c r="N118" i="103"/>
  <c r="L118" i="103" s="1"/>
  <c r="G118" i="103" s="1"/>
  <c r="I118" i="103"/>
  <c r="M118" i="103"/>
  <c r="U158" i="103"/>
  <c r="S119" i="103" l="1"/>
  <c r="H119" i="103"/>
  <c r="T160" i="103"/>
  <c r="V160" i="103" s="1"/>
  <c r="M119" i="103"/>
  <c r="I119" i="103" l="1"/>
  <c r="U159" i="103"/>
  <c r="Q119" i="103"/>
  <c r="O119" i="103"/>
  <c r="K119" i="103"/>
  <c r="P119" i="103"/>
  <c r="H120" i="103" l="1"/>
  <c r="S120" i="103"/>
  <c r="T161" i="103"/>
  <c r="V161" i="103" s="1"/>
  <c r="AE51" i="103"/>
  <c r="N119" i="103"/>
  <c r="L119" i="103" s="1"/>
  <c r="G119" i="103" s="1"/>
  <c r="M120" i="103" l="1"/>
  <c r="O120" i="103"/>
  <c r="Q120" i="103"/>
  <c r="K120" i="103"/>
  <c r="P120" i="103"/>
  <c r="U160" i="103"/>
  <c r="N120" i="103"/>
  <c r="L120" i="103" s="1"/>
  <c r="G120" i="103" s="1"/>
  <c r="I120" i="103"/>
  <c r="S121" i="103" l="1"/>
  <c r="H121" i="103"/>
  <c r="T162" i="103"/>
  <c r="V162" i="103" s="1"/>
  <c r="M121" i="103"/>
  <c r="I121" i="103" l="1"/>
  <c r="U161" i="103"/>
  <c r="Q121" i="103"/>
  <c r="O121" i="103"/>
  <c r="K121" i="103"/>
  <c r="P121" i="103"/>
  <c r="H122" i="103" l="1"/>
  <c r="S122" i="103"/>
  <c r="T163" i="103"/>
  <c r="V163" i="103" s="1"/>
  <c r="N121" i="103"/>
  <c r="L121" i="103" s="1"/>
  <c r="G121" i="103" s="1"/>
  <c r="U162" i="103" l="1"/>
  <c r="M122" i="103"/>
  <c r="O122" i="103"/>
  <c r="Q122" i="103"/>
  <c r="K122" i="103"/>
  <c r="P122" i="103"/>
  <c r="N122" i="103"/>
  <c r="L122" i="103" s="1"/>
  <c r="G122" i="103" s="1"/>
  <c r="I122" i="103"/>
  <c r="S123" i="103" l="1"/>
  <c r="H123" i="103"/>
  <c r="T164" i="103"/>
  <c r="V164" i="103" s="1"/>
  <c r="M123" i="103"/>
  <c r="I123" i="103" l="1"/>
  <c r="U163" i="103"/>
  <c r="Q123" i="103"/>
  <c r="O123" i="103"/>
  <c r="K123" i="103"/>
  <c r="P123" i="103"/>
  <c r="H124" i="103" l="1"/>
  <c r="S124" i="103"/>
  <c r="T165" i="103"/>
  <c r="V165" i="103" s="1"/>
  <c r="N123" i="103"/>
  <c r="L123" i="103" s="1"/>
  <c r="G123" i="103" s="1"/>
  <c r="M124" i="103" l="1"/>
  <c r="O124" i="103"/>
  <c r="Q124" i="103"/>
  <c r="K124" i="103"/>
  <c r="P124" i="103"/>
  <c r="N124" i="103"/>
  <c r="L124" i="103" s="1"/>
  <c r="G124" i="103" s="1"/>
  <c r="I124" i="103"/>
  <c r="U164" i="103"/>
  <c r="S125" i="103" l="1"/>
  <c r="H125" i="103"/>
  <c r="T166" i="103"/>
  <c r="V166" i="103" s="1"/>
  <c r="M125" i="103"/>
  <c r="I125" i="103" l="1"/>
  <c r="Q125" i="103"/>
  <c r="O125" i="103"/>
  <c r="K125" i="103"/>
  <c r="P125" i="103"/>
  <c r="U165" i="103"/>
  <c r="H126" i="103" l="1"/>
  <c r="S126" i="103"/>
  <c r="T167" i="103"/>
  <c r="V167" i="103" s="1"/>
  <c r="N125" i="103"/>
  <c r="L125" i="103" s="1"/>
  <c r="G125" i="103" s="1"/>
  <c r="I126" i="103" l="1"/>
  <c r="U166" i="103"/>
  <c r="O126" i="103"/>
  <c r="Q126" i="103"/>
  <c r="K126" i="103"/>
  <c r="P126" i="103"/>
  <c r="M126" i="103"/>
  <c r="S127" i="103" l="1"/>
  <c r="H127" i="103"/>
  <c r="T168" i="103"/>
  <c r="V168" i="103" s="1"/>
  <c r="N126" i="103"/>
  <c r="L126" i="103" s="1"/>
  <c r="G126" i="103" s="1"/>
  <c r="I127" i="103" l="1"/>
  <c r="Q127" i="103"/>
  <c r="O127" i="103"/>
  <c r="K127" i="103"/>
  <c r="P127" i="103"/>
  <c r="M127" i="103"/>
  <c r="U167" i="103"/>
  <c r="H128" i="103" l="1"/>
  <c r="S128" i="103"/>
  <c r="T169" i="103"/>
  <c r="V169" i="103" s="1"/>
  <c r="N127" i="103"/>
  <c r="L127" i="103" s="1"/>
  <c r="G127" i="103" s="1"/>
  <c r="O128" i="103" l="1"/>
  <c r="N128" i="103" s="1"/>
  <c r="L128" i="103" s="1"/>
  <c r="G128" i="103" s="1"/>
  <c r="Q128" i="103"/>
  <c r="K128" i="103"/>
  <c r="P128" i="103"/>
  <c r="M128" i="103"/>
  <c r="I128" i="103"/>
  <c r="U168" i="103"/>
  <c r="S129" i="103" l="1"/>
  <c r="H129" i="103"/>
  <c r="T170" i="103"/>
  <c r="V170" i="103" s="1"/>
  <c r="M129" i="103"/>
  <c r="I129" i="103" l="1"/>
  <c r="Q129" i="103"/>
  <c r="O129" i="103"/>
  <c r="K129" i="103"/>
  <c r="P129" i="103"/>
  <c r="U169" i="103"/>
  <c r="H130" i="103" l="1"/>
  <c r="S130" i="103"/>
  <c r="T171" i="103"/>
  <c r="V171" i="103" s="1"/>
  <c r="N129" i="103"/>
  <c r="L129" i="103" s="1"/>
  <c r="G129" i="103" s="1"/>
  <c r="O130" i="103" l="1"/>
  <c r="Q130" i="103"/>
  <c r="K130" i="103"/>
  <c r="P130" i="103"/>
  <c r="N130" i="103"/>
  <c r="L130" i="103" s="1"/>
  <c r="G130" i="103" s="1"/>
  <c r="I130" i="103"/>
  <c r="M130" i="103"/>
  <c r="U170" i="103"/>
  <c r="S131" i="103" l="1"/>
  <c r="H131" i="103"/>
  <c r="T172" i="103"/>
  <c r="V172" i="103" s="1"/>
  <c r="M131" i="103"/>
  <c r="I131" i="103" l="1"/>
  <c r="Q131" i="103"/>
  <c r="O131" i="103"/>
  <c r="K131" i="103"/>
  <c r="P131" i="103"/>
  <c r="U171" i="103"/>
  <c r="H132" i="103" l="1"/>
  <c r="S132" i="103"/>
  <c r="T173" i="103"/>
  <c r="V173" i="103" s="1"/>
  <c r="N131" i="103"/>
  <c r="L131" i="103" s="1"/>
  <c r="G131" i="103" s="1"/>
  <c r="O132" i="103" l="1"/>
  <c r="Q132" i="103"/>
  <c r="K132" i="103"/>
  <c r="P132" i="103"/>
  <c r="N132" i="103"/>
  <c r="L132" i="103" s="1"/>
  <c r="G132" i="103" s="1"/>
  <c r="I132" i="103"/>
  <c r="M132" i="103"/>
  <c r="U172" i="103"/>
  <c r="S133" i="103" l="1"/>
  <c r="H133" i="103"/>
  <c r="T174" i="103"/>
  <c r="V174" i="103" s="1"/>
  <c r="M133" i="103"/>
  <c r="I133" i="103" l="1"/>
  <c r="Q133" i="103"/>
  <c r="O133" i="103"/>
  <c r="K133" i="103"/>
  <c r="P133" i="103"/>
  <c r="U173" i="103"/>
  <c r="H134" i="103" l="1"/>
  <c r="S134" i="103"/>
  <c r="T175" i="103"/>
  <c r="V175" i="103" s="1"/>
  <c r="N133" i="103"/>
  <c r="L133" i="103" s="1"/>
  <c r="G133" i="103" s="1"/>
  <c r="M134" i="103" l="1"/>
  <c r="O134" i="103"/>
  <c r="Q134" i="103"/>
  <c r="K134" i="103"/>
  <c r="P134" i="103"/>
  <c r="N134" i="103"/>
  <c r="L134" i="103" s="1"/>
  <c r="G134" i="103" s="1"/>
  <c r="I134" i="103"/>
  <c r="U174" i="103"/>
  <c r="S135" i="103" l="1"/>
  <c r="H135" i="103"/>
  <c r="T176" i="103"/>
  <c r="V176" i="103" s="1"/>
  <c r="M135" i="103"/>
  <c r="I135" i="103" l="1"/>
  <c r="U175" i="103"/>
  <c r="Q135" i="103"/>
  <c r="O135" i="103"/>
  <c r="K135" i="103"/>
  <c r="P135" i="103"/>
  <c r="H136" i="103" l="1"/>
  <c r="S136" i="103"/>
  <c r="T177" i="103"/>
  <c r="V177" i="103" s="1"/>
  <c r="N135" i="103"/>
  <c r="L135" i="103" s="1"/>
  <c r="G135" i="103" s="1"/>
  <c r="M136" i="103" l="1"/>
  <c r="O136" i="103"/>
  <c r="N136" i="103" s="1"/>
  <c r="L136" i="103" s="1"/>
  <c r="G136" i="103" s="1"/>
  <c r="Q136" i="103"/>
  <c r="K136" i="103"/>
  <c r="P136" i="103"/>
  <c r="I136" i="103"/>
  <c r="U176" i="103"/>
  <c r="S137" i="103" l="1"/>
  <c r="H137" i="103"/>
  <c r="T178" i="103"/>
  <c r="V178" i="103" s="1"/>
  <c r="M137" i="103"/>
  <c r="I137" i="103" l="1"/>
  <c r="Q137" i="103"/>
  <c r="O137" i="103"/>
  <c r="K137" i="103"/>
  <c r="P137" i="103"/>
  <c r="U177" i="103"/>
  <c r="H138" i="103" l="1"/>
  <c r="S138" i="103"/>
  <c r="T179" i="103"/>
  <c r="V179" i="103" s="1"/>
  <c r="N137" i="103"/>
  <c r="L137" i="103" s="1"/>
  <c r="G137" i="103" s="1"/>
  <c r="O138" i="103" l="1"/>
  <c r="Q138" i="103"/>
  <c r="K138" i="103"/>
  <c r="P138" i="103"/>
  <c r="N138" i="103"/>
  <c r="L138" i="103" s="1"/>
  <c r="G138" i="103" s="1"/>
  <c r="I138" i="103"/>
  <c r="M138" i="103"/>
  <c r="U178" i="103"/>
  <c r="S139" i="103" l="1"/>
  <c r="H139" i="103"/>
  <c r="T180" i="103"/>
  <c r="M139" i="103"/>
  <c r="I139" i="103" l="1"/>
  <c r="Q139" i="103"/>
  <c r="O139" i="103"/>
  <c r="K139" i="103"/>
  <c r="P139" i="103"/>
  <c r="V180" i="103"/>
  <c r="T181" i="103"/>
  <c r="U179" i="103"/>
  <c r="H140" i="103" l="1"/>
  <c r="S140" i="103"/>
  <c r="U180" i="103"/>
  <c r="N139" i="103"/>
  <c r="L139" i="103" s="1"/>
  <c r="G139" i="103" s="1"/>
  <c r="O140" i="103" l="1"/>
  <c r="Q140" i="103"/>
  <c r="P140" i="103"/>
  <c r="K140" i="103"/>
  <c r="N140" i="103"/>
  <c r="L140" i="103" s="1"/>
  <c r="G140" i="103" s="1"/>
  <c r="I140" i="103"/>
  <c r="U181" i="103"/>
  <c r="V181" i="103"/>
  <c r="M140" i="103"/>
  <c r="S141" i="103" l="1"/>
  <c r="H141" i="103"/>
  <c r="M141" i="103"/>
  <c r="I141" i="103" l="1"/>
  <c r="Q141" i="103"/>
  <c r="O141" i="103"/>
  <c r="P141" i="103"/>
  <c r="K141" i="103"/>
  <c r="H142" i="103" l="1"/>
  <c r="S142" i="103"/>
  <c r="N141" i="103"/>
  <c r="L141" i="103" s="1"/>
  <c r="G141" i="103" s="1"/>
  <c r="O142" i="103" l="1"/>
  <c r="Q142" i="103"/>
  <c r="K142" i="103"/>
  <c r="P142" i="103"/>
  <c r="N142" i="103"/>
  <c r="L142" i="103" s="1"/>
  <c r="G142" i="103" s="1"/>
  <c r="I142" i="103"/>
  <c r="M142" i="103"/>
  <c r="S143" i="103" l="1"/>
  <c r="H143" i="103"/>
  <c r="M143" i="103"/>
  <c r="I143" i="103" l="1"/>
  <c r="Q143" i="103"/>
  <c r="O143" i="103"/>
  <c r="K143" i="103"/>
  <c r="P143" i="103"/>
  <c r="H144" i="103" l="1"/>
  <c r="S144" i="103"/>
  <c r="N143" i="103"/>
  <c r="L143" i="103" s="1"/>
  <c r="G143" i="103" s="1"/>
  <c r="O144" i="103" l="1"/>
  <c r="Q144" i="103"/>
  <c r="P144" i="103"/>
  <c r="K144" i="103"/>
  <c r="N144" i="103"/>
  <c r="L144" i="103" s="1"/>
  <c r="G144" i="103" s="1"/>
  <c r="I144" i="103"/>
  <c r="M144" i="103"/>
  <c r="S145" i="103" l="1"/>
  <c r="H145" i="103"/>
  <c r="M145" i="103"/>
  <c r="I145" i="103" l="1"/>
  <c r="Q145" i="103"/>
  <c r="O145" i="103"/>
  <c r="P145" i="103"/>
  <c r="K145" i="103"/>
  <c r="H146" i="103" l="1"/>
  <c r="S146" i="103"/>
  <c r="N145" i="103"/>
  <c r="L145" i="103" s="1"/>
  <c r="G145" i="103" s="1"/>
  <c r="O146" i="103" l="1"/>
  <c r="N146" i="103" s="1"/>
  <c r="L146" i="103" s="1"/>
  <c r="G146" i="103" s="1"/>
  <c r="Q146" i="103"/>
  <c r="K146" i="103"/>
  <c r="P146" i="103"/>
  <c r="I146" i="103"/>
  <c r="M146" i="103"/>
  <c r="S147" i="103" l="1"/>
  <c r="H147" i="103"/>
  <c r="M147" i="103"/>
  <c r="I147" i="103" l="1"/>
  <c r="Q147" i="103"/>
  <c r="O147" i="103"/>
  <c r="K147" i="103"/>
  <c r="P147" i="103"/>
  <c r="H148" i="103" l="1"/>
  <c r="S148" i="103"/>
  <c r="N147" i="103"/>
  <c r="L147" i="103" s="1"/>
  <c r="G147" i="103" s="1"/>
  <c r="O148" i="103" l="1"/>
  <c r="Q148" i="103"/>
  <c r="K148" i="103"/>
  <c r="P148" i="103"/>
  <c r="N148" i="103"/>
  <c r="L148" i="103" s="1"/>
  <c r="G148" i="103" s="1"/>
  <c r="I148" i="103"/>
  <c r="M148" i="103"/>
  <c r="S149" i="103" l="1"/>
  <c r="H149" i="103"/>
  <c r="M149" i="103"/>
  <c r="I149" i="103" l="1"/>
  <c r="Q149" i="103"/>
  <c r="O149" i="103"/>
  <c r="P149" i="103"/>
  <c r="K149" i="103"/>
  <c r="H150" i="103" l="1"/>
  <c r="S150" i="103"/>
  <c r="N149" i="103"/>
  <c r="L149" i="103" s="1"/>
  <c r="G149" i="103" s="1"/>
  <c r="O150" i="103" l="1"/>
  <c r="Q150" i="103"/>
  <c r="K150" i="103"/>
  <c r="P150" i="103"/>
  <c r="N150" i="103"/>
  <c r="L150" i="103" s="1"/>
  <c r="G150" i="103" s="1"/>
  <c r="I150" i="103"/>
  <c r="M150" i="103"/>
  <c r="S151" i="103" l="1"/>
  <c r="H151" i="103"/>
  <c r="M151" i="103"/>
  <c r="I151" i="103" l="1"/>
  <c r="Q151" i="103"/>
  <c r="O151" i="103"/>
  <c r="K151" i="103"/>
  <c r="P151" i="103"/>
  <c r="H152" i="103" l="1"/>
  <c r="S152" i="103"/>
  <c r="N151" i="103"/>
  <c r="L151" i="103" s="1"/>
  <c r="G151" i="103" s="1"/>
  <c r="O152" i="103" l="1"/>
  <c r="Q152" i="103"/>
  <c r="K152" i="103"/>
  <c r="P152" i="103"/>
  <c r="N152" i="103"/>
  <c r="L152" i="103" s="1"/>
  <c r="G152" i="103" s="1"/>
  <c r="I152" i="103"/>
  <c r="M152" i="103"/>
  <c r="S153" i="103" l="1"/>
  <c r="H153" i="103"/>
  <c r="M153" i="103"/>
  <c r="I153" i="103" l="1"/>
  <c r="Q153" i="103"/>
  <c r="O153" i="103"/>
  <c r="P153" i="103"/>
  <c r="K153" i="103"/>
  <c r="H154" i="103" l="1"/>
  <c r="S154" i="103"/>
  <c r="N153" i="103"/>
  <c r="L153" i="103" s="1"/>
  <c r="G153" i="103" s="1"/>
  <c r="O154" i="103" l="1"/>
  <c r="Q154" i="103"/>
  <c r="K154" i="103"/>
  <c r="P154" i="103"/>
  <c r="N154" i="103"/>
  <c r="L154" i="103" s="1"/>
  <c r="G154" i="103" s="1"/>
  <c r="I154" i="103"/>
  <c r="M154" i="103"/>
  <c r="S155" i="103" l="1"/>
  <c r="H155" i="103"/>
  <c r="M155" i="103"/>
  <c r="I155" i="103" l="1"/>
  <c r="Q155" i="103"/>
  <c r="O155" i="103"/>
  <c r="K155" i="103"/>
  <c r="P155" i="103"/>
  <c r="H156" i="103" l="1"/>
  <c r="S156" i="103"/>
  <c r="N155" i="103"/>
  <c r="L155" i="103" s="1"/>
  <c r="G155" i="103" s="1"/>
  <c r="O156" i="103" l="1"/>
  <c r="Q156" i="103"/>
  <c r="K156" i="103"/>
  <c r="P156" i="103"/>
  <c r="N156" i="103"/>
  <c r="L156" i="103" s="1"/>
  <c r="G156" i="103" s="1"/>
  <c r="I156" i="103"/>
  <c r="M156" i="103"/>
  <c r="S157" i="103" l="1"/>
  <c r="H157" i="103"/>
  <c r="M157" i="103"/>
  <c r="I157" i="103" l="1"/>
  <c r="Q157" i="103"/>
  <c r="O157" i="103"/>
  <c r="P157" i="103"/>
  <c r="K157" i="103"/>
  <c r="H158" i="103" l="1"/>
  <c r="S158" i="103"/>
  <c r="N157" i="103"/>
  <c r="L157" i="103" s="1"/>
  <c r="G157" i="103" s="1"/>
  <c r="M158" i="103" l="1"/>
  <c r="O158" i="103"/>
  <c r="Q158" i="103"/>
  <c r="K158" i="103"/>
  <c r="P158" i="103"/>
  <c r="I158" i="103"/>
  <c r="H159" i="103" l="1"/>
  <c r="S159" i="103"/>
  <c r="N158" i="103"/>
  <c r="L158" i="103" s="1"/>
  <c r="G158" i="103" s="1"/>
  <c r="BA108" i="103" s="1"/>
  <c r="O159" i="103" l="1"/>
  <c r="P159" i="103"/>
  <c r="K159" i="103"/>
  <c r="K160" i="103" s="1"/>
  <c r="Q159" i="103"/>
  <c r="N159" i="103"/>
  <c r="L159" i="103" s="1"/>
  <c r="I159" i="103"/>
  <c r="H160" i="103"/>
  <c r="M159" i="103"/>
  <c r="L160" i="103" l="1"/>
  <c r="G159" i="103"/>
  <c r="BA109" i="103" l="1"/>
  <c r="G160" i="103"/>
  <c r="BA110" i="103" s="1"/>
  <c r="BA116" i="103" s="1"/>
  <c r="AW56" i="103" l="1"/>
  <c r="AP57" i="103"/>
  <c r="AY57" i="103"/>
  <c r="AW57" i="103" s="1"/>
  <c r="AU57" i="103"/>
  <c r="AT57" i="103" s="1"/>
  <c r="AR57" i="103" s="1"/>
  <c r="AQ57" i="103"/>
  <c r="AQ56" i="103"/>
  <c r="AI97" i="103"/>
  <c r="AJ97" i="103" s="1"/>
  <c r="AK97" i="103"/>
  <c r="AJ96" i="111"/>
  <c r="AI97" i="111"/>
  <c r="AJ97" i="111" s="1"/>
  <c r="AI98" i="111"/>
  <c r="AI99" i="111"/>
  <c r="AI100" i="111"/>
  <c r="AI101" i="111"/>
  <c r="AJ101" i="111" s="1"/>
  <c r="AI102" i="111"/>
  <c r="AI103" i="111"/>
  <c r="AI104" i="111"/>
  <c r="AJ104" i="111" s="1"/>
  <c r="AI105" i="111"/>
  <c r="AI106" i="111"/>
  <c r="AI107" i="111"/>
  <c r="AI108" i="111"/>
  <c r="AJ108" i="111" s="1"/>
  <c r="AI109" i="111"/>
  <c r="AJ109" i="111" s="1"/>
  <c r="AI110" i="111"/>
  <c r="AI111" i="111"/>
  <c r="AI112" i="111"/>
  <c r="AJ112" i="111" s="1"/>
  <c r="AI113" i="111"/>
  <c r="AI114" i="111"/>
  <c r="AI115" i="111"/>
  <c r="AI116" i="111"/>
  <c r="AJ116" i="111" s="1"/>
  <c r="AI117" i="111"/>
  <c r="AI118" i="111"/>
  <c r="AI119" i="111"/>
  <c r="AI120" i="111"/>
  <c r="AJ120" i="111" s="1"/>
  <c r="AI121" i="111"/>
  <c r="AK97" i="111"/>
  <c r="AK98" i="111" s="1"/>
  <c r="AV57" i="103"/>
  <c r="BB102" i="103"/>
  <c r="AO57" i="103" l="1"/>
  <c r="AL57" i="103" s="1"/>
  <c r="AS58" i="103"/>
  <c r="AP58" i="103"/>
  <c r="BB103" i="103"/>
  <c r="AY58" i="103"/>
  <c r="AI98" i="103"/>
  <c r="AJ113" i="111"/>
  <c r="AJ105" i="111"/>
  <c r="AJ118" i="111"/>
  <c r="AJ110" i="111"/>
  <c r="AJ102" i="111"/>
  <c r="AJ117" i="111"/>
  <c r="AJ115" i="111"/>
  <c r="AJ114" i="111"/>
  <c r="AJ106" i="111"/>
  <c r="AJ98" i="111"/>
  <c r="AJ100" i="111"/>
  <c r="AJ121" i="111"/>
  <c r="AJ119" i="111"/>
  <c r="AJ111" i="111"/>
  <c r="AJ107" i="111"/>
  <c r="AJ103" i="111"/>
  <c r="AJ99" i="111"/>
  <c r="AK99" i="111"/>
  <c r="AJ98" i="103" l="1"/>
  <c r="AK98" i="103"/>
  <c r="AU58" i="103"/>
  <c r="AW58" i="103"/>
  <c r="AQ58" i="103"/>
  <c r="AV58" i="103"/>
  <c r="AK100" i="111"/>
  <c r="AK101" i="111" s="1"/>
  <c r="AK102" i="111" s="1"/>
  <c r="AK103" i="111" s="1"/>
  <c r="AK104" i="111" s="1"/>
  <c r="AK105" i="111" s="1"/>
  <c r="AK106" i="111" s="1"/>
  <c r="AK107" i="111" s="1"/>
  <c r="AK108" i="111" s="1"/>
  <c r="AK109" i="111" s="1"/>
  <c r="AK110" i="111" s="1"/>
  <c r="AK111" i="111" s="1"/>
  <c r="AK112" i="111" s="1"/>
  <c r="AK113" i="111" s="1"/>
  <c r="AK114" i="111" s="1"/>
  <c r="AK115" i="111" s="1"/>
  <c r="AK116" i="111" s="1"/>
  <c r="AK117" i="111" s="1"/>
  <c r="AK118" i="111" s="1"/>
  <c r="AK119" i="111" s="1"/>
  <c r="AK120" i="111" s="1"/>
  <c r="AK121" i="111" s="1"/>
  <c r="AI122" i="111"/>
  <c r="AY59" i="103" l="1"/>
  <c r="BB104" i="103"/>
  <c r="AP59" i="103"/>
  <c r="AI99" i="103"/>
  <c r="AT58" i="103"/>
  <c r="AR58" i="103" s="1"/>
  <c r="AO58" i="103" s="1"/>
  <c r="AL58" i="103" s="1"/>
  <c r="AJ122" i="111"/>
  <c r="AK122" i="111"/>
  <c r="AS59" i="103" l="1"/>
  <c r="AJ99" i="103"/>
  <c r="AK99" i="103"/>
  <c r="AW59" i="103"/>
  <c r="AV59" i="103"/>
  <c r="AU59" i="103"/>
  <c r="AQ59" i="103"/>
  <c r="AI123" i="111"/>
  <c r="AI100" i="103" l="1"/>
  <c r="BB105" i="103"/>
  <c r="AP60" i="103"/>
  <c r="AY60" i="103"/>
  <c r="AT59" i="103"/>
  <c r="AR59" i="103" s="1"/>
  <c r="AO59" i="103" s="1"/>
  <c r="AL59" i="103" s="1"/>
  <c r="AJ123" i="111"/>
  <c r="AK123" i="111"/>
  <c r="AS60" i="103" l="1"/>
  <c r="AT60" i="103"/>
  <c r="AR60" i="103" s="1"/>
  <c r="AO60" i="103" s="1"/>
  <c r="AL60" i="103" s="1"/>
  <c r="AJ100" i="103"/>
  <c r="AK100" i="103"/>
  <c r="AQ60" i="103"/>
  <c r="AV60" i="103"/>
  <c r="AU60" i="103"/>
  <c r="AW60" i="103"/>
  <c r="AI124" i="111"/>
  <c r="AI101" i="103" l="1"/>
  <c r="AP61" i="103"/>
  <c r="AY61" i="103"/>
  <c r="BB106" i="103"/>
  <c r="AS61" i="103"/>
  <c r="AK124" i="111"/>
  <c r="AJ124" i="111"/>
  <c r="AU61" i="103" l="1"/>
  <c r="AQ61" i="103"/>
  <c r="AV61" i="103"/>
  <c r="AW61" i="103"/>
  <c r="AT61" i="103"/>
  <c r="AR61" i="103" s="1"/>
  <c r="AO61" i="103" s="1"/>
  <c r="AL61" i="103" s="1"/>
  <c r="AJ101" i="103"/>
  <c r="AK101" i="103"/>
  <c r="AI125" i="111"/>
  <c r="AP62" i="103" l="1"/>
  <c r="AY62" i="103"/>
  <c r="BB107" i="103"/>
  <c r="AI102" i="103"/>
  <c r="AS62" i="103"/>
  <c r="AJ125" i="111"/>
  <c r="AK125" i="111"/>
  <c r="AK102" i="103" l="1"/>
  <c r="AJ102" i="103"/>
  <c r="AW62" i="103"/>
  <c r="AQ62" i="103"/>
  <c r="AV62" i="103"/>
  <c r="AU62" i="103"/>
  <c r="AT62" i="103"/>
  <c r="AR62" i="103" s="1"/>
  <c r="AO62" i="103" s="1"/>
  <c r="AL62" i="103" s="1"/>
  <c r="AI126" i="111"/>
  <c r="BB108" i="103" l="1"/>
  <c r="AP63" i="103"/>
  <c r="AY63" i="103"/>
  <c r="AI103" i="103"/>
  <c r="AS63" i="103"/>
  <c r="AJ126" i="111"/>
  <c r="AK126" i="111"/>
  <c r="AJ103" i="103" l="1"/>
  <c r="AK103" i="103"/>
  <c r="AU63" i="103"/>
  <c r="AQ63" i="103"/>
  <c r="AW63" i="103"/>
  <c r="AV63" i="103"/>
  <c r="AT63" i="103"/>
  <c r="AR63" i="103" s="1"/>
  <c r="AO63" i="103" s="1"/>
  <c r="AL63" i="103" s="1"/>
  <c r="AI127" i="111"/>
  <c r="AI104" i="103" l="1"/>
  <c r="AP64" i="103"/>
  <c r="BB109" i="103"/>
  <c r="AY64" i="103"/>
  <c r="AS64" i="103"/>
  <c r="AJ127" i="111"/>
  <c r="AK127" i="111"/>
  <c r="AW64" i="103" l="1"/>
  <c r="AQ64" i="103"/>
  <c r="AV64" i="103"/>
  <c r="AU64" i="103"/>
  <c r="AT64" i="103"/>
  <c r="AR64" i="103" s="1"/>
  <c r="AO64" i="103" s="1"/>
  <c r="AL64" i="103" s="1"/>
  <c r="AJ104" i="103"/>
  <c r="AK104" i="103"/>
  <c r="AI128" i="111"/>
  <c r="AS65" i="103" l="1"/>
  <c r="BB110" i="103"/>
  <c r="AP65" i="103"/>
  <c r="AY65" i="103"/>
  <c r="AI105" i="103"/>
  <c r="AJ128" i="111"/>
  <c r="AK128" i="111"/>
  <c r="AK105" i="103" l="1"/>
  <c r="AJ105" i="103"/>
  <c r="AV65" i="103"/>
  <c r="AW65" i="103"/>
  <c r="AU65" i="103"/>
  <c r="AQ65" i="103"/>
  <c r="AI129" i="111"/>
  <c r="AP66" i="103" l="1"/>
  <c r="AY66" i="103"/>
  <c r="AI106" i="103"/>
  <c r="BB111" i="103"/>
  <c r="AT65" i="103"/>
  <c r="AR65" i="103" s="1"/>
  <c r="AO65" i="103" s="1"/>
  <c r="AL65" i="103" s="1"/>
  <c r="AJ129" i="111"/>
  <c r="AK129" i="111"/>
  <c r="AS66" i="103" l="1"/>
  <c r="AU66" i="103"/>
  <c r="AQ66" i="103"/>
  <c r="AW66" i="103"/>
  <c r="AV66" i="103"/>
  <c r="AT66" i="103"/>
  <c r="AR66" i="103" s="1"/>
  <c r="AO66" i="103" s="1"/>
  <c r="AL66" i="103" s="1"/>
  <c r="AJ106" i="103"/>
  <c r="AK106" i="103"/>
  <c r="AI130" i="111"/>
  <c r="AY67" i="103" l="1"/>
  <c r="BB112" i="103"/>
  <c r="AP67" i="103"/>
  <c r="AI107" i="103"/>
  <c r="AS67" i="103"/>
  <c r="AJ130" i="111"/>
  <c r="AK130" i="111"/>
  <c r="AJ107" i="103" l="1"/>
  <c r="AK107" i="103"/>
  <c r="AW67" i="103"/>
  <c r="AU67" i="103"/>
  <c r="AV67" i="103"/>
  <c r="AQ67" i="103"/>
  <c r="AI131" i="111"/>
  <c r="AI108" i="103" l="1"/>
  <c r="BB113" i="103"/>
  <c r="AP68" i="103"/>
  <c r="AY68" i="103"/>
  <c r="AT67" i="103"/>
  <c r="AR67" i="103" s="1"/>
  <c r="AO67" i="103" s="1"/>
  <c r="AL67" i="103" s="1"/>
  <c r="AJ131" i="111"/>
  <c r="AK131" i="111"/>
  <c r="AQ68" i="103" l="1"/>
  <c r="AV68" i="103"/>
  <c r="AU68" i="103"/>
  <c r="AW68" i="103"/>
  <c r="AJ108" i="103"/>
  <c r="AK108" i="103"/>
  <c r="AT68" i="103"/>
  <c r="AR68" i="103" s="1"/>
  <c r="AO68" i="103" s="1"/>
  <c r="AL68" i="103" s="1"/>
  <c r="AS68" i="103"/>
  <c r="AI132" i="111"/>
  <c r="AS69" i="103" l="1"/>
  <c r="AY69" i="103"/>
  <c r="AI109" i="103"/>
  <c r="BB114" i="103"/>
  <c r="AP69" i="103"/>
  <c r="AK132" i="111"/>
  <c r="AJ132" i="111"/>
  <c r="AU69" i="103" l="1"/>
  <c r="AQ69" i="103"/>
  <c r="AV69" i="103"/>
  <c r="AW69" i="103"/>
  <c r="AJ109" i="103"/>
  <c r="AK109" i="103"/>
  <c r="AI133" i="111"/>
  <c r="AP70" i="103" l="1"/>
  <c r="AY70" i="103"/>
  <c r="BB115" i="103"/>
  <c r="AI110" i="103"/>
  <c r="AT69" i="103"/>
  <c r="AR69" i="103" s="1"/>
  <c r="AO69" i="103" s="1"/>
  <c r="AL69" i="103" s="1"/>
  <c r="AJ133" i="111"/>
  <c r="AK133" i="111"/>
  <c r="AK110" i="103" l="1"/>
  <c r="AJ110" i="103"/>
  <c r="AS70" i="103"/>
  <c r="AW70" i="103"/>
  <c r="AQ70" i="103"/>
  <c r="AV70" i="103"/>
  <c r="AU70" i="103"/>
  <c r="AT70" i="103"/>
  <c r="AR70" i="103" s="1"/>
  <c r="AO70" i="103" s="1"/>
  <c r="AL70" i="103" s="1"/>
  <c r="AI134" i="111"/>
  <c r="AS71" i="103" l="1"/>
  <c r="BB116" i="103"/>
  <c r="AP71" i="103"/>
  <c r="AY71" i="103"/>
  <c r="AI111" i="103"/>
  <c r="AJ134" i="111"/>
  <c r="AK134" i="111"/>
  <c r="AJ111" i="103" l="1"/>
  <c r="AK111" i="103"/>
  <c r="AU71" i="103"/>
  <c r="AQ71" i="103"/>
  <c r="AW71" i="103"/>
  <c r="AV71" i="103"/>
  <c r="AT71" i="103"/>
  <c r="AR71" i="103" s="1"/>
  <c r="AO71" i="103" s="1"/>
  <c r="AL71" i="103" s="1"/>
  <c r="AI135" i="111"/>
  <c r="AS72" i="103" l="1"/>
  <c r="AI112" i="103"/>
  <c r="AP72" i="103"/>
  <c r="BB117" i="103"/>
  <c r="AY72" i="103"/>
  <c r="AJ135" i="111"/>
  <c r="AK135" i="111"/>
  <c r="AW72" i="103" l="1"/>
  <c r="AQ72" i="103"/>
  <c r="AV72" i="103"/>
  <c r="AU72" i="103"/>
  <c r="AT72" i="103"/>
  <c r="AR72" i="103" s="1"/>
  <c r="AO72" i="103" s="1"/>
  <c r="AL72" i="103" s="1"/>
  <c r="AJ112" i="103"/>
  <c r="AK112" i="103"/>
  <c r="AI136" i="111"/>
  <c r="AS73" i="103" l="1"/>
  <c r="AP73" i="103"/>
  <c r="BB118" i="103"/>
  <c r="AY73" i="103"/>
  <c r="AI113" i="103"/>
  <c r="AJ136" i="111"/>
  <c r="AK136" i="111"/>
  <c r="AK113" i="103" l="1"/>
  <c r="AJ113" i="103"/>
  <c r="AV73" i="103"/>
  <c r="AW73" i="103"/>
  <c r="AU73" i="103"/>
  <c r="AQ73" i="103"/>
  <c r="AT73" i="103"/>
  <c r="AR73" i="103" s="1"/>
  <c r="AO73" i="103" s="1"/>
  <c r="AL73" i="103" s="1"/>
  <c r="AI137" i="111"/>
  <c r="AP74" i="103" l="1"/>
  <c r="AY74" i="103"/>
  <c r="AI114" i="103"/>
  <c r="BB119" i="103"/>
  <c r="AS74" i="103"/>
  <c r="AJ137" i="111"/>
  <c r="AK137" i="111"/>
  <c r="AJ114" i="103" l="1"/>
  <c r="AK114" i="103"/>
  <c r="AU74" i="103"/>
  <c r="AV74" i="103"/>
  <c r="AQ74" i="103"/>
  <c r="AW74" i="103"/>
  <c r="AI138" i="111"/>
  <c r="AY75" i="103" l="1"/>
  <c r="BB120" i="103"/>
  <c r="AP75" i="103"/>
  <c r="AI115" i="103"/>
  <c r="AT74" i="103"/>
  <c r="AR74" i="103" s="1"/>
  <c r="AO74" i="103" s="1"/>
  <c r="AL74" i="103" s="1"/>
  <c r="AJ138" i="111"/>
  <c r="AK138" i="111"/>
  <c r="AJ115" i="103" l="1"/>
  <c r="AK115" i="103"/>
  <c r="AS75" i="103"/>
  <c r="AW75" i="103"/>
  <c r="AU75" i="103"/>
  <c r="AV75" i="103"/>
  <c r="AQ75" i="103"/>
  <c r="AI139" i="111"/>
  <c r="AI116" i="103" l="1"/>
  <c r="BB121" i="103"/>
  <c r="AP76" i="103"/>
  <c r="AY76" i="103"/>
  <c r="AT75" i="103"/>
  <c r="AR75" i="103" s="1"/>
  <c r="AO75" i="103" s="1"/>
  <c r="AL75" i="103" s="1"/>
  <c r="AJ139" i="111"/>
  <c r="AK139" i="111"/>
  <c r="AQ76" i="103" l="1"/>
  <c r="AV76" i="103"/>
  <c r="AU76" i="103"/>
  <c r="AW76" i="103"/>
  <c r="AT76" i="103"/>
  <c r="AR76" i="103" s="1"/>
  <c r="AO76" i="103" s="1"/>
  <c r="AL76" i="103" s="1"/>
  <c r="AK116" i="103"/>
  <c r="AJ116" i="103"/>
  <c r="AS76" i="103"/>
  <c r="AI140" i="111"/>
  <c r="AI117" i="103" l="1"/>
  <c r="BB122" i="103"/>
  <c r="AP77" i="103"/>
  <c r="AY77" i="103"/>
  <c r="AS77" i="103"/>
  <c r="AK140" i="111"/>
  <c r="AJ140" i="111"/>
  <c r="AU77" i="103" l="1"/>
  <c r="AQ77" i="103"/>
  <c r="AV77" i="103"/>
  <c r="AW77" i="103"/>
  <c r="AT77" i="103"/>
  <c r="AR77" i="103" s="1"/>
  <c r="AO77" i="103" s="1"/>
  <c r="AL77" i="103" s="1"/>
  <c r="AJ117" i="103"/>
  <c r="AK117" i="103"/>
  <c r="AI141" i="111"/>
  <c r="AP78" i="103" l="1"/>
  <c r="AY78" i="103"/>
  <c r="BB123" i="103"/>
  <c r="AI118" i="103"/>
  <c r="AS78" i="103"/>
  <c r="AJ141" i="111"/>
  <c r="AK141" i="111"/>
  <c r="AK118" i="103" l="1"/>
  <c r="AJ118" i="103"/>
  <c r="AW78" i="103"/>
  <c r="AQ78" i="103"/>
  <c r="AV78" i="103"/>
  <c r="AU78" i="103"/>
  <c r="AT78" i="103" s="1"/>
  <c r="AR78" i="103" s="1"/>
  <c r="AO78" i="103" s="1"/>
  <c r="AL78" i="103" s="1"/>
  <c r="AI142" i="111"/>
  <c r="AS79" i="103" l="1"/>
  <c r="BB124" i="103"/>
  <c r="AP79" i="103"/>
  <c r="AY79" i="103"/>
  <c r="AI119" i="103"/>
  <c r="AJ142" i="111"/>
  <c r="AK142" i="111"/>
  <c r="AJ119" i="103" l="1"/>
  <c r="AK119" i="103"/>
  <c r="AU79" i="103"/>
  <c r="AQ79" i="103"/>
  <c r="AW79" i="103"/>
  <c r="AV79" i="103"/>
  <c r="AI143" i="111"/>
  <c r="AI120" i="103" l="1"/>
  <c r="BB125" i="103"/>
  <c r="AP80" i="103"/>
  <c r="AY80" i="103"/>
  <c r="AT79" i="103"/>
  <c r="AR79" i="103" s="1"/>
  <c r="AO79" i="103" s="1"/>
  <c r="AL79" i="103" s="1"/>
  <c r="AJ143" i="111"/>
  <c r="AK143" i="111"/>
  <c r="AS80" i="103" l="1"/>
  <c r="AW80" i="103"/>
  <c r="AQ80" i="103"/>
  <c r="AV80" i="103"/>
  <c r="AU80" i="103"/>
  <c r="AT80" i="103"/>
  <c r="AR80" i="103" s="1"/>
  <c r="AO80" i="103" s="1"/>
  <c r="AL80" i="103" s="1"/>
  <c r="AJ120" i="103"/>
  <c r="AK120" i="103"/>
  <c r="AI144" i="111"/>
  <c r="AS81" i="103" l="1"/>
  <c r="AP81" i="103"/>
  <c r="AY81" i="103"/>
  <c r="BB126" i="103"/>
  <c r="AI121" i="103"/>
  <c r="AK144" i="111"/>
  <c r="AJ144" i="111"/>
  <c r="AK121" i="103" l="1"/>
  <c r="AJ121" i="103"/>
  <c r="AV81" i="103"/>
  <c r="AW81" i="103"/>
  <c r="AU81" i="103"/>
  <c r="AQ81" i="103"/>
  <c r="AI145" i="111"/>
  <c r="AP82" i="103" l="1"/>
  <c r="AY82" i="103"/>
  <c r="AI122" i="103"/>
  <c r="BB127" i="103"/>
  <c r="AT81" i="103"/>
  <c r="AR81" i="103" s="1"/>
  <c r="AO81" i="103" s="1"/>
  <c r="AL81" i="103" s="1"/>
  <c r="AJ145" i="111"/>
  <c r="AK145" i="111"/>
  <c r="AJ122" i="103" l="1"/>
  <c r="AK122" i="103"/>
  <c r="AU82" i="103"/>
  <c r="AQ82" i="103"/>
  <c r="AW82" i="103"/>
  <c r="AV82" i="103"/>
  <c r="AT82" i="103"/>
  <c r="AR82" i="103" s="1"/>
  <c r="AO82" i="103" s="1"/>
  <c r="AL82" i="103" s="1"/>
  <c r="AS82" i="103"/>
  <c r="AI146" i="111"/>
  <c r="AY83" i="103" l="1"/>
  <c r="BB128" i="103"/>
  <c r="AP83" i="103"/>
  <c r="AI123" i="103"/>
  <c r="AS83" i="103"/>
  <c r="AJ146" i="111"/>
  <c r="AK146" i="111"/>
  <c r="AJ123" i="103" l="1"/>
  <c r="AK123" i="103"/>
  <c r="AW83" i="103"/>
  <c r="AV83" i="103"/>
  <c r="AU83" i="103"/>
  <c r="AQ83" i="103"/>
  <c r="AI147" i="111"/>
  <c r="AI124" i="103" l="1"/>
  <c r="BB129" i="103"/>
  <c r="AP84" i="103"/>
  <c r="AY84" i="103"/>
  <c r="AT83" i="103"/>
  <c r="AR83" i="103" s="1"/>
  <c r="AO83" i="103" s="1"/>
  <c r="AL83" i="103" s="1"/>
  <c r="AJ147" i="111"/>
  <c r="AK147" i="111"/>
  <c r="AS84" i="103" l="1"/>
  <c r="AQ84" i="103"/>
  <c r="AV84" i="103"/>
  <c r="AU84" i="103"/>
  <c r="AW84" i="103"/>
  <c r="AT84" i="103"/>
  <c r="AR84" i="103" s="1"/>
  <c r="AO84" i="103" s="1"/>
  <c r="AL84" i="103" s="1"/>
  <c r="AJ124" i="103"/>
  <c r="AK124" i="103"/>
  <c r="AI148" i="111"/>
  <c r="AI125" i="103" l="1"/>
  <c r="BB130" i="103"/>
  <c r="AP85" i="103"/>
  <c r="AY85" i="103"/>
  <c r="AS85" i="103"/>
  <c r="AK148" i="111"/>
  <c r="AJ148" i="111"/>
  <c r="AU85" i="103" l="1"/>
  <c r="AQ85" i="103"/>
  <c r="AV85" i="103"/>
  <c r="AW85" i="103"/>
  <c r="AT85" i="103"/>
  <c r="AR85" i="103" s="1"/>
  <c r="AO85" i="103" s="1"/>
  <c r="AL85" i="103" s="1"/>
  <c r="AJ125" i="103"/>
  <c r="AK125" i="103"/>
  <c r="AI149" i="111"/>
  <c r="AI150" i="111" s="1"/>
  <c r="AP86" i="103" l="1"/>
  <c r="AY86" i="103"/>
  <c r="BB131" i="103"/>
  <c r="AI126" i="103"/>
  <c r="AS86" i="103"/>
  <c r="AJ149" i="111"/>
  <c r="AJ150" i="111" s="1"/>
  <c r="AK149" i="111"/>
  <c r="AK150" i="111" s="1"/>
  <c r="G4" i="76"/>
  <c r="AK126" i="103" l="1"/>
  <c r="AJ126" i="103"/>
  <c r="AV86" i="103"/>
  <c r="AW86" i="103"/>
  <c r="AQ86" i="103"/>
  <c r="AU86" i="103"/>
  <c r="AT86" i="103"/>
  <c r="AR86" i="103" s="1"/>
  <c r="AO86" i="103" s="1"/>
  <c r="AL86" i="103" s="1"/>
  <c r="O46" i="110"/>
  <c r="P46" i="110"/>
  <c r="AS87" i="103" l="1"/>
  <c r="BB132" i="103"/>
  <c r="AP87" i="103"/>
  <c r="AY87" i="103"/>
  <c r="AI127" i="103"/>
  <c r="O47" i="110"/>
  <c r="P47" i="110"/>
  <c r="AJ127" i="103" l="1"/>
  <c r="AK127" i="103"/>
  <c r="AU87" i="103"/>
  <c r="AQ87" i="103"/>
  <c r="AW87" i="103"/>
  <c r="AV87" i="103"/>
  <c r="AT87" i="103"/>
  <c r="AR87" i="103" s="1"/>
  <c r="AO87" i="103" s="1"/>
  <c r="AL87" i="103" s="1"/>
  <c r="O48" i="110"/>
  <c r="P48" i="110"/>
  <c r="AS88" i="103" l="1"/>
  <c r="AI128" i="103"/>
  <c r="AP88" i="103"/>
  <c r="BB133" i="103"/>
  <c r="AY88" i="103"/>
  <c r="O49" i="110"/>
  <c r="P49" i="110"/>
  <c r="AW88" i="103" l="1"/>
  <c r="AQ88" i="103"/>
  <c r="AV88" i="103"/>
  <c r="AU88" i="103"/>
  <c r="AJ128" i="103"/>
  <c r="AK128" i="103"/>
  <c r="AT88" i="103"/>
  <c r="AR88" i="103" s="1"/>
  <c r="AO88" i="103" s="1"/>
  <c r="AL88" i="103" s="1"/>
  <c r="AO56" i="103"/>
  <c r="O50" i="110"/>
  <c r="P50" i="110"/>
  <c r="AJ96" i="103" l="1"/>
  <c r="AL56" i="103"/>
  <c r="AS89" i="103"/>
  <c r="AP89" i="103"/>
  <c r="AY89" i="103"/>
  <c r="BB134" i="103"/>
  <c r="AI129" i="103"/>
  <c r="O51" i="110"/>
  <c r="P51" i="110"/>
  <c r="AV89" i="103" l="1"/>
  <c r="AW89" i="103"/>
  <c r="AU89" i="103"/>
  <c r="AQ89" i="103"/>
  <c r="AK129" i="103"/>
  <c r="AJ129" i="103"/>
  <c r="O52" i="110"/>
  <c r="P52" i="110"/>
  <c r="AP90" i="103" l="1"/>
  <c r="AY90" i="103"/>
  <c r="AI130" i="103"/>
  <c r="BB135" i="103"/>
  <c r="AT89" i="103"/>
  <c r="AR89" i="103" s="1"/>
  <c r="AO89" i="103" s="1"/>
  <c r="O53" i="110"/>
  <c r="P53" i="110"/>
  <c r="AS90" i="103" l="1"/>
  <c r="AJ130" i="103"/>
  <c r="AK130" i="103"/>
  <c r="AL89" i="103"/>
  <c r="AU90" i="103"/>
  <c r="AQ90" i="103"/>
  <c r="AV90" i="103"/>
  <c r="AW90" i="103"/>
  <c r="O54" i="110"/>
  <c r="P54" i="110"/>
  <c r="AT90" i="103" l="1"/>
  <c r="AR90" i="103" s="1"/>
  <c r="AO90" i="103" s="1"/>
  <c r="AY91" i="103"/>
  <c r="BB136" i="103"/>
  <c r="AP91" i="103"/>
  <c r="AI131" i="103"/>
  <c r="O55" i="110"/>
  <c r="P55" i="110"/>
  <c r="AW91" i="103" l="1"/>
  <c r="AV91" i="103"/>
  <c r="AU91" i="103"/>
  <c r="AQ91" i="103"/>
  <c r="AL90" i="103"/>
  <c r="AJ131" i="103"/>
  <c r="AK131" i="103"/>
  <c r="AS91" i="103"/>
  <c r="O56" i="110"/>
  <c r="P56" i="110"/>
  <c r="AT91" i="103" l="1"/>
  <c r="AR91" i="103" s="1"/>
  <c r="AO91" i="103" s="1"/>
  <c r="AI132" i="103"/>
  <c r="AP92" i="103"/>
  <c r="AY92" i="103"/>
  <c r="BB137" i="103"/>
  <c r="O57" i="110"/>
  <c r="P57" i="110"/>
  <c r="AQ92" i="103" l="1"/>
  <c r="AU92" i="103"/>
  <c r="AW92" i="103"/>
  <c r="AV92" i="103"/>
  <c r="AT92" i="103"/>
  <c r="AR92" i="103" s="1"/>
  <c r="AO92" i="103" s="1"/>
  <c r="AL92" i="103" s="1"/>
  <c r="AL91" i="103"/>
  <c r="AJ132" i="103"/>
  <c r="AK132" i="103"/>
  <c r="AS92" i="103"/>
  <c r="O58" i="110"/>
  <c r="P58" i="110"/>
  <c r="AI133" i="103" l="1"/>
  <c r="BB138" i="103"/>
  <c r="AP93" i="103"/>
  <c r="AY93" i="103"/>
  <c r="AS93" i="103"/>
  <c r="O59" i="110"/>
  <c r="P59" i="110"/>
  <c r="AU93" i="103" l="1"/>
  <c r="AQ93" i="103"/>
  <c r="AV93" i="103"/>
  <c r="AW93" i="103"/>
  <c r="AT93" i="103"/>
  <c r="AR93" i="103" s="1"/>
  <c r="AO93" i="103" s="1"/>
  <c r="AJ133" i="103"/>
  <c r="AK133" i="103"/>
  <c r="O60" i="110"/>
  <c r="P60" i="110"/>
  <c r="AL93" i="103" l="1"/>
  <c r="AP94" i="103"/>
  <c r="BB139" i="103"/>
  <c r="AY94" i="103"/>
  <c r="AI134" i="103"/>
  <c r="AS94" i="103"/>
  <c r="O61" i="110"/>
  <c r="P61" i="110"/>
  <c r="AK134" i="103" l="1"/>
  <c r="AJ134" i="103"/>
  <c r="AW94" i="103"/>
  <c r="AQ94" i="103"/>
  <c r="AV94" i="103"/>
  <c r="AU94" i="103"/>
  <c r="AT94" i="103"/>
  <c r="AR94" i="103" s="1"/>
  <c r="AO94" i="103" s="1"/>
  <c r="AL94" i="103" s="1"/>
  <c r="O62" i="110"/>
  <c r="P62" i="110"/>
  <c r="AP95" i="103" l="1"/>
  <c r="AY95" i="103"/>
  <c r="BB140" i="103"/>
  <c r="AI135" i="103"/>
  <c r="AS95" i="103"/>
  <c r="O63" i="110"/>
  <c r="P63" i="110"/>
  <c r="AJ135" i="103" l="1"/>
  <c r="AK135" i="103"/>
  <c r="AU95" i="103"/>
  <c r="AQ95" i="103"/>
  <c r="AV95" i="103"/>
  <c r="AW95" i="103"/>
  <c r="AT95" i="103"/>
  <c r="AR95" i="103" s="1"/>
  <c r="AO95" i="103" s="1"/>
  <c r="AL95" i="103" s="1"/>
  <c r="O64" i="110"/>
  <c r="P64" i="110"/>
  <c r="AI136" i="103" l="1"/>
  <c r="BB141" i="103"/>
  <c r="AP96" i="103"/>
  <c r="AY96" i="103"/>
  <c r="AS96" i="103"/>
  <c r="O65" i="110"/>
  <c r="P65" i="110"/>
  <c r="AW96" i="103" l="1"/>
  <c r="AV96" i="103"/>
  <c r="AQ96" i="103"/>
  <c r="AU96" i="103"/>
  <c r="AT96" i="103"/>
  <c r="AR96" i="103" s="1"/>
  <c r="AO96" i="103" s="1"/>
  <c r="AL96" i="103" s="1"/>
  <c r="AJ136" i="103"/>
  <c r="AK136" i="103"/>
  <c r="O66" i="110"/>
  <c r="P66" i="110"/>
  <c r="AS97" i="103" l="1"/>
  <c r="AP97" i="103"/>
  <c r="AY97" i="103"/>
  <c r="AI137" i="103"/>
  <c r="BB142" i="103"/>
  <c r="O67" i="110"/>
  <c r="P67" i="110"/>
  <c r="AK137" i="103" l="1"/>
  <c r="AJ137" i="103"/>
  <c r="AV97" i="103"/>
  <c r="AW97" i="103"/>
  <c r="AU97" i="103"/>
  <c r="AT97" i="103" s="1"/>
  <c r="AR97" i="103" s="1"/>
  <c r="AO97" i="103" s="1"/>
  <c r="AL97" i="103" s="1"/>
  <c r="AQ97" i="103"/>
  <c r="O68" i="110"/>
  <c r="P68" i="110"/>
  <c r="AP98" i="103" l="1"/>
  <c r="BB143" i="103"/>
  <c r="AY98" i="103"/>
  <c r="AI138" i="103"/>
  <c r="AS98" i="103"/>
  <c r="O69" i="110"/>
  <c r="P69" i="110"/>
  <c r="AJ138" i="103" l="1"/>
  <c r="AK138" i="103"/>
  <c r="AU98" i="103"/>
  <c r="AV98" i="103"/>
  <c r="AW98" i="103"/>
  <c r="AQ98" i="103"/>
  <c r="AT98" i="103"/>
  <c r="AR98" i="103" s="1"/>
  <c r="AO98" i="103" s="1"/>
  <c r="AL98" i="103" s="1"/>
  <c r="O70" i="110"/>
  <c r="P70" i="110"/>
  <c r="AY99" i="103" l="1"/>
  <c r="BB144" i="103"/>
  <c r="AP99" i="103"/>
  <c r="AI139" i="103"/>
  <c r="AS99" i="103"/>
  <c r="O71" i="110"/>
  <c r="P71" i="110"/>
  <c r="AJ139" i="103" l="1"/>
  <c r="AK139" i="103"/>
  <c r="AW99" i="103"/>
  <c r="AU99" i="103"/>
  <c r="AQ99" i="103"/>
  <c r="AV99" i="103"/>
  <c r="O72" i="110"/>
  <c r="P72" i="110"/>
  <c r="AI140" i="103" l="1"/>
  <c r="AP100" i="103"/>
  <c r="BB145" i="103"/>
  <c r="AY100" i="103"/>
  <c r="AT99" i="103"/>
  <c r="AR99" i="103" s="1"/>
  <c r="AO99" i="103" s="1"/>
  <c r="AL99" i="103" s="1"/>
  <c r="O73" i="110"/>
  <c r="P73" i="110"/>
  <c r="AQ100" i="103" l="1"/>
  <c r="AU100" i="103"/>
  <c r="AW100" i="103"/>
  <c r="AV100" i="103"/>
  <c r="AT100" i="103"/>
  <c r="AR100" i="103" s="1"/>
  <c r="AO100" i="103" s="1"/>
  <c r="AL100" i="103" s="1"/>
  <c r="AJ140" i="103"/>
  <c r="AK140" i="103"/>
  <c r="AS100" i="103"/>
  <c r="O74" i="110"/>
  <c r="P74" i="110"/>
  <c r="AS101" i="103" l="1"/>
  <c r="AI141" i="103"/>
  <c r="BB146" i="103"/>
  <c r="AY101" i="103"/>
  <c r="AP101" i="103"/>
  <c r="O75" i="110"/>
  <c r="P75" i="110"/>
  <c r="AU101" i="103" l="1"/>
  <c r="AQ101" i="103"/>
  <c r="AV101" i="103"/>
  <c r="AW101" i="103"/>
  <c r="AT101" i="103"/>
  <c r="AR101" i="103" s="1"/>
  <c r="AO101" i="103" s="1"/>
  <c r="AL101" i="103" s="1"/>
  <c r="AJ141" i="103"/>
  <c r="AK141" i="103"/>
  <c r="O76" i="110"/>
  <c r="P76" i="110"/>
  <c r="AP102" i="103" l="1"/>
  <c r="BB147" i="103"/>
  <c r="AY102" i="103"/>
  <c r="AI142" i="103"/>
  <c r="AS102" i="103"/>
  <c r="O77" i="110"/>
  <c r="P77" i="110"/>
  <c r="AK142" i="103" l="1"/>
  <c r="AJ142" i="103"/>
  <c r="AV102" i="103"/>
  <c r="AW102" i="103"/>
  <c r="AQ102" i="103"/>
  <c r="AU102" i="103"/>
  <c r="AT102" i="103"/>
  <c r="AR102" i="103" s="1"/>
  <c r="AO102" i="103" s="1"/>
  <c r="AL102" i="103" s="1"/>
  <c r="O78" i="110"/>
  <c r="P78" i="110"/>
  <c r="AP103" i="103" l="1"/>
  <c r="AY103" i="103"/>
  <c r="BB148" i="103"/>
  <c r="AI143" i="103"/>
  <c r="AS103" i="103"/>
  <c r="O79" i="110"/>
  <c r="P79" i="110"/>
  <c r="AJ143" i="103" l="1"/>
  <c r="AK143" i="103"/>
  <c r="AU103" i="103"/>
  <c r="AQ103" i="103"/>
  <c r="AV103" i="103"/>
  <c r="AW103" i="103"/>
  <c r="O80" i="110"/>
  <c r="P80" i="110"/>
  <c r="AI144" i="103" l="1"/>
  <c r="BB149" i="103"/>
  <c r="AP104" i="103"/>
  <c r="AY104" i="103"/>
  <c r="AT103" i="103"/>
  <c r="AR103" i="103" s="1"/>
  <c r="AO103" i="103" s="1"/>
  <c r="AL103" i="103" s="1"/>
  <c r="O81" i="110"/>
  <c r="P81" i="110"/>
  <c r="AS104" i="103" l="1"/>
  <c r="AW104" i="103"/>
  <c r="AV104" i="103"/>
  <c r="AQ104" i="103"/>
  <c r="AU104" i="103"/>
  <c r="AT104" i="103" s="1"/>
  <c r="AR104" i="103" s="1"/>
  <c r="AO104" i="103" s="1"/>
  <c r="AL104" i="103" s="1"/>
  <c r="AJ144" i="103"/>
  <c r="AK144" i="103"/>
  <c r="O82" i="110"/>
  <c r="P82" i="110"/>
  <c r="AP105" i="103" l="1"/>
  <c r="AY105" i="103"/>
  <c r="AI145" i="103"/>
  <c r="BB150" i="103"/>
  <c r="AS105" i="103"/>
  <c r="O83" i="110"/>
  <c r="P83" i="110"/>
  <c r="AK145" i="103" l="1"/>
  <c r="AJ145" i="103"/>
  <c r="AW105" i="103"/>
  <c r="AU105" i="103"/>
  <c r="AQ105" i="103"/>
  <c r="AV105" i="103"/>
  <c r="O84" i="110"/>
  <c r="P84" i="110"/>
  <c r="AP106" i="103" l="1"/>
  <c r="BB151" i="103"/>
  <c r="AY106" i="103"/>
  <c r="AI146" i="103"/>
  <c r="AT105" i="103"/>
  <c r="AR105" i="103" s="1"/>
  <c r="AO105" i="103" s="1"/>
  <c r="AL105" i="103" s="1"/>
  <c r="O85" i="110"/>
  <c r="P85" i="110"/>
  <c r="AS106" i="103" l="1"/>
  <c r="AJ146" i="103"/>
  <c r="AK146" i="103"/>
  <c r="AU106" i="103"/>
  <c r="AV106" i="103"/>
  <c r="AW106" i="103"/>
  <c r="AQ106" i="103"/>
  <c r="O86" i="110"/>
  <c r="P86" i="110"/>
  <c r="AT106" i="103" l="1"/>
  <c r="AR106" i="103" s="1"/>
  <c r="AO106" i="103" s="1"/>
  <c r="AL106" i="103" s="1"/>
  <c r="AY107" i="103"/>
  <c r="BB152" i="103"/>
  <c r="AP107" i="103"/>
  <c r="AI147" i="103"/>
  <c r="O87" i="110"/>
  <c r="P87" i="110"/>
  <c r="AJ147" i="103" l="1"/>
  <c r="AK147" i="103"/>
  <c r="AV107" i="103"/>
  <c r="AW107" i="103"/>
  <c r="AU107" i="103"/>
  <c r="AQ107" i="103"/>
  <c r="AS107" i="103"/>
  <c r="O88" i="110"/>
  <c r="P88" i="110"/>
  <c r="AI148" i="103" l="1"/>
  <c r="AP108" i="103"/>
  <c r="AY108" i="103"/>
  <c r="BB153" i="103"/>
  <c r="AT107" i="103"/>
  <c r="AR107" i="103" s="1"/>
  <c r="AO107" i="103" s="1"/>
  <c r="AL107" i="103" s="1"/>
  <c r="C26" i="110"/>
  <c r="J92" i="110"/>
  <c r="AQ108" i="103" l="1"/>
  <c r="AU108" i="103"/>
  <c r="AW108" i="103"/>
  <c r="AV108" i="103"/>
  <c r="AT108" i="103"/>
  <c r="AR108" i="103" s="1"/>
  <c r="AO108" i="103" s="1"/>
  <c r="AL108" i="103" s="1"/>
  <c r="AJ148" i="103"/>
  <c r="AK148" i="103"/>
  <c r="AS108" i="103"/>
  <c r="U46" i="110"/>
  <c r="P89" i="110"/>
  <c r="BB154" i="103" l="1"/>
  <c r="AY109" i="103"/>
  <c r="AP109" i="103"/>
  <c r="AI149" i="103"/>
  <c r="AS109" i="103"/>
  <c r="O89" i="110"/>
  <c r="AJ149" i="103" l="1"/>
  <c r="AJ150" i="103" s="1"/>
  <c r="AK149" i="103"/>
  <c r="AK150" i="103" s="1"/>
  <c r="AI150" i="103"/>
  <c r="AU109" i="103"/>
  <c r="AQ109" i="103"/>
  <c r="AV109" i="103"/>
  <c r="AW109" i="103"/>
  <c r="AT109" i="103"/>
  <c r="AR109" i="103" s="1"/>
  <c r="AO109" i="103" s="1"/>
  <c r="AL109" i="103" s="1"/>
  <c r="AL7" i="103" s="1"/>
  <c r="BD33" i="103" s="1"/>
  <c r="O90" i="110"/>
  <c r="P90" i="110"/>
  <c r="AP110" i="103" l="1"/>
  <c r="AY110" i="103"/>
  <c r="AS110" i="103"/>
  <c r="O91" i="110"/>
  <c r="P91" i="110"/>
  <c r="AW110" i="103" l="1"/>
  <c r="AQ110" i="103"/>
  <c r="AR131" i="103"/>
  <c r="AU110" i="103"/>
  <c r="AV110" i="103"/>
  <c r="AT110" i="103"/>
  <c r="AR110" i="103" s="1"/>
  <c r="AO110" i="103" s="1"/>
  <c r="O92" i="110"/>
  <c r="P92" i="110"/>
  <c r="AS111" i="103" l="1"/>
  <c r="AP111" i="103"/>
  <c r="AY111" i="103"/>
  <c r="K93" i="110"/>
  <c r="O93" i="110"/>
  <c r="P93" i="110"/>
  <c r="AU111" i="103" l="1"/>
  <c r="AV111" i="103"/>
  <c r="AQ111" i="103"/>
  <c r="AW111" i="103"/>
  <c r="AT111" i="103"/>
  <c r="AR111" i="103" s="1"/>
  <c r="AO111" i="103" s="1"/>
  <c r="P94" i="110"/>
  <c r="O94" i="110"/>
  <c r="K94" i="110"/>
  <c r="AP112" i="103" l="1"/>
  <c r="AY112" i="103"/>
  <c r="AS112" i="103"/>
  <c r="O95" i="110"/>
  <c r="K95" i="110"/>
  <c r="P95" i="110"/>
  <c r="AW112" i="103" l="1"/>
  <c r="AV112" i="103"/>
  <c r="AQ112" i="103"/>
  <c r="AU112" i="103"/>
  <c r="AT112" i="103"/>
  <c r="AR112" i="103" s="1"/>
  <c r="AO112" i="103" s="1"/>
  <c r="O96" i="110"/>
  <c r="K96" i="110"/>
  <c r="P96" i="110"/>
  <c r="AS113" i="103" l="1"/>
  <c r="AP113" i="103"/>
  <c r="AY113" i="103"/>
  <c r="K97" i="110"/>
  <c r="O97" i="110"/>
  <c r="P97" i="110"/>
  <c r="AW113" i="103" l="1"/>
  <c r="AU113" i="103"/>
  <c r="AQ113" i="103"/>
  <c r="AV113" i="103"/>
  <c r="O98" i="110"/>
  <c r="K98" i="110"/>
  <c r="P98" i="110"/>
  <c r="AP114" i="103" l="1"/>
  <c r="AY114" i="103"/>
  <c r="AT113" i="103"/>
  <c r="AR113" i="103" s="1"/>
  <c r="AO113" i="103" s="1"/>
  <c r="O99" i="110"/>
  <c r="K99" i="110"/>
  <c r="P99" i="110"/>
  <c r="AU114" i="103" l="1"/>
  <c r="AW114" i="103"/>
  <c r="AQ114" i="103"/>
  <c r="AV114" i="103"/>
  <c r="AT114" i="103"/>
  <c r="AR114" i="103" s="1"/>
  <c r="AO114" i="103" s="1"/>
  <c r="AS114" i="103"/>
  <c r="O100" i="110"/>
  <c r="K100" i="110"/>
  <c r="P100" i="110"/>
  <c r="AY115" i="103" l="1"/>
  <c r="AP115" i="103"/>
  <c r="AS115" i="103"/>
  <c r="K101" i="110"/>
  <c r="O101" i="110"/>
  <c r="P101" i="110"/>
  <c r="AW115" i="103" l="1"/>
  <c r="AU115" i="103"/>
  <c r="AV115" i="103"/>
  <c r="AQ115" i="103"/>
  <c r="P102" i="110"/>
  <c r="O102" i="110"/>
  <c r="K102" i="110"/>
  <c r="AP116" i="103" l="1"/>
  <c r="AY116" i="103"/>
  <c r="AT115" i="103"/>
  <c r="AR115" i="103" s="1"/>
  <c r="AO115" i="103" s="1"/>
  <c r="O103" i="110"/>
  <c r="K103" i="110"/>
  <c r="P103" i="110"/>
  <c r="AS116" i="103" l="1"/>
  <c r="AQ116" i="103"/>
  <c r="AV116" i="103"/>
  <c r="AU116" i="103"/>
  <c r="AW116" i="103"/>
  <c r="AT116" i="103"/>
  <c r="AR116" i="103" s="1"/>
  <c r="AO116" i="103" s="1"/>
  <c r="O104" i="110"/>
  <c r="K104" i="110"/>
  <c r="P104" i="110"/>
  <c r="AP117" i="103" l="1"/>
  <c r="AY117" i="103"/>
  <c r="AS117" i="103"/>
  <c r="K105" i="110"/>
  <c r="O105" i="110"/>
  <c r="P105" i="110"/>
  <c r="AU117" i="103" l="1"/>
  <c r="AQ117" i="103"/>
  <c r="AW117" i="103"/>
  <c r="AV117" i="103"/>
  <c r="AT117" i="103"/>
  <c r="AR117" i="103" s="1"/>
  <c r="AO117" i="103" s="1"/>
  <c r="O106" i="110"/>
  <c r="K106" i="110"/>
  <c r="P106" i="110"/>
  <c r="AP118" i="103" l="1"/>
  <c r="AY118" i="103"/>
  <c r="AS118" i="103"/>
  <c r="O107" i="110"/>
  <c r="K107" i="110"/>
  <c r="P107" i="110"/>
  <c r="AW118" i="103" l="1"/>
  <c r="AQ118" i="103"/>
  <c r="AU118" i="103"/>
  <c r="AV118" i="103"/>
  <c r="AT118" i="103"/>
  <c r="AR118" i="103" s="1"/>
  <c r="AO118" i="103" s="1"/>
  <c r="O108" i="110"/>
  <c r="K108" i="110"/>
  <c r="P108" i="110"/>
  <c r="AS119" i="103" l="1"/>
  <c r="AP119" i="103"/>
  <c r="AY119" i="103"/>
  <c r="K109" i="110"/>
  <c r="O109" i="110"/>
  <c r="P109" i="110"/>
  <c r="AU119" i="103" l="1"/>
  <c r="AQ119" i="103"/>
  <c r="AV119" i="103"/>
  <c r="AW119" i="103"/>
  <c r="AT119" i="103"/>
  <c r="AR119" i="103" s="1"/>
  <c r="AO119" i="103" s="1"/>
  <c r="P110" i="110"/>
  <c r="O110" i="110"/>
  <c r="K110" i="110"/>
  <c r="AP120" i="103" l="1"/>
  <c r="AY120" i="103"/>
  <c r="AS120" i="103"/>
  <c r="O111" i="110"/>
  <c r="K111" i="110"/>
  <c r="P111" i="110"/>
  <c r="AW120" i="103" l="1"/>
  <c r="AV120" i="103"/>
  <c r="AQ120" i="103"/>
  <c r="AU120" i="103"/>
  <c r="AT120" i="103"/>
  <c r="AR120" i="103" s="1"/>
  <c r="AO120" i="103" s="1"/>
  <c r="K112" i="110"/>
  <c r="O112" i="110"/>
  <c r="P112" i="110"/>
  <c r="AS121" i="103" l="1"/>
  <c r="AP121" i="103"/>
  <c r="AY121" i="103"/>
  <c r="K113" i="110"/>
  <c r="O113" i="110"/>
  <c r="P113" i="110"/>
  <c r="AW121" i="103" l="1"/>
  <c r="AU121" i="103"/>
  <c r="AQ121" i="103"/>
  <c r="AV121" i="103"/>
  <c r="AT121" i="103"/>
  <c r="AR121" i="103" s="1"/>
  <c r="AO121" i="103" s="1"/>
  <c r="O114" i="110"/>
  <c r="K114" i="110"/>
  <c r="P114" i="110"/>
  <c r="AS122" i="103" l="1"/>
  <c r="AP122" i="103"/>
  <c r="AY122" i="103"/>
  <c r="O115" i="110"/>
  <c r="K115" i="110"/>
  <c r="P115" i="110"/>
  <c r="AU122" i="103" l="1"/>
  <c r="AW122" i="103"/>
  <c r="AV122" i="103"/>
  <c r="AQ122" i="103"/>
  <c r="AT122" i="103"/>
  <c r="AR122" i="103" s="1"/>
  <c r="AO122" i="103" s="1"/>
  <c r="O116" i="110"/>
  <c r="K116" i="110"/>
  <c r="P116" i="110"/>
  <c r="AY123" i="103" l="1"/>
  <c r="AP123" i="103"/>
  <c r="AS123" i="103"/>
  <c r="K117" i="110"/>
  <c r="O117" i="110"/>
  <c r="P117" i="110"/>
  <c r="AW123" i="103" l="1"/>
  <c r="AU123" i="103"/>
  <c r="AV123" i="103"/>
  <c r="AQ123" i="103"/>
  <c r="P118" i="110"/>
  <c r="O118" i="110"/>
  <c r="K118" i="110"/>
  <c r="AP124" i="103" l="1"/>
  <c r="AY124" i="103"/>
  <c r="AT123" i="103"/>
  <c r="AR123" i="103" s="1"/>
  <c r="AO123" i="103" s="1"/>
  <c r="O119" i="110"/>
  <c r="K119" i="110"/>
  <c r="P119" i="110"/>
  <c r="AQ124" i="103" l="1"/>
  <c r="AV124" i="103"/>
  <c r="AU124" i="103"/>
  <c r="AW124" i="103"/>
  <c r="AS124" i="103"/>
  <c r="P120" i="110"/>
  <c r="O120" i="110"/>
  <c r="K120" i="110"/>
  <c r="AY125" i="103" l="1"/>
  <c r="AP125" i="103"/>
  <c r="AT124" i="103"/>
  <c r="AR124" i="103" s="1"/>
  <c r="AO124" i="103" s="1"/>
  <c r="K121" i="110"/>
  <c r="O121" i="110"/>
  <c r="P121" i="110"/>
  <c r="AS125" i="103" l="1"/>
  <c r="AU125" i="103"/>
  <c r="AQ125" i="103"/>
  <c r="AV125" i="103"/>
  <c r="AW125" i="103"/>
  <c r="O122" i="110"/>
  <c r="K122" i="110"/>
  <c r="P122" i="110"/>
  <c r="AP126" i="103" l="1"/>
  <c r="AY126" i="103"/>
  <c r="AT125" i="103"/>
  <c r="AR125" i="103" s="1"/>
  <c r="AO125" i="103" s="1"/>
  <c r="O123" i="110"/>
  <c r="K123" i="110"/>
  <c r="P123" i="110"/>
  <c r="AS126" i="103" l="1"/>
  <c r="AW126" i="103"/>
  <c r="AQ126" i="103"/>
  <c r="AV126" i="103"/>
  <c r="AU126" i="103"/>
  <c r="P124" i="110"/>
  <c r="O124" i="110"/>
  <c r="K124" i="110"/>
  <c r="AT126" i="103" l="1"/>
  <c r="AR126" i="103" s="1"/>
  <c r="AO126" i="103" s="1"/>
  <c r="AP127" i="103"/>
  <c r="AY127" i="103"/>
  <c r="K125" i="110"/>
  <c r="O125" i="110"/>
  <c r="P125" i="110"/>
  <c r="AU127" i="103" l="1"/>
  <c r="AV127" i="103"/>
  <c r="AQ127" i="103"/>
  <c r="AW127" i="103"/>
  <c r="AT127" i="103"/>
  <c r="AR127" i="103" s="1"/>
  <c r="AO127" i="103" s="1"/>
  <c r="AS127" i="103"/>
  <c r="P126" i="110"/>
  <c r="O126" i="110"/>
  <c r="K126" i="110"/>
  <c r="AP128" i="103" l="1"/>
  <c r="AY128" i="103"/>
  <c r="AS128" i="103"/>
  <c r="O127" i="110"/>
  <c r="K127" i="110"/>
  <c r="P127" i="110"/>
  <c r="AW128" i="103" l="1"/>
  <c r="AV128" i="103"/>
  <c r="AQ128" i="103"/>
  <c r="AU128" i="103"/>
  <c r="P128" i="110"/>
  <c r="O128" i="110"/>
  <c r="K128" i="110"/>
  <c r="AT128" i="103" l="1"/>
  <c r="AR128" i="103" s="1"/>
  <c r="AO128" i="103" s="1"/>
  <c r="AP129" i="103"/>
  <c r="AY129" i="103"/>
  <c r="O129" i="110"/>
  <c r="K129" i="110"/>
  <c r="P129" i="110"/>
  <c r="AP131" i="103" l="1"/>
  <c r="AV129" i="103"/>
  <c r="AU129" i="103"/>
  <c r="AT129" i="103" s="1"/>
  <c r="AR129" i="103" s="1"/>
  <c r="AO129" i="103" s="1"/>
  <c r="AO131" i="103" s="1"/>
  <c r="AQ129" i="103"/>
  <c r="AQ131" i="103" s="1"/>
  <c r="AW129" i="103"/>
  <c r="AS129" i="103"/>
  <c r="O130" i="110"/>
  <c r="K130" i="110"/>
  <c r="P130" i="110"/>
  <c r="O131" i="110" l="1"/>
  <c r="K131" i="110"/>
  <c r="P131" i="110"/>
  <c r="O132" i="110" l="1"/>
  <c r="P132" i="110"/>
  <c r="K132" i="110"/>
  <c r="O133" i="110" l="1"/>
  <c r="K133" i="110"/>
  <c r="P133" i="110"/>
  <c r="O134" i="110" l="1"/>
  <c r="P134" i="110"/>
  <c r="K134" i="110"/>
  <c r="O135" i="110" l="1"/>
  <c r="K135" i="110"/>
  <c r="P135" i="110"/>
  <c r="O136" i="110" l="1"/>
  <c r="P136" i="110"/>
  <c r="K136" i="110"/>
  <c r="O137" i="110" l="1"/>
  <c r="K137" i="110"/>
  <c r="P137" i="110"/>
  <c r="O138" i="110" l="1"/>
  <c r="K138" i="110"/>
  <c r="P138" i="110"/>
  <c r="O139" i="110" l="1"/>
  <c r="K139" i="110"/>
  <c r="P139" i="110"/>
  <c r="O140" i="110" l="1"/>
  <c r="P140" i="110"/>
  <c r="K140" i="110"/>
  <c r="O141" i="110" l="1"/>
  <c r="K141" i="110"/>
  <c r="P141" i="110"/>
  <c r="O142" i="110" l="1"/>
  <c r="P142" i="110"/>
  <c r="K142" i="110"/>
  <c r="O143" i="110" l="1"/>
  <c r="K143" i="110"/>
  <c r="P143" i="110"/>
  <c r="O144" i="110" l="1"/>
  <c r="P144" i="110"/>
  <c r="K144" i="110"/>
  <c r="O145" i="110" l="1"/>
  <c r="K145" i="110"/>
  <c r="P145" i="110"/>
  <c r="O146" i="110" l="1"/>
  <c r="K146" i="110"/>
  <c r="P146" i="110"/>
  <c r="O147" i="110" l="1"/>
  <c r="K147" i="110"/>
  <c r="P147" i="110"/>
  <c r="O148" i="110" l="1"/>
  <c r="K148" i="110"/>
  <c r="P148" i="110"/>
  <c r="O149" i="110" l="1"/>
  <c r="K149" i="110"/>
  <c r="P149" i="110"/>
  <c r="O150" i="110" l="1"/>
  <c r="P150" i="110"/>
  <c r="K150" i="110"/>
  <c r="O151" i="110" l="1"/>
  <c r="P151" i="110"/>
  <c r="K151" i="110"/>
  <c r="O152" i="110" l="1"/>
  <c r="K152" i="110"/>
  <c r="P152" i="110"/>
  <c r="O153" i="110" l="1"/>
  <c r="K153" i="110"/>
  <c r="P153" i="110"/>
  <c r="O154" i="110" l="1"/>
  <c r="P154" i="110"/>
  <c r="K154" i="110"/>
  <c r="O155" i="110" l="1"/>
  <c r="P155" i="110"/>
  <c r="K155" i="110"/>
  <c r="O156" i="110" l="1"/>
  <c r="P156" i="110"/>
  <c r="K156" i="110"/>
  <c r="O157" i="110" l="1"/>
  <c r="K157" i="110"/>
  <c r="P157" i="110"/>
  <c r="O158" i="110" l="1"/>
  <c r="K158" i="110"/>
  <c r="P158" i="110"/>
  <c r="K159" i="110" l="1"/>
  <c r="O159" i="110"/>
  <c r="P159" i="110"/>
  <c r="J68" i="110" l="1"/>
  <c r="AW44" i="112" l="1"/>
  <c r="AY45" i="112" l="1"/>
  <c r="AP45" i="112"/>
  <c r="AI86" i="112"/>
  <c r="BB91" i="112"/>
  <c r="AU45" i="112" l="1"/>
  <c r="AV45" i="112"/>
  <c r="AK86" i="112"/>
  <c r="AT45" i="112"/>
  <c r="AR45" i="112" l="1"/>
  <c r="AS46" i="112" s="1"/>
  <c r="AJ86" i="112" l="1"/>
  <c r="AQ45" i="112"/>
  <c r="AO45" i="112" s="1"/>
  <c r="AL45" i="112" s="1"/>
  <c r="AW45" i="112" l="1"/>
  <c r="AY46" i="112" l="1"/>
  <c r="AI87" i="112"/>
  <c r="BB92" i="112"/>
  <c r="AP46" i="112"/>
  <c r="AK87" i="112" l="1"/>
  <c r="K45" i="110"/>
  <c r="AU46" i="112"/>
  <c r="AV46" i="112"/>
  <c r="AT46" i="112" l="1"/>
  <c r="AR46" i="112" s="1"/>
  <c r="AO46" i="112" l="1"/>
  <c r="AQ46" i="112" s="1"/>
  <c r="AS47" i="112"/>
  <c r="AW46" i="112" l="1"/>
  <c r="AL46" i="112"/>
  <c r="AJ87" i="112"/>
  <c r="AY47" i="112" l="1"/>
  <c r="AP47" i="112"/>
  <c r="AI88" i="112"/>
  <c r="BB93" i="112"/>
  <c r="AU47" i="112" l="1"/>
  <c r="AV47" i="112"/>
  <c r="AK88" i="112"/>
  <c r="AT47" i="112"/>
  <c r="AR47" i="112" s="1"/>
  <c r="AO47" i="112" s="1"/>
  <c r="K46" i="110"/>
  <c r="AL47" i="112" l="1"/>
  <c r="AS48" i="112"/>
  <c r="AQ47" i="112"/>
  <c r="AW47" i="112" l="1"/>
  <c r="AY48" i="112" l="1"/>
  <c r="AP48" i="112"/>
  <c r="AU48" i="112" l="1"/>
  <c r="AV48" i="112"/>
  <c r="AT48" i="112" l="1"/>
  <c r="AR48" i="112" s="1"/>
  <c r="AS49" i="112" s="1"/>
  <c r="AO48" i="112" l="1"/>
  <c r="AQ48" i="112"/>
  <c r="AW48" i="112" l="1"/>
  <c r="AL48" i="112"/>
  <c r="AJ88" i="112"/>
  <c r="AY49" i="112" l="1"/>
  <c r="AP49" i="112"/>
  <c r="AI89" i="112"/>
  <c r="BB94" i="112"/>
  <c r="AK89" i="112" l="1"/>
  <c r="AU49" i="112"/>
  <c r="AT49" i="112" s="1"/>
  <c r="AV49" i="112"/>
  <c r="AR49" i="112" l="1"/>
  <c r="AS50" i="112" s="1"/>
  <c r="AO49" i="112" l="1"/>
  <c r="AQ49" i="112"/>
  <c r="AW49" i="112" s="1"/>
  <c r="AY50" i="112" l="1"/>
  <c r="AI90" i="112"/>
  <c r="AP50" i="112"/>
  <c r="BB95" i="112"/>
  <c r="AL49" i="112"/>
  <c r="AJ89" i="112"/>
  <c r="K49" i="110" l="1"/>
  <c r="AK90" i="112"/>
  <c r="AU50" i="112"/>
  <c r="AV50" i="112"/>
  <c r="AT50" i="112" l="1"/>
  <c r="AR50" i="112" s="1"/>
  <c r="AO50" i="112" l="1"/>
  <c r="AQ50" i="112"/>
  <c r="AW50" i="112" s="1"/>
  <c r="AS51" i="112"/>
  <c r="K50" i="110" l="1"/>
  <c r="AY51" i="112"/>
  <c r="AI91" i="112"/>
  <c r="BB96" i="112"/>
  <c r="AP51" i="112"/>
  <c r="AL50" i="112"/>
  <c r="AJ90" i="112"/>
  <c r="AU51" i="112" l="1"/>
  <c r="AV51" i="112"/>
  <c r="AK91" i="112"/>
  <c r="AT51" i="112" l="1"/>
  <c r="AR51" i="112" s="1"/>
  <c r="AS52" i="112" s="1"/>
  <c r="AO51" i="112" l="1"/>
  <c r="AQ51" i="112" s="1"/>
  <c r="AW51" i="112" s="1"/>
  <c r="AY52" i="112" l="1"/>
  <c r="AP52" i="112"/>
  <c r="BB97" i="112"/>
  <c r="AI92" i="112"/>
  <c r="K51" i="110"/>
  <c r="AL51" i="112"/>
  <c r="AJ91" i="112"/>
  <c r="AK92" i="112" l="1"/>
  <c r="AU52" i="112"/>
  <c r="AV52" i="112"/>
  <c r="AT52" i="112" l="1"/>
  <c r="AR52" i="112" s="1"/>
  <c r="AS53" i="112" s="1"/>
  <c r="AO52" i="112" l="1"/>
  <c r="AQ52" i="112"/>
  <c r="AW52" i="112" s="1"/>
  <c r="AY53" i="112" l="1"/>
  <c r="AP53" i="112"/>
  <c r="AI93" i="112"/>
  <c r="BB98" i="112"/>
  <c r="K52" i="110"/>
  <c r="AL52" i="112"/>
  <c r="AJ92" i="112"/>
  <c r="AK93" i="112" l="1"/>
  <c r="AU53" i="112"/>
  <c r="AT53" i="112" s="1"/>
  <c r="AV53" i="112"/>
  <c r="AR53" i="112" l="1"/>
  <c r="AO53" i="112" s="1"/>
  <c r="AQ53" i="112" s="1"/>
  <c r="AW53" i="112" s="1"/>
  <c r="AS54" i="112"/>
  <c r="AY54" i="112" l="1"/>
  <c r="AI94" i="112"/>
  <c r="AP54" i="112"/>
  <c r="BB99" i="112"/>
  <c r="AL53" i="112"/>
  <c r="AJ93" i="112"/>
  <c r="AU54" i="112" l="1"/>
  <c r="AV54" i="112"/>
  <c r="K53" i="110"/>
  <c r="AT54" i="112"/>
  <c r="AK94" i="112"/>
  <c r="AR54" i="112" l="1"/>
  <c r="AO54" i="112" l="1"/>
  <c r="AQ54" i="112" s="1"/>
  <c r="AW54" i="112" s="1"/>
  <c r="AS55" i="112"/>
  <c r="AY55" i="112" l="1"/>
  <c r="AI95" i="112"/>
  <c r="BB100" i="112"/>
  <c r="AP55" i="112"/>
  <c r="AL54" i="112"/>
  <c r="AJ94" i="112"/>
  <c r="AU55" i="112" l="1"/>
  <c r="AV55" i="112"/>
  <c r="K54" i="110"/>
  <c r="AK95" i="112"/>
  <c r="AT55" i="112" l="1"/>
  <c r="AR55" i="112" s="1"/>
  <c r="AO55" i="112" l="1"/>
  <c r="AQ55" i="112"/>
  <c r="AW55" i="112" s="1"/>
  <c r="AS56" i="112"/>
  <c r="AY56" i="112" l="1"/>
  <c r="AP56" i="112"/>
  <c r="BB101" i="112"/>
  <c r="AI96" i="112"/>
  <c r="AL55" i="112"/>
  <c r="AJ95" i="112"/>
  <c r="K55" i="110" l="1"/>
  <c r="AK96" i="112"/>
  <c r="AU56" i="112"/>
  <c r="AT56" i="112" s="1"/>
  <c r="AV56" i="112"/>
  <c r="AR56" i="112" l="1"/>
  <c r="AO56" i="112" l="1"/>
  <c r="AQ56" i="112"/>
  <c r="AW56" i="112" s="1"/>
  <c r="AS57" i="112"/>
  <c r="AY57" i="112" l="1"/>
  <c r="AP57" i="112"/>
  <c r="AI97" i="112"/>
  <c r="BB102" i="112"/>
  <c r="AL56" i="112"/>
  <c r="AJ96" i="112"/>
  <c r="K56" i="110" l="1"/>
  <c r="AU57" i="112"/>
  <c r="AT57" i="112" s="1"/>
  <c r="AR57" i="112" s="1"/>
  <c r="AV57" i="112"/>
  <c r="AK97" i="112"/>
  <c r="AO57" i="112" l="1"/>
  <c r="AQ57" i="112"/>
  <c r="AW57" i="112" s="1"/>
  <c r="AS58" i="112"/>
  <c r="AY58" i="112" l="1"/>
  <c r="AP58" i="112"/>
  <c r="AI98" i="112"/>
  <c r="BB103" i="112"/>
  <c r="AL57" i="112"/>
  <c r="AJ97" i="112"/>
  <c r="AU58" i="112" l="1"/>
  <c r="AV58" i="112"/>
  <c r="AK98" i="112"/>
  <c r="K57" i="110" l="1"/>
  <c r="AT58" i="112"/>
  <c r="AR58" i="112" s="1"/>
  <c r="AS59" i="112" s="1"/>
  <c r="AO58" i="112" l="1"/>
  <c r="AQ58" i="112"/>
  <c r="AW58" i="112" s="1"/>
  <c r="AY59" i="112" l="1"/>
  <c r="AP59" i="112"/>
  <c r="AI99" i="112"/>
  <c r="BB104" i="112"/>
  <c r="AL58" i="112"/>
  <c r="AJ98" i="112"/>
  <c r="AK99" i="112" l="1"/>
  <c r="AU59" i="112"/>
  <c r="AV59" i="112"/>
  <c r="K58" i="110" l="1"/>
  <c r="AT59" i="112"/>
  <c r="AR59" i="112" s="1"/>
  <c r="AO59" i="112" l="1"/>
  <c r="AQ59" i="112" s="1"/>
  <c r="AW59" i="112" s="1"/>
  <c r="AS60" i="112"/>
  <c r="AY60" i="112" l="1"/>
  <c r="AP60" i="112"/>
  <c r="BB105" i="112"/>
  <c r="AI100" i="112"/>
  <c r="AL59" i="112"/>
  <c r="AJ99" i="112"/>
  <c r="AK100" i="112" l="1"/>
  <c r="AU60" i="112"/>
  <c r="AV60" i="112"/>
  <c r="K59" i="110" l="1"/>
  <c r="AT60" i="112"/>
  <c r="AR60" i="112" s="1"/>
  <c r="AS61" i="112" s="1"/>
  <c r="AO60" i="112" l="1"/>
  <c r="AQ60" i="112"/>
  <c r="AW60" i="112" s="1"/>
  <c r="AY61" i="112" l="1"/>
  <c r="AP61" i="112"/>
  <c r="AI101" i="112"/>
  <c r="BB106" i="112"/>
  <c r="AL60" i="112"/>
  <c r="AJ100" i="112"/>
  <c r="AK101" i="112" l="1"/>
  <c r="AU61" i="112"/>
  <c r="AT61" i="112" s="1"/>
  <c r="AR61" i="112" s="1"/>
  <c r="AV61" i="112"/>
  <c r="K60" i="110"/>
  <c r="AO61" i="112" l="1"/>
  <c r="AQ61" i="112" s="1"/>
  <c r="AW61" i="112" s="1"/>
  <c r="AS62" i="112"/>
  <c r="AY62" i="112" l="1"/>
  <c r="AP62" i="112"/>
  <c r="AI102" i="112"/>
  <c r="BB107" i="112"/>
  <c r="AL61" i="112"/>
  <c r="AJ101" i="112"/>
  <c r="AU62" i="112" l="1"/>
  <c r="AV62" i="112"/>
  <c r="AK102" i="112"/>
  <c r="AT62" i="112"/>
  <c r="AR62" i="112" s="1"/>
  <c r="AO62" i="112" s="1"/>
  <c r="AL62" i="112" s="1"/>
  <c r="K61" i="110"/>
  <c r="AQ62" i="112" l="1"/>
  <c r="AW62" i="112" s="1"/>
  <c r="AJ102" i="112"/>
  <c r="AS63" i="112"/>
  <c r="AY63" i="112" l="1"/>
  <c r="AP63" i="112"/>
  <c r="AI103" i="112"/>
  <c r="BB108" i="112"/>
  <c r="AU63" i="112" l="1"/>
  <c r="AV63" i="112"/>
  <c r="AK103" i="112"/>
  <c r="K62" i="110" l="1"/>
  <c r="AT63" i="112"/>
  <c r="AR63" i="112" s="1"/>
  <c r="AS64" i="112" s="1"/>
  <c r="AO63" i="112" l="1"/>
  <c r="AQ63" i="112"/>
  <c r="AW63" i="112" s="1"/>
  <c r="AY64" i="112" l="1"/>
  <c r="AP64" i="112"/>
  <c r="BB109" i="112"/>
  <c r="AI104" i="112"/>
  <c r="AL63" i="112"/>
  <c r="AJ103" i="112"/>
  <c r="AK104" i="112" l="1"/>
  <c r="AU64" i="112"/>
  <c r="AV64" i="112"/>
  <c r="K63" i="110" l="1"/>
  <c r="AT64" i="112"/>
  <c r="AR64" i="112" s="1"/>
  <c r="AS65" i="112" s="1"/>
  <c r="AO64" i="112" l="1"/>
  <c r="AQ64" i="112"/>
  <c r="AW64" i="112" s="1"/>
  <c r="AY65" i="112" l="1"/>
  <c r="AP65" i="112"/>
  <c r="AI105" i="112"/>
  <c r="BB110" i="112"/>
  <c r="AL64" i="112"/>
  <c r="AJ104" i="112"/>
  <c r="AK105" i="112" l="1"/>
  <c r="K64" i="110"/>
  <c r="AU65" i="112"/>
  <c r="AV65" i="112"/>
  <c r="AT65" i="112" l="1"/>
  <c r="AR65" i="112" s="1"/>
  <c r="AO65" i="112" l="1"/>
  <c r="AQ65" i="112"/>
  <c r="AW65" i="112" s="1"/>
  <c r="AS66" i="112"/>
  <c r="AY66" i="112" l="1"/>
  <c r="AP66" i="112"/>
  <c r="AI106" i="112"/>
  <c r="BB111" i="112"/>
  <c r="AL65" i="112"/>
  <c r="AJ105" i="112"/>
  <c r="K65" i="110" l="1"/>
  <c r="AU66" i="112"/>
  <c r="AV66" i="112"/>
  <c r="AK106" i="112"/>
  <c r="AT66" i="112" l="1"/>
  <c r="AR66" i="112" s="1"/>
  <c r="AO66" i="112" l="1"/>
  <c r="AQ66" i="112"/>
  <c r="AW66" i="112" s="1"/>
  <c r="AS67" i="112"/>
  <c r="AY67" i="112" l="1"/>
  <c r="AP67" i="112"/>
  <c r="AI107" i="112"/>
  <c r="BB112" i="112"/>
  <c r="AL66" i="112"/>
  <c r="AJ106" i="112"/>
  <c r="K66" i="110" l="1"/>
  <c r="AU67" i="112"/>
  <c r="AT67" i="112" s="1"/>
  <c r="AR67" i="112" s="1"/>
  <c r="AO67" i="112" s="1"/>
  <c r="AL67" i="112" s="1"/>
  <c r="AV67" i="112"/>
  <c r="AK107" i="112"/>
  <c r="AQ67" i="112" l="1"/>
  <c r="AW67" i="112" s="1"/>
  <c r="AJ107" i="112"/>
  <c r="AS68" i="112"/>
  <c r="AY68" i="112" l="1"/>
  <c r="AP68" i="112"/>
  <c r="BB113" i="112"/>
  <c r="AI108" i="112"/>
  <c r="AK108" i="112" l="1"/>
  <c r="AU68" i="112"/>
  <c r="AV68" i="112"/>
  <c r="AT68" i="112"/>
  <c r="AR68" i="112" s="1"/>
  <c r="AO68" i="112" s="1"/>
  <c r="AL68" i="112" s="1"/>
  <c r="K67" i="110" l="1"/>
  <c r="AJ108" i="112"/>
  <c r="AS69" i="112"/>
  <c r="AQ68" i="112"/>
  <c r="AW68" i="112" s="1"/>
  <c r="AY69" i="112" l="1"/>
  <c r="AP69" i="112"/>
  <c r="AI109" i="112"/>
  <c r="BB114" i="112"/>
  <c r="AK109" i="112" l="1"/>
  <c r="AU69" i="112"/>
  <c r="AT69" i="112" s="1"/>
  <c r="AV69" i="112"/>
  <c r="K68" i="110" l="1"/>
  <c r="AR69" i="112"/>
  <c r="AO69" i="112" l="1"/>
  <c r="AS70" i="112"/>
  <c r="AL69" i="112" l="1"/>
  <c r="AJ109" i="112"/>
  <c r="AQ69" i="112"/>
  <c r="AW69" i="112" s="1"/>
  <c r="AY70" i="112" l="1"/>
  <c r="AP70" i="112"/>
  <c r="AI110" i="112"/>
  <c r="BB115" i="112"/>
  <c r="K69" i="110" l="1"/>
  <c r="AU70" i="112"/>
  <c r="AT70" i="112" s="1"/>
  <c r="AR70" i="112" s="1"/>
  <c r="AO70" i="112" s="1"/>
  <c r="AL70" i="112" s="1"/>
  <c r="AV70" i="112"/>
  <c r="AK110" i="112"/>
  <c r="AQ70" i="112" l="1"/>
  <c r="AW70" i="112" s="1"/>
  <c r="AJ110" i="112"/>
  <c r="AS71" i="112"/>
  <c r="AY71" i="112" l="1"/>
  <c r="AP71" i="112"/>
  <c r="AI111" i="112"/>
  <c r="BB116" i="112"/>
  <c r="AK111" i="112" l="1"/>
  <c r="AU71" i="112"/>
  <c r="AT71" i="112" s="1"/>
  <c r="AR71" i="112" s="1"/>
  <c r="AV71" i="112"/>
  <c r="AO71" i="112" l="1"/>
  <c r="AQ71" i="112"/>
  <c r="AW71" i="112" s="1"/>
  <c r="AS72" i="112"/>
  <c r="K70" i="110"/>
  <c r="AY72" i="112" l="1"/>
  <c r="AP72" i="112"/>
  <c r="BB117" i="112"/>
  <c r="AI112" i="112"/>
  <c r="AL71" i="112"/>
  <c r="AJ111" i="112"/>
  <c r="AK112" i="112" l="1"/>
  <c r="AU72" i="112"/>
  <c r="AV72" i="112"/>
  <c r="AT72" i="112" l="1"/>
  <c r="AR72" i="112" s="1"/>
  <c r="AO72" i="112" l="1"/>
  <c r="K71" i="110"/>
  <c r="AS73" i="112"/>
  <c r="AL72" i="112" l="1"/>
  <c r="AJ112" i="112"/>
  <c r="AQ72" i="112"/>
  <c r="AW72" i="112" s="1"/>
  <c r="AY73" i="112" l="1"/>
  <c r="AP73" i="112"/>
  <c r="AI113" i="112"/>
  <c r="BB118" i="112"/>
  <c r="AK113" i="112" l="1"/>
  <c r="AU73" i="112"/>
  <c r="AV73" i="112"/>
  <c r="K72" i="110" l="1"/>
  <c r="AT73" i="112"/>
  <c r="AR73" i="112" s="1"/>
  <c r="AO73" i="112" l="1"/>
  <c r="AS74" i="112"/>
  <c r="AL73" i="112" l="1"/>
  <c r="AJ113" i="112"/>
  <c r="AQ73" i="112"/>
  <c r="AW73" i="112" s="1"/>
  <c r="AY74" i="112" l="1"/>
  <c r="AP74" i="112"/>
  <c r="AI114" i="112"/>
  <c r="BB119" i="112"/>
  <c r="AK114" i="112" l="1"/>
  <c r="K73" i="110"/>
  <c r="AU74" i="112"/>
  <c r="AV74" i="112"/>
  <c r="AT74" i="112" l="1"/>
  <c r="AR74" i="112" s="1"/>
  <c r="AS75" i="112" s="1"/>
  <c r="AO74" i="112" l="1"/>
  <c r="AQ74" i="112"/>
  <c r="AW74" i="112" s="1"/>
  <c r="AY75" i="112" l="1"/>
  <c r="AP75" i="112"/>
  <c r="AI115" i="112"/>
  <c r="BB120" i="112"/>
  <c r="AL74" i="112"/>
  <c r="AJ114" i="112"/>
  <c r="AU75" i="112" l="1"/>
  <c r="AV75" i="112"/>
  <c r="K74" i="110"/>
  <c r="AK115" i="112"/>
  <c r="AT75" i="112" l="1"/>
  <c r="AR75" i="112" s="1"/>
  <c r="AO75" i="112" l="1"/>
  <c r="AQ75" i="112"/>
  <c r="AW75" i="112" s="1"/>
  <c r="AS76" i="112"/>
  <c r="AY76" i="112" l="1"/>
  <c r="AP76" i="112"/>
  <c r="AO44" i="112" s="1"/>
  <c r="BB121" i="112"/>
  <c r="AI116" i="112"/>
  <c r="AL75" i="112"/>
  <c r="AJ115" i="112"/>
  <c r="AQ44" i="112" l="1"/>
  <c r="AL44" i="112"/>
  <c r="AJ85" i="112"/>
  <c r="AK116" i="112"/>
  <c r="AU76" i="112"/>
  <c r="AT76" i="112" s="1"/>
  <c r="AR76" i="112" s="1"/>
  <c r="AV76" i="112"/>
  <c r="K75" i="110"/>
  <c r="AO76" i="112" l="1"/>
  <c r="AL76" i="112" s="1"/>
  <c r="AQ76" i="112"/>
  <c r="AW76" i="112" s="1"/>
  <c r="AI117" i="112" s="1"/>
  <c r="AJ116" i="112"/>
  <c r="AS77" i="112"/>
  <c r="AP77" i="112" l="1"/>
  <c r="BB122" i="112"/>
  <c r="AY77" i="112"/>
  <c r="AU77" i="112" s="1"/>
  <c r="AK117" i="112"/>
  <c r="AV77" i="112" l="1"/>
  <c r="AT77" i="112"/>
  <c r="AR77" i="112" s="1"/>
  <c r="AO77" i="112" s="1"/>
  <c r="AL77" i="112" s="1"/>
  <c r="AQ77" i="112"/>
  <c r="AW77" i="112" s="1"/>
  <c r="AI118" i="112" s="1"/>
  <c r="AP78" i="112"/>
  <c r="AS78" i="112"/>
  <c r="AJ117" i="112"/>
  <c r="AY78" i="112" l="1"/>
  <c r="BB123" i="112"/>
  <c r="AK118" i="112"/>
  <c r="K76" i="110"/>
  <c r="AU78" i="112"/>
  <c r="AT78" i="112" s="1"/>
  <c r="AV78" i="112"/>
  <c r="AR78" i="112" l="1"/>
  <c r="AS79" i="112" s="1"/>
  <c r="AO78" i="112" l="1"/>
  <c r="AQ78" i="112"/>
  <c r="AW78" i="112" s="1"/>
  <c r="AY79" i="112" l="1"/>
  <c r="AP79" i="112"/>
  <c r="AI119" i="112"/>
  <c r="BB124" i="112"/>
  <c r="AL78" i="112"/>
  <c r="AJ118" i="112"/>
  <c r="AU79" i="112" l="1"/>
  <c r="AV79" i="112"/>
  <c r="K77" i="110"/>
  <c r="AK119" i="112"/>
  <c r="AT79" i="112"/>
  <c r="AR79" i="112" l="1"/>
  <c r="AS80" i="112" s="1"/>
  <c r="AO79" i="112" l="1"/>
  <c r="AL79" i="112" l="1"/>
  <c r="AJ119" i="112"/>
  <c r="AQ79" i="112"/>
  <c r="AW79" i="112" s="1"/>
  <c r="AY80" i="112" l="1"/>
  <c r="AP80" i="112"/>
  <c r="BB125" i="112"/>
  <c r="AI120" i="112"/>
  <c r="K78" i="110"/>
  <c r="AU80" i="112" l="1"/>
  <c r="AT80" i="112" s="1"/>
  <c r="AV80" i="112"/>
  <c r="AK120" i="112"/>
  <c r="AR80" i="112" l="1"/>
  <c r="AO80" i="112" l="1"/>
  <c r="AQ80" i="112"/>
  <c r="AW80" i="112" s="1"/>
  <c r="AS81" i="112"/>
  <c r="AY81" i="112" l="1"/>
  <c r="AP81" i="112"/>
  <c r="AI121" i="112"/>
  <c r="BB126" i="112"/>
  <c r="K79" i="110"/>
  <c r="AL80" i="112"/>
  <c r="AJ120" i="112"/>
  <c r="AU81" i="112" l="1"/>
  <c r="AV81" i="112"/>
  <c r="AK121" i="112"/>
  <c r="AT81" i="112" l="1"/>
  <c r="AR81" i="112" s="1"/>
  <c r="AO81" i="112" l="1"/>
  <c r="AQ81" i="112"/>
  <c r="AW81" i="112" s="1"/>
  <c r="AS82" i="112"/>
  <c r="K80" i="110" l="1"/>
  <c r="AY82" i="112"/>
  <c r="AP82" i="112"/>
  <c r="AI122" i="112"/>
  <c r="BB127" i="112"/>
  <c r="AL81" i="112"/>
  <c r="AJ121" i="112"/>
  <c r="AU82" i="112" l="1"/>
  <c r="AV82" i="112"/>
  <c r="AK122" i="112"/>
  <c r="AT82" i="112" l="1"/>
  <c r="AR82" i="112" s="1"/>
  <c r="AS83" i="112" s="1"/>
  <c r="AO82" i="112" l="1"/>
  <c r="AQ82" i="112"/>
  <c r="AW82" i="112" s="1"/>
  <c r="AY83" i="112" l="1"/>
  <c r="AP83" i="112"/>
  <c r="AI123" i="112"/>
  <c r="BB128" i="112"/>
  <c r="AL82" i="112"/>
  <c r="AJ122" i="112"/>
  <c r="K81" i="110"/>
  <c r="AK123" i="112" l="1"/>
  <c r="AU83" i="112"/>
  <c r="AT83" i="112" s="1"/>
  <c r="AV83" i="112"/>
  <c r="AR83" i="112" l="1"/>
  <c r="AO83" i="112" l="1"/>
  <c r="AS84" i="112"/>
  <c r="K82" i="110" l="1"/>
  <c r="AL83" i="112"/>
  <c r="AJ123" i="112"/>
  <c r="AQ83" i="112"/>
  <c r="AW83" i="112" s="1"/>
  <c r="AY84" i="112" l="1"/>
  <c r="AP84" i="112"/>
  <c r="BB129" i="112"/>
  <c r="AI124" i="112"/>
  <c r="AK124" i="112" l="1"/>
  <c r="AU84" i="112"/>
  <c r="AT84" i="112" s="1"/>
  <c r="AV84" i="112"/>
  <c r="AR84" i="112" l="1"/>
  <c r="AS85" i="112" s="1"/>
  <c r="K83" i="110" l="1"/>
  <c r="AO84" i="112"/>
  <c r="AQ84" i="112"/>
  <c r="AW84" i="112" s="1"/>
  <c r="AY85" i="112" l="1"/>
  <c r="AP85" i="112"/>
  <c r="AI125" i="112"/>
  <c r="BB130" i="112"/>
  <c r="AL84" i="112"/>
  <c r="AJ124" i="112"/>
  <c r="AK125" i="112" l="1"/>
  <c r="AU85" i="112"/>
  <c r="AV85" i="112"/>
  <c r="AT85" i="112" l="1"/>
  <c r="AR85" i="112" s="1"/>
  <c r="AO85" i="112" l="1"/>
  <c r="AQ85" i="112"/>
  <c r="AW85" i="112" s="1"/>
  <c r="K84" i="110"/>
  <c r="AS86" i="112"/>
  <c r="AP86" i="112" l="1"/>
  <c r="AY86" i="112"/>
  <c r="AI126" i="112"/>
  <c r="BB131" i="112"/>
  <c r="AL85" i="112"/>
  <c r="AJ125" i="112"/>
  <c r="AK126" i="112" l="1"/>
  <c r="AU86" i="112"/>
  <c r="AV86" i="112"/>
  <c r="AT86" i="112" l="1"/>
  <c r="AR86" i="112" s="1"/>
  <c r="AO86" i="112" l="1"/>
  <c r="K85" i="110"/>
  <c r="AS87" i="112"/>
  <c r="AL86" i="112" l="1"/>
  <c r="AJ126" i="112"/>
  <c r="AQ86" i="112"/>
  <c r="AW86" i="112" s="1"/>
  <c r="AY87" i="112" l="1"/>
  <c r="AP87" i="112"/>
  <c r="AI127" i="112"/>
  <c r="BB132" i="112"/>
  <c r="AU87" i="112" l="1"/>
  <c r="AV87" i="112"/>
  <c r="AK127" i="112"/>
  <c r="AT87" i="112" l="1"/>
  <c r="AR87" i="112" s="1"/>
  <c r="K86" i="110"/>
  <c r="AO87" i="112" l="1"/>
  <c r="AQ87" i="112"/>
  <c r="AW87" i="112" s="1"/>
  <c r="AS88" i="112"/>
  <c r="AL87" i="112" l="1"/>
  <c r="AJ127" i="112"/>
  <c r="AP88" i="112"/>
  <c r="AY88" i="112"/>
  <c r="BB133" i="112"/>
  <c r="AI128" i="112"/>
  <c r="AU88" i="112" l="1"/>
  <c r="AV88" i="112"/>
  <c r="AK128" i="112"/>
  <c r="K87" i="110" l="1"/>
  <c r="AT88" i="112"/>
  <c r="AR88" i="112" s="1"/>
  <c r="AS89" i="112" s="1"/>
  <c r="AO88" i="112" l="1"/>
  <c r="AQ88" i="112" s="1"/>
  <c r="AW88" i="112" s="1"/>
  <c r="AY89" i="112" l="1"/>
  <c r="AP89" i="112"/>
  <c r="AI129" i="112"/>
  <c r="BB134" i="112"/>
  <c r="AL88" i="112"/>
  <c r="AJ128" i="112"/>
  <c r="AU89" i="112" l="1"/>
  <c r="AT89" i="112" s="1"/>
  <c r="AV89" i="112"/>
  <c r="AK129" i="112"/>
  <c r="AR89" i="112" l="1"/>
  <c r="AS90" i="112"/>
  <c r="AO89" i="112" l="1"/>
  <c r="AL89" i="112" l="1"/>
  <c r="AJ129" i="112"/>
  <c r="AQ89" i="112"/>
  <c r="AW89" i="112" s="1"/>
  <c r="AP90" i="112" l="1"/>
  <c r="AY90" i="112"/>
  <c r="AI130" i="112"/>
  <c r="BB135" i="112"/>
  <c r="AK130" i="112" l="1"/>
  <c r="AU90" i="112"/>
  <c r="AV90" i="112"/>
  <c r="K89" i="110" l="1"/>
  <c r="AT90" i="112"/>
  <c r="AR90" i="112" s="1"/>
  <c r="AS91" i="112" s="1"/>
  <c r="AO90" i="112" l="1"/>
  <c r="AL90" i="112" l="1"/>
  <c r="AJ130" i="112"/>
  <c r="AQ90" i="112"/>
  <c r="AW90" i="112" s="1"/>
  <c r="AY91" i="112" l="1"/>
  <c r="AP91" i="112"/>
  <c r="AI131" i="112"/>
  <c r="BB136" i="112"/>
  <c r="K90" i="110" l="1"/>
  <c r="AK131" i="112"/>
  <c r="AU91" i="112"/>
  <c r="AV91" i="112"/>
  <c r="AT91" i="112" l="1"/>
  <c r="AR91" i="112" s="1"/>
  <c r="AO91" i="112" l="1"/>
  <c r="AQ91" i="112" s="1"/>
  <c r="AW91" i="112" s="1"/>
  <c r="AL91" i="112"/>
  <c r="AJ131" i="112"/>
  <c r="AS92" i="112"/>
  <c r="BB137" i="112" l="1"/>
  <c r="AP92" i="112"/>
  <c r="AI132" i="112"/>
  <c r="AY92" i="112"/>
  <c r="AU92" i="112" l="1"/>
  <c r="AV92" i="112"/>
  <c r="AW92" i="112"/>
  <c r="AQ92" i="112"/>
  <c r="K91" i="110"/>
  <c r="AK132" i="112"/>
  <c r="AP93" i="112" l="1"/>
  <c r="AI133" i="112"/>
  <c r="BB138" i="112"/>
  <c r="AY93" i="112"/>
  <c r="AT92" i="112"/>
  <c r="AR92" i="112" s="1"/>
  <c r="AS93" i="112" s="1"/>
  <c r="AW93" i="112" l="1"/>
  <c r="AV93" i="112"/>
  <c r="AQ93" i="112"/>
  <c r="AU93" i="112"/>
  <c r="K92" i="110"/>
  <c r="AJ133" i="112"/>
  <c r="AK133" i="112"/>
  <c r="AT93" i="112" l="1"/>
  <c r="AR93" i="112" s="1"/>
  <c r="AS94" i="112" s="1"/>
  <c r="BB139" i="112"/>
  <c r="AI134" i="112"/>
  <c r="AP94" i="112"/>
  <c r="AY94" i="112"/>
  <c r="AK134" i="112" l="1"/>
  <c r="AJ134" i="112"/>
  <c r="AV94" i="112"/>
  <c r="AW94" i="112"/>
  <c r="AU94" i="112"/>
  <c r="AQ94" i="112"/>
  <c r="AT94" i="112" l="1"/>
  <c r="AR94" i="112" s="1"/>
  <c r="AI135" i="112"/>
  <c r="BB140" i="112"/>
  <c r="AY95" i="112"/>
  <c r="AP95" i="112"/>
  <c r="AK135" i="112" l="1"/>
  <c r="AJ135" i="112"/>
  <c r="AS95" i="112"/>
  <c r="AV95" i="112"/>
  <c r="AW95" i="112"/>
  <c r="AU95" i="112"/>
  <c r="AQ95" i="112"/>
  <c r="AT95" i="112" l="1"/>
  <c r="AR95" i="112" s="1"/>
  <c r="AS96" i="112" s="1"/>
  <c r="AI136" i="112"/>
  <c r="BB141" i="112"/>
  <c r="AY96" i="112"/>
  <c r="AP96" i="112"/>
  <c r="AU96" i="112" l="1"/>
  <c r="AT96" i="112" s="1"/>
  <c r="AR96" i="112" s="1"/>
  <c r="AV96" i="112"/>
  <c r="AW96" i="112"/>
  <c r="AQ96" i="112"/>
  <c r="AK136" i="112"/>
  <c r="AJ136" i="112"/>
  <c r="AS97" i="112" l="1"/>
  <c r="AI137" i="112"/>
  <c r="BB142" i="112"/>
  <c r="AY97" i="112"/>
  <c r="AP97" i="112"/>
  <c r="AJ137" i="112" l="1"/>
  <c r="AK137" i="112"/>
  <c r="AW97" i="112"/>
  <c r="AU97" i="112"/>
  <c r="AQ97" i="112"/>
  <c r="AV97" i="112"/>
  <c r="AT97" i="112" l="1"/>
  <c r="AR97" i="112" s="1"/>
  <c r="AS98" i="112" s="1"/>
  <c r="BB143" i="112"/>
  <c r="AP98" i="112"/>
  <c r="AY98" i="112"/>
  <c r="AI138" i="112"/>
  <c r="AU98" i="112" l="1"/>
  <c r="AQ98" i="112"/>
  <c r="AV98" i="112"/>
  <c r="AW98" i="112"/>
  <c r="AT98" i="112"/>
  <c r="AR98" i="112" s="1"/>
  <c r="AK138" i="112"/>
  <c r="AJ138" i="112"/>
  <c r="BB144" i="112" l="1"/>
  <c r="AP99" i="112"/>
  <c r="AY99" i="112"/>
  <c r="AI139" i="112"/>
  <c r="AS99" i="112"/>
  <c r="AU99" i="112" l="1"/>
  <c r="AT99" i="112" s="1"/>
  <c r="AR99" i="112" s="1"/>
  <c r="AV99" i="112"/>
  <c r="AQ99" i="112"/>
  <c r="AW99" i="112"/>
  <c r="AJ139" i="112"/>
  <c r="AK139" i="112"/>
  <c r="AS100" i="112"/>
  <c r="BB145" i="112" l="1"/>
  <c r="AP100" i="112"/>
  <c r="AY100" i="112"/>
  <c r="AI140" i="112"/>
  <c r="AK140" i="112" l="1"/>
  <c r="AJ140" i="112"/>
  <c r="AQ100" i="112"/>
  <c r="AU100" i="112"/>
  <c r="AW100" i="112"/>
  <c r="AV100" i="112"/>
  <c r="AT100" i="112" l="1"/>
  <c r="AR100" i="112" s="1"/>
  <c r="AS101" i="112" s="1"/>
  <c r="AP101" i="112"/>
  <c r="AI141" i="112"/>
  <c r="BB146" i="112"/>
  <c r="AY101" i="112"/>
  <c r="AQ101" i="112" l="1"/>
  <c r="AU101" i="112"/>
  <c r="AV101" i="112"/>
  <c r="AW101" i="112"/>
  <c r="AK141" i="112"/>
  <c r="AJ141" i="112"/>
  <c r="AI142" i="112" l="1"/>
  <c r="AP102" i="112"/>
  <c r="AY102" i="112"/>
  <c r="BB147" i="112"/>
  <c r="AT101" i="112"/>
  <c r="AR101" i="112" s="1"/>
  <c r="AJ142" i="112" l="1"/>
  <c r="AK142" i="112"/>
  <c r="AS102" i="112"/>
  <c r="AU102" i="112"/>
  <c r="AQ102" i="112"/>
  <c r="AW102" i="112"/>
  <c r="AV102" i="112"/>
  <c r="AI143" i="112" l="1"/>
  <c r="AP103" i="112"/>
  <c r="BB148" i="112"/>
  <c r="AY103" i="112"/>
  <c r="AT102" i="112"/>
  <c r="AR102" i="112" s="1"/>
  <c r="AK143" i="112" l="1"/>
  <c r="AJ143" i="112"/>
  <c r="AQ103" i="112"/>
  <c r="AW103" i="112"/>
  <c r="AU103" i="112"/>
  <c r="AT103" i="112" s="1"/>
  <c r="AR103" i="112" s="1"/>
  <c r="AV103" i="112"/>
  <c r="AS103" i="112"/>
  <c r="AS104" i="112" l="1"/>
  <c r="AP104" i="112"/>
  <c r="AY104" i="112"/>
  <c r="AI144" i="112"/>
  <c r="BB149" i="112"/>
  <c r="AK144" i="112" l="1"/>
  <c r="AJ144" i="112"/>
  <c r="AQ104" i="112"/>
  <c r="AV104" i="112"/>
  <c r="AU104" i="112"/>
  <c r="AT104" i="112" s="1"/>
  <c r="AR104" i="112" s="1"/>
  <c r="AS105" i="112" s="1"/>
  <c r="AW104" i="112"/>
  <c r="AP105" i="112" l="1"/>
  <c r="AI145" i="112"/>
  <c r="BB150" i="112"/>
  <c r="AY105" i="112"/>
  <c r="AJ145" i="112" l="1"/>
  <c r="AK145" i="112"/>
  <c r="AW105" i="112"/>
  <c r="AQ105" i="112"/>
  <c r="AU105" i="112"/>
  <c r="AV105" i="112"/>
  <c r="BB151" i="112" l="1"/>
  <c r="AI146" i="112"/>
  <c r="AP106" i="112"/>
  <c r="AY106" i="112"/>
  <c r="AT105" i="112"/>
  <c r="AR105" i="112" s="1"/>
  <c r="AJ146" i="112" l="1"/>
  <c r="AK146" i="112"/>
  <c r="AS106" i="112"/>
  <c r="AV106" i="112"/>
  <c r="AW106" i="112"/>
  <c r="AU106" i="112"/>
  <c r="AT106" i="112" s="1"/>
  <c r="AR106" i="112" s="1"/>
  <c r="AQ106" i="112"/>
  <c r="AS107" i="112" l="1"/>
  <c r="AP107" i="112"/>
  <c r="AI147" i="112"/>
  <c r="BB152" i="112"/>
  <c r="AY107" i="112"/>
  <c r="AK147" i="112" l="1"/>
  <c r="AJ147" i="112"/>
  <c r="AQ107" i="112"/>
  <c r="AW107" i="112"/>
  <c r="AU107" i="112"/>
  <c r="AT107" i="112" s="1"/>
  <c r="AR107" i="112" s="1"/>
  <c r="AV107" i="112"/>
  <c r="AS108" i="112" l="1"/>
  <c r="AI148" i="112"/>
  <c r="AP108" i="112"/>
  <c r="BB153" i="112"/>
  <c r="AY108" i="112"/>
  <c r="AU108" i="112" l="1"/>
  <c r="AV108" i="112"/>
  <c r="AW108" i="112"/>
  <c r="AQ108" i="112"/>
  <c r="AT108" i="112"/>
  <c r="AR108" i="112" s="1"/>
  <c r="AK148" i="112"/>
  <c r="AJ148" i="112"/>
  <c r="AY109" i="112" l="1"/>
  <c r="AP109" i="112"/>
  <c r="AI149" i="112"/>
  <c r="BB154" i="112"/>
  <c r="AS109" i="112"/>
  <c r="AJ149" i="112" l="1"/>
  <c r="AK149" i="112"/>
  <c r="AI150" i="112"/>
  <c r="AV109" i="112"/>
  <c r="AW109" i="112"/>
  <c r="AQ109" i="112"/>
  <c r="AU109" i="112"/>
  <c r="AT109" i="112" s="1"/>
  <c r="AR109" i="112" s="1"/>
  <c r="AP110" i="112" l="1"/>
  <c r="AY110" i="112"/>
  <c r="AS110" i="112"/>
  <c r="AW110" i="112" l="1"/>
  <c r="AR131" i="112"/>
  <c r="AU110" i="112"/>
  <c r="AT110" i="112" s="1"/>
  <c r="AR110" i="112" s="1"/>
  <c r="AQ110" i="112"/>
  <c r="AV110" i="112"/>
  <c r="AS111" i="112" l="1"/>
  <c r="AY111" i="112"/>
  <c r="AP111" i="112"/>
  <c r="AW111" i="112" l="1"/>
  <c r="AU111" i="112"/>
  <c r="AT111" i="112" s="1"/>
  <c r="AR111" i="112" s="1"/>
  <c r="AV111" i="112"/>
  <c r="AQ111" i="112"/>
  <c r="AS112" i="112" l="1"/>
  <c r="AY112" i="112"/>
  <c r="AP112" i="112"/>
  <c r="AV112" i="112" l="1"/>
  <c r="AW112" i="112"/>
  <c r="AQ112" i="112"/>
  <c r="AU112" i="112"/>
  <c r="AT112" i="112" l="1"/>
  <c r="AR112" i="112" s="1"/>
  <c r="AP113" i="112"/>
  <c r="AY113" i="112"/>
  <c r="AS113" i="112" l="1"/>
  <c r="AU113" i="112"/>
  <c r="AT113" i="112" s="1"/>
  <c r="AR113" i="112" s="1"/>
  <c r="AV113" i="112"/>
  <c r="AW113" i="112"/>
  <c r="AQ113" i="112"/>
  <c r="AS114" i="112" l="1"/>
  <c r="AY114" i="112"/>
  <c r="AP114" i="112"/>
  <c r="AQ114" i="112" l="1"/>
  <c r="AV114" i="112"/>
  <c r="AW114" i="112"/>
  <c r="AU114" i="112"/>
  <c r="AT114" i="112" s="1"/>
  <c r="AR114" i="112" s="1"/>
  <c r="AY115" i="112" l="1"/>
  <c r="AP115" i="112"/>
  <c r="AS115" i="112"/>
  <c r="AV115" i="112" l="1"/>
  <c r="AQ115" i="112"/>
  <c r="AW115" i="112"/>
  <c r="AU115" i="112"/>
  <c r="AT115" i="112" s="1"/>
  <c r="AR115" i="112" s="1"/>
  <c r="AS116" i="112" l="1"/>
  <c r="AP116" i="112"/>
  <c r="AY116" i="112"/>
  <c r="AW116" i="112" l="1"/>
  <c r="AQ116" i="112"/>
  <c r="AU116" i="112"/>
  <c r="AT116" i="112" s="1"/>
  <c r="AR116" i="112" s="1"/>
  <c r="AV116" i="112"/>
  <c r="AS117" i="112" l="1"/>
  <c r="AP117" i="112"/>
  <c r="AY117" i="112"/>
  <c r="AV117" i="112" l="1"/>
  <c r="AW117" i="112"/>
  <c r="AU117" i="112"/>
  <c r="AT117" i="112" s="1"/>
  <c r="AR117" i="112" s="1"/>
  <c r="AQ117" i="112"/>
  <c r="AS118" i="112" l="1"/>
  <c r="AP118" i="112"/>
  <c r="AY118" i="112"/>
  <c r="AW118" i="112" l="1"/>
  <c r="AQ118" i="112"/>
  <c r="AV118" i="112"/>
  <c r="AU118" i="112"/>
  <c r="AT118" i="112" s="1"/>
  <c r="AR118" i="112" s="1"/>
  <c r="AS119" i="112" l="1"/>
  <c r="AY119" i="112"/>
  <c r="AP119" i="112"/>
  <c r="AV119" i="112" l="1"/>
  <c r="AQ119" i="112"/>
  <c r="AW119" i="112"/>
  <c r="AU119" i="112"/>
  <c r="AT119" i="112" s="1"/>
  <c r="AR119" i="112" s="1"/>
  <c r="AS120" i="112" l="1"/>
  <c r="AY120" i="112"/>
  <c r="AP120" i="112"/>
  <c r="AQ120" i="112" l="1"/>
  <c r="AV120" i="112"/>
  <c r="AW120" i="112"/>
  <c r="AU120" i="112"/>
  <c r="AT120" i="112" s="1"/>
  <c r="AR120" i="112" s="1"/>
  <c r="AS121" i="112" l="1"/>
  <c r="AY121" i="112"/>
  <c r="AP121" i="112"/>
  <c r="AV121" i="112" l="1"/>
  <c r="AW121" i="112"/>
  <c r="AU121" i="112"/>
  <c r="AQ121" i="112"/>
  <c r="AP122" i="112" l="1"/>
  <c r="AY122" i="112"/>
  <c r="AT121" i="112"/>
  <c r="AR121" i="112" s="1"/>
  <c r="AQ122" i="112" l="1"/>
  <c r="AV122" i="112"/>
  <c r="AW122" i="112"/>
  <c r="AU122" i="112"/>
  <c r="AS122" i="112"/>
  <c r="AT122" i="112" l="1"/>
  <c r="AR122" i="112" s="1"/>
  <c r="AY123" i="112"/>
  <c r="AP123" i="112"/>
  <c r="AW123" i="112" l="1"/>
  <c r="AV123" i="112"/>
  <c r="AQ123" i="112"/>
  <c r="AU123" i="112"/>
  <c r="AS123" i="112"/>
  <c r="AP124" i="112" l="1"/>
  <c r="AO92" i="112" s="1"/>
  <c r="AO93" i="112" s="1"/>
  <c r="AY124" i="112"/>
  <c r="AT123" i="112"/>
  <c r="AR123" i="112" s="1"/>
  <c r="AS124" i="112"/>
  <c r="AL93" i="112" l="1"/>
  <c r="AO94" i="112"/>
  <c r="AW124" i="112"/>
  <c r="AV124" i="112"/>
  <c r="AQ124" i="112"/>
  <c r="AU124" i="112"/>
  <c r="AT124" i="112" s="1"/>
  <c r="AR124" i="112" s="1"/>
  <c r="AL92" i="112"/>
  <c r="AJ132" i="112"/>
  <c r="AS125" i="112" l="1"/>
  <c r="AL94" i="112"/>
  <c r="AO95" i="112"/>
  <c r="AJ150" i="112"/>
  <c r="AK150" i="112"/>
  <c r="AY125" i="112"/>
  <c r="AP125" i="112"/>
  <c r="AL95" i="112" l="1"/>
  <c r="AO96" i="112"/>
  <c r="AQ125" i="112"/>
  <c r="AV125" i="112"/>
  <c r="AW125" i="112"/>
  <c r="AU125" i="112"/>
  <c r="AL96" i="112" l="1"/>
  <c r="AO97" i="112"/>
  <c r="AT125" i="112"/>
  <c r="AR125" i="112" s="1"/>
  <c r="AY126" i="112"/>
  <c r="AP126" i="112"/>
  <c r="AL97" i="112" l="1"/>
  <c r="AO98" i="112"/>
  <c r="AV126" i="112"/>
  <c r="AW126" i="112"/>
  <c r="AU126" i="112"/>
  <c r="AT126" i="112" s="1"/>
  <c r="AR126" i="112" s="1"/>
  <c r="AS127" i="112" s="1"/>
  <c r="AQ126" i="112"/>
  <c r="AS126" i="112"/>
  <c r="AL98" i="112" l="1"/>
  <c r="AO99" i="112"/>
  <c r="AY127" i="112"/>
  <c r="AP127" i="112"/>
  <c r="AL99" i="112" l="1"/>
  <c r="AO100" i="112"/>
  <c r="AQ127" i="112"/>
  <c r="AW127" i="112"/>
  <c r="AU127" i="112"/>
  <c r="AV127" i="112"/>
  <c r="AL100" i="112" l="1"/>
  <c r="AO101" i="112"/>
  <c r="AT127" i="112"/>
  <c r="AR127" i="112" s="1"/>
  <c r="AS128" i="112" s="1"/>
  <c r="AP128" i="112"/>
  <c r="AY128" i="112"/>
  <c r="AL101" i="112" l="1"/>
  <c r="AO102" i="112"/>
  <c r="AU128" i="112"/>
  <c r="AQ128" i="112"/>
  <c r="AW128" i="112"/>
  <c r="AV128" i="112"/>
  <c r="AL102" i="112" l="1"/>
  <c r="AO103" i="112"/>
  <c r="AT128" i="112"/>
  <c r="AR128" i="112" s="1"/>
  <c r="AY129" i="112"/>
  <c r="AP129" i="112"/>
  <c r="AL103" i="112" l="1"/>
  <c r="AO104" i="112"/>
  <c r="AP131" i="112"/>
  <c r="AV129" i="112"/>
  <c r="AQ129" i="112"/>
  <c r="AQ131" i="112" s="1"/>
  <c r="AW129" i="112"/>
  <c r="AU129" i="112"/>
  <c r="AT129" i="112" s="1"/>
  <c r="AR129" i="112" s="1"/>
  <c r="AS129" i="112"/>
  <c r="AL104" i="112" l="1"/>
  <c r="AO105" i="112"/>
  <c r="AL105" i="112" l="1"/>
  <c r="AO106" i="112"/>
  <c r="AL106" i="112" l="1"/>
  <c r="AO107" i="112"/>
  <c r="AL107" i="112" l="1"/>
  <c r="AO108" i="112"/>
  <c r="AL108" i="112" l="1"/>
  <c r="AO109" i="112"/>
  <c r="AL109" i="112" l="1"/>
  <c r="AL7" i="112" s="1"/>
  <c r="BD33" i="112" s="1"/>
  <c r="AO110" i="112"/>
  <c r="AO111" i="112" s="1"/>
  <c r="AO112" i="112" s="1"/>
  <c r="AO113" i="112" s="1"/>
  <c r="AO114" i="112" s="1"/>
  <c r="AO115" i="112" s="1"/>
  <c r="AO116" i="112" s="1"/>
  <c r="AO117" i="112" s="1"/>
  <c r="AO118" i="112" s="1"/>
  <c r="AO119" i="112" s="1"/>
  <c r="AO120" i="112" s="1"/>
  <c r="AO121" i="112" s="1"/>
  <c r="AO122" i="112" s="1"/>
  <c r="AO123" i="112" s="1"/>
  <c r="AO124" i="112" s="1"/>
  <c r="AO125" i="112" s="1"/>
  <c r="AO126" i="112" s="1"/>
  <c r="AO127" i="112" s="1"/>
  <c r="AO128" i="112" s="1"/>
  <c r="AO129" i="112" s="1"/>
  <c r="AO131" i="112" s="1"/>
  <c r="AO43" i="110"/>
  <c r="AL43" i="110" s="1"/>
  <c r="AQ43" i="110"/>
  <c r="AW43" i="110" s="1"/>
  <c r="AY44" i="110" s="1"/>
  <c r="AW44" i="110" s="1"/>
  <c r="AY45" i="110" s="1"/>
  <c r="AW45" i="110" s="1"/>
  <c r="AY46" i="110" s="1"/>
  <c r="AW46" i="110" s="1"/>
  <c r="AJ84" i="110"/>
  <c r="AI88" i="110"/>
  <c r="G43" i="110"/>
  <c r="K43" i="110" s="1"/>
  <c r="Q43" i="110" s="1"/>
  <c r="Q44" i="110" s="1"/>
  <c r="Q45" i="110" s="1"/>
  <c r="Q46" i="110" s="1"/>
  <c r="Q47" i="110" s="1"/>
  <c r="Q48" i="110" s="1"/>
  <c r="Q49" i="110" s="1"/>
  <c r="Q50" i="110" s="1"/>
  <c r="Q51" i="110" s="1"/>
  <c r="Q52" i="110" s="1"/>
  <c r="Q53" i="110" s="1"/>
  <c r="Q54" i="110" s="1"/>
  <c r="Q55" i="110" s="1"/>
  <c r="Q56" i="110" s="1"/>
  <c r="Q57" i="110" s="1"/>
  <c r="Q58" i="110" s="1"/>
  <c r="Q59" i="110" s="1"/>
  <c r="Q60" i="110" s="1"/>
  <c r="Q61" i="110" s="1"/>
  <c r="Q62" i="110" s="1"/>
  <c r="Q63" i="110" s="1"/>
  <c r="Q64" i="110" s="1"/>
  <c r="Q65" i="110" s="1"/>
  <c r="Q66" i="110" s="1"/>
  <c r="Q67" i="110" s="1"/>
  <c r="Q68" i="110" s="1"/>
  <c r="Q69" i="110" s="1"/>
  <c r="Q70" i="110" s="1"/>
  <c r="Q71" i="110" s="1"/>
  <c r="Q72" i="110" s="1"/>
  <c r="Q73" i="110" s="1"/>
  <c r="Q74" i="110" s="1"/>
  <c r="Q75" i="110" s="1"/>
  <c r="Q76" i="110" s="1"/>
  <c r="Q77" i="110" s="1"/>
  <c r="Q78" i="110" s="1"/>
  <c r="Q79" i="110" s="1"/>
  <c r="Q80" i="110" s="1"/>
  <c r="Q81" i="110" s="1"/>
  <c r="Q82" i="110" s="1"/>
  <c r="Q83" i="110" s="1"/>
  <c r="Q84" i="110" s="1"/>
  <c r="Q85" i="110" s="1"/>
  <c r="Q86" i="110" s="1"/>
  <c r="Q87" i="110" s="1"/>
  <c r="Q88" i="110" s="1"/>
  <c r="Q89" i="110" s="1"/>
  <c r="Q90" i="110" s="1"/>
  <c r="Q91" i="110" s="1"/>
  <c r="Q92" i="110" s="1"/>
  <c r="Q93" i="110" s="1"/>
  <c r="Q94" i="110" s="1"/>
  <c r="Q95" i="110" s="1"/>
  <c r="Q96" i="110" s="1"/>
  <c r="Q97" i="110" s="1"/>
  <c r="Q98" i="110" s="1"/>
  <c r="Q99" i="110" s="1"/>
  <c r="Q100" i="110" s="1"/>
  <c r="T142" i="110" s="1"/>
  <c r="K47" i="110"/>
  <c r="K48" i="110"/>
  <c r="K88" i="110"/>
  <c r="BB93" i="110"/>
  <c r="AV46" i="110"/>
  <c r="BB92" i="110"/>
  <c r="AV45" i="110"/>
  <c r="BB91" i="110"/>
  <c r="AV44" i="110"/>
  <c r="BB90" i="110"/>
  <c r="T140" i="110" l="1"/>
  <c r="T108" i="110"/>
  <c r="T129" i="110"/>
  <c r="T113" i="110"/>
  <c r="T97" i="110"/>
  <c r="K44" i="110"/>
  <c r="T136" i="110"/>
  <c r="T135" i="110"/>
  <c r="T127" i="110"/>
  <c r="T119" i="110"/>
  <c r="T111" i="110"/>
  <c r="T103" i="110"/>
  <c r="T95" i="110"/>
  <c r="T87" i="110"/>
  <c r="AI86" i="110"/>
  <c r="T134" i="110"/>
  <c r="T126" i="110"/>
  <c r="T118" i="110"/>
  <c r="T110" i="110"/>
  <c r="T102" i="110"/>
  <c r="T94" i="110"/>
  <c r="T86" i="110"/>
  <c r="AI85" i="110"/>
  <c r="AK85" i="110" s="1"/>
  <c r="T124" i="110"/>
  <c r="T137" i="110"/>
  <c r="T121" i="110"/>
  <c r="T105" i="110"/>
  <c r="T89" i="110"/>
  <c r="T141" i="110"/>
  <c r="T133" i="110"/>
  <c r="T125" i="110"/>
  <c r="T117" i="110"/>
  <c r="T109" i="110"/>
  <c r="T101" i="110"/>
  <c r="T93" i="110"/>
  <c r="T85" i="110"/>
  <c r="T139" i="110"/>
  <c r="T131" i="110"/>
  <c r="T123" i="110"/>
  <c r="T115" i="110"/>
  <c r="T107" i="110"/>
  <c r="T99" i="110"/>
  <c r="T91" i="110"/>
  <c r="T132" i="110"/>
  <c r="T116" i="110"/>
  <c r="T100" i="110"/>
  <c r="T92" i="110"/>
  <c r="BA43" i="110"/>
  <c r="K160" i="110"/>
  <c r="T138" i="110"/>
  <c r="T130" i="110"/>
  <c r="T122" i="110"/>
  <c r="T114" i="110"/>
  <c r="T106" i="110"/>
  <c r="T98" i="110"/>
  <c r="T90" i="110"/>
  <c r="T128" i="110"/>
  <c r="T120" i="110"/>
  <c r="T112" i="110"/>
  <c r="T104" i="110"/>
  <c r="T96" i="110"/>
  <c r="T88" i="110"/>
  <c r="AI87" i="110"/>
  <c r="Q101" i="110"/>
  <c r="H101" i="110"/>
  <c r="H47" i="110"/>
  <c r="H51" i="110"/>
  <c r="H55" i="110"/>
  <c r="H59" i="110"/>
  <c r="H63" i="110"/>
  <c r="H67" i="110"/>
  <c r="H71" i="110"/>
  <c r="H75" i="110"/>
  <c r="H79" i="110"/>
  <c r="H83" i="110"/>
  <c r="H87" i="110"/>
  <c r="H91" i="110"/>
  <c r="H95" i="110"/>
  <c r="H99" i="110"/>
  <c r="H46" i="110"/>
  <c r="H50" i="110"/>
  <c r="H54" i="110"/>
  <c r="H58" i="110"/>
  <c r="H62" i="110"/>
  <c r="H66" i="110"/>
  <c r="H70" i="110"/>
  <c r="H74" i="110"/>
  <c r="H78" i="110"/>
  <c r="H82" i="110"/>
  <c r="H86" i="110"/>
  <c r="H90" i="110"/>
  <c r="H94" i="110"/>
  <c r="H98" i="110"/>
  <c r="H45" i="110"/>
  <c r="H49" i="110"/>
  <c r="H53" i="110"/>
  <c r="H57" i="110"/>
  <c r="H61" i="110"/>
  <c r="H65" i="110"/>
  <c r="H69" i="110"/>
  <c r="H73" i="110"/>
  <c r="H77" i="110"/>
  <c r="H81" i="110"/>
  <c r="H85" i="110"/>
  <c r="H89" i="110"/>
  <c r="H93" i="110"/>
  <c r="H97" i="110"/>
  <c r="H44" i="110"/>
  <c r="H48" i="110"/>
  <c r="H52" i="110"/>
  <c r="H56" i="110"/>
  <c r="H60" i="110"/>
  <c r="H64" i="110"/>
  <c r="H68" i="110"/>
  <c r="H72" i="110"/>
  <c r="H76" i="110"/>
  <c r="H80" i="110"/>
  <c r="H84" i="110"/>
  <c r="H88" i="110"/>
  <c r="H92" i="110"/>
  <c r="H96" i="110"/>
  <c r="H100" i="110"/>
  <c r="AY47" i="110"/>
  <c r="AP47" i="110"/>
  <c r="AQ44" i="110"/>
  <c r="AQ45" i="110"/>
  <c r="AP45" i="110"/>
  <c r="AP46" i="110"/>
  <c r="AU44" i="110"/>
  <c r="AQ46" i="110"/>
  <c r="AP44" i="110"/>
  <c r="AU45" i="110"/>
  <c r="AU46" i="110"/>
  <c r="AT46" i="110" l="1"/>
  <c r="AR46" i="110" s="1"/>
  <c r="AJ87" i="110"/>
  <c r="AJ86" i="110"/>
  <c r="AK86" i="110"/>
  <c r="AK87" i="110" s="1"/>
  <c r="AK88" i="110" s="1"/>
  <c r="U84" i="110"/>
  <c r="V85" i="110"/>
  <c r="V86" i="110" s="1"/>
  <c r="V87" i="110" s="1"/>
  <c r="V88" i="110" s="1"/>
  <c r="V89" i="110" s="1"/>
  <c r="V90" i="110" s="1"/>
  <c r="V91" i="110" s="1"/>
  <c r="V92" i="110" s="1"/>
  <c r="V93" i="110" s="1"/>
  <c r="V94" i="110" s="1"/>
  <c r="V95" i="110" s="1"/>
  <c r="V96" i="110" s="1"/>
  <c r="V97" i="110" s="1"/>
  <c r="V98" i="110" s="1"/>
  <c r="V99" i="110" s="1"/>
  <c r="V100" i="110" s="1"/>
  <c r="V101" i="110" s="1"/>
  <c r="V102" i="110" s="1"/>
  <c r="V103" i="110" s="1"/>
  <c r="V104" i="110" s="1"/>
  <c r="V105" i="110" s="1"/>
  <c r="V106" i="110" s="1"/>
  <c r="V107" i="110" s="1"/>
  <c r="V108" i="110" s="1"/>
  <c r="V109" i="110" s="1"/>
  <c r="V110" i="110" s="1"/>
  <c r="V111" i="110" s="1"/>
  <c r="V112" i="110" s="1"/>
  <c r="V113" i="110" s="1"/>
  <c r="V114" i="110" s="1"/>
  <c r="V115" i="110" s="1"/>
  <c r="V116" i="110" s="1"/>
  <c r="V117" i="110" s="1"/>
  <c r="V118" i="110" s="1"/>
  <c r="V119" i="110" s="1"/>
  <c r="V120" i="110" s="1"/>
  <c r="V121" i="110" s="1"/>
  <c r="V122" i="110" s="1"/>
  <c r="V123" i="110" s="1"/>
  <c r="V124" i="110" s="1"/>
  <c r="V125" i="110" s="1"/>
  <c r="V126" i="110" s="1"/>
  <c r="V127" i="110" s="1"/>
  <c r="V128" i="110" s="1"/>
  <c r="V129" i="110" s="1"/>
  <c r="V130" i="110" s="1"/>
  <c r="V131" i="110" s="1"/>
  <c r="V132" i="110" s="1"/>
  <c r="V133" i="110" s="1"/>
  <c r="V134" i="110" s="1"/>
  <c r="V135" i="110" s="1"/>
  <c r="V136" i="110" s="1"/>
  <c r="V137" i="110" s="1"/>
  <c r="V138" i="110" s="1"/>
  <c r="V139" i="110" s="1"/>
  <c r="V140" i="110" s="1"/>
  <c r="V141" i="110" s="1"/>
  <c r="V142" i="110" s="1"/>
  <c r="AT45" i="110"/>
  <c r="AR45" i="110" s="1"/>
  <c r="AO45" i="110" s="1"/>
  <c r="AL45" i="110" s="1"/>
  <c r="AJ88" i="110"/>
  <c r="N84" i="110"/>
  <c r="L84" i="110" s="1"/>
  <c r="AW47" i="110"/>
  <c r="AU47" i="110"/>
  <c r="AQ47" i="110"/>
  <c r="AV47" i="110"/>
  <c r="N96" i="110"/>
  <c r="L96" i="110" s="1"/>
  <c r="N80" i="110"/>
  <c r="L80" i="110" s="1"/>
  <c r="N64" i="110"/>
  <c r="L64" i="110" s="1"/>
  <c r="N48" i="110"/>
  <c r="L48" i="110" s="1"/>
  <c r="N85" i="110"/>
  <c r="L85" i="110" s="1"/>
  <c r="N69" i="110"/>
  <c r="L69" i="110" s="1"/>
  <c r="N53" i="110"/>
  <c r="L53" i="110" s="1"/>
  <c r="N90" i="110"/>
  <c r="L90" i="110" s="1"/>
  <c r="N74" i="110"/>
  <c r="L74" i="110" s="1"/>
  <c r="N58" i="110"/>
  <c r="L58" i="110" s="1"/>
  <c r="N91" i="110"/>
  <c r="L91" i="110" s="1"/>
  <c r="N75" i="110"/>
  <c r="L75" i="110" s="1"/>
  <c r="N59" i="110"/>
  <c r="L59" i="110" s="1"/>
  <c r="N101" i="110"/>
  <c r="L101" i="110" s="1"/>
  <c r="AT44" i="110"/>
  <c r="AR44" i="110" s="1"/>
  <c r="N92" i="110"/>
  <c r="L92" i="110" s="1"/>
  <c r="N76" i="110"/>
  <c r="L76" i="110" s="1"/>
  <c r="N60" i="110"/>
  <c r="L60" i="110" s="1"/>
  <c r="I44" i="110"/>
  <c r="J44" i="110" s="1"/>
  <c r="J160" i="110" s="1"/>
  <c r="C27" i="110" s="1"/>
  <c r="N44" i="110"/>
  <c r="L44" i="110" s="1"/>
  <c r="N97" i="110"/>
  <c r="L97" i="110" s="1"/>
  <c r="N81" i="110"/>
  <c r="L81" i="110" s="1"/>
  <c r="N65" i="110"/>
  <c r="L65" i="110" s="1"/>
  <c r="N49" i="110"/>
  <c r="L49" i="110" s="1"/>
  <c r="N86" i="110"/>
  <c r="L86" i="110" s="1"/>
  <c r="N70" i="110"/>
  <c r="L70" i="110" s="1"/>
  <c r="N54" i="110"/>
  <c r="L54" i="110" s="1"/>
  <c r="N87" i="110"/>
  <c r="L87" i="110" s="1"/>
  <c r="N71" i="110"/>
  <c r="L71" i="110" s="1"/>
  <c r="N55" i="110"/>
  <c r="L55" i="110" s="1"/>
  <c r="Q102" i="110"/>
  <c r="H102" i="110"/>
  <c r="T143" i="110"/>
  <c r="AT47" i="110"/>
  <c r="AR47" i="110" s="1"/>
  <c r="N88" i="110"/>
  <c r="L88" i="110" s="1"/>
  <c r="N72" i="110"/>
  <c r="L72" i="110" s="1"/>
  <c r="N56" i="110"/>
  <c r="L56" i="110" s="1"/>
  <c r="N93" i="110"/>
  <c r="L93" i="110" s="1"/>
  <c r="N77" i="110"/>
  <c r="L77" i="110" s="1"/>
  <c r="N61" i="110"/>
  <c r="L61" i="110" s="1"/>
  <c r="I45" i="110"/>
  <c r="I46" i="110" s="1"/>
  <c r="I47" i="110" s="1"/>
  <c r="I48" i="110" s="1"/>
  <c r="I49" i="110" s="1"/>
  <c r="I50" i="110" s="1"/>
  <c r="I51" i="110" s="1"/>
  <c r="I52" i="110" s="1"/>
  <c r="I53" i="110" s="1"/>
  <c r="I54" i="110" s="1"/>
  <c r="I55" i="110" s="1"/>
  <c r="I56" i="110" s="1"/>
  <c r="I57" i="110" s="1"/>
  <c r="I58" i="110" s="1"/>
  <c r="I59" i="110" s="1"/>
  <c r="I60" i="110" s="1"/>
  <c r="I61" i="110" s="1"/>
  <c r="I62" i="110" s="1"/>
  <c r="I63" i="110" s="1"/>
  <c r="I64" i="110" s="1"/>
  <c r="I65" i="110" s="1"/>
  <c r="I66" i="110" s="1"/>
  <c r="I67" i="110" s="1"/>
  <c r="I68" i="110" s="1"/>
  <c r="I69" i="110" s="1"/>
  <c r="I70" i="110" s="1"/>
  <c r="I71" i="110" s="1"/>
  <c r="I72" i="110" s="1"/>
  <c r="I73" i="110" s="1"/>
  <c r="I74" i="110" s="1"/>
  <c r="I75" i="110" s="1"/>
  <c r="I76" i="110" s="1"/>
  <c r="I77" i="110" s="1"/>
  <c r="I78" i="110" s="1"/>
  <c r="I79" i="110" s="1"/>
  <c r="I80" i="110" s="1"/>
  <c r="I81" i="110" s="1"/>
  <c r="I82" i="110" s="1"/>
  <c r="I83" i="110" s="1"/>
  <c r="I84" i="110" s="1"/>
  <c r="I85" i="110" s="1"/>
  <c r="I86" i="110" s="1"/>
  <c r="I87" i="110" s="1"/>
  <c r="I88" i="110" s="1"/>
  <c r="I89" i="110" s="1"/>
  <c r="I90" i="110" s="1"/>
  <c r="I91" i="110" s="1"/>
  <c r="I92" i="110" s="1"/>
  <c r="I93" i="110" s="1"/>
  <c r="I94" i="110" s="1"/>
  <c r="I95" i="110" s="1"/>
  <c r="I96" i="110" s="1"/>
  <c r="I97" i="110" s="1"/>
  <c r="I98" i="110" s="1"/>
  <c r="I99" i="110" s="1"/>
  <c r="I100" i="110" s="1"/>
  <c r="I101" i="110" s="1"/>
  <c r="N45" i="110"/>
  <c r="L45" i="110" s="1"/>
  <c r="N98" i="110"/>
  <c r="L98" i="110" s="1"/>
  <c r="N82" i="110"/>
  <c r="L82" i="110" s="1"/>
  <c r="N66" i="110"/>
  <c r="L66" i="110" s="1"/>
  <c r="N50" i="110"/>
  <c r="L50" i="110" s="1"/>
  <c r="N99" i="110"/>
  <c r="L99" i="110" s="1"/>
  <c r="N83" i="110"/>
  <c r="L83" i="110" s="1"/>
  <c r="N67" i="110"/>
  <c r="L67" i="110" s="1"/>
  <c r="N51" i="110"/>
  <c r="L51" i="110" s="1"/>
  <c r="AS47" i="110"/>
  <c r="N100" i="110"/>
  <c r="L100" i="110" s="1"/>
  <c r="N68" i="110"/>
  <c r="L68" i="110" s="1"/>
  <c r="N52" i="110"/>
  <c r="L52" i="110" s="1"/>
  <c r="N89" i="110"/>
  <c r="L89" i="110" s="1"/>
  <c r="N73" i="110"/>
  <c r="L73" i="110" s="1"/>
  <c r="N57" i="110"/>
  <c r="L57" i="110" s="1"/>
  <c r="N94" i="110"/>
  <c r="L94" i="110" s="1"/>
  <c r="N78" i="110"/>
  <c r="L78" i="110" s="1"/>
  <c r="N62" i="110"/>
  <c r="L62" i="110" s="1"/>
  <c r="N46" i="110"/>
  <c r="L46" i="110" s="1"/>
  <c r="N95" i="110"/>
  <c r="L95" i="110" s="1"/>
  <c r="N79" i="110"/>
  <c r="L79" i="110" s="1"/>
  <c r="N63" i="110"/>
  <c r="L63" i="110" s="1"/>
  <c r="N47" i="110"/>
  <c r="L47" i="110" s="1"/>
  <c r="AS46" i="110" l="1"/>
  <c r="AO46" i="110"/>
  <c r="AL46" i="110" s="1"/>
  <c r="V143" i="110"/>
  <c r="M71" i="110"/>
  <c r="M50" i="110"/>
  <c r="M82" i="110"/>
  <c r="M60" i="110"/>
  <c r="M92" i="110"/>
  <c r="AY48" i="110"/>
  <c r="AP48" i="110"/>
  <c r="M47" i="110"/>
  <c r="M79" i="110"/>
  <c r="M58" i="110"/>
  <c r="M90" i="110"/>
  <c r="M69" i="110"/>
  <c r="M68" i="110"/>
  <c r="M100" i="110"/>
  <c r="M48" i="110"/>
  <c r="M80" i="110"/>
  <c r="M51" i="110"/>
  <c r="M83" i="110"/>
  <c r="M46" i="110"/>
  <c r="M78" i="110"/>
  <c r="M57" i="110"/>
  <c r="M89" i="110"/>
  <c r="M56" i="110"/>
  <c r="M88" i="110"/>
  <c r="M45" i="110"/>
  <c r="G44" i="110"/>
  <c r="M77" i="110"/>
  <c r="M102" i="110"/>
  <c r="M59" i="110"/>
  <c r="M91" i="110"/>
  <c r="M70" i="110"/>
  <c r="M49" i="110"/>
  <c r="M81" i="110"/>
  <c r="M63" i="110"/>
  <c r="M95" i="110"/>
  <c r="M74" i="110"/>
  <c r="M53" i="110"/>
  <c r="M101" i="110"/>
  <c r="M52" i="110"/>
  <c r="M84" i="110"/>
  <c r="M55" i="110"/>
  <c r="M87" i="110"/>
  <c r="M98" i="110"/>
  <c r="AS45" i="110"/>
  <c r="M76" i="110"/>
  <c r="M85" i="110"/>
  <c r="N102" i="110"/>
  <c r="L102" i="110" s="1"/>
  <c r="I102" i="110"/>
  <c r="M66" i="110"/>
  <c r="M64" i="110"/>
  <c r="M96" i="110"/>
  <c r="M67" i="110"/>
  <c r="M99" i="110"/>
  <c r="M62" i="110"/>
  <c r="M94" i="110"/>
  <c r="M73" i="110"/>
  <c r="Q103" i="110"/>
  <c r="H103" i="110"/>
  <c r="T144" i="110"/>
  <c r="V144" i="110" s="1"/>
  <c r="M72" i="110"/>
  <c r="M61" i="110"/>
  <c r="M93" i="110"/>
  <c r="M75" i="110"/>
  <c r="M54" i="110"/>
  <c r="M86" i="110"/>
  <c r="M65" i="110"/>
  <c r="M97" i="110"/>
  <c r="AS48" i="110"/>
  <c r="AO47" i="110" l="1"/>
  <c r="AL47" i="110" s="1"/>
  <c r="Q104" i="110"/>
  <c r="H104" i="110"/>
  <c r="T145" i="110"/>
  <c r="V145" i="110" s="1"/>
  <c r="AW48" i="110"/>
  <c r="AU48" i="110"/>
  <c r="AQ48" i="110"/>
  <c r="AV48" i="110"/>
  <c r="M103" i="110"/>
  <c r="BA44" i="110"/>
  <c r="U85" i="110"/>
  <c r="N103" i="110"/>
  <c r="L103" i="110" s="1"/>
  <c r="I103" i="110"/>
  <c r="G45" i="110"/>
  <c r="BA45" i="110" l="1"/>
  <c r="G46" i="110"/>
  <c r="AY49" i="110"/>
  <c r="AP49" i="110"/>
  <c r="AI89" i="110"/>
  <c r="BB94" i="110"/>
  <c r="U86" i="110"/>
  <c r="U87" i="110" s="1"/>
  <c r="U88" i="110" s="1"/>
  <c r="U89" i="110" s="1"/>
  <c r="U90" i="110" s="1"/>
  <c r="U91" i="110" s="1"/>
  <c r="U92" i="110" s="1"/>
  <c r="U93" i="110" s="1"/>
  <c r="U94" i="110" s="1"/>
  <c r="U95" i="110" s="1"/>
  <c r="U96" i="110" s="1"/>
  <c r="U97" i="110" s="1"/>
  <c r="U98" i="110" s="1"/>
  <c r="U99" i="110" s="1"/>
  <c r="U100" i="110" s="1"/>
  <c r="U101" i="110" s="1"/>
  <c r="U102" i="110" s="1"/>
  <c r="U103" i="110" s="1"/>
  <c r="U104" i="110" s="1"/>
  <c r="U105" i="110" s="1"/>
  <c r="U106" i="110" s="1"/>
  <c r="U107" i="110" s="1"/>
  <c r="U108" i="110" s="1"/>
  <c r="U109" i="110" s="1"/>
  <c r="U110" i="110" s="1"/>
  <c r="U111" i="110" s="1"/>
  <c r="U112" i="110" s="1"/>
  <c r="U113" i="110" s="1"/>
  <c r="U114" i="110" s="1"/>
  <c r="U115" i="110" s="1"/>
  <c r="U116" i="110" s="1"/>
  <c r="U117" i="110" s="1"/>
  <c r="U118" i="110" s="1"/>
  <c r="U119" i="110" s="1"/>
  <c r="U120" i="110" s="1"/>
  <c r="U121" i="110" s="1"/>
  <c r="U122" i="110" s="1"/>
  <c r="U123" i="110" s="1"/>
  <c r="U124" i="110" s="1"/>
  <c r="U125" i="110" s="1"/>
  <c r="U126" i="110" s="1"/>
  <c r="U127" i="110" s="1"/>
  <c r="U128" i="110" s="1"/>
  <c r="U129" i="110" s="1"/>
  <c r="U130" i="110" s="1"/>
  <c r="U131" i="110" s="1"/>
  <c r="U132" i="110" s="1"/>
  <c r="U133" i="110" s="1"/>
  <c r="U134" i="110" s="1"/>
  <c r="U135" i="110" s="1"/>
  <c r="U136" i="110" s="1"/>
  <c r="U137" i="110" s="1"/>
  <c r="U138" i="110" s="1"/>
  <c r="U139" i="110" s="1"/>
  <c r="U140" i="110" s="1"/>
  <c r="U141" i="110" s="1"/>
  <c r="U142" i="110" s="1"/>
  <c r="U143" i="110" s="1"/>
  <c r="U144" i="110" s="1"/>
  <c r="N104" i="110"/>
  <c r="L104" i="110" s="1"/>
  <c r="I104" i="110"/>
  <c r="M104" i="110"/>
  <c r="AT48" i="110"/>
  <c r="AR48" i="110" s="1"/>
  <c r="AO48" i="110" s="1"/>
  <c r="AL48" i="110" s="1"/>
  <c r="Q105" i="110"/>
  <c r="H105" i="110"/>
  <c r="T146" i="110"/>
  <c r="V146" i="110" s="1"/>
  <c r="N105" i="110" l="1"/>
  <c r="L105" i="110" s="1"/>
  <c r="I105" i="110"/>
  <c r="AK89" i="110"/>
  <c r="AJ89" i="110"/>
  <c r="AS49" i="110"/>
  <c r="Q106" i="110"/>
  <c r="H106" i="110"/>
  <c r="T147" i="110"/>
  <c r="V147" i="110" s="1"/>
  <c r="M105" i="110"/>
  <c r="U145" i="110"/>
  <c r="BA46" i="110"/>
  <c r="G47" i="110"/>
  <c r="AW49" i="110"/>
  <c r="AU49" i="110"/>
  <c r="AT49" i="110" s="1"/>
  <c r="AR49" i="110" s="1"/>
  <c r="AO49" i="110" s="1"/>
  <c r="AL49" i="110" s="1"/>
  <c r="AQ49" i="110"/>
  <c r="AV49" i="110"/>
  <c r="AY50" i="110" l="1"/>
  <c r="AP50" i="110"/>
  <c r="AI90" i="110"/>
  <c r="BB95" i="110"/>
  <c r="U146" i="110"/>
  <c r="N106" i="110"/>
  <c r="L106" i="110" s="1"/>
  <c r="I106" i="110"/>
  <c r="Q107" i="110"/>
  <c r="H107" i="110"/>
  <c r="T148" i="110"/>
  <c r="V148" i="110" s="1"/>
  <c r="M106" i="110"/>
  <c r="BA47" i="110"/>
  <c r="G48" i="110"/>
  <c r="AS50" i="110"/>
  <c r="Q108" i="110" l="1"/>
  <c r="H108" i="110"/>
  <c r="T149" i="110"/>
  <c r="V149" i="110" s="1"/>
  <c r="M107" i="110"/>
  <c r="U147" i="110"/>
  <c r="AW50" i="110"/>
  <c r="AU50" i="110"/>
  <c r="AQ50" i="110"/>
  <c r="AV50" i="110"/>
  <c r="BA48" i="110"/>
  <c r="G49" i="110"/>
  <c r="N107" i="110"/>
  <c r="L107" i="110" s="1"/>
  <c r="I107" i="110"/>
  <c r="AJ90" i="110"/>
  <c r="AK90" i="110"/>
  <c r="M108" i="110" l="1"/>
  <c r="AT50" i="110"/>
  <c r="AR50" i="110" s="1"/>
  <c r="AO50" i="110" s="1"/>
  <c r="AL50" i="110" s="1"/>
  <c r="N108" i="110"/>
  <c r="L108" i="110" s="1"/>
  <c r="I108" i="110"/>
  <c r="BA49" i="110"/>
  <c r="G50" i="110"/>
  <c r="AY51" i="110"/>
  <c r="AP51" i="110"/>
  <c r="AI91" i="110"/>
  <c r="BB96" i="110"/>
  <c r="U148" i="110"/>
  <c r="Q109" i="110"/>
  <c r="H109" i="110"/>
  <c r="T150" i="110"/>
  <c r="V150" i="110" s="1"/>
  <c r="AS51" i="110" l="1"/>
  <c r="N109" i="110"/>
  <c r="L109" i="110" s="1"/>
  <c r="I109" i="110"/>
  <c r="Q110" i="110"/>
  <c r="H110" i="110"/>
  <c r="T151" i="110"/>
  <c r="V151" i="110" s="1"/>
  <c r="U149" i="110"/>
  <c r="AW51" i="110"/>
  <c r="AU51" i="110"/>
  <c r="AQ51" i="110"/>
  <c r="AV51" i="110"/>
  <c r="M109" i="110"/>
  <c r="AJ91" i="110"/>
  <c r="AK91" i="110"/>
  <c r="BA50" i="110"/>
  <c r="G51" i="110"/>
  <c r="AT51" i="110" l="1"/>
  <c r="AR51" i="110" s="1"/>
  <c r="AO51" i="110" s="1"/>
  <c r="AL51" i="110" s="1"/>
  <c r="I110" i="110"/>
  <c r="N110" i="110"/>
  <c r="L110" i="110" s="1"/>
  <c r="AY52" i="110"/>
  <c r="AP52" i="110"/>
  <c r="AI92" i="110"/>
  <c r="BB97" i="110"/>
  <c r="BA51" i="110"/>
  <c r="G52" i="110"/>
  <c r="U150" i="110"/>
  <c r="Q111" i="110"/>
  <c r="H111" i="110"/>
  <c r="T152" i="110"/>
  <c r="V152" i="110" s="1"/>
  <c r="M110" i="110"/>
  <c r="N111" i="110" l="1"/>
  <c r="L111" i="110" s="1"/>
  <c r="I111" i="110"/>
  <c r="Q112" i="110"/>
  <c r="H112" i="110"/>
  <c r="T153" i="110"/>
  <c r="V153" i="110" s="1"/>
  <c r="U151" i="110"/>
  <c r="AJ92" i="110"/>
  <c r="AK92" i="110"/>
  <c r="M111" i="110"/>
  <c r="BA52" i="110"/>
  <c r="G53" i="110"/>
  <c r="AW52" i="110"/>
  <c r="AU52" i="110"/>
  <c r="AT52" i="110" s="1"/>
  <c r="AR52" i="110" s="1"/>
  <c r="AO52" i="110" s="1"/>
  <c r="AL52" i="110" s="1"/>
  <c r="AQ52" i="110"/>
  <c r="AV52" i="110"/>
  <c r="AS52" i="110"/>
  <c r="N112" i="110" l="1"/>
  <c r="L112" i="110" s="1"/>
  <c r="I112" i="110"/>
  <c r="AY53" i="110"/>
  <c r="AP53" i="110"/>
  <c r="AI93" i="110"/>
  <c r="BB98" i="110"/>
  <c r="U152" i="110"/>
  <c r="Q113" i="110"/>
  <c r="H113" i="110"/>
  <c r="T154" i="110"/>
  <c r="V154" i="110" s="1"/>
  <c r="BA53" i="110"/>
  <c r="G54" i="110"/>
  <c r="AS53" i="110"/>
  <c r="M112" i="110"/>
  <c r="U153" i="110" l="1"/>
  <c r="AW53" i="110"/>
  <c r="AU53" i="110"/>
  <c r="AQ53" i="110"/>
  <c r="AV53" i="110"/>
  <c r="N113" i="110"/>
  <c r="L113" i="110" s="1"/>
  <c r="I113" i="110"/>
  <c r="AK93" i="110"/>
  <c r="AJ93" i="110"/>
  <c r="BA54" i="110"/>
  <c r="G55" i="110"/>
  <c r="Q114" i="110"/>
  <c r="H114" i="110"/>
  <c r="T155" i="110"/>
  <c r="V155" i="110" s="1"/>
  <c r="AT53" i="110"/>
  <c r="AR53" i="110" s="1"/>
  <c r="AO53" i="110" s="1"/>
  <c r="AL53" i="110" s="1"/>
  <c r="M113" i="110"/>
  <c r="BA55" i="110" l="1"/>
  <c r="G56" i="110"/>
  <c r="AS54" i="110"/>
  <c r="N114" i="110"/>
  <c r="L114" i="110" s="1"/>
  <c r="I114" i="110"/>
  <c r="M114" i="110"/>
  <c r="AY54" i="110"/>
  <c r="AP54" i="110"/>
  <c r="AI94" i="110"/>
  <c r="BB99" i="110"/>
  <c r="Q115" i="110"/>
  <c r="H115" i="110"/>
  <c r="T156" i="110"/>
  <c r="V156" i="110" s="1"/>
  <c r="U154" i="110"/>
  <c r="AW54" i="110" l="1"/>
  <c r="AU54" i="110"/>
  <c r="AQ54" i="110"/>
  <c r="AV54" i="110"/>
  <c r="M115" i="110"/>
  <c r="AJ94" i="110"/>
  <c r="AK94" i="110"/>
  <c r="N115" i="110"/>
  <c r="L115" i="110" s="1"/>
  <c r="I115" i="110"/>
  <c r="BA56" i="110"/>
  <c r="G57" i="110"/>
  <c r="AT54" i="110"/>
  <c r="AR54" i="110" s="1"/>
  <c r="AO54" i="110" s="1"/>
  <c r="AL54" i="110" s="1"/>
  <c r="U155" i="110"/>
  <c r="Q116" i="110"/>
  <c r="H116" i="110"/>
  <c r="T157" i="110"/>
  <c r="V157" i="110" s="1"/>
  <c r="BA57" i="110" l="1"/>
  <c r="G58" i="110"/>
  <c r="Q117" i="110"/>
  <c r="H117" i="110"/>
  <c r="T158" i="110"/>
  <c r="V158" i="110" s="1"/>
  <c r="U156" i="110"/>
  <c r="AS55" i="110"/>
  <c r="N116" i="110"/>
  <c r="L116" i="110" s="1"/>
  <c r="I116" i="110"/>
  <c r="M116" i="110"/>
  <c r="AY55" i="110"/>
  <c r="AP55" i="110"/>
  <c r="AI95" i="110"/>
  <c r="BB100" i="110"/>
  <c r="AJ95" i="110" l="1"/>
  <c r="AK95" i="110"/>
  <c r="N117" i="110"/>
  <c r="L117" i="110" s="1"/>
  <c r="I117" i="110"/>
  <c r="U157" i="110"/>
  <c r="Q118" i="110"/>
  <c r="H118" i="110"/>
  <c r="T159" i="110"/>
  <c r="V159" i="110" s="1"/>
  <c r="BA58" i="110"/>
  <c r="G59" i="110"/>
  <c r="AW55" i="110"/>
  <c r="AU55" i="110"/>
  <c r="AQ55" i="110"/>
  <c r="AV55" i="110"/>
  <c r="M117" i="110"/>
  <c r="N118" i="110" l="1"/>
  <c r="L118" i="110" s="1"/>
  <c r="I118" i="110"/>
  <c r="BA59" i="110"/>
  <c r="G60" i="110"/>
  <c r="Q119" i="110"/>
  <c r="H119" i="110"/>
  <c r="T160" i="110"/>
  <c r="V160" i="110" s="1"/>
  <c r="M118" i="110"/>
  <c r="U158" i="110"/>
  <c r="AY56" i="110"/>
  <c r="AP56" i="110"/>
  <c r="AI96" i="110"/>
  <c r="BB101" i="110"/>
  <c r="AT55" i="110"/>
  <c r="AR55" i="110" s="1"/>
  <c r="AO55" i="110" s="1"/>
  <c r="AL55" i="110" s="1"/>
  <c r="AJ96" i="110" l="1"/>
  <c r="AK96" i="110"/>
  <c r="AS56" i="110"/>
  <c r="BA60" i="110"/>
  <c r="G61" i="110"/>
  <c r="U159" i="110"/>
  <c r="N119" i="110"/>
  <c r="L119" i="110" s="1"/>
  <c r="I119" i="110"/>
  <c r="AW56" i="110"/>
  <c r="AU56" i="110"/>
  <c r="AQ56" i="110"/>
  <c r="AV56" i="110"/>
  <c r="Q120" i="110"/>
  <c r="H120" i="110"/>
  <c r="T161" i="110"/>
  <c r="V161" i="110" s="1"/>
  <c r="M119" i="110"/>
  <c r="M120" i="110" l="1"/>
  <c r="N120" i="110"/>
  <c r="L120" i="110" s="1"/>
  <c r="I120" i="110"/>
  <c r="AT56" i="110"/>
  <c r="AR56" i="110" s="1"/>
  <c r="AO56" i="110" s="1"/>
  <c r="AL56" i="110" s="1"/>
  <c r="Q121" i="110"/>
  <c r="H121" i="110"/>
  <c r="T162" i="110"/>
  <c r="V162" i="110" s="1"/>
  <c r="AY57" i="110"/>
  <c r="AP57" i="110"/>
  <c r="AI97" i="110"/>
  <c r="BB102" i="110"/>
  <c r="U160" i="110"/>
  <c r="AE51" i="110"/>
  <c r="BA61" i="110"/>
  <c r="G62" i="110"/>
  <c r="U161" i="110" l="1"/>
  <c r="BA62" i="110"/>
  <c r="G63" i="110"/>
  <c r="N121" i="110"/>
  <c r="L121" i="110" s="1"/>
  <c r="I121" i="110"/>
  <c r="AW57" i="110"/>
  <c r="AU57" i="110"/>
  <c r="AT57" i="110" s="1"/>
  <c r="AR57" i="110" s="1"/>
  <c r="AO57" i="110" s="1"/>
  <c r="AL57" i="110" s="1"/>
  <c r="AQ57" i="110"/>
  <c r="AV57" i="110"/>
  <c r="Q122" i="110"/>
  <c r="H122" i="110"/>
  <c r="T163" i="110"/>
  <c r="V163" i="110" s="1"/>
  <c r="M121" i="110"/>
  <c r="AK97" i="110"/>
  <c r="AJ97" i="110"/>
  <c r="AS57" i="110"/>
  <c r="M122" i="110" l="1"/>
  <c r="N122" i="110"/>
  <c r="L122" i="110" s="1"/>
  <c r="I122" i="110"/>
  <c r="AS58" i="110"/>
  <c r="U162" i="110"/>
  <c r="Q123" i="110"/>
  <c r="H123" i="110"/>
  <c r="T164" i="110"/>
  <c r="V164" i="110" s="1"/>
  <c r="AY58" i="110"/>
  <c r="AP58" i="110"/>
  <c r="AI98" i="110"/>
  <c r="BB103" i="110"/>
  <c r="BA63" i="110"/>
  <c r="G64" i="110"/>
  <c r="AJ98" i="110" l="1"/>
  <c r="AK98" i="110"/>
  <c r="N123" i="110"/>
  <c r="L123" i="110" s="1"/>
  <c r="I123" i="110"/>
  <c r="AW58" i="110"/>
  <c r="AU58" i="110"/>
  <c r="AQ58" i="110"/>
  <c r="AV58" i="110"/>
  <c r="Q124" i="110"/>
  <c r="H124" i="110"/>
  <c r="T165" i="110"/>
  <c r="V165" i="110" s="1"/>
  <c r="M123" i="110"/>
  <c r="U163" i="110"/>
  <c r="BA64" i="110"/>
  <c r="G65" i="110"/>
  <c r="AT58" i="110"/>
  <c r="AR58" i="110" s="1"/>
  <c r="AO58" i="110" s="1"/>
  <c r="AL58" i="110" s="1"/>
  <c r="U164" i="110" l="1"/>
  <c r="M124" i="110"/>
  <c r="N124" i="110"/>
  <c r="L124" i="110" s="1"/>
  <c r="I124" i="110"/>
  <c r="AS59" i="110"/>
  <c r="BA65" i="110"/>
  <c r="G66" i="110"/>
  <c r="Q125" i="110"/>
  <c r="H125" i="110"/>
  <c r="T166" i="110"/>
  <c r="V166" i="110" s="1"/>
  <c r="AY59" i="110"/>
  <c r="AP59" i="110"/>
  <c r="AI99" i="110"/>
  <c r="BB104" i="110"/>
  <c r="AJ99" i="110" l="1"/>
  <c r="AK99" i="110"/>
  <c r="BA66" i="110"/>
  <c r="G67" i="110"/>
  <c r="M125" i="110"/>
  <c r="N125" i="110"/>
  <c r="L125" i="110" s="1"/>
  <c r="I125" i="110"/>
  <c r="AW59" i="110"/>
  <c r="AU59" i="110"/>
  <c r="AQ59" i="110"/>
  <c r="AV59" i="110"/>
  <c r="Q126" i="110"/>
  <c r="H126" i="110"/>
  <c r="T167" i="110"/>
  <c r="V167" i="110" s="1"/>
  <c r="U165" i="110"/>
  <c r="BA67" i="110" l="1"/>
  <c r="G68" i="110"/>
  <c r="I126" i="110"/>
  <c r="N126" i="110"/>
  <c r="L126" i="110" s="1"/>
  <c r="AT59" i="110"/>
  <c r="AR59" i="110" s="1"/>
  <c r="AO59" i="110" s="1"/>
  <c r="AL59" i="110" s="1"/>
  <c r="M126" i="110"/>
  <c r="U166" i="110"/>
  <c r="Q127" i="110"/>
  <c r="H127" i="110"/>
  <c r="T168" i="110"/>
  <c r="V168" i="110" s="1"/>
  <c r="AY60" i="110"/>
  <c r="AP60" i="110"/>
  <c r="AI100" i="110"/>
  <c r="BB105" i="110"/>
  <c r="AJ100" i="110" l="1"/>
  <c r="AK100" i="110"/>
  <c r="M127" i="110"/>
  <c r="N127" i="110"/>
  <c r="L127" i="110" s="1"/>
  <c r="I127" i="110"/>
  <c r="AW60" i="110"/>
  <c r="AU60" i="110"/>
  <c r="AQ60" i="110"/>
  <c r="AV60" i="110"/>
  <c r="Q128" i="110"/>
  <c r="H128" i="110"/>
  <c r="T169" i="110"/>
  <c r="V169" i="110" s="1"/>
  <c r="BA68" i="110"/>
  <c r="G69" i="110"/>
  <c r="U167" i="110"/>
  <c r="AS60" i="110"/>
  <c r="AY61" i="110" l="1"/>
  <c r="AP61" i="110"/>
  <c r="AI101" i="110"/>
  <c r="BB106" i="110"/>
  <c r="BA69" i="110"/>
  <c r="G70" i="110"/>
  <c r="Q129" i="110"/>
  <c r="H129" i="110"/>
  <c r="T170" i="110"/>
  <c r="V170" i="110" s="1"/>
  <c r="U168" i="110"/>
  <c r="M128" i="110"/>
  <c r="N128" i="110"/>
  <c r="L128" i="110" s="1"/>
  <c r="I128" i="110"/>
  <c r="AT60" i="110"/>
  <c r="AR60" i="110" s="1"/>
  <c r="AO60" i="110" s="1"/>
  <c r="AL60" i="110" s="1"/>
  <c r="AS61" i="110" l="1"/>
  <c r="AK101" i="110"/>
  <c r="AJ101" i="110"/>
  <c r="N129" i="110"/>
  <c r="L129" i="110" s="1"/>
  <c r="I129" i="110"/>
  <c r="U169" i="110"/>
  <c r="Q130" i="110"/>
  <c r="H130" i="110"/>
  <c r="T171" i="110"/>
  <c r="V171" i="110" s="1"/>
  <c r="M129" i="110"/>
  <c r="BA70" i="110"/>
  <c r="G71" i="110"/>
  <c r="AW61" i="110"/>
  <c r="AU61" i="110"/>
  <c r="AQ61" i="110"/>
  <c r="AV61" i="110"/>
  <c r="AY62" i="110" l="1"/>
  <c r="AP62" i="110"/>
  <c r="AI102" i="110"/>
  <c r="BB107" i="110"/>
  <c r="AT61" i="110"/>
  <c r="AR61" i="110" s="1"/>
  <c r="AO61" i="110" s="1"/>
  <c r="AL61" i="110" s="1"/>
  <c r="N130" i="110"/>
  <c r="L130" i="110" s="1"/>
  <c r="I130" i="110"/>
  <c r="M130" i="110"/>
  <c r="BA71" i="110"/>
  <c r="G72" i="110"/>
  <c r="Q131" i="110"/>
  <c r="H131" i="110"/>
  <c r="T172" i="110"/>
  <c r="V172" i="110" s="1"/>
  <c r="U170" i="110"/>
  <c r="AJ102" i="110" l="1"/>
  <c r="AK102" i="110"/>
  <c r="BA72" i="110"/>
  <c r="G73" i="110"/>
  <c r="M131" i="110"/>
  <c r="N131" i="110"/>
  <c r="L131" i="110" s="1"/>
  <c r="I131" i="110"/>
  <c r="U171" i="110"/>
  <c r="Q132" i="110"/>
  <c r="H132" i="110"/>
  <c r="T173" i="110"/>
  <c r="V173" i="110" s="1"/>
  <c r="AS62" i="110"/>
  <c r="AW62" i="110"/>
  <c r="AU62" i="110"/>
  <c r="AT62" i="110" s="1"/>
  <c r="AR62" i="110" s="1"/>
  <c r="AO62" i="110" s="1"/>
  <c r="AL62" i="110" s="1"/>
  <c r="AQ62" i="110"/>
  <c r="AV62" i="110"/>
  <c r="BA73" i="110" l="1"/>
  <c r="G74" i="110"/>
  <c r="AY63" i="110"/>
  <c r="AP63" i="110"/>
  <c r="AI103" i="110"/>
  <c r="BB108" i="110"/>
  <c r="M132" i="110"/>
  <c r="Q133" i="110"/>
  <c r="H133" i="110"/>
  <c r="T174" i="110"/>
  <c r="V174" i="110" s="1"/>
  <c r="N132" i="110"/>
  <c r="L132" i="110" s="1"/>
  <c r="I132" i="110"/>
  <c r="U172" i="110"/>
  <c r="AS63" i="110"/>
  <c r="U173" i="110" l="1"/>
  <c r="AW63" i="110"/>
  <c r="AU63" i="110"/>
  <c r="AQ63" i="110"/>
  <c r="AV63" i="110"/>
  <c r="AJ103" i="110"/>
  <c r="AK103" i="110"/>
  <c r="BA74" i="110"/>
  <c r="G75" i="110"/>
  <c r="N133" i="110"/>
  <c r="L133" i="110" s="1"/>
  <c r="I133" i="110"/>
  <c r="M133" i="110"/>
  <c r="Q134" i="110"/>
  <c r="H134" i="110"/>
  <c r="T175" i="110"/>
  <c r="V175" i="110" s="1"/>
  <c r="N134" i="110" l="1"/>
  <c r="L134" i="110" s="1"/>
  <c r="I134" i="110"/>
  <c r="Q135" i="110"/>
  <c r="H135" i="110"/>
  <c r="T176" i="110"/>
  <c r="V176" i="110" s="1"/>
  <c r="M134" i="110"/>
  <c r="AY64" i="110"/>
  <c r="AP64" i="110"/>
  <c r="AI104" i="110"/>
  <c r="BB109" i="110"/>
  <c r="BA75" i="110"/>
  <c r="G76" i="110"/>
  <c r="AT63" i="110"/>
  <c r="AR63" i="110" s="1"/>
  <c r="AO63" i="110" s="1"/>
  <c r="AL63" i="110" s="1"/>
  <c r="U174" i="110"/>
  <c r="U175" i="110" l="1"/>
  <c r="BA76" i="110"/>
  <c r="G77" i="110"/>
  <c r="Q136" i="110"/>
  <c r="H136" i="110"/>
  <c r="T177" i="110"/>
  <c r="V177" i="110" s="1"/>
  <c r="AT64" i="110"/>
  <c r="AR64" i="110" s="1"/>
  <c r="AO64" i="110" s="1"/>
  <c r="AL64" i="110" s="1"/>
  <c r="AW64" i="110"/>
  <c r="AU64" i="110"/>
  <c r="AQ64" i="110"/>
  <c r="AV64" i="110"/>
  <c r="M135" i="110"/>
  <c r="AJ104" i="110"/>
  <c r="AK104" i="110"/>
  <c r="N135" i="110"/>
  <c r="L135" i="110" s="1"/>
  <c r="I135" i="110"/>
  <c r="AS64" i="110"/>
  <c r="M136" i="110" l="1"/>
  <c r="Q137" i="110"/>
  <c r="H137" i="110"/>
  <c r="T178" i="110"/>
  <c r="V178" i="110" s="1"/>
  <c r="AY65" i="110"/>
  <c r="AP65" i="110"/>
  <c r="AI105" i="110"/>
  <c r="BB110" i="110"/>
  <c r="BA77" i="110"/>
  <c r="G78" i="110"/>
  <c r="AS65" i="110"/>
  <c r="N136" i="110"/>
  <c r="L136" i="110" s="1"/>
  <c r="I136" i="110"/>
  <c r="U176" i="110"/>
  <c r="U177" i="110" l="1"/>
  <c r="M137" i="110"/>
  <c r="N137" i="110"/>
  <c r="L137" i="110" s="1"/>
  <c r="I137" i="110"/>
  <c r="AW65" i="110"/>
  <c r="AU65" i="110"/>
  <c r="AQ65" i="110"/>
  <c r="AV65" i="110"/>
  <c r="Q138" i="110"/>
  <c r="H138" i="110"/>
  <c r="T179" i="110"/>
  <c r="V179" i="110" s="1"/>
  <c r="AK105" i="110"/>
  <c r="AJ105" i="110"/>
  <c r="BA78" i="110"/>
  <c r="G79" i="110"/>
  <c r="AT65" i="110"/>
  <c r="AR65" i="110" s="1"/>
  <c r="AO65" i="110" s="1"/>
  <c r="AL65" i="110" s="1"/>
  <c r="U178" i="110" l="1"/>
  <c r="M138" i="110"/>
  <c r="N138" i="110"/>
  <c r="L138" i="110" s="1"/>
  <c r="I138" i="110"/>
  <c r="AS66" i="110"/>
  <c r="BA79" i="110"/>
  <c r="G80" i="110"/>
  <c r="Q139" i="110"/>
  <c r="H139" i="110"/>
  <c r="T180" i="110"/>
  <c r="AY66" i="110"/>
  <c r="AP66" i="110"/>
  <c r="AI106" i="110"/>
  <c r="BB111" i="110"/>
  <c r="V180" i="110" l="1"/>
  <c r="T181" i="110"/>
  <c r="BA80" i="110"/>
  <c r="G81" i="110"/>
  <c r="M139" i="110"/>
  <c r="AT66" i="110"/>
  <c r="AR66" i="110" s="1"/>
  <c r="AO66" i="110" s="1"/>
  <c r="AL66" i="110" s="1"/>
  <c r="AJ106" i="110"/>
  <c r="AK106" i="110"/>
  <c r="N139" i="110"/>
  <c r="L139" i="110" s="1"/>
  <c r="I139" i="110"/>
  <c r="AW66" i="110"/>
  <c r="AU66" i="110"/>
  <c r="AQ66" i="110"/>
  <c r="AV66" i="110"/>
  <c r="Q140" i="110"/>
  <c r="H140" i="110"/>
  <c r="U179" i="110"/>
  <c r="U180" i="110" l="1"/>
  <c r="BA81" i="110"/>
  <c r="G82" i="110"/>
  <c r="Q141" i="110"/>
  <c r="H141" i="110"/>
  <c r="U181" i="110"/>
  <c r="V181" i="110"/>
  <c r="AY67" i="110"/>
  <c r="AP67" i="110"/>
  <c r="AI107" i="110"/>
  <c r="BB112" i="110"/>
  <c r="M140" i="110"/>
  <c r="N140" i="110"/>
  <c r="L140" i="110" s="1"/>
  <c r="I140" i="110"/>
  <c r="AS67" i="110"/>
  <c r="N141" i="110" l="1"/>
  <c r="L141" i="110" s="1"/>
  <c r="I141" i="110"/>
  <c r="Q142" i="110"/>
  <c r="H142" i="110"/>
  <c r="AW67" i="110"/>
  <c r="AU67" i="110"/>
  <c r="AQ67" i="110"/>
  <c r="AV67" i="110"/>
  <c r="M141" i="110"/>
  <c r="BA82" i="110"/>
  <c r="G83" i="110"/>
  <c r="AJ107" i="110"/>
  <c r="AK107" i="110"/>
  <c r="AT67" i="110"/>
  <c r="AR67" i="110" s="1"/>
  <c r="AO67" i="110" s="1"/>
  <c r="AL67" i="110" s="1"/>
  <c r="N142" i="110" l="1"/>
  <c r="L142" i="110" s="1"/>
  <c r="I142" i="110"/>
  <c r="Q143" i="110"/>
  <c r="H143" i="110"/>
  <c r="AS68" i="110"/>
  <c r="AP68" i="110"/>
  <c r="AY68" i="110"/>
  <c r="AI108" i="110"/>
  <c r="BB113" i="110"/>
  <c r="BA83" i="110"/>
  <c r="G84" i="110"/>
  <c r="M142" i="110"/>
  <c r="N143" i="110" l="1"/>
  <c r="L143" i="110" s="1"/>
  <c r="I143" i="110"/>
  <c r="AW68" i="110"/>
  <c r="AU68" i="110"/>
  <c r="AQ68" i="110"/>
  <c r="AV68" i="110"/>
  <c r="Q144" i="110"/>
  <c r="H144" i="110"/>
  <c r="AJ108" i="110"/>
  <c r="AK108" i="110"/>
  <c r="BA84" i="110"/>
  <c r="G85" i="110"/>
  <c r="M143" i="110"/>
  <c r="Q145" i="110" l="1"/>
  <c r="H145" i="110"/>
  <c r="AT68" i="110"/>
  <c r="AR68" i="110" s="1"/>
  <c r="AO68" i="110" s="1"/>
  <c r="AL68" i="110" s="1"/>
  <c r="AY69" i="110"/>
  <c r="AP69" i="110"/>
  <c r="AI109" i="110"/>
  <c r="BB114" i="110"/>
  <c r="BA85" i="110"/>
  <c r="G86" i="110"/>
  <c r="N144" i="110"/>
  <c r="L144" i="110" s="1"/>
  <c r="I144" i="110"/>
  <c r="M144" i="110"/>
  <c r="M145" i="110" l="1"/>
  <c r="BA86" i="110"/>
  <c r="G87" i="110"/>
  <c r="N145" i="110"/>
  <c r="L145" i="110" s="1"/>
  <c r="I145" i="110"/>
  <c r="AW69" i="110"/>
  <c r="AU69" i="110"/>
  <c r="AQ69" i="110"/>
  <c r="AV69" i="110"/>
  <c r="Q146" i="110"/>
  <c r="H146" i="110"/>
  <c r="AK109" i="110"/>
  <c r="AJ109" i="110"/>
  <c r="AS69" i="110"/>
  <c r="BA87" i="110" l="1"/>
  <c r="G88" i="110"/>
  <c r="AP70" i="110"/>
  <c r="AY70" i="110"/>
  <c r="AI110" i="110"/>
  <c r="BB115" i="110"/>
  <c r="Q147" i="110"/>
  <c r="H147" i="110"/>
  <c r="M146" i="110"/>
  <c r="N146" i="110"/>
  <c r="L146" i="110" s="1"/>
  <c r="I146" i="110"/>
  <c r="AT69" i="110"/>
  <c r="AR69" i="110" s="1"/>
  <c r="AO69" i="110" s="1"/>
  <c r="AL69" i="110" s="1"/>
  <c r="AS70" i="110" l="1"/>
  <c r="Q148" i="110"/>
  <c r="H148" i="110"/>
  <c r="AW70" i="110"/>
  <c r="AU70" i="110"/>
  <c r="AQ70" i="110"/>
  <c r="AV70" i="110"/>
  <c r="AT70" i="110"/>
  <c r="AR70" i="110" s="1"/>
  <c r="AO70" i="110" s="1"/>
  <c r="AL70" i="110" s="1"/>
  <c r="AJ110" i="110"/>
  <c r="AK110" i="110"/>
  <c r="BA88" i="110"/>
  <c r="G89" i="110"/>
  <c r="M147" i="110"/>
  <c r="N147" i="110"/>
  <c r="L147" i="110" s="1"/>
  <c r="I147" i="110"/>
  <c r="AY71" i="110" l="1"/>
  <c r="AP71" i="110"/>
  <c r="AI111" i="110"/>
  <c r="BB116" i="110"/>
  <c r="N148" i="110"/>
  <c r="L148" i="110" s="1"/>
  <c r="I148" i="110"/>
  <c r="BA89" i="110"/>
  <c r="G90" i="110"/>
  <c r="M148" i="110"/>
  <c r="AS71" i="110"/>
  <c r="Q149" i="110"/>
  <c r="H149" i="110"/>
  <c r="AJ111" i="110" l="1"/>
  <c r="AK111" i="110"/>
  <c r="Q150" i="110"/>
  <c r="H150" i="110"/>
  <c r="BA90" i="110"/>
  <c r="G91" i="110"/>
  <c r="N149" i="110"/>
  <c r="L149" i="110" s="1"/>
  <c r="I149" i="110"/>
  <c r="M149" i="110"/>
  <c r="AW71" i="110"/>
  <c r="AU71" i="110"/>
  <c r="AT71" i="110" s="1"/>
  <c r="AR71" i="110" s="1"/>
  <c r="AO71" i="110" s="1"/>
  <c r="AL71" i="110" s="1"/>
  <c r="AQ71" i="110"/>
  <c r="AV71" i="110"/>
  <c r="N150" i="110" l="1"/>
  <c r="L150" i="110" s="1"/>
  <c r="I150" i="110"/>
  <c r="M150" i="110"/>
  <c r="Q151" i="110"/>
  <c r="H151" i="110"/>
  <c r="AS72" i="110"/>
  <c r="BA91" i="110"/>
  <c r="G92" i="110"/>
  <c r="AP72" i="110"/>
  <c r="AY72" i="110"/>
  <c r="AI112" i="110"/>
  <c r="BB117" i="110"/>
  <c r="AW72" i="110" l="1"/>
  <c r="AU72" i="110"/>
  <c r="AQ72" i="110"/>
  <c r="AV72" i="110"/>
  <c r="N151" i="110"/>
  <c r="L151" i="110" s="1"/>
  <c r="I151" i="110"/>
  <c r="AJ112" i="110"/>
  <c r="AK112" i="110"/>
  <c r="BA92" i="110"/>
  <c r="G93" i="110"/>
  <c r="Q152" i="110"/>
  <c r="H152" i="110"/>
  <c r="M151" i="110"/>
  <c r="Q153" i="110" l="1"/>
  <c r="H153" i="110"/>
  <c r="BA93" i="110"/>
  <c r="G94" i="110"/>
  <c r="M152" i="110"/>
  <c r="N152" i="110"/>
  <c r="L152" i="110" s="1"/>
  <c r="I152" i="110"/>
  <c r="AT72" i="110"/>
  <c r="AR72" i="110" s="1"/>
  <c r="AO72" i="110" s="1"/>
  <c r="AL72" i="110" s="1"/>
  <c r="AY73" i="110"/>
  <c r="AP73" i="110"/>
  <c r="AI113" i="110"/>
  <c r="BB118" i="110"/>
  <c r="AW73" i="110" l="1"/>
  <c r="AU73" i="110"/>
  <c r="AQ73" i="110"/>
  <c r="AV73" i="110"/>
  <c r="AS73" i="110"/>
  <c r="AK113" i="110"/>
  <c r="AJ113" i="110"/>
  <c r="N153" i="110"/>
  <c r="L153" i="110" s="1"/>
  <c r="I153" i="110"/>
  <c r="AT73" i="110"/>
  <c r="AR73" i="110" s="1"/>
  <c r="AO73" i="110" s="1"/>
  <c r="AL73" i="110" s="1"/>
  <c r="M153" i="110"/>
  <c r="BA94" i="110"/>
  <c r="G95" i="110"/>
  <c r="Q154" i="110"/>
  <c r="H154" i="110"/>
  <c r="M154" i="110" l="1"/>
  <c r="N154" i="110"/>
  <c r="L154" i="110" s="1"/>
  <c r="I154" i="110"/>
  <c r="Q155" i="110"/>
  <c r="H155" i="110"/>
  <c r="AS74" i="110"/>
  <c r="BA95" i="110"/>
  <c r="G96" i="110"/>
  <c r="AP74" i="110"/>
  <c r="AY74" i="110"/>
  <c r="AI114" i="110"/>
  <c r="BB119" i="110"/>
  <c r="AW74" i="110" l="1"/>
  <c r="AU74" i="110"/>
  <c r="AQ74" i="110"/>
  <c r="AV74" i="110"/>
  <c r="AT74" i="110"/>
  <c r="AR74" i="110" s="1"/>
  <c r="AO74" i="110" s="1"/>
  <c r="AL74" i="110" s="1"/>
  <c r="M155" i="110"/>
  <c r="N155" i="110"/>
  <c r="L155" i="110" s="1"/>
  <c r="I155" i="110"/>
  <c r="AJ114" i="110"/>
  <c r="AK114" i="110"/>
  <c r="BA96" i="110"/>
  <c r="G97" i="110"/>
  <c r="Q156" i="110"/>
  <c r="H156" i="110"/>
  <c r="M156" i="110" l="1"/>
  <c r="N156" i="110"/>
  <c r="L156" i="110" s="1"/>
  <c r="I156" i="110"/>
  <c r="Q157" i="110"/>
  <c r="H157" i="110"/>
  <c r="AS75" i="110"/>
  <c r="BA97" i="110"/>
  <c r="G98" i="110"/>
  <c r="AY75" i="110"/>
  <c r="AP75" i="110"/>
  <c r="AI115" i="110"/>
  <c r="BB120" i="110"/>
  <c r="AW75" i="110" l="1"/>
  <c r="AU75" i="110"/>
  <c r="AQ75" i="110"/>
  <c r="AV75" i="110"/>
  <c r="M157" i="110"/>
  <c r="AJ115" i="110"/>
  <c r="AK115" i="110"/>
  <c r="BA98" i="110"/>
  <c r="G99" i="110"/>
  <c r="N157" i="110"/>
  <c r="L157" i="110" s="1"/>
  <c r="I157" i="110"/>
  <c r="Q158" i="110"/>
  <c r="H158" i="110"/>
  <c r="N158" i="110" l="1"/>
  <c r="L158" i="110" s="1"/>
  <c r="I158" i="110"/>
  <c r="M158" i="110"/>
  <c r="AP76" i="110"/>
  <c r="AY76" i="110"/>
  <c r="AI116" i="110"/>
  <c r="BB121" i="110"/>
  <c r="BA99" i="110"/>
  <c r="G100" i="110"/>
  <c r="H159" i="110"/>
  <c r="Q159" i="110"/>
  <c r="AT75" i="110"/>
  <c r="AR75" i="110" s="1"/>
  <c r="AO75" i="110" s="1"/>
  <c r="AL75" i="110" s="1"/>
  <c r="BA100" i="110" l="1"/>
  <c r="G101" i="110"/>
  <c r="N159" i="110"/>
  <c r="L159" i="110" s="1"/>
  <c r="I159" i="110"/>
  <c r="H160" i="110"/>
  <c r="AW76" i="110"/>
  <c r="AU76" i="110"/>
  <c r="AT76" i="110" s="1"/>
  <c r="AR76" i="110" s="1"/>
  <c r="AO76" i="110" s="1"/>
  <c r="AL76" i="110" s="1"/>
  <c r="AQ76" i="110"/>
  <c r="AV76" i="110"/>
  <c r="AS76" i="110"/>
  <c r="AO44" i="110"/>
  <c r="AJ116" i="110"/>
  <c r="AK116" i="110"/>
  <c r="M159" i="110"/>
  <c r="AL44" i="110" l="1"/>
  <c r="AJ85" i="110"/>
  <c r="AS77" i="110"/>
  <c r="L160" i="110"/>
  <c r="AY77" i="110"/>
  <c r="AP77" i="110"/>
  <c r="AI117" i="110"/>
  <c r="BB122" i="110"/>
  <c r="BA101" i="110"/>
  <c r="G102" i="110"/>
  <c r="AW77" i="110" l="1"/>
  <c r="AU77" i="110"/>
  <c r="AQ77" i="110"/>
  <c r="AV77" i="110"/>
  <c r="AK117" i="110"/>
  <c r="AJ117" i="110"/>
  <c r="BA102" i="110"/>
  <c r="G103" i="110"/>
  <c r="BA103" i="110" l="1"/>
  <c r="G104" i="110"/>
  <c r="AP78" i="110"/>
  <c r="AY78" i="110"/>
  <c r="AI118" i="110"/>
  <c r="BB123" i="110"/>
  <c r="AT77" i="110"/>
  <c r="AR77" i="110" s="1"/>
  <c r="AO77" i="110" s="1"/>
  <c r="AJ118" i="110" l="1"/>
  <c r="AK118" i="110"/>
  <c r="AS78" i="110"/>
  <c r="BA104" i="110"/>
  <c r="G105" i="110"/>
  <c r="AL77" i="110"/>
  <c r="AW78" i="110"/>
  <c r="AU78" i="110"/>
  <c r="AQ78" i="110"/>
  <c r="AV78" i="110"/>
  <c r="BA105" i="110" l="1"/>
  <c r="G106" i="110"/>
  <c r="AY79" i="110"/>
  <c r="AP79" i="110"/>
  <c r="AI119" i="110"/>
  <c r="BB124" i="110"/>
  <c r="AT78" i="110"/>
  <c r="AR78" i="110" s="1"/>
  <c r="AO78" i="110" s="1"/>
  <c r="AL78" i="110" l="1"/>
  <c r="AW79" i="110"/>
  <c r="AU79" i="110"/>
  <c r="AT79" i="110" s="1"/>
  <c r="AR79" i="110" s="1"/>
  <c r="AO79" i="110" s="1"/>
  <c r="AQ79" i="110"/>
  <c r="AV79" i="110"/>
  <c r="AS79" i="110"/>
  <c r="AJ119" i="110"/>
  <c r="AK119" i="110"/>
  <c r="BA106" i="110"/>
  <c r="G107" i="110"/>
  <c r="AL79" i="110" l="1"/>
  <c r="AP80" i="110"/>
  <c r="AY80" i="110"/>
  <c r="AI120" i="110"/>
  <c r="BB125" i="110"/>
  <c r="BA107" i="110"/>
  <c r="G108" i="110"/>
  <c r="G109" i="110" s="1"/>
  <c r="G110" i="110" s="1"/>
  <c r="G111" i="110" s="1"/>
  <c r="G112" i="110" s="1"/>
  <c r="G113" i="110" s="1"/>
  <c r="G114" i="110" s="1"/>
  <c r="G115" i="110" s="1"/>
  <c r="G116" i="110" s="1"/>
  <c r="G117" i="110" s="1"/>
  <c r="G118" i="110" s="1"/>
  <c r="G119" i="110" s="1"/>
  <c r="G120" i="110" s="1"/>
  <c r="G121" i="110" s="1"/>
  <c r="G122" i="110" s="1"/>
  <c r="G123" i="110" s="1"/>
  <c r="G124" i="110" s="1"/>
  <c r="G125" i="110" s="1"/>
  <c r="G126" i="110" s="1"/>
  <c r="G127" i="110" s="1"/>
  <c r="G128" i="110" s="1"/>
  <c r="G129" i="110" s="1"/>
  <c r="G130" i="110" s="1"/>
  <c r="G131" i="110" s="1"/>
  <c r="G132" i="110" s="1"/>
  <c r="G133" i="110" s="1"/>
  <c r="G134" i="110" s="1"/>
  <c r="G135" i="110" s="1"/>
  <c r="G136" i="110" s="1"/>
  <c r="G137" i="110" s="1"/>
  <c r="G138" i="110" s="1"/>
  <c r="G139" i="110" s="1"/>
  <c r="G140" i="110" s="1"/>
  <c r="G141" i="110" s="1"/>
  <c r="G142" i="110" s="1"/>
  <c r="G143" i="110" s="1"/>
  <c r="G144" i="110" s="1"/>
  <c r="G145" i="110" s="1"/>
  <c r="G146" i="110" s="1"/>
  <c r="G147" i="110" s="1"/>
  <c r="G148" i="110" s="1"/>
  <c r="G149" i="110" s="1"/>
  <c r="G150" i="110" s="1"/>
  <c r="G151" i="110" s="1"/>
  <c r="G152" i="110" s="1"/>
  <c r="G153" i="110" s="1"/>
  <c r="G154" i="110" s="1"/>
  <c r="G155" i="110" s="1"/>
  <c r="G156" i="110" s="1"/>
  <c r="G157" i="110" s="1"/>
  <c r="G158" i="110" s="1"/>
  <c r="AS80" i="110"/>
  <c r="AW80" i="110" l="1"/>
  <c r="AU80" i="110"/>
  <c r="AQ80" i="110"/>
  <c r="AV80" i="110"/>
  <c r="AJ120" i="110"/>
  <c r="AK120" i="110"/>
  <c r="BA108" i="110"/>
  <c r="G159" i="110"/>
  <c r="BA109" i="110" l="1"/>
  <c r="G160" i="110"/>
  <c r="BA110" i="110" s="1"/>
  <c r="BA116" i="110" s="1"/>
  <c r="AT80" i="110"/>
  <c r="AR80" i="110" s="1"/>
  <c r="AO80" i="110" s="1"/>
  <c r="AY81" i="110"/>
  <c r="AP81" i="110"/>
  <c r="AI121" i="110"/>
  <c r="BB126" i="110"/>
  <c r="AK121" i="110" l="1"/>
  <c r="AJ121" i="110"/>
  <c r="AL80" i="110"/>
  <c r="AW81" i="110"/>
  <c r="AU81" i="110"/>
  <c r="AQ81" i="110"/>
  <c r="AV81" i="110"/>
  <c r="AS81" i="110"/>
  <c r="AP82" i="110" l="1"/>
  <c r="AY82" i="110"/>
  <c r="AI122" i="110"/>
  <c r="BB127" i="110"/>
  <c r="AT81" i="110"/>
  <c r="AR81" i="110" s="1"/>
  <c r="AO81" i="110" s="1"/>
  <c r="AL81" i="110" s="1"/>
  <c r="AW82" i="110" l="1"/>
  <c r="AU82" i="110"/>
  <c r="AQ82" i="110"/>
  <c r="AV82" i="110"/>
  <c r="AT82" i="110"/>
  <c r="AR82" i="110" s="1"/>
  <c r="AO82" i="110" s="1"/>
  <c r="AL82" i="110" s="1"/>
  <c r="AJ122" i="110"/>
  <c r="AK122" i="110"/>
  <c r="AS82" i="110"/>
  <c r="AS83" i="110" l="1"/>
  <c r="AY83" i="110"/>
  <c r="AP83" i="110"/>
  <c r="AI123" i="110"/>
  <c r="BB128" i="110"/>
  <c r="AW83" i="110" l="1"/>
  <c r="AU83" i="110"/>
  <c r="AQ83" i="110"/>
  <c r="AV83" i="110"/>
  <c r="AJ123" i="110"/>
  <c r="AK123" i="110"/>
  <c r="AP84" i="110" l="1"/>
  <c r="AY84" i="110"/>
  <c r="AI124" i="110"/>
  <c r="BB129" i="110"/>
  <c r="AT83" i="110"/>
  <c r="AR83" i="110" s="1"/>
  <c r="AO83" i="110" s="1"/>
  <c r="AL83" i="110" s="1"/>
  <c r="AJ124" i="110" l="1"/>
  <c r="AK124" i="110"/>
  <c r="AS84" i="110"/>
  <c r="AW84" i="110"/>
  <c r="AU84" i="110"/>
  <c r="AQ84" i="110"/>
  <c r="AV84" i="110"/>
  <c r="AT84" i="110"/>
  <c r="AR84" i="110" s="1"/>
  <c r="AO84" i="110" s="1"/>
  <c r="AL84" i="110" s="1"/>
  <c r="AY85" i="110" l="1"/>
  <c r="AP85" i="110"/>
  <c r="AI125" i="110"/>
  <c r="BB130" i="110"/>
  <c r="AS85" i="110"/>
  <c r="AK125" i="110" l="1"/>
  <c r="AJ125" i="110"/>
  <c r="AW85" i="110"/>
  <c r="AU85" i="110"/>
  <c r="AT85" i="110" s="1"/>
  <c r="AR85" i="110" s="1"/>
  <c r="AO85" i="110" s="1"/>
  <c r="AL85" i="110" s="1"/>
  <c r="AQ85" i="110"/>
  <c r="AV85" i="110"/>
  <c r="AP86" i="110" l="1"/>
  <c r="AY86" i="110"/>
  <c r="AI126" i="110"/>
  <c r="BB131" i="110"/>
  <c r="AS86" i="110"/>
  <c r="AJ126" i="110" l="1"/>
  <c r="AK126" i="110"/>
  <c r="AW86" i="110"/>
  <c r="AU86" i="110"/>
  <c r="AQ86" i="110"/>
  <c r="AV86" i="110"/>
  <c r="AT86" i="110"/>
  <c r="AR86" i="110" s="1"/>
  <c r="AO86" i="110" s="1"/>
  <c r="AL86" i="110" s="1"/>
  <c r="AS87" i="110" l="1"/>
  <c r="AY87" i="110"/>
  <c r="AP87" i="110"/>
  <c r="AI127" i="110"/>
  <c r="BB132" i="110"/>
  <c r="AW87" i="110" l="1"/>
  <c r="AU87" i="110"/>
  <c r="AQ87" i="110"/>
  <c r="AV87" i="110"/>
  <c r="AJ127" i="110"/>
  <c r="AK127" i="110"/>
  <c r="AP88" i="110" l="1"/>
  <c r="AY88" i="110"/>
  <c r="AI128" i="110"/>
  <c r="BB133" i="110"/>
  <c r="AT87" i="110"/>
  <c r="AR87" i="110" s="1"/>
  <c r="AO87" i="110" s="1"/>
  <c r="AL87" i="110" s="1"/>
  <c r="AJ128" i="110" l="1"/>
  <c r="AK128" i="110"/>
  <c r="AS88" i="110"/>
  <c r="AW88" i="110"/>
  <c r="AU88" i="110"/>
  <c r="AQ88" i="110"/>
  <c r="AV88" i="110"/>
  <c r="AT88" i="110"/>
  <c r="AR88" i="110" s="1"/>
  <c r="AO88" i="110" s="1"/>
  <c r="AL88" i="110" s="1"/>
  <c r="AY89" i="110" l="1"/>
  <c r="AP89" i="110"/>
  <c r="AI129" i="110"/>
  <c r="BB134" i="110"/>
  <c r="AS89" i="110"/>
  <c r="AK129" i="110" l="1"/>
  <c r="AJ129" i="110"/>
  <c r="AW89" i="110"/>
  <c r="AU89" i="110"/>
  <c r="AT89" i="110" s="1"/>
  <c r="AR89" i="110" s="1"/>
  <c r="AO89" i="110" s="1"/>
  <c r="AL89" i="110" s="1"/>
  <c r="AQ89" i="110"/>
  <c r="AV89" i="110"/>
  <c r="AP90" i="110" l="1"/>
  <c r="AY90" i="110"/>
  <c r="AI130" i="110"/>
  <c r="BB135" i="110"/>
  <c r="AS90" i="110"/>
  <c r="AJ130" i="110" l="1"/>
  <c r="AK130" i="110"/>
  <c r="AW90" i="110"/>
  <c r="AU90" i="110"/>
  <c r="AT90" i="110" s="1"/>
  <c r="AR90" i="110" s="1"/>
  <c r="AO90" i="110" s="1"/>
  <c r="AL90" i="110" s="1"/>
  <c r="AQ90" i="110"/>
  <c r="AV90" i="110"/>
  <c r="AS91" i="110" l="1"/>
  <c r="AY91" i="110"/>
  <c r="AP91" i="110"/>
  <c r="AI131" i="110"/>
  <c r="BB136" i="110"/>
  <c r="AW91" i="110" l="1"/>
  <c r="AU91" i="110"/>
  <c r="AQ91" i="110"/>
  <c r="AV91" i="110"/>
  <c r="AJ131" i="110"/>
  <c r="AK131" i="110"/>
  <c r="AP92" i="110" l="1"/>
  <c r="AY92" i="110"/>
  <c r="AI132" i="110"/>
  <c r="BB137" i="110"/>
  <c r="AT91" i="110"/>
  <c r="AR91" i="110" s="1"/>
  <c r="AO91" i="110" s="1"/>
  <c r="AL91" i="110" s="1"/>
  <c r="AJ132" i="110" l="1"/>
  <c r="AK132" i="110"/>
  <c r="AS92" i="110"/>
  <c r="AW92" i="110"/>
  <c r="AU92" i="110"/>
  <c r="AQ92" i="110"/>
  <c r="AV92" i="110"/>
  <c r="AT92" i="110"/>
  <c r="AR92" i="110" s="1"/>
  <c r="AO92" i="110" s="1"/>
  <c r="AL92" i="110" s="1"/>
  <c r="AY93" i="110" l="1"/>
  <c r="AP93" i="110"/>
  <c r="AI133" i="110"/>
  <c r="BB138" i="110"/>
  <c r="AS93" i="110"/>
  <c r="AK133" i="110" l="1"/>
  <c r="AJ133" i="110"/>
  <c r="AW93" i="110"/>
  <c r="AU93" i="110"/>
  <c r="AT93" i="110" s="1"/>
  <c r="AR93" i="110" s="1"/>
  <c r="AO93" i="110" s="1"/>
  <c r="AL93" i="110" s="1"/>
  <c r="AQ93" i="110"/>
  <c r="AV93" i="110"/>
  <c r="AP94" i="110" l="1"/>
  <c r="AY94" i="110"/>
  <c r="AI134" i="110"/>
  <c r="BB139" i="110"/>
  <c r="AS94" i="110"/>
  <c r="AJ134" i="110" l="1"/>
  <c r="AK134" i="110"/>
  <c r="AW94" i="110"/>
  <c r="AU94" i="110"/>
  <c r="AT94" i="110" s="1"/>
  <c r="AR94" i="110" s="1"/>
  <c r="AO94" i="110" s="1"/>
  <c r="AL94" i="110" s="1"/>
  <c r="AQ94" i="110"/>
  <c r="AV94" i="110"/>
  <c r="AS95" i="110" l="1"/>
  <c r="AY95" i="110"/>
  <c r="AP95" i="110"/>
  <c r="AI135" i="110"/>
  <c r="BB140" i="110"/>
  <c r="AW95" i="110" l="1"/>
  <c r="AU95" i="110"/>
  <c r="AQ95" i="110"/>
  <c r="AV95" i="110"/>
  <c r="AJ135" i="110"/>
  <c r="AK135" i="110"/>
  <c r="AP96" i="110" l="1"/>
  <c r="AY96" i="110"/>
  <c r="AI136" i="110"/>
  <c r="BB141" i="110"/>
  <c r="AT95" i="110"/>
  <c r="AR95" i="110" s="1"/>
  <c r="AO95" i="110" s="1"/>
  <c r="AL95" i="110" s="1"/>
  <c r="AJ136" i="110" l="1"/>
  <c r="AK136" i="110"/>
  <c r="AS96" i="110"/>
  <c r="AW96" i="110"/>
  <c r="AU96" i="110"/>
  <c r="AQ96" i="110"/>
  <c r="AV96" i="110"/>
  <c r="AT96" i="110"/>
  <c r="AR96" i="110" s="1"/>
  <c r="AO96" i="110" s="1"/>
  <c r="AL96" i="110" s="1"/>
  <c r="AY97" i="110" l="1"/>
  <c r="AP97" i="110"/>
  <c r="AI137" i="110"/>
  <c r="BB142" i="110"/>
  <c r="AS97" i="110"/>
  <c r="AK137" i="110" l="1"/>
  <c r="AJ137" i="110"/>
  <c r="AW97" i="110"/>
  <c r="AU97" i="110"/>
  <c r="AT97" i="110" s="1"/>
  <c r="AR97" i="110" s="1"/>
  <c r="AO97" i="110" s="1"/>
  <c r="AL97" i="110" s="1"/>
  <c r="AQ97" i="110"/>
  <c r="AV97" i="110"/>
  <c r="AP98" i="110" l="1"/>
  <c r="AY98" i="110"/>
  <c r="AI138" i="110"/>
  <c r="BB143" i="110"/>
  <c r="AS98" i="110"/>
  <c r="AJ138" i="110" l="1"/>
  <c r="AK138" i="110"/>
  <c r="AW98" i="110"/>
  <c r="AU98" i="110"/>
  <c r="AQ98" i="110"/>
  <c r="AV98" i="110"/>
  <c r="AT98" i="110" l="1"/>
  <c r="AR98" i="110" s="1"/>
  <c r="AO98" i="110" s="1"/>
  <c r="AL98" i="110" s="1"/>
  <c r="AY99" i="110"/>
  <c r="AP99" i="110"/>
  <c r="AI139" i="110"/>
  <c r="BB144" i="110"/>
  <c r="AW99" i="110" l="1"/>
  <c r="AU99" i="110"/>
  <c r="AQ99" i="110"/>
  <c r="AV99" i="110"/>
  <c r="AJ139" i="110"/>
  <c r="AK139" i="110"/>
  <c r="AS99" i="110"/>
  <c r="AP100" i="110" l="1"/>
  <c r="AY100" i="110"/>
  <c r="AI140" i="110"/>
  <c r="BB145" i="110"/>
  <c r="AT99" i="110"/>
  <c r="AR99" i="110" s="1"/>
  <c r="AO99" i="110" s="1"/>
  <c r="AL99" i="110" s="1"/>
  <c r="AW100" i="110" l="1"/>
  <c r="AU100" i="110"/>
  <c r="AQ100" i="110"/>
  <c r="AV100" i="110"/>
  <c r="AT100" i="110"/>
  <c r="AR100" i="110" s="1"/>
  <c r="AO100" i="110" s="1"/>
  <c r="AL100" i="110" s="1"/>
  <c r="AJ140" i="110"/>
  <c r="AK140" i="110"/>
  <c r="AS100" i="110"/>
  <c r="AS101" i="110" l="1"/>
  <c r="AY101" i="110"/>
  <c r="AP101" i="110"/>
  <c r="AI141" i="110"/>
  <c r="BB146" i="110"/>
  <c r="AW101" i="110" l="1"/>
  <c r="AU101" i="110"/>
  <c r="AQ101" i="110"/>
  <c r="AV101" i="110"/>
  <c r="AK141" i="110"/>
  <c r="AJ141" i="110"/>
  <c r="AP102" i="110" l="1"/>
  <c r="AY102" i="110"/>
  <c r="AI142" i="110"/>
  <c r="BB147" i="110"/>
  <c r="AT101" i="110"/>
  <c r="AR101" i="110" s="1"/>
  <c r="AO101" i="110" s="1"/>
  <c r="AL101" i="110" s="1"/>
  <c r="AJ142" i="110" l="1"/>
  <c r="AK142" i="110"/>
  <c r="AS102" i="110"/>
  <c r="AW102" i="110"/>
  <c r="AU102" i="110"/>
  <c r="AQ102" i="110"/>
  <c r="AV102" i="110"/>
  <c r="AT102" i="110"/>
  <c r="AR102" i="110" s="1"/>
  <c r="AO102" i="110" s="1"/>
  <c r="AL102" i="110" s="1"/>
  <c r="AY103" i="110" l="1"/>
  <c r="AP103" i="110"/>
  <c r="AI143" i="110"/>
  <c r="BB148" i="110"/>
  <c r="AS103" i="110"/>
  <c r="AJ143" i="110" l="1"/>
  <c r="AK143" i="110"/>
  <c r="AW103" i="110"/>
  <c r="AU103" i="110"/>
  <c r="AT103" i="110" s="1"/>
  <c r="AR103" i="110" s="1"/>
  <c r="AO103" i="110" s="1"/>
  <c r="AL103" i="110" s="1"/>
  <c r="AQ103" i="110"/>
  <c r="AV103" i="110"/>
  <c r="AP104" i="110" l="1"/>
  <c r="AY104" i="110"/>
  <c r="AI144" i="110"/>
  <c r="BB149" i="110"/>
  <c r="AS104" i="110"/>
  <c r="AJ144" i="110" l="1"/>
  <c r="AK144" i="110"/>
  <c r="AW104" i="110"/>
  <c r="AU104" i="110"/>
  <c r="AT104" i="110" s="1"/>
  <c r="AR104" i="110" s="1"/>
  <c r="AO104" i="110" s="1"/>
  <c r="AL104" i="110" s="1"/>
  <c r="AQ104" i="110"/>
  <c r="AV104" i="110"/>
  <c r="AS105" i="110" l="1"/>
  <c r="AY105" i="110"/>
  <c r="AP105" i="110"/>
  <c r="AI145" i="110"/>
  <c r="BB150" i="110"/>
  <c r="AW105" i="110" l="1"/>
  <c r="AU105" i="110"/>
  <c r="AQ105" i="110"/>
  <c r="AV105" i="110"/>
  <c r="AK145" i="110"/>
  <c r="AJ145" i="110"/>
  <c r="AP106" i="110" l="1"/>
  <c r="AY106" i="110"/>
  <c r="BB151" i="110"/>
  <c r="AI146" i="110"/>
  <c r="AT105" i="110"/>
  <c r="AR105" i="110" s="1"/>
  <c r="AO105" i="110" s="1"/>
  <c r="AL105" i="110" s="1"/>
  <c r="AJ146" i="110" l="1"/>
  <c r="AK146" i="110"/>
  <c r="AS106" i="110"/>
  <c r="AW106" i="110"/>
  <c r="AU106" i="110"/>
  <c r="AQ106" i="110"/>
  <c r="AV106" i="110"/>
  <c r="AT106" i="110"/>
  <c r="AR106" i="110" s="1"/>
  <c r="AO106" i="110" s="1"/>
  <c r="AL106" i="110" s="1"/>
  <c r="AY107" i="110" l="1"/>
  <c r="AP107" i="110"/>
  <c r="AI147" i="110"/>
  <c r="BB152" i="110"/>
  <c r="AS107" i="110"/>
  <c r="AJ147" i="110" l="1"/>
  <c r="AK147" i="110"/>
  <c r="AW107" i="110"/>
  <c r="AU107" i="110"/>
  <c r="AT107" i="110" s="1"/>
  <c r="AR107" i="110" s="1"/>
  <c r="AO107" i="110" s="1"/>
  <c r="AL107" i="110" s="1"/>
  <c r="AQ107" i="110"/>
  <c r="AV107" i="110"/>
  <c r="AP108" i="110" l="1"/>
  <c r="AY108" i="110"/>
  <c r="AI148" i="110"/>
  <c r="BB153" i="110"/>
  <c r="AS108" i="110"/>
  <c r="AJ148" i="110" l="1"/>
  <c r="AK148" i="110"/>
  <c r="AW108" i="110"/>
  <c r="AU108" i="110"/>
  <c r="AT108" i="110" s="1"/>
  <c r="AR108" i="110" s="1"/>
  <c r="AO108" i="110" s="1"/>
  <c r="AL108" i="110" s="1"/>
  <c r="AQ108" i="110"/>
  <c r="AV108" i="110"/>
  <c r="AS109" i="110" l="1"/>
  <c r="AP109" i="110"/>
  <c r="AY109" i="110"/>
  <c r="AI149" i="110"/>
  <c r="BB154" i="110"/>
  <c r="AU109" i="110" l="1"/>
  <c r="AW109" i="110"/>
  <c r="AQ109" i="110"/>
  <c r="AV109" i="110"/>
  <c r="AT109" i="110"/>
  <c r="AR109" i="110" s="1"/>
  <c r="AO109" i="110" s="1"/>
  <c r="AL109" i="110" s="1"/>
  <c r="AL7" i="110" s="1"/>
  <c r="BD33" i="110" s="1"/>
  <c r="AK149" i="110"/>
  <c r="AK150" i="110" s="1"/>
  <c r="AJ149" i="110"/>
  <c r="AJ150" i="110" s="1"/>
  <c r="AI150" i="110"/>
  <c r="AY110" i="110" l="1"/>
  <c r="AP110" i="110"/>
  <c r="AS110" i="110"/>
  <c r="AQ110" i="110" l="1"/>
  <c r="AW110" i="110"/>
  <c r="AV110" i="110"/>
  <c r="AU110" i="110"/>
  <c r="AR131" i="110"/>
  <c r="AY111" i="110" l="1"/>
  <c r="AP111" i="110"/>
  <c r="AT110" i="110"/>
  <c r="AR110" i="110" s="1"/>
  <c r="AO110" i="110" s="1"/>
  <c r="AS111" i="110" l="1"/>
  <c r="AW111" i="110"/>
  <c r="AQ111" i="110"/>
  <c r="AU111" i="110"/>
  <c r="AT111" i="110" s="1"/>
  <c r="AR111" i="110" s="1"/>
  <c r="AO111" i="110" s="1"/>
  <c r="AV111" i="110"/>
  <c r="AY112" i="110" l="1"/>
  <c r="AP112" i="110"/>
  <c r="AS112" i="110"/>
  <c r="AW112" i="110" l="1"/>
  <c r="AQ112" i="110"/>
  <c r="AU112" i="110"/>
  <c r="AV112" i="110"/>
  <c r="AP113" i="110" l="1"/>
  <c r="AY113" i="110"/>
  <c r="AT112" i="110"/>
  <c r="AR112" i="110" s="1"/>
  <c r="AO112" i="110" s="1"/>
  <c r="AS113" i="110" l="1"/>
  <c r="AW113" i="110"/>
  <c r="AQ113" i="110"/>
  <c r="AV113" i="110"/>
  <c r="AU113" i="110"/>
  <c r="AT113" i="110" s="1"/>
  <c r="AR113" i="110" s="1"/>
  <c r="AO113" i="110" s="1"/>
  <c r="AY114" i="110" l="1"/>
  <c r="AP114" i="110"/>
  <c r="AS114" i="110"/>
  <c r="AQ114" i="110" l="1"/>
  <c r="AW114" i="110"/>
  <c r="AU114" i="110"/>
  <c r="AV114" i="110"/>
  <c r="AY115" i="110" l="1"/>
  <c r="AP115" i="110"/>
  <c r="AT114" i="110"/>
  <c r="AR114" i="110" s="1"/>
  <c r="AO114" i="110" s="1"/>
  <c r="AW115" i="110" l="1"/>
  <c r="AQ115" i="110"/>
  <c r="AU115" i="110"/>
  <c r="AV115" i="110"/>
  <c r="AS115" i="110"/>
  <c r="AT115" i="110" l="1"/>
  <c r="AR115" i="110" s="1"/>
  <c r="AO115" i="110" s="1"/>
  <c r="AY116" i="110"/>
  <c r="AP116" i="110"/>
  <c r="AW116" i="110" l="1"/>
  <c r="AQ116" i="110"/>
  <c r="AU116" i="110"/>
  <c r="AV116" i="110"/>
  <c r="AS116" i="110"/>
  <c r="AY117" i="110" l="1"/>
  <c r="AP117" i="110"/>
  <c r="AT116" i="110"/>
  <c r="AR116" i="110" s="1"/>
  <c r="AO116" i="110" s="1"/>
  <c r="AS117" i="110" l="1"/>
  <c r="AW117" i="110"/>
  <c r="AQ117" i="110"/>
  <c r="AV117" i="110"/>
  <c r="AU117" i="110"/>
  <c r="AT117" i="110" s="1"/>
  <c r="AR117" i="110" s="1"/>
  <c r="AO117" i="110" s="1"/>
  <c r="AY118" i="110" l="1"/>
  <c r="AP118" i="110"/>
  <c r="AS118" i="110"/>
  <c r="AQ118" i="110" l="1"/>
  <c r="AW118" i="110"/>
  <c r="AU118" i="110"/>
  <c r="AV118" i="110"/>
  <c r="AY119" i="110" l="1"/>
  <c r="AP119" i="110"/>
  <c r="AT118" i="110"/>
  <c r="AR118" i="110" s="1"/>
  <c r="AO118" i="110" s="1"/>
  <c r="AW119" i="110" l="1"/>
  <c r="AQ119" i="110"/>
  <c r="AV119" i="110"/>
  <c r="AU119" i="110"/>
  <c r="AS119" i="110"/>
  <c r="AY120" i="110" l="1"/>
  <c r="AP120" i="110"/>
  <c r="AT119" i="110"/>
  <c r="AR119" i="110" s="1"/>
  <c r="AO119" i="110" s="1"/>
  <c r="AS120" i="110" l="1"/>
  <c r="AW120" i="110"/>
  <c r="AU120" i="110"/>
  <c r="AQ120" i="110"/>
  <c r="AV120" i="110"/>
  <c r="AT120" i="110" l="1"/>
  <c r="AR120" i="110" s="1"/>
  <c r="AO120" i="110" s="1"/>
  <c r="AY121" i="110"/>
  <c r="AP121" i="110"/>
  <c r="AW121" i="110" l="1"/>
  <c r="AQ121" i="110"/>
  <c r="AV121" i="110"/>
  <c r="AU121" i="110"/>
  <c r="AS121" i="110"/>
  <c r="AY122" i="110" l="1"/>
  <c r="AP122" i="110"/>
  <c r="AT121" i="110"/>
  <c r="AR121" i="110" s="1"/>
  <c r="AO121" i="110" s="1"/>
  <c r="AS122" i="110" l="1"/>
  <c r="AQ122" i="110"/>
  <c r="AW122" i="110"/>
  <c r="AU122" i="110"/>
  <c r="AT122" i="110" s="1"/>
  <c r="AR122" i="110" s="1"/>
  <c r="AO122" i="110" s="1"/>
  <c r="AV122" i="110"/>
  <c r="AY123" i="110" l="1"/>
  <c r="AP123" i="110"/>
  <c r="AS123" i="110"/>
  <c r="AW123" i="110" l="1"/>
  <c r="AQ123" i="110"/>
  <c r="AV123" i="110"/>
  <c r="AU123" i="110"/>
  <c r="AY124" i="110" l="1"/>
  <c r="AP124" i="110"/>
  <c r="AT123" i="110"/>
  <c r="AR123" i="110" s="1"/>
  <c r="AO123" i="110" s="1"/>
  <c r="AS124" i="110" l="1"/>
  <c r="AW124" i="110"/>
  <c r="AQ124" i="110"/>
  <c r="AU124" i="110"/>
  <c r="AT124" i="110" s="1"/>
  <c r="AR124" i="110" s="1"/>
  <c r="AO124" i="110" s="1"/>
  <c r="AV124" i="110"/>
  <c r="AY125" i="110" l="1"/>
  <c r="AP125" i="110"/>
  <c r="AS125" i="110"/>
  <c r="AW125" i="110" l="1"/>
  <c r="AQ125" i="110"/>
  <c r="AV125" i="110"/>
  <c r="AU125" i="110"/>
  <c r="AY126" i="110" l="1"/>
  <c r="AP126" i="110"/>
  <c r="AT125" i="110"/>
  <c r="AR125" i="110" s="1"/>
  <c r="AO125" i="110" s="1"/>
  <c r="AS126" i="110" l="1"/>
  <c r="AQ126" i="110"/>
  <c r="AW126" i="110"/>
  <c r="AU126" i="110"/>
  <c r="AT126" i="110" s="1"/>
  <c r="AR126" i="110" s="1"/>
  <c r="AO126" i="110" s="1"/>
  <c r="AV126" i="110"/>
  <c r="AY127" i="110" l="1"/>
  <c r="AP127" i="110"/>
  <c r="AS127" i="110"/>
  <c r="AW127" i="110" l="1"/>
  <c r="AQ127" i="110"/>
  <c r="AU127" i="110"/>
  <c r="AV127" i="110"/>
  <c r="AY128" i="110" l="1"/>
  <c r="AP128" i="110"/>
  <c r="AT127" i="110"/>
  <c r="AR127" i="110" s="1"/>
  <c r="AO127" i="110" s="1"/>
  <c r="AS128" i="110" l="1"/>
  <c r="AW128" i="110"/>
  <c r="AQ128" i="110"/>
  <c r="AU128" i="110"/>
  <c r="AV128" i="110"/>
  <c r="AY129" i="110" l="1"/>
  <c r="AP129" i="110"/>
  <c r="AT128" i="110"/>
  <c r="AR128" i="110" s="1"/>
  <c r="AO128" i="110" s="1"/>
  <c r="AP131" i="110" l="1"/>
  <c r="AW129" i="110"/>
  <c r="AV129" i="110"/>
  <c r="AQ129" i="110"/>
  <c r="AQ131" i="110" s="1"/>
  <c r="AU129" i="110"/>
  <c r="AT129" i="110" s="1"/>
  <c r="AR129" i="110" s="1"/>
  <c r="AO129" i="110" s="1"/>
  <c r="AO131" i="110" s="1"/>
  <c r="AS129" i="110"/>
</calcChain>
</file>

<file path=xl/sharedStrings.xml><?xml version="1.0" encoding="utf-8"?>
<sst xmlns="http://schemas.openxmlformats.org/spreadsheetml/2006/main" count="3177" uniqueCount="497">
  <si>
    <t>Дата предоставления кредита</t>
  </si>
  <si>
    <t>Срок кредита, мес.</t>
  </si>
  <si>
    <t>Ставка по кредиту (годовая)</t>
  </si>
  <si>
    <t>№№</t>
  </si>
  <si>
    <t>Дата платежа</t>
  </si>
  <si>
    <t>Сумма платежа</t>
  </si>
  <si>
    <t>Остаток основного долга</t>
  </si>
  <si>
    <t>Итого</t>
  </si>
  <si>
    <t xml:space="preserve">Размер первоначального взноса </t>
  </si>
  <si>
    <t>Сумма кредита</t>
  </si>
  <si>
    <t>Цена со скидкой</t>
  </si>
  <si>
    <t>Скидка (для б/п кредитов)</t>
  </si>
  <si>
    <t>В т.ч. проценты</t>
  </si>
  <si>
    <t>Сумма всех выплат</t>
  </si>
  <si>
    <t>Платеж с учетом страховки</t>
  </si>
  <si>
    <t>Кратность округления платежа</t>
  </si>
  <si>
    <t>Участие в программе страхования</t>
  </si>
  <si>
    <t>Ставка страхования</t>
  </si>
  <si>
    <t>Ежемесячный платеж по кредиту</t>
  </si>
  <si>
    <t>Результат расчета кредита</t>
  </si>
  <si>
    <t>да</t>
  </si>
  <si>
    <t xml:space="preserve">Размер платежа по услуге Уменьшаю платеж </t>
  </si>
  <si>
    <t>Легкий платеж по кредиту</t>
  </si>
  <si>
    <t xml:space="preserve">Максимальный срок по услуге Уменьшаю платеж </t>
  </si>
  <si>
    <t xml:space="preserve">Ставка по кредиту по услуге Уменьшаю платеж </t>
  </si>
  <si>
    <t>Дата получения кредита</t>
  </si>
  <si>
    <t>В т.ч.  Часть основного долга</t>
  </si>
  <si>
    <t>1. Параметры запроса кредита</t>
  </si>
  <si>
    <t>2. График ежемесячных платежей</t>
  </si>
  <si>
    <t>нет</t>
  </si>
  <si>
    <t>Суперставка</t>
  </si>
  <si>
    <t>Осталось платежей фактически</t>
  </si>
  <si>
    <t>Осталось платежей по графику</t>
  </si>
  <si>
    <t>Базовый</t>
  </si>
  <si>
    <t>Продукт</t>
  </si>
  <si>
    <t>Нет</t>
  </si>
  <si>
    <t>В т.ч. Комиссии+страховка</t>
  </si>
  <si>
    <t>Полная сумма комиссии</t>
  </si>
  <si>
    <t>Сумма процентов и комиссии</t>
  </si>
  <si>
    <t>Остаток комиссии, не вошедший в платеж</t>
  </si>
  <si>
    <t>Страховка</t>
  </si>
  <si>
    <t>Потребительский кредит/Кредит наличными/Персональная ссуда</t>
  </si>
  <si>
    <t>Переплата</t>
  </si>
  <si>
    <t>от суммы кредита наличными</t>
  </si>
  <si>
    <t>Общая сумма страховки</t>
  </si>
  <si>
    <t>Тариф за страховку, ежем.</t>
  </si>
  <si>
    <t>Запрошенная сумма(сумма кредита наличными)</t>
  </si>
  <si>
    <t>Да</t>
  </si>
  <si>
    <t>Гарантированная ставка</t>
  </si>
  <si>
    <t>Комиссия за Гарантированную ставку</t>
  </si>
  <si>
    <t>Возврат по Гарантированной ставке составит</t>
  </si>
  <si>
    <t>Лайт</t>
  </si>
  <si>
    <t>список ставок по кредиту</t>
  </si>
  <si>
    <t>Все виды Рефинансирования</t>
  </si>
  <si>
    <t>Правило</t>
  </si>
  <si>
    <t>Возможные даты для переноса</t>
  </si>
  <si>
    <t xml:space="preserve"> </t>
  </si>
  <si>
    <t>! Не менять этот блок</t>
  </si>
  <si>
    <t>Зеленый мир</t>
  </si>
  <si>
    <t>Дата оформления договора и первой операции</t>
  </si>
  <si>
    <t>Образовательный</t>
  </si>
  <si>
    <t>СуперЛето</t>
  </si>
  <si>
    <t>ЛетоДеньги (29,9)</t>
  </si>
  <si>
    <t>СуперЛето (29,9)</t>
  </si>
  <si>
    <t>Наше Лето</t>
  </si>
  <si>
    <t>Шаг навстречу</t>
  </si>
  <si>
    <t>Срок транша</t>
  </si>
  <si>
    <t>ПСК</t>
  </si>
  <si>
    <t>Образование.Кардиф</t>
  </si>
  <si>
    <t>Забота</t>
  </si>
  <si>
    <t>Забота плюс</t>
  </si>
  <si>
    <t>Активный</t>
  </si>
  <si>
    <t>Зарплатный</t>
  </si>
  <si>
    <t>Пенсионный</t>
  </si>
  <si>
    <t>Зарплатный пенсионер</t>
  </si>
  <si>
    <t>Проценты за весь срок кредита, руб.</t>
  </si>
  <si>
    <t>Услуга "Гарантированная ставка"</t>
  </si>
  <si>
    <t>Возврат, % от суммы кредита наличными</t>
  </si>
  <si>
    <t>Сумма всех выплат, руб.</t>
  </si>
  <si>
    <t>Для комиссии за ГС  в % (первый столбец)</t>
  </si>
  <si>
    <t>Для комиссии за ГС  в % (второй столбец)</t>
  </si>
  <si>
    <t>При обращении</t>
  </si>
  <si>
    <t>Разница значений</t>
  </si>
  <si>
    <t>Стоимость страхования (ежемесячно)</t>
  </si>
  <si>
    <t>Расходы по кредиту в год</t>
  </si>
  <si>
    <t>=</t>
  </si>
  <si>
    <t>Расходы по кредиту за весь срок</t>
  </si>
  <si>
    <t>Срок кредита (лет)</t>
  </si>
  <si>
    <t>.</t>
  </si>
  <si>
    <t>Х</t>
  </si>
  <si>
    <t>Расходы по кредиту в месяц</t>
  </si>
  <si>
    <t>12 мес.</t>
  </si>
  <si>
    <t>Расходы по кредиту в день</t>
  </si>
  <si>
    <t>30 дней</t>
  </si>
  <si>
    <t>Формулы для расчета расходов Клиента по кредиту в год / месяц / день</t>
  </si>
  <si>
    <t>числовые значения указаны в разделе "3. Используйте сумму расходов по кредиту..." (строки 33-37)</t>
  </si>
  <si>
    <t>Сумма кредита от</t>
  </si>
  <si>
    <t>Сумма кредита до (вкл-но)</t>
  </si>
  <si>
    <t>Коэфф. для страховой суммы</t>
  </si>
  <si>
    <t>20000  </t>
  </si>
  <si>
    <t>Тариф по страхованию, % от страховой суммы в месяц</t>
  </si>
  <si>
    <t>300001 для макси</t>
  </si>
  <si>
    <t>Подключить услугу?</t>
  </si>
  <si>
    <t>Вездедоход</t>
  </si>
  <si>
    <t>Пакет услуг "Все под контролем"</t>
  </si>
  <si>
    <t>Комиссия за услугу</t>
  </si>
  <si>
    <t xml:space="preserve">Пакет 1 </t>
  </si>
  <si>
    <t xml:space="preserve">Пакет 2 </t>
  </si>
  <si>
    <t>Пакет 3</t>
  </si>
  <si>
    <t>Пакет 4</t>
  </si>
  <si>
    <t>Пакет 5</t>
  </si>
  <si>
    <t>Максимум</t>
  </si>
  <si>
    <t>Максимум_страх.сумма</t>
  </si>
  <si>
    <t>Лайт_страх. сумма</t>
  </si>
  <si>
    <t>Уверенность</t>
  </si>
  <si>
    <t>Уверенность плюс</t>
  </si>
  <si>
    <t>Уверенность_страх. сумма</t>
  </si>
  <si>
    <t>Уверенность плюс_страх. сумма</t>
  </si>
  <si>
    <t>Гарантия стандарт</t>
  </si>
  <si>
    <t>Гарантия плюс</t>
  </si>
  <si>
    <t>Гарантия пакет</t>
  </si>
  <si>
    <t>Гарантия плюс_страх. сумма</t>
  </si>
  <si>
    <t>Гарантия стандарт_страх. сумма</t>
  </si>
  <si>
    <t>200001  </t>
  </si>
  <si>
    <t>600001  </t>
  </si>
  <si>
    <t>Коэфф. для страховой премии</t>
  </si>
  <si>
    <t>Пакет</t>
  </si>
  <si>
    <t>Базовый с оборотом &gt;=10 тыс.руб.</t>
  </si>
  <si>
    <t>КРЕДИТ "СНИЖАЕМ СТАВКУ"</t>
  </si>
  <si>
    <t>Гарантия стандарт/пакет</t>
  </si>
  <si>
    <t xml:space="preserve">Не предоставляется </t>
  </si>
  <si>
    <t>Акция "Особые условия"</t>
  </si>
  <si>
    <t>Не предоставляется</t>
  </si>
  <si>
    <t>Услуга "Уменьшаю платеж"</t>
  </si>
  <si>
    <t>Страховая Сумма от</t>
  </si>
  <si>
    <t>Страховая Сумма до (вкл-но)</t>
  </si>
  <si>
    <t>Кредитный лимит, руб.</t>
  </si>
  <si>
    <t>Вид первой операции</t>
  </si>
  <si>
    <t>Снятие наличных / Перевод</t>
  </si>
  <si>
    <t>Сумма первой операции, руб.</t>
  </si>
  <si>
    <t>% ставка</t>
  </si>
  <si>
    <t>Комиссия за обслуживание карты, руб.</t>
  </si>
  <si>
    <t>Услуга "СМС-информирование"</t>
  </si>
  <si>
    <t>Дата заключения договора:</t>
  </si>
  <si>
    <t>Базовый размер платежа, руб.</t>
  </si>
  <si>
    <t>Рекомендуемый платеж</t>
  </si>
  <si>
    <t>Базовый график платежей:</t>
  </si>
  <si>
    <t>Рекомендуемый график платежей:</t>
  </si>
  <si>
    <t>№</t>
  </si>
  <si>
    <t>Дата начала платежного периода</t>
  </si>
  <si>
    <t>Сумма основного долга, руб.</t>
  </si>
  <si>
    <t>Минимальный ежемесячный платеж, руб.</t>
  </si>
  <si>
    <t>Рекомендуемый ежемесячный платеж, руб.</t>
  </si>
  <si>
    <t>ОД</t>
  </si>
  <si>
    <t>%%</t>
  </si>
  <si>
    <t>Комиссия за карту и СМС</t>
  </si>
  <si>
    <t>Совокупный платеж</t>
  </si>
  <si>
    <t>Сумма всех выплат по кредиту, руб.</t>
  </si>
  <si>
    <t>Пакет "Почетный клиент"</t>
  </si>
  <si>
    <t>Базовый (статус Активный)</t>
  </si>
  <si>
    <t>Полная стоимость кредита</t>
  </si>
  <si>
    <t>Сумма переплаты</t>
  </si>
  <si>
    <r>
      <rPr>
        <b/>
        <sz val="9"/>
        <rFont val="Century Gothic"/>
        <family val="1"/>
      </rPr>
      <t>ДЛЯ КОНСУЛЬТИРОВАНИЯ</t>
    </r>
    <r>
      <rPr>
        <sz val="9"/>
        <rFont val="Century Gothic"/>
        <family val="1"/>
      </rPr>
      <t xml:space="preserve"> - Стоимость страховки за 1 месяц, руб.</t>
    </r>
  </si>
  <si>
    <r>
      <rPr>
        <b/>
        <sz val="9"/>
        <rFont val="Century Gothic"/>
        <family val="1"/>
      </rPr>
      <t>ДЛЯ КОНСУЛЬТИРОВАНИЯ</t>
    </r>
    <r>
      <rPr>
        <sz val="9"/>
        <rFont val="Century Gothic"/>
        <family val="1"/>
      </rPr>
      <t xml:space="preserve"> - Стоимость страховки за 1 день, руб.</t>
    </r>
  </si>
  <si>
    <t>ПАРАМЕТРЫ</t>
  </si>
  <si>
    <t>ЗНАЧЕНИЯ</t>
  </si>
  <si>
    <t>РАЗНИЦА ЗНАЧЕНИЙ</t>
  </si>
  <si>
    <t>ПОТРЕБИТЕЛЬСКИЙ КРЕДИТ ЛИНЕЙКА "ПРАЙМ"</t>
  </si>
  <si>
    <t xml:space="preserve">                      ПАКЕТ УСЛУГ
                    "ВСЕ ПОД КОНТРОЛЕМ"</t>
  </si>
  <si>
    <t xml:space="preserve">                   ПАКЕТ ПРИВИЛЕГИЙ
                   "ПОЧЕТНЫЙ КЛИЕНТ"</t>
  </si>
  <si>
    <t>Наличие пакета "ПОЧЕТНЫЙ КЛИЕНТ"</t>
  </si>
  <si>
    <t>Льготная % ставка</t>
  </si>
  <si>
    <r>
      <t xml:space="preserve">Базовая ставка </t>
    </r>
    <r>
      <rPr>
        <sz val="9"/>
        <rFont val="Century Gothic"/>
        <family val="1"/>
      </rPr>
      <t>по кредиту, % годовых</t>
    </r>
  </si>
  <si>
    <r>
      <t xml:space="preserve">Тарифный план </t>
    </r>
    <r>
      <rPr>
        <sz val="9"/>
        <rFont val="Century Gothic"/>
        <family val="1"/>
      </rPr>
      <t xml:space="preserve">по Сберегательному счету </t>
    </r>
  </si>
  <si>
    <t>СРАВНИ ВЫГОДУ ПО КРЕДИТУ С "ПОЧЕТНЫМ КЛИЕНТОМ"</t>
  </si>
  <si>
    <r>
      <rPr>
        <b/>
        <sz val="20"/>
        <color theme="0"/>
        <rFont val="Century Gothic"/>
        <family val="1"/>
      </rPr>
      <t xml:space="preserve">РАСЧЕТ РАСХОДОВ ПО КРЕДИТУ В ДЕНЬ </t>
    </r>
    <r>
      <rPr>
        <b/>
        <sz val="10"/>
        <color theme="0"/>
        <rFont val="Century Gothic"/>
        <family val="1"/>
      </rPr>
      <t xml:space="preserve">
</t>
    </r>
    <r>
      <rPr>
        <sz val="10"/>
        <color theme="0"/>
        <rFont val="Century Gothic"/>
        <family val="1"/>
      </rPr>
      <t>Используй данную информацию для отработки возражения о высокой % ставке / сумме % . Ссравнени % по кредиту в день с чашкой кафе / стоимостью проезда и т.п.)</t>
    </r>
  </si>
  <si>
    <r>
      <t xml:space="preserve">Расходы по кредиту </t>
    </r>
    <r>
      <rPr>
        <b/>
        <sz val="12"/>
        <rFont val="Century Gothic"/>
        <family val="1"/>
      </rPr>
      <t>В ДЕНЬ</t>
    </r>
    <r>
      <rPr>
        <sz val="9"/>
        <rFont val="Century Gothic"/>
        <family val="1"/>
      </rPr>
      <t>, руб.</t>
    </r>
  </si>
  <si>
    <r>
      <t xml:space="preserve">Расходы по кредиту </t>
    </r>
    <r>
      <rPr>
        <b/>
        <sz val="12"/>
        <rFont val="Century Gothic"/>
        <family val="1"/>
      </rPr>
      <t>В МЕСЯЦ</t>
    </r>
    <r>
      <rPr>
        <sz val="9"/>
        <rFont val="Century Gothic"/>
        <family val="1"/>
      </rPr>
      <t>, руб.</t>
    </r>
  </si>
  <si>
    <t>НЕТ</t>
  </si>
  <si>
    <t>ДА</t>
  </si>
  <si>
    <t>Числовое выражение, руб.</t>
  </si>
  <si>
    <r>
      <rPr>
        <b/>
        <sz val="9"/>
        <rFont val="Century Gothic"/>
        <family val="1"/>
      </rPr>
      <t>%</t>
    </r>
    <r>
      <rPr>
        <sz val="9"/>
        <rFont val="Century Gothic"/>
        <family val="1"/>
      </rPr>
      <t xml:space="preserve"> от суммы кредита</t>
    </r>
  </si>
  <si>
    <t>Стоимость:</t>
  </si>
  <si>
    <t>Минимальный пакет для снижения % ставки</t>
  </si>
  <si>
    <t>Стоимость пакета, руб / месяц.</t>
  </si>
  <si>
    <t>Стоимость Финансовой защиты (страховая премия), руб.</t>
  </si>
  <si>
    <r>
      <t xml:space="preserve">                          Расходы по кредиту </t>
    </r>
    <r>
      <rPr>
        <b/>
        <sz val="11"/>
        <rFont val="Century Gothic"/>
        <family val="1"/>
      </rPr>
      <t>В ГОД</t>
    </r>
  </si>
  <si>
    <t>ДАТА ПЛАТЕЖА</t>
  </si>
  <si>
    <t>% СТАВКА ПО КРЕДИТУ</t>
  </si>
  <si>
    <t>ЕЖЕМЕСЯЧНЫЙ ПЛАТЕЖ + "ПОЧЕТНЫЙ КЛИЕНТ"</t>
  </si>
  <si>
    <t>ЕЖЕМЕСЯЧНЫЙ ПЛАТЕЖ БЕЗ ПАКЕТА  "ПК"</t>
  </si>
  <si>
    <t>ПРОЦЕНТЫ ПО КРЕДИТУ</t>
  </si>
  <si>
    <t>ПОГАШЕНИЕ ОСНОВНОГО ДОЛГА</t>
  </si>
  <si>
    <t>ОСТАТОК ОСНОВНОГО ДОЛГА</t>
  </si>
  <si>
    <t>ЕЖЕМЕСЯЧНЫЙ ПЛАТЕЖ</t>
  </si>
  <si>
    <t>СТОИМОСТЬ ПАКЕТА "ПОЧЕТНЫЙ КЛИЕНТ" (ежемесячная оплата)</t>
  </si>
  <si>
    <r>
      <rPr>
        <b/>
        <sz val="10"/>
        <color rgb="FFC00149"/>
        <rFont val="Century Gothic"/>
        <family val="1"/>
      </rPr>
      <t>ВАЖНО</t>
    </r>
    <r>
      <rPr>
        <sz val="10"/>
        <color rgb="FFAC2653"/>
        <rFont val="Century Gothic"/>
        <family val="1"/>
      </rPr>
      <t>:</t>
    </r>
    <r>
      <rPr>
        <sz val="10"/>
        <color rgb="FF002060"/>
        <rFont val="Century Gothic"/>
        <family val="1"/>
      </rPr>
      <t xml:space="preserve"> для расчета условий заполни параметры кредита в поле "значения".</t>
    </r>
  </si>
  <si>
    <r>
      <rPr>
        <b/>
        <sz val="10"/>
        <color rgb="FFC00149"/>
        <rFont val="Century Gothic"/>
        <family val="1"/>
      </rPr>
      <t>ВАЖНО:</t>
    </r>
    <r>
      <rPr>
        <sz val="10"/>
        <color rgb="FF002060"/>
        <rFont val="Century Gothic"/>
        <family val="1"/>
      </rPr>
      <t xml:space="preserve"> для расчета условий заполни параметры кредита в поле "значения".</t>
    </r>
  </si>
  <si>
    <r>
      <rPr>
        <b/>
        <sz val="9"/>
        <rFont val="Century Gothic"/>
        <family val="1"/>
      </rPr>
      <t>Срок</t>
    </r>
    <r>
      <rPr>
        <sz val="9"/>
        <rFont val="Century Gothic"/>
        <family val="1"/>
      </rPr>
      <t xml:space="preserve"> кредита, мес.</t>
    </r>
  </si>
  <si>
    <r>
      <rPr>
        <b/>
        <sz val="9"/>
        <rFont val="Century Gothic"/>
        <family val="1"/>
      </rPr>
      <t>Дата</t>
    </r>
    <r>
      <rPr>
        <sz val="9"/>
        <rFont val="Century Gothic"/>
        <family val="1"/>
      </rPr>
      <t xml:space="preserve"> выдачи кредита</t>
    </r>
  </si>
  <si>
    <r>
      <rPr>
        <b/>
        <sz val="9"/>
        <rFont val="Century Gothic"/>
        <family val="1"/>
      </rPr>
      <t>Сумма</t>
    </r>
    <r>
      <rPr>
        <sz val="9"/>
        <rFont val="Century Gothic"/>
        <family val="1"/>
      </rPr>
      <t xml:space="preserve"> кредита наличными (руб).</t>
    </r>
  </si>
  <si>
    <r>
      <t xml:space="preserve">Базовая % </t>
    </r>
    <r>
      <rPr>
        <sz val="9"/>
        <rFont val="Century Gothic"/>
        <family val="1"/>
      </rPr>
      <t>ставка по кредиту</t>
    </r>
  </si>
  <si>
    <r>
      <t xml:space="preserve">Тарифный план </t>
    </r>
    <r>
      <rPr>
        <sz val="9"/>
        <rFont val="Century Gothic"/>
        <family val="1"/>
      </rPr>
      <t>по</t>
    </r>
    <r>
      <rPr>
        <b/>
        <sz val="9"/>
        <rFont val="Century Gothic"/>
        <family val="1"/>
      </rPr>
      <t xml:space="preserve"> </t>
    </r>
    <r>
      <rPr>
        <sz val="9"/>
        <rFont val="Century Gothic"/>
        <family val="1"/>
      </rPr>
      <t>СС</t>
    </r>
  </si>
  <si>
    <t>Льготная % ставка по кредиту</t>
  </si>
  <si>
    <t xml:space="preserve">Финансовая защита (программа страхования) </t>
  </si>
  <si>
    <t xml:space="preserve">                     ПАКЕТ УСЛУГ 
                "ВСЕ ПОД КОНТРОЛЕМ"</t>
  </si>
  <si>
    <r>
      <t xml:space="preserve">Ежемесячный платеж </t>
    </r>
    <r>
      <rPr>
        <b/>
        <sz val="9"/>
        <rFont val="Century Gothic"/>
        <family val="1"/>
      </rPr>
      <t>в первый год</t>
    </r>
    <r>
      <rPr>
        <sz val="9"/>
        <rFont val="Century Gothic"/>
        <family val="1"/>
      </rPr>
      <t>, руб.</t>
    </r>
  </si>
  <si>
    <r>
      <rPr>
        <sz val="9"/>
        <rFont val="Century Gothic"/>
        <family val="1"/>
      </rPr>
      <t xml:space="preserve">Ежемесячный платеж </t>
    </r>
    <r>
      <rPr>
        <b/>
        <sz val="9"/>
        <rFont val="Century Gothic"/>
        <family val="1"/>
      </rPr>
      <t>в последний год, руб.</t>
    </r>
  </si>
  <si>
    <t>УСЛОВИЯ ПО КРЕДИТУ:</t>
  </si>
  <si>
    <r>
      <t xml:space="preserve">Итоговая сумма расходов Клиента, руб.
</t>
    </r>
    <r>
      <rPr>
        <b/>
        <i/>
        <sz val="9"/>
        <rFont val="Arial"/>
        <family val="2"/>
        <charset val="204"/>
      </rPr>
      <t>(проценты по кредиту + пакет услуг "Все под контролем")</t>
    </r>
  </si>
  <si>
    <t>Числовое выражение в, руб.</t>
  </si>
  <si>
    <t>% от суммы кредита</t>
  </si>
  <si>
    <r>
      <t xml:space="preserve">Расходы по кредиту </t>
    </r>
    <r>
      <rPr>
        <b/>
        <sz val="12"/>
        <rFont val="Century Gothic"/>
        <family val="1"/>
      </rPr>
      <t>в месяц</t>
    </r>
    <r>
      <rPr>
        <sz val="9"/>
        <rFont val="Century Gothic"/>
        <family val="1"/>
      </rPr>
      <t>, руб.</t>
    </r>
  </si>
  <si>
    <r>
      <t xml:space="preserve">Расходы по кредиту </t>
    </r>
    <r>
      <rPr>
        <b/>
        <sz val="14"/>
        <rFont val="Century Gothic"/>
        <family val="1"/>
      </rPr>
      <t>в день</t>
    </r>
    <r>
      <rPr>
        <sz val="9"/>
        <rFont val="Century Gothic"/>
        <family val="1"/>
      </rPr>
      <t>, руб.</t>
    </r>
  </si>
  <si>
    <t>ВАЖНО!</t>
  </si>
  <si>
    <t>ДАТА 
ПЛАТЕЖА</t>
  </si>
  <si>
    <t>СУММА 
ПЛАТЕЖА</t>
  </si>
  <si>
    <t>ПРОЦЕНТЫ 
ПО КРЕДИТУ</t>
  </si>
  <si>
    <t xml:space="preserve">                          ПАКЕТ УСЛУГ
                           "ВСЕ ПОД КОНТРОЛЕМ"</t>
  </si>
  <si>
    <r>
      <t xml:space="preserve">                           Расходы по кредиту </t>
    </r>
    <r>
      <rPr>
        <b/>
        <sz val="18"/>
        <rFont val="Century Gothic"/>
        <family val="1"/>
      </rPr>
      <t>в год</t>
    </r>
  </si>
  <si>
    <t xml:space="preserve">                           УСЛУГА
                      "ГАРАНТИРОВАННАЯ СТАВКА"</t>
  </si>
  <si>
    <t>Стоимость подключения "ГС", руб.</t>
  </si>
  <si>
    <t>Возврат , руб.</t>
  </si>
  <si>
    <t>% ставка при подключении "ГС"</t>
  </si>
  <si>
    <t>Наличие услуги "Гарантированная ставка"</t>
  </si>
  <si>
    <t>ПОТРЕБИТЕЛЬСКИЙ КРЕДИТ (БАЗОВАЯ ЛИНЕЙКА)</t>
  </si>
  <si>
    <t xml:space="preserve">ПАРАМЕТРЫ </t>
  </si>
  <si>
    <t>ДАТА</t>
  </si>
  <si>
    <t>Дата обращения (сегодня)</t>
  </si>
  <si>
    <t xml:space="preserve">Дата ближайшего планового платежа </t>
  </si>
  <si>
    <t xml:space="preserve">Укажи дату ежемесячного платежа </t>
  </si>
  <si>
    <t>Возможный интервал для переноса даты                                           с</t>
  </si>
  <si>
    <t xml:space="preserve">                                                                                                                             по </t>
  </si>
  <si>
    <t xml:space="preserve">
КРЕДИТ НА ОБРАЗОВАНИЕ 	
"ЗНАНИЕ - СИЛА"
</t>
  </si>
  <si>
    <t>Название кредита</t>
  </si>
  <si>
    <r>
      <rPr>
        <sz val="10"/>
        <color rgb="FFC00149"/>
        <rFont val="Century Gothic"/>
        <family val="1"/>
      </rPr>
      <t xml:space="preserve">ВАЖНО: </t>
    </r>
    <r>
      <rPr>
        <sz val="10"/>
        <rFont val="Century Gothic"/>
        <family val="1"/>
      </rPr>
      <t>для расчета условий заполни параметры кредита в поле "значения".</t>
    </r>
  </si>
  <si>
    <r>
      <rPr>
        <b/>
        <sz val="9"/>
        <color theme="1"/>
        <rFont val="Century Gothic"/>
        <family val="1"/>
      </rPr>
      <t>Сумма</t>
    </r>
    <r>
      <rPr>
        <sz val="9"/>
        <color theme="1"/>
        <rFont val="Century Gothic"/>
        <family val="1"/>
      </rPr>
      <t xml:space="preserve"> транша по кредиту </t>
    </r>
  </si>
  <si>
    <r>
      <rPr>
        <b/>
        <sz val="9"/>
        <color theme="1"/>
        <rFont val="Century Gothic"/>
        <family val="1"/>
      </rPr>
      <t>Количество</t>
    </r>
    <r>
      <rPr>
        <sz val="9"/>
        <color theme="1"/>
        <rFont val="Century Gothic"/>
        <family val="1"/>
      </rPr>
      <t xml:space="preserve"> траншей</t>
    </r>
  </si>
  <si>
    <r>
      <rPr>
        <b/>
        <sz val="9"/>
        <color theme="1"/>
        <rFont val="Century Gothic"/>
        <family val="1"/>
      </rPr>
      <t xml:space="preserve">Финансовая защита </t>
    </r>
    <r>
      <rPr>
        <sz val="9"/>
        <color theme="1"/>
        <rFont val="Century Gothic"/>
        <family val="1"/>
      </rPr>
      <t>(программа страхования)</t>
    </r>
  </si>
  <si>
    <r>
      <rPr>
        <b/>
        <sz val="9"/>
        <color theme="1"/>
        <rFont val="Century Gothic"/>
        <family val="1"/>
      </rPr>
      <t>Дата выдачи</t>
    </r>
    <r>
      <rPr>
        <sz val="9"/>
        <color theme="1"/>
        <rFont val="Century Gothic"/>
        <family val="1"/>
      </rPr>
      <t xml:space="preserve"> кредита</t>
    </r>
  </si>
  <si>
    <r>
      <rPr>
        <b/>
        <sz val="9"/>
        <color theme="1"/>
        <rFont val="Century Gothic"/>
        <family val="1"/>
      </rPr>
      <t xml:space="preserve">Срок кредита </t>
    </r>
    <r>
      <rPr>
        <sz val="9"/>
        <color theme="1"/>
        <rFont val="Century Gothic"/>
        <family val="1"/>
      </rPr>
      <t>для аннуитентного погашения, мес.</t>
    </r>
  </si>
  <si>
    <t>Сумма кредита для расчета ПДП</t>
  </si>
  <si>
    <r>
      <rPr>
        <b/>
        <sz val="9"/>
        <color theme="1"/>
        <rFont val="Century Gothic"/>
        <family val="1"/>
      </rPr>
      <t>Срок кредита</t>
    </r>
    <r>
      <rPr>
        <sz val="9"/>
        <color theme="1"/>
        <rFont val="Century Gothic"/>
        <family val="1"/>
      </rPr>
      <t>, мес.</t>
    </r>
  </si>
  <si>
    <r>
      <rPr>
        <b/>
        <sz val="9"/>
        <color theme="1"/>
        <rFont val="Century Gothic"/>
        <family val="1"/>
      </rPr>
      <t>Ежемесячный платеж</t>
    </r>
    <r>
      <rPr>
        <sz val="9"/>
        <color theme="1"/>
        <rFont val="Century Gothic"/>
        <family val="1"/>
      </rPr>
      <t xml:space="preserve"> с учетом финансовой защиты</t>
    </r>
  </si>
  <si>
    <t xml:space="preserve">ДАТА ПЛАТЕЖА </t>
  </si>
  <si>
    <t xml:space="preserve">ЕЖЕМЕСЯЧНЫЙ ПЛАТЕЖ </t>
  </si>
  <si>
    <t xml:space="preserve">КОМИССИИ + СТРАХОВАНИЕ </t>
  </si>
  <si>
    <t>ОСТАТОК ПЛАТЕЖЕЙ ПО КРЕДИТУ</t>
  </si>
  <si>
    <t>ГРАФИК ПЛАТЕЖЕЙ</t>
  </si>
  <si>
    <t xml:space="preserve">           РАСЧЕТ ДАТЫ ПЛАТЕЖА ДЛЯ ПЕРЕНОСА</t>
  </si>
  <si>
    <t xml:space="preserve">Кредитная карта </t>
  </si>
  <si>
    <t xml:space="preserve">                 Сумма первого МЕП по КК</t>
  </si>
  <si>
    <r>
      <t xml:space="preserve">Предложение лучшим Клиентам 
</t>
    </r>
    <r>
      <rPr>
        <sz val="9"/>
        <color rgb="FFC00149"/>
        <rFont val="Century Gothic"/>
        <family val="1"/>
      </rPr>
      <t>(бесплатное оформление)</t>
    </r>
  </si>
  <si>
    <r>
      <rPr>
        <b/>
        <sz val="9"/>
        <color theme="1"/>
        <rFont val="Century Gothic"/>
        <family val="1"/>
      </rPr>
      <t xml:space="preserve">Сумма оплаты </t>
    </r>
    <r>
      <rPr>
        <sz val="9"/>
        <color theme="1"/>
        <rFont val="Century Gothic"/>
        <family val="1"/>
      </rPr>
      <t xml:space="preserve">покупки по карте </t>
    </r>
  </si>
  <si>
    <r>
      <rPr>
        <b/>
        <sz val="9"/>
        <color theme="1"/>
        <rFont val="Century Gothic"/>
        <family val="1"/>
      </rPr>
      <t>Сумма снятия</t>
    </r>
    <r>
      <rPr>
        <sz val="9"/>
        <color theme="1"/>
        <rFont val="Century Gothic"/>
        <family val="1"/>
      </rPr>
      <t xml:space="preserve"> наличных с карты </t>
    </r>
  </si>
  <si>
    <t>Первая расчетная дата (для внесения платежа)</t>
  </si>
  <si>
    <t>ВОЗВРАТ ПОТРАЧЕННОЙ СУММЫ</t>
  </si>
  <si>
    <t>Погашение основного долга (за покупки по карте)</t>
  </si>
  <si>
    <t>Погашение основного долга (за снятие д/с с карты)</t>
  </si>
  <si>
    <t xml:space="preserve">Комиссия за оформление карты </t>
  </si>
  <si>
    <t xml:space="preserve">Комиссия за снятие д/с с карты </t>
  </si>
  <si>
    <t>Погашение % за первый месяц</t>
  </si>
  <si>
    <t xml:space="preserve">СОСТАВ ЕЖЕМЕСЯЧНОГО ПЛАТЕЖА ПО КАРТЕ </t>
  </si>
  <si>
    <t xml:space="preserve">Выбери карту </t>
  </si>
  <si>
    <t xml:space="preserve">Выбери да / нет </t>
  </si>
  <si>
    <t>Напиши сумму</t>
  </si>
  <si>
    <t xml:space="preserve">Напиши дату </t>
  </si>
  <si>
    <t xml:space="preserve">Напиши сумму </t>
  </si>
  <si>
    <r>
      <rPr>
        <b/>
        <sz val="10"/>
        <color theme="0"/>
        <rFont val="Century Gothic"/>
        <family val="1"/>
      </rPr>
      <t>ВАЖНО!</t>
    </r>
    <r>
      <rPr>
        <sz val="10"/>
        <color theme="0"/>
        <rFont val="Century Gothic"/>
        <family val="1"/>
      </rPr>
      <t xml:space="preserve">
Данный пример расчета составлен из ситуации, в которой Клиент совершает </t>
    </r>
    <r>
      <rPr>
        <b/>
        <sz val="10"/>
        <color theme="0"/>
        <rFont val="Century Gothic"/>
        <family val="1"/>
      </rPr>
      <t>только одну или две</t>
    </r>
    <r>
      <rPr>
        <sz val="10"/>
        <color theme="0"/>
        <rFont val="Century Gothic"/>
        <family val="1"/>
      </rPr>
      <t xml:space="preserve"> расходные операции (оплата или снятие д/с) в день заключения договора и не гасит задолженность до первой расчетной даты. Количество дней в году принято равным 365. Расчет является примером, конкретное значение первого платежа будет зависеть от использование карты конкретным Клиентом.</t>
    </r>
  </si>
  <si>
    <r>
      <rPr>
        <b/>
        <sz val="9"/>
        <rFont val="Century Gothic"/>
        <family val="1"/>
      </rPr>
      <t xml:space="preserve">Месяц активации </t>
    </r>
    <r>
      <rPr>
        <sz val="9"/>
        <rFont val="Century Gothic"/>
        <family val="1"/>
      </rPr>
      <t>льготного периода со ставкой 0%</t>
    </r>
  </si>
  <si>
    <t>выбери "Да" или "нет"</t>
  </si>
  <si>
    <r>
      <rPr>
        <b/>
        <sz val="9"/>
        <rFont val="Century Gothic"/>
        <family val="1"/>
      </rPr>
      <t>Тарифный план</t>
    </r>
    <r>
      <rPr>
        <sz val="9"/>
        <rFont val="Century Gothic"/>
        <family val="1"/>
      </rPr>
      <t xml:space="preserve"> по Сберегательному счету</t>
    </r>
  </si>
  <si>
    <r>
      <rPr>
        <b/>
        <sz val="9"/>
        <rFont val="Century Gothic"/>
        <family val="1"/>
      </rPr>
      <t>Базовая ставка</t>
    </r>
    <r>
      <rPr>
        <sz val="9"/>
        <rFont val="Century Gothic"/>
        <family val="1"/>
      </rPr>
      <t xml:space="preserve"> по кредиту, % годовых</t>
    </r>
  </si>
  <si>
    <r>
      <rPr>
        <b/>
        <sz val="9"/>
        <color theme="0"/>
        <rFont val="Century Gothic"/>
        <family val="1"/>
      </rPr>
      <t xml:space="preserve">ВАЖНО! </t>
    </r>
    <r>
      <rPr>
        <sz val="9"/>
        <color theme="0"/>
        <rFont val="Century Gothic"/>
        <family val="1"/>
      </rPr>
      <t>Для активации акции "Ноль сомнений" необходимо наличие действующего договора Финансовой защиты.</t>
    </r>
  </si>
  <si>
    <r>
      <rPr>
        <b/>
        <sz val="9"/>
        <rFont val="Century Gothic"/>
        <family val="1"/>
      </rPr>
      <t>Ежемесячный платеж</t>
    </r>
    <r>
      <rPr>
        <sz val="9"/>
        <rFont val="Century Gothic"/>
        <family val="1"/>
      </rPr>
      <t xml:space="preserve"> при активации льготного периода</t>
    </r>
  </si>
  <si>
    <r>
      <rPr>
        <b/>
        <sz val="9"/>
        <rFont val="Century Gothic"/>
        <family val="1"/>
      </rPr>
      <t>Стоимость Финансовой защиты</t>
    </r>
    <r>
      <rPr>
        <sz val="9"/>
        <rFont val="Century Gothic"/>
        <family val="1"/>
      </rPr>
      <t>, руб.</t>
    </r>
  </si>
  <si>
    <r>
      <rPr>
        <b/>
        <sz val="9"/>
        <rFont val="Century Gothic"/>
        <family val="1"/>
      </rPr>
      <t xml:space="preserve">Финансовая защита </t>
    </r>
    <r>
      <rPr>
        <sz val="9"/>
        <rFont val="Century Gothic"/>
        <family val="1"/>
      </rPr>
      <t xml:space="preserve">(программа страхования) </t>
    </r>
  </si>
  <si>
    <r>
      <rPr>
        <b/>
        <sz val="9"/>
        <rFont val="Century Gothic"/>
        <family val="1"/>
      </rPr>
      <t>ДЛЯ КОНСУЛЬТИРОВАНИЯ</t>
    </r>
    <r>
      <rPr>
        <sz val="9"/>
        <rFont val="Century Gothic"/>
        <family val="1"/>
      </rPr>
      <t xml:space="preserve"> - Стоимость страховки </t>
    </r>
    <r>
      <rPr>
        <b/>
        <sz val="11"/>
        <rFont val="Century Gothic"/>
        <family val="1"/>
      </rPr>
      <t>за 1 месяц</t>
    </r>
    <r>
      <rPr>
        <sz val="9"/>
        <rFont val="Century Gothic"/>
        <family val="1"/>
      </rPr>
      <t>, руб.</t>
    </r>
  </si>
  <si>
    <r>
      <rPr>
        <b/>
        <sz val="9"/>
        <rFont val="Century Gothic"/>
        <family val="1"/>
      </rPr>
      <t>ДЛЯ КОНСУЛЬТИРОВАНИЯ</t>
    </r>
    <r>
      <rPr>
        <sz val="9"/>
        <rFont val="Century Gothic"/>
        <family val="1"/>
      </rPr>
      <t xml:space="preserve"> - Стоимость страховки </t>
    </r>
    <r>
      <rPr>
        <b/>
        <sz val="12"/>
        <rFont val="Century Gothic"/>
        <family val="1"/>
      </rPr>
      <t>за 1 день</t>
    </r>
    <r>
      <rPr>
        <sz val="9"/>
        <rFont val="Century Gothic"/>
        <family val="1"/>
      </rPr>
      <t>, руб.</t>
    </r>
  </si>
  <si>
    <r>
      <t xml:space="preserve">Итоговая сумма расходов Клиента, руб.
</t>
    </r>
    <r>
      <rPr>
        <sz val="9"/>
        <color rgb="FF161667"/>
        <rFont val="Century Gothic"/>
        <family val="1"/>
      </rPr>
      <t>(проценты по кредиту + комиссия за ГС - возврат д/с по ГС (при наличии)</t>
    </r>
  </si>
  <si>
    <t>ПОДКЛЮЧЕНИЕ УСЛУГИ "УМЕНЬШАЮ ПЛАТЕЖ"</t>
  </si>
  <si>
    <r>
      <rPr>
        <b/>
        <sz val="9"/>
        <rFont val="Century Gothic"/>
        <family val="1"/>
      </rPr>
      <t>Ежемесячный платеж</t>
    </r>
    <r>
      <rPr>
        <sz val="9"/>
        <rFont val="Century Gothic"/>
        <family val="1"/>
      </rPr>
      <t xml:space="preserve"> </t>
    </r>
    <r>
      <rPr>
        <sz val="9"/>
        <color rgb="FF7B81C7"/>
        <rFont val="Century Gothic"/>
        <family val="1"/>
      </rPr>
      <t>(при подключении"Уменьшаю платеж"),</t>
    </r>
    <r>
      <rPr>
        <sz val="9"/>
        <rFont val="Century Gothic"/>
        <family val="1"/>
      </rPr>
      <t xml:space="preserve"> руб.</t>
    </r>
  </si>
  <si>
    <r>
      <rPr>
        <b/>
        <sz val="9"/>
        <rFont val="Century Gothic"/>
        <family val="1"/>
      </rPr>
      <t>Максимальный срок</t>
    </r>
    <r>
      <rPr>
        <sz val="9"/>
        <rFont val="Century Gothic"/>
        <family val="1"/>
      </rPr>
      <t xml:space="preserve"> </t>
    </r>
    <r>
      <rPr>
        <sz val="9"/>
        <color rgb="FF7B81C7"/>
        <rFont val="Century Gothic"/>
        <family val="1"/>
      </rPr>
      <t>(при подключении"Уменьшаю платеж")</t>
    </r>
    <r>
      <rPr>
        <sz val="9"/>
        <rFont val="Century Gothic"/>
        <family val="1"/>
      </rPr>
      <t>, мес.</t>
    </r>
  </si>
  <si>
    <r>
      <rPr>
        <b/>
        <sz val="9"/>
        <rFont val="Century Gothic"/>
        <family val="1"/>
      </rPr>
      <t>Ставка по кредиту</t>
    </r>
    <r>
      <rPr>
        <sz val="9"/>
        <rFont val="Century Gothic"/>
        <family val="1"/>
      </rPr>
      <t xml:space="preserve"> , % годовых</t>
    </r>
  </si>
  <si>
    <r>
      <t xml:space="preserve">                                           Расходы по кредиту </t>
    </r>
    <r>
      <rPr>
        <b/>
        <sz val="11"/>
        <rFont val="Century Gothic"/>
        <family val="1"/>
      </rPr>
      <t>В ГОД</t>
    </r>
  </si>
  <si>
    <r>
      <rPr>
        <b/>
        <sz val="9"/>
        <rFont val="Century Gothic"/>
        <family val="1"/>
      </rPr>
      <t>Стоимость Финансовой защиты</t>
    </r>
    <r>
      <rPr>
        <sz val="9"/>
        <rFont val="Century Gothic"/>
        <family val="1"/>
      </rPr>
      <t xml:space="preserve"> , руб.</t>
    </r>
  </si>
  <si>
    <t>Срок погашения, мес.</t>
  </si>
  <si>
    <t xml:space="preserve">Комиссия за услугу, % от суммы кредита </t>
  </si>
  <si>
    <t>Финансовая защита</t>
  </si>
  <si>
    <t>СУММА ЧДП / ПДП
(сверх ЕП)</t>
  </si>
  <si>
    <r>
      <rPr>
        <b/>
        <sz val="9"/>
        <rFont val="Century Gothic"/>
        <family val="1"/>
      </rPr>
      <t>Стоимость пакета</t>
    </r>
    <r>
      <rPr>
        <sz val="9"/>
        <rFont val="Century Gothic"/>
        <family val="1"/>
      </rPr>
      <t xml:space="preserve"> "Почетный клиент", руб. (6 платежей)</t>
    </r>
  </si>
  <si>
    <t>Снижение на 3 п.п.</t>
  </si>
  <si>
    <t>Снижение на 4 п.п.</t>
  </si>
  <si>
    <t>ЭКОНОМИЯ КЛИЕНТА НА %</t>
  </si>
  <si>
    <r>
      <t xml:space="preserve">Программа лояльности </t>
    </r>
    <r>
      <rPr>
        <b/>
        <sz val="9"/>
        <rFont val="Century Gothic"/>
        <family val="1"/>
      </rPr>
      <t>"Мультибонус"</t>
    </r>
    <r>
      <rPr>
        <sz val="9"/>
        <rFont val="Century Gothic"/>
        <family val="1"/>
      </rPr>
      <t xml:space="preserve"> (для Почетных Клиентов)</t>
    </r>
  </si>
  <si>
    <r>
      <t>Программа лояльности</t>
    </r>
    <r>
      <rPr>
        <b/>
        <sz val="9"/>
        <rFont val="Century Gothic"/>
        <family val="1"/>
      </rPr>
      <t xml:space="preserve"> "Мультибонус"</t>
    </r>
    <r>
      <rPr>
        <sz val="9"/>
        <rFont val="Century Gothic"/>
        <family val="1"/>
      </rPr>
      <t xml:space="preserve"> (за 500 руб в год)</t>
    </r>
  </si>
  <si>
    <t>"Любые покупки" руб.</t>
  </si>
  <si>
    <t>"Одежда / Обувь" руб.</t>
  </si>
  <si>
    <t>"Рестораны / Фастфуд" руб.</t>
  </si>
  <si>
    <t>"Ремонт /  Товары для дома" руб.</t>
  </si>
  <si>
    <t>бонусов / рублей</t>
  </si>
  <si>
    <r>
      <rPr>
        <b/>
        <sz val="9"/>
        <color rgb="FFC00149"/>
        <rFont val="Century Gothic"/>
        <family val="1"/>
      </rPr>
      <t xml:space="preserve">ВАЖНО! </t>
    </r>
    <r>
      <rPr>
        <sz val="9"/>
        <color theme="1"/>
        <rFont val="Century Gothic"/>
        <family val="1"/>
      </rPr>
      <t>Ма</t>
    </r>
    <r>
      <rPr>
        <sz val="9"/>
        <rFont val="Century Gothic"/>
        <family val="1"/>
      </rPr>
      <t>ксимальное вознаграждение</t>
    </r>
    <r>
      <rPr>
        <b/>
        <sz val="9"/>
        <rFont val="Century Gothic"/>
        <family val="1"/>
      </rPr>
      <t xml:space="preserve"> в месяц </t>
    </r>
    <r>
      <rPr>
        <sz val="9"/>
        <rFont val="Century Gothic"/>
        <family val="1"/>
      </rPr>
      <t>по пакету "Серебряный" - 10 000 руб.; "Золотой" - 15 000 руб.; "Платиновый" - 20 000 руб.</t>
    </r>
  </si>
  <si>
    <r>
      <t xml:space="preserve">Итоговая сумма расходов по кредиту, руб.
</t>
    </r>
    <r>
      <rPr>
        <sz val="9"/>
        <color rgb="FF161667"/>
        <rFont val="Century Gothic"/>
        <family val="1"/>
      </rPr>
      <t>% по кредиту + 6 платежей по пакету "Почетный клиент" (при наличии).</t>
    </r>
  </si>
  <si>
    <t>АКЦИЯ "СНИЖАЕМ СТАВКУ 2,0"</t>
  </si>
  <si>
    <t>Подключается автоматически при наличии пакета "ПК"</t>
  </si>
  <si>
    <t>ДИСКОНТ 2 П П</t>
  </si>
  <si>
    <t>ДИСКОНТ 3 П П</t>
  </si>
  <si>
    <t xml:space="preserve">ЕЖЕГОДНОЕ СНИЖЕНИЕ % СТАВКИ </t>
  </si>
  <si>
    <t>ОБЩАЯ ВЫГОДА КЛИЕНТА ПО ПАКЕТУ "ПОЧЕТНЫЙ КЛИЕНТ" 
(снижение % + бонусы за покупки за 13 периодов /мес.+ бонусы по расходованию кредитных средств)</t>
  </si>
  <si>
    <r>
      <rPr>
        <b/>
        <sz val="9"/>
        <color rgb="FFC00149"/>
        <rFont val="Century Gothic"/>
        <family val="1"/>
      </rPr>
      <t xml:space="preserve">ВАЖНО! </t>
    </r>
    <r>
      <rPr>
        <sz val="9"/>
        <color rgb="FF161667"/>
        <rFont val="Century Gothic"/>
        <family val="1"/>
      </rPr>
      <t>Акция доступна только при подключении "ФЗ" + "Почетный Клиент".</t>
    </r>
  </si>
  <si>
    <r>
      <rPr>
        <b/>
        <sz val="9"/>
        <rFont val="Century Gothic"/>
        <family val="1"/>
      </rPr>
      <t>ДЛЯ КОНСУЛЬТАЦИИ</t>
    </r>
    <r>
      <rPr>
        <sz val="9"/>
        <rFont val="Century Gothic"/>
        <family val="1"/>
      </rPr>
      <t xml:space="preserve"> - Стоимость страховки за 1 месяц, руб.</t>
    </r>
  </si>
  <si>
    <r>
      <rPr>
        <b/>
        <sz val="9"/>
        <rFont val="Century Gothic"/>
        <family val="1"/>
      </rPr>
      <t>ДЛЯ КОНСУЛЬТАЦИИ</t>
    </r>
    <r>
      <rPr>
        <sz val="9"/>
        <rFont val="Century Gothic"/>
        <family val="1"/>
      </rPr>
      <t xml:space="preserve"> - Стоимость страховки за 1 день, руб.</t>
    </r>
  </si>
  <si>
    <t xml:space="preserve">РАСЧЕТ ВЫГОДЫ ЗА ПОКУПКИ </t>
  </si>
  <si>
    <r>
      <t xml:space="preserve">         ЭКОНОМИЯ КЛИЕНТА 
          </t>
    </r>
    <r>
      <rPr>
        <sz val="14"/>
        <color theme="0"/>
        <rFont val="Century Gothic"/>
        <family val="1"/>
      </rPr>
      <t xml:space="preserve"> (ПОКУПКИ ЗА СЧЕТ КРЕДИТНЫХ СРЕДСТВ)</t>
    </r>
  </si>
  <si>
    <r>
      <t xml:space="preserve">         ЭКОНОМИЯ КЛИЕНТА 
</t>
    </r>
    <r>
      <rPr>
        <sz val="14"/>
        <color theme="0"/>
        <rFont val="Century Gothic"/>
        <family val="1"/>
      </rPr>
      <t xml:space="preserve">(РЕГУЛЯРНЫЕ ПОКУПКИ В МЕСЯЦ) </t>
    </r>
  </si>
  <si>
    <r>
      <t xml:space="preserve"> ПОКУПКИ ЗА СЧЕТ КРЕДИТНЫХ СРЕДСТВ </t>
    </r>
    <r>
      <rPr>
        <sz val="8"/>
        <rFont val="Century Gothic"/>
        <family val="2"/>
        <charset val="204"/>
      </rPr>
      <t>(ОПЛАТА КАРТОЙ К СС)</t>
    </r>
  </si>
  <si>
    <t xml:space="preserve"> ПОКУПКИ ПО КАРТЕ к СС 
(в мес.)</t>
  </si>
  <si>
    <t>КРЕДИТ "ДЕНЬГИ И ВСЁ!"</t>
  </si>
  <si>
    <t>Тариф</t>
  </si>
  <si>
    <t>Максимально доступная сумма, руб.</t>
  </si>
  <si>
    <t>Ставки</t>
  </si>
  <si>
    <t>CASH</t>
  </si>
  <si>
    <t>POS</t>
  </si>
  <si>
    <t>Сумма кредита до (вкл-но) для максимума</t>
  </si>
  <si>
    <t>Страховая сумма, руб.</t>
  </si>
  <si>
    <r>
      <rPr>
        <b/>
        <sz val="9"/>
        <rFont val="Century Gothic"/>
        <family val="1"/>
      </rPr>
      <t>Страховая сумма</t>
    </r>
    <r>
      <rPr>
        <sz val="9"/>
        <rFont val="Century Gothic"/>
        <family val="1"/>
      </rPr>
      <t>, руб.</t>
    </r>
  </si>
  <si>
    <t>Пакет 6</t>
  </si>
  <si>
    <t>Пакет 7</t>
  </si>
  <si>
    <t>График платежей</t>
  </si>
  <si>
    <t>ПРОЦЕНТНАЯ СТАВКА</t>
  </si>
  <si>
    <t>Зона комфорта</t>
  </si>
  <si>
    <t>Зона комфорта_страх.сумма</t>
  </si>
  <si>
    <t xml:space="preserve">                      ПОТРЕБИТЕЛЬСКИЙ КРЕДИТ ЛИНЕЙКА
                        "ПЕРСПЕКТИВА"</t>
  </si>
  <si>
    <t xml:space="preserve">                    ПОТРЕБИТЕЛЬСКИЙ КРЕДИТ ЛИНЕЙКА "ПЕРСПЕКТИВА ЛАЙТ"</t>
  </si>
  <si>
    <t xml:space="preserve">Сумма кредита от (вкл-но) для макксимума </t>
  </si>
  <si>
    <t>Грейс?</t>
  </si>
  <si>
    <t>Ноль, если на карте есть беспроцентный период</t>
  </si>
  <si>
    <t>Ежемесячный платеж (первый)</t>
  </si>
  <si>
    <t>АКЦИЯ "СНИЖАЕМ СТАВКУ 2.0"</t>
  </si>
  <si>
    <r>
      <t xml:space="preserve">ЭКОНОМИЯ КЛИЕНТА 
</t>
    </r>
    <r>
      <rPr>
        <sz val="11"/>
        <color theme="0"/>
        <rFont val="Century Gothic"/>
        <family val="1"/>
      </rPr>
      <t xml:space="preserve">(РЕГУЛЯРНЫЕ ПОКУПКИ В МЕСЯЦ) </t>
    </r>
  </si>
  <si>
    <r>
      <t xml:space="preserve">         ЭКОНОМИЯ КЛИЕНТА 
          </t>
    </r>
    <r>
      <rPr>
        <sz val="11"/>
        <color theme="0"/>
        <rFont val="Century Gothic"/>
        <family val="1"/>
      </rPr>
      <t xml:space="preserve"> (ПОКУПКИ ЗА СЧЕТ </t>
    </r>
    <r>
      <rPr>
        <b/>
        <sz val="11"/>
        <color theme="0"/>
        <rFont val="Century Gothic"/>
        <family val="1"/>
      </rPr>
      <t xml:space="preserve">КРЕДИТНЫХ </t>
    </r>
    <r>
      <rPr>
        <sz val="11"/>
        <color theme="0"/>
        <rFont val="Century Gothic"/>
        <family val="1"/>
      </rPr>
      <t>СРЕДСТВ)</t>
    </r>
  </si>
  <si>
    <r>
      <t xml:space="preserve">                   </t>
    </r>
    <r>
      <rPr>
        <sz val="10"/>
        <color theme="0"/>
        <rFont val="Century Gothic"/>
        <family val="1"/>
      </rPr>
      <t>ПАКЕТ ПРИВИЛЕГИЙ
                   "ПОЧЕТНЫЙ КЛИЕНТ"</t>
    </r>
  </si>
  <si>
    <r>
      <t xml:space="preserve">ВАЖНО! </t>
    </r>
    <r>
      <rPr>
        <sz val="9"/>
        <color rgb="FFC00149"/>
        <rFont val="Century Gothic"/>
        <family val="1"/>
      </rPr>
      <t xml:space="preserve">Акция доступна только при подключении "Финансовой защиты" </t>
    </r>
    <r>
      <rPr>
        <b/>
        <sz val="9"/>
        <color rgb="FFC00149"/>
        <rFont val="Century Gothic"/>
        <family val="1"/>
      </rPr>
      <t>и</t>
    </r>
    <r>
      <rPr>
        <sz val="9"/>
        <color rgb="FFC00149"/>
        <rFont val="Century Gothic"/>
        <family val="1"/>
      </rPr>
      <t xml:space="preserve"> пакета  "Почетный Клиент".</t>
    </r>
  </si>
  <si>
    <t>ПОДСКАЗКА! СРАВНИ ВЫГОДУ ПО КРЕДИТУ С АКЦИЙ "СНИЖАЕМ СТАВКУ 2.0"</t>
  </si>
  <si>
    <t xml:space="preserve">ПОДСКАЗКА! РАСЧЕТАЙ КЛИЕНТУ ВЫГОДУ ЗА ПОКУПКИ </t>
  </si>
  <si>
    <r>
      <rPr>
        <b/>
        <sz val="10"/>
        <color rgb="FF002060"/>
        <rFont val="Century Gothic"/>
        <family val="1"/>
      </rPr>
      <t xml:space="preserve"> Подсказка! </t>
    </r>
    <r>
      <rPr>
        <sz val="10"/>
        <rFont val="Century Gothic"/>
        <family val="1"/>
      </rPr>
      <t xml:space="preserve">Укажи ежедневные  и регулярные покупки по карте к Сберегательному счету </t>
    </r>
  </si>
  <si>
    <r>
      <rPr>
        <b/>
        <sz val="10"/>
        <color rgb="FF002060"/>
        <rFont val="Century Gothic"/>
        <family val="1"/>
      </rPr>
      <t xml:space="preserve"> Подсказка!</t>
    </r>
    <r>
      <rPr>
        <sz val="10"/>
        <rFont val="Century Gothic"/>
        <family val="1"/>
      </rPr>
      <t xml:space="preserve"> Укажи покупки за счет кредитных средств при оплате картой к Сберегательному счету </t>
    </r>
  </si>
  <si>
    <r>
      <t>Программа лояльности</t>
    </r>
    <r>
      <rPr>
        <b/>
        <sz val="9"/>
        <rFont val="Century Gothic"/>
        <family val="1"/>
      </rPr>
      <t xml:space="preserve"> "Мультибонус"</t>
    </r>
    <r>
      <rPr>
        <sz val="9"/>
        <rFont val="Century Gothic"/>
        <family val="1"/>
      </rPr>
      <t xml:space="preserve"> (за 69 руб в мес.)</t>
    </r>
  </si>
  <si>
    <t xml:space="preserve">Выбери ее наличие "Да" или "Нет" </t>
  </si>
  <si>
    <t xml:space="preserve">                      ПОТРЕБИТЕЛЬСКИЙ КРЕДИТ ЛИНЕЙКА
                        "РЕФИНАНСИРОВАНИЕ-ПЕРСПЕКТИВА"</t>
  </si>
  <si>
    <t>СРАВНИ ВЫГОДУ ПО КРЕДИТУ С "ГАРАНТИРОВАННОЙ СТАВКОЙ"</t>
  </si>
  <si>
    <t>Услуга "ГАРАНТИРОВАННАЯ СТАВКА"</t>
  </si>
  <si>
    <t xml:space="preserve">Стоимость ГС, % </t>
  </si>
  <si>
    <t>Стоимость ГС, руб.</t>
  </si>
  <si>
    <r>
      <rPr>
        <b/>
        <sz val="9"/>
        <rFont val="Century Gothic"/>
        <family val="1"/>
      </rPr>
      <t xml:space="preserve">Выплата по </t>
    </r>
    <r>
      <rPr>
        <sz val="9"/>
        <rFont val="Century Gothic"/>
        <family val="1"/>
      </rPr>
      <t xml:space="preserve"> "Гарантированной ставке", руб.</t>
    </r>
  </si>
  <si>
    <t>ГРАФИК ПЛАТЕЖЕЙ - ТАРИФ СУПЕРСМАРТ БЕЗ ГАРАНТИРОВАННОЙ СТАВКИ</t>
  </si>
  <si>
    <t xml:space="preserve">                  УСЛУГА
                   "ГАРАНТИРОВАННАЯ
                  СТАВКА"</t>
  </si>
  <si>
    <r>
      <t xml:space="preserve">Итоговая сумма расходов по кредиту, руб.
</t>
    </r>
    <r>
      <rPr>
        <sz val="9"/>
        <color rgb="FF161667"/>
        <rFont val="Century Gothic"/>
        <family val="1"/>
      </rPr>
      <t>% по кредиту - возврат по "Гарантированной ставке" (при наличии).</t>
    </r>
  </si>
  <si>
    <t>Выгода для клиента</t>
  </si>
  <si>
    <t xml:space="preserve">                      ПОТРЕБИТЕЛЬСКИЙ КРЕДИТ ЛИНЕЙКА
                        "ПРАКТИЧНЫЙ"</t>
  </si>
  <si>
    <t>Оптимум</t>
  </si>
  <si>
    <t>Оптимум + Максимум</t>
  </si>
  <si>
    <t>СУММА КРЕДИТА С УЧЁТОМ ДОПОЛНИТЕЛЬНЫХ УСЛУГ</t>
  </si>
  <si>
    <t>ГРАФИК ПЛАТЕЖЕЙ - ТАРИФ ПРАКТИЧНЫЙ БЕЗ ФЗ</t>
  </si>
  <si>
    <t>% ставка при подключении ГС</t>
  </si>
  <si>
    <t>размер ГС</t>
  </si>
  <si>
    <t>Максимум  плюс</t>
  </si>
  <si>
    <t>Максимум  плюс/ Забота плюс</t>
  </si>
  <si>
    <t>Наименование страховой программы:</t>
  </si>
  <si>
    <t>Страховая сумма, рубли</t>
  </si>
  <si>
    <t>Страховая премия, % от страховой суммы в месяц</t>
  </si>
  <si>
    <t>от 1 000 001 до 5 000 000 включительно</t>
  </si>
  <si>
    <t>до 5 000 000 включительно</t>
  </si>
  <si>
    <t>Страховая сумма</t>
  </si>
  <si>
    <t>Стоимость страховки</t>
  </si>
  <si>
    <t>Актуальный</t>
  </si>
  <si>
    <t xml:space="preserve">                      ПОТРЕБИТЕЛЬСКИЙ КРЕДИТ ЛИНЕЙКА "СТАБИЛЬНЫЙ"</t>
  </si>
  <si>
    <t>ЕСЛИ(C8="Уверенность плюс";(C7*C10*BZ13*BZ20);ЕСЛИ(C8="нет";0;ЕСЛИ(C8="Оптимум";(C7*C10*BZ7*BZ21);ЕСЛИ(C8="Максимум";ЕСЛИ(C7&lt;=148000;(C7*C10*BZ24);ЕСЛИ(148000&lt;C7&lt;=220000;(C7*C10*BZ25);ЕСЛИ(220000&lt;C7&lt;=500000;C7*C10*BZ26);ЕСЛИ(500000&lt;C7&lt;=658000;(C7*C10*BZ27);ЕСЛИ(658000&lt;C7&lt;=1000000;(C7*C10*BZ28);ЕСЛИ(1000000&lt;C7;(C7*C10*BZ29);(C7*C10*0,65%))))))))))))</t>
  </si>
  <si>
    <t>Базовый 35</t>
  </si>
  <si>
    <t>Коэфф. для страховой премии (тарифы)</t>
  </si>
  <si>
    <t>Оптимум + Уверенность</t>
  </si>
  <si>
    <t>Оптимум+Максимум</t>
  </si>
  <si>
    <t>Оптимум+Уверенность</t>
  </si>
  <si>
    <t>Оформление в ДБО?</t>
  </si>
  <si>
    <t>Комиссия</t>
  </si>
  <si>
    <t>МЕП</t>
  </si>
  <si>
    <t>1.0</t>
  </si>
  <si>
    <t>2.0</t>
  </si>
  <si>
    <t>3.0</t>
  </si>
  <si>
    <t>4.0</t>
  </si>
  <si>
    <t>Сумма мин</t>
  </si>
  <si>
    <t>Сумма макс</t>
  </si>
  <si>
    <t>Тариф ФЗ_1</t>
  </si>
  <si>
    <t>Срок ФЗ_1</t>
  </si>
  <si>
    <t>Тариф ФЗ_2</t>
  </si>
  <si>
    <t>Срок ФЗ_2 (до 47 мес.)</t>
  </si>
  <si>
    <t>Срок ФЗ_2 (от 48 мес.)</t>
  </si>
  <si>
    <t>30 001,00  </t>
  </si>
  <si>
    <t>199 000,00  </t>
  </si>
  <si>
    <t>4 мес.</t>
  </si>
  <si>
    <t>17 мес.</t>
  </si>
  <si>
    <t>20 мес.</t>
  </si>
  <si>
    <t>199 001,00  </t>
  </si>
  <si>
    <t>500 000,00  </t>
  </si>
  <si>
    <t>13 мес.</t>
  </si>
  <si>
    <t>500 001,00  </t>
  </si>
  <si>
    <t>1 000 000,00  </t>
  </si>
  <si>
    <t>1 000 001,00  </t>
  </si>
  <si>
    <t>5 000 000,00  </t>
  </si>
  <si>
    <t>Базовая ставка</t>
  </si>
  <si>
    <t>16 мес.</t>
  </si>
  <si>
    <t>10 мес.</t>
  </si>
  <si>
    <t>1. Уточните у Клиента параметры кредита</t>
  </si>
  <si>
    <t>Параметр</t>
  </si>
  <si>
    <t>Расчет с учетом ГС и АСПСМ</t>
  </si>
  <si>
    <t>Расчет с учетом СПСД2</t>
  </si>
  <si>
    <t>30-199</t>
  </si>
  <si>
    <t>Запрошенная сумма(сумма кредита наличными), руб.</t>
  </si>
  <si>
    <t>Срок кредита</t>
  </si>
  <si>
    <t>36-47</t>
  </si>
  <si>
    <t>48-60</t>
  </si>
  <si>
    <t>Программа страхования</t>
  </si>
  <si>
    <t>5 мес</t>
  </si>
  <si>
    <t>6 мес</t>
  </si>
  <si>
    <t>Оптимум плюс / Уверенность</t>
  </si>
  <si>
    <t>8 мес</t>
  </si>
  <si>
    <t>9 мес</t>
  </si>
  <si>
    <t>Пакет услуг 
"Всё под контролем"</t>
  </si>
  <si>
    <t>199-500</t>
  </si>
  <si>
    <t>7 мес</t>
  </si>
  <si>
    <t>Месяц активации</t>
  </si>
  <si>
    <t>10 мес</t>
  </si>
  <si>
    <t>500-1М</t>
  </si>
  <si>
    <t>Базовая ставка по кредиту, % годовых</t>
  </si>
  <si>
    <t>Оптимум+</t>
  </si>
  <si>
    <t>48-84</t>
  </si>
  <si>
    <t>Тарифный план Сберсчета</t>
  </si>
  <si>
    <t>Акционная ставка со страховкой</t>
  </si>
  <si>
    <t>Ставка по Гарантии</t>
  </si>
  <si>
    <t>1М+</t>
  </si>
  <si>
    <t>Ставка по услуге, % годовых</t>
  </si>
  <si>
    <t>Комиссия за услугу, % от суммы кредита наличными</t>
  </si>
  <si>
    <t>Комиссия за услугу, руб.</t>
  </si>
  <si>
    <t>Планируемый возврат</t>
  </si>
  <si>
    <t>Реальный возврат</t>
  </si>
  <si>
    <t>Срок страховки</t>
  </si>
  <si>
    <t>Страховая премия (общая сумма за страховку), руб.</t>
  </si>
  <si>
    <t>Услуга УП включена в ВПК</t>
  </si>
  <si>
    <t>Возврат ГС включен в ПСК</t>
  </si>
  <si>
    <t>Пакет6</t>
  </si>
  <si>
    <t>Пакет7</t>
  </si>
  <si>
    <t>Страховка включена в ПСК</t>
  </si>
  <si>
    <t>Услуга не подключается</t>
  </si>
  <si>
    <t>Оптимум + Уверенность плюс</t>
  </si>
  <si>
    <t>Страховая сумма кредита до (вкл-но)</t>
  </si>
  <si>
    <t>Оптимум_страх.сумма</t>
  </si>
  <si>
    <t>до 36</t>
  </si>
  <si>
    <t>до 48</t>
  </si>
  <si>
    <t>до 60</t>
  </si>
  <si>
    <t>до 72</t>
  </si>
  <si>
    <t>до 84</t>
  </si>
  <si>
    <t>Справочники</t>
  </si>
  <si>
    <t>страховки</t>
  </si>
  <si>
    <t>базовые ставки</t>
  </si>
  <si>
    <t>Гарантированная ставка, %</t>
  </si>
  <si>
    <t>Срок страхования, мес</t>
  </si>
  <si>
    <r>
      <rPr>
        <sz val="9"/>
        <rFont val="Century Gothic"/>
        <family val="2"/>
        <charset val="204"/>
      </rPr>
      <t>Общая выплата по</t>
    </r>
    <r>
      <rPr>
        <b/>
        <sz val="9"/>
        <rFont val="Century Gothic"/>
        <family val="1"/>
      </rPr>
      <t xml:space="preserve"> </t>
    </r>
    <r>
      <rPr>
        <sz val="9"/>
        <rFont val="Century Gothic"/>
        <family val="1"/>
      </rPr>
      <t>"Гарантированной ставке", руб.</t>
    </r>
  </si>
  <si>
    <r>
      <rPr>
        <b/>
        <sz val="9"/>
        <rFont val="Century Gothic"/>
        <family val="2"/>
        <charset val="204"/>
      </rPr>
      <t>Реальный возврат по</t>
    </r>
    <r>
      <rPr>
        <sz val="9"/>
        <rFont val="Century Gothic"/>
        <family val="1"/>
      </rPr>
      <t xml:space="preserve"> "Гарантированной ставке", руб.</t>
    </r>
  </si>
  <si>
    <r>
      <t xml:space="preserve">Тарифный план </t>
    </r>
    <r>
      <rPr>
        <sz val="9"/>
        <color theme="0"/>
        <rFont val="Century Gothic"/>
        <family val="1"/>
      </rPr>
      <t xml:space="preserve">по Сберегательному счету </t>
    </r>
  </si>
  <si>
    <t>Проверка параметров</t>
  </si>
  <si>
    <r>
      <t xml:space="preserve">                      ПОТРЕБИТЕЛЬСКИЙ КРЕДИТ ЛИНЕЙКА "ОПТИМИСТИЧНЫЙ</t>
    </r>
    <r>
      <rPr>
        <b/>
        <sz val="18"/>
        <rFont val="Century Gothic"/>
        <family val="2"/>
        <charset val="204"/>
      </rPr>
      <t>"</t>
    </r>
  </si>
  <si>
    <t>ГРАФИК ПЛАТЕЖЕЙ - ТАРИФ ОПТИМИСТИЧНЫЙ БЕЗ ГАРАНТИРОВАННОЙ СТАВКИ</t>
  </si>
  <si>
    <t>учёт выплаты по ГС</t>
  </si>
  <si>
    <t>ВЫПЛАТА ПО ГС В ПДП</t>
  </si>
  <si>
    <t>4 мес</t>
  </si>
  <si>
    <t xml:space="preserve">                      ПОТРЕБИТЕЛЬСКИЙ КРЕДИТ ЛИНЕЙКА "СУПЕРСМАРТ ПРОМО"</t>
  </si>
  <si>
    <t>% ставка на первые 30 дней</t>
  </si>
  <si>
    <t>Покупка по карте</t>
  </si>
  <si>
    <r>
      <t xml:space="preserve">                      ПОТРЕБИТЕЛЬСКИЙ КРЕДИТ ЛИНЕЙКА "АВТОМОБИЛЬНЫЙ</t>
    </r>
    <r>
      <rPr>
        <b/>
        <sz val="18"/>
        <rFont val="Century Gothic"/>
        <family val="2"/>
        <charset val="204"/>
      </rPr>
      <t>"</t>
    </r>
  </si>
  <si>
    <t>12 мес</t>
  </si>
  <si>
    <t>300-1М</t>
  </si>
  <si>
    <t>Пакеты</t>
  </si>
  <si>
    <t>Пакет БВ + ГС</t>
  </si>
  <si>
    <t>Пакет БВ</t>
  </si>
  <si>
    <t>ГС</t>
  </si>
  <si>
    <t>ГС+БВ</t>
  </si>
  <si>
    <t>ОПТИ_ПакетБВ+ГС_48</t>
  </si>
  <si>
    <t>ОПТИ_ПакетБВ_48</t>
  </si>
  <si>
    <t>ОПТИ_ПакетБВ_36</t>
  </si>
  <si>
    <t>АВТО_ПакетБВ_36</t>
  </si>
  <si>
    <t>АВТО_ПакетБВ_48</t>
  </si>
  <si>
    <t>ОПТИ_ПакетБВ+ГС_36</t>
  </si>
  <si>
    <t>АВТО_ПакетБВ+ГС_36</t>
  </si>
  <si>
    <t>АВТО_ПакетБВ+ГС_48</t>
  </si>
  <si>
    <t>ГРАФИК ПЛАТЕЖЕЙ - ТАРИФ АВТОМОБИЛЬНЫЙ БЕЗ ГАРАНТИРОВАННОЙ СТАВКИ</t>
  </si>
  <si>
    <t>Пакет Большие возможности</t>
  </si>
  <si>
    <r>
      <rPr>
        <b/>
        <sz val="9"/>
        <rFont val="Century Gothic"/>
        <family val="1"/>
      </rPr>
      <t>Стоимость пакета Большие возможности</t>
    </r>
    <r>
      <rPr>
        <sz val="9"/>
        <rFont val="Century Gothic"/>
        <family val="1"/>
      </rPr>
      <t xml:space="preserve"> , руб.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</si>
</sst>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#,##0.00\ &quot;₽&quot;;[Red]\-#,##0.00\ &quot;₽&quot;"/>
    <numFmt numFmtId="164" formatCode="_-* #,##0.00\ _₽_-;\-* #,##0.00\ _₽_-;_-* &quot;-&quot;??\ _₽_-;_-@_-"/>
    <numFmt numFmtId="165" formatCode="_-* #,##0_р_._-;\-* #,##0_р_._-;_-* &quot;-&quot;_р_._-;_-@_-"/>
    <numFmt numFmtId="166" formatCode="_-* #,##0.00_р_._-;\-* #,##0.00_р_._-;_-* &quot;-&quot;??_р_._-;_-@_-"/>
    <numFmt numFmtId="167" formatCode="#,##0.00_р_."/>
    <numFmt numFmtId="168" formatCode="#,##0.00&quot;р.&quot;"/>
    <numFmt numFmtId="169" formatCode="0.000%"/>
    <numFmt numFmtId="170" formatCode="#,##0&quot;р.&quot;"/>
    <numFmt numFmtId="171" formatCode="[$$-C09]#,##0"/>
    <numFmt numFmtId="172" formatCode="#,##0_р_."/>
    <numFmt numFmtId="173" formatCode="_-* #,##0_р_._-;\-* #,##0_р_._-;_-* &quot;-&quot;??_р_._-;_-@_-"/>
    <numFmt numFmtId="174" formatCode="0.0%"/>
    <numFmt numFmtId="175" formatCode="#,##0\ &quot;₽&quot;"/>
    <numFmt numFmtId="176" formatCode="#,##0.00000"/>
    <numFmt numFmtId="177" formatCode="#,##0.00\ &quot;₽&quot;"/>
    <numFmt numFmtId="178" formatCode="[$-419]mmmm\ yyyy;@"/>
    <numFmt numFmtId="179" formatCode="_-* #,##0.0000\ _₽_-;\-* #,##0.0000\ _₽_-;_-* &quot;-&quot;??\ _₽_-;_-@_-"/>
  </numFmts>
  <fonts count="16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sz val="9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C00000"/>
      <name val="Arial"/>
      <family val="2"/>
      <charset val="204"/>
    </font>
    <font>
      <sz val="9"/>
      <color rgb="FFC00000"/>
      <name val="Arial"/>
      <family val="2"/>
      <charset val="204"/>
    </font>
    <font>
      <b/>
      <sz val="9"/>
      <color theme="3"/>
      <name val="Arial"/>
      <family val="2"/>
      <charset val="204"/>
    </font>
    <font>
      <sz val="9"/>
      <color theme="3"/>
      <name val="Arial"/>
      <family val="2"/>
      <charset val="204"/>
    </font>
    <font>
      <i/>
      <sz val="9"/>
      <color theme="3"/>
      <name val="Arial"/>
      <family val="2"/>
      <charset val="204"/>
    </font>
    <font>
      <b/>
      <sz val="18"/>
      <color theme="0"/>
      <name val="Arial"/>
      <family val="2"/>
      <charset val="204"/>
    </font>
    <font>
      <b/>
      <sz val="20"/>
      <color rgb="FFC00000"/>
      <name val="Arial"/>
      <family val="2"/>
      <charset val="204"/>
    </font>
    <font>
      <b/>
      <sz val="8"/>
      <color theme="3"/>
      <name val="Arial"/>
      <family val="2"/>
      <charset val="204"/>
    </font>
    <font>
      <b/>
      <u/>
      <sz val="10"/>
      <color rgb="FFC00000"/>
      <name val="Arial"/>
      <family val="2"/>
      <charset val="204"/>
    </font>
    <font>
      <b/>
      <sz val="14"/>
      <name val="Arial"/>
      <family val="2"/>
      <charset val="204"/>
    </font>
    <font>
      <b/>
      <sz val="10"/>
      <color rgb="FFFF0000"/>
      <name val="Arial Cyr"/>
      <charset val="204"/>
    </font>
    <font>
      <b/>
      <sz val="12"/>
      <name val="Arial"/>
      <family val="2"/>
      <charset val="204"/>
    </font>
    <font>
      <sz val="30"/>
      <name val="Arial"/>
      <family val="2"/>
      <charset val="204"/>
    </font>
    <font>
      <b/>
      <sz val="15"/>
      <name val="Arial"/>
      <family val="2"/>
      <charset val="204"/>
    </font>
    <font>
      <sz val="10"/>
      <name val="Arial"/>
      <family val="2"/>
      <charset val="204"/>
    </font>
    <font>
      <b/>
      <sz val="16"/>
      <color rgb="FFC00000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9"/>
      <name val="Calibri"/>
      <family val="2"/>
      <charset val="204"/>
    </font>
    <font>
      <b/>
      <sz val="10"/>
      <name val="Arial"/>
      <family val="2"/>
      <charset val="204"/>
    </font>
    <font>
      <b/>
      <i/>
      <sz val="9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b/>
      <sz val="10"/>
      <color rgb="FFFF0000"/>
      <name val="Arial"/>
      <family val="2"/>
      <charset val="204"/>
    </font>
    <font>
      <sz val="16"/>
      <color rgb="FFFF0000"/>
      <name val="Arial"/>
      <family val="2"/>
      <charset val="204"/>
    </font>
    <font>
      <b/>
      <sz val="12"/>
      <color rgb="FFC0000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8"/>
      <name val="Century Gothic"/>
      <family val="1"/>
    </font>
    <font>
      <b/>
      <sz val="20"/>
      <color rgb="FFC00000"/>
      <name val="Century Gothic"/>
      <family val="1"/>
    </font>
    <font>
      <b/>
      <sz val="12"/>
      <name val="Century Gothic"/>
      <family val="1"/>
    </font>
    <font>
      <sz val="9"/>
      <name val="Century Gothic"/>
      <family val="1"/>
    </font>
    <font>
      <b/>
      <sz val="9"/>
      <name val="Century Gothic"/>
      <family val="1"/>
    </font>
    <font>
      <sz val="16"/>
      <color rgb="FFFF0000"/>
      <name val="Century Gothic"/>
      <family val="1"/>
    </font>
    <font>
      <b/>
      <sz val="10"/>
      <name val="Century Gothic"/>
      <family val="1"/>
    </font>
    <font>
      <b/>
      <sz val="11"/>
      <color rgb="FFFF0000"/>
      <name val="Century Gothic"/>
      <family val="1"/>
    </font>
    <font>
      <sz val="16"/>
      <color rgb="FF002060"/>
      <name val="Century Gothic"/>
      <family val="1"/>
    </font>
    <font>
      <b/>
      <sz val="12"/>
      <color theme="0"/>
      <name val="Century Gothic"/>
      <family val="1"/>
    </font>
    <font>
      <b/>
      <sz val="16"/>
      <color theme="0"/>
      <name val="Century Gothic"/>
      <family val="1"/>
    </font>
    <font>
      <sz val="10"/>
      <color rgb="FF002060"/>
      <name val="Century Gothic"/>
      <family val="1"/>
    </font>
    <font>
      <sz val="10"/>
      <color rgb="FFAC2653"/>
      <name val="Century Gothic"/>
      <family val="1"/>
    </font>
    <font>
      <sz val="11"/>
      <color theme="0"/>
      <name val="Century Gothic"/>
      <family val="1"/>
    </font>
    <font>
      <b/>
      <sz val="9"/>
      <color theme="0"/>
      <name val="Century Gothic"/>
      <family val="1"/>
    </font>
    <font>
      <b/>
      <sz val="18"/>
      <color theme="0"/>
      <name val="Century Gothic"/>
      <family val="1"/>
    </font>
    <font>
      <b/>
      <sz val="20"/>
      <color theme="0"/>
      <name val="Century Gothic"/>
      <family val="1"/>
    </font>
    <font>
      <b/>
      <sz val="10"/>
      <color theme="0"/>
      <name val="Century Gothic"/>
      <family val="1"/>
    </font>
    <font>
      <sz val="10"/>
      <color theme="0"/>
      <name val="Century Gothic"/>
      <family val="1"/>
    </font>
    <font>
      <b/>
      <sz val="14"/>
      <color theme="0"/>
      <name val="Century Gothic"/>
      <family val="1"/>
    </font>
    <font>
      <b/>
      <sz val="11"/>
      <name val="Century Gothic"/>
      <family val="1"/>
    </font>
    <font>
      <sz val="9"/>
      <color rgb="FF161667"/>
      <name val="Century Gothic"/>
      <family val="1"/>
    </font>
    <font>
      <b/>
      <sz val="10"/>
      <color rgb="FFC00149"/>
      <name val="Century Gothic"/>
      <family val="1"/>
    </font>
    <font>
      <sz val="9"/>
      <color theme="0"/>
      <name val="Century Gothic"/>
      <family val="1"/>
    </font>
    <font>
      <b/>
      <sz val="14"/>
      <color rgb="FF161667"/>
      <name val="Century Gothic"/>
      <family val="1"/>
    </font>
    <font>
      <b/>
      <sz val="10"/>
      <color rgb="FF161667"/>
      <name val="Century Gothic"/>
      <family val="1"/>
    </font>
    <font>
      <b/>
      <sz val="10"/>
      <color rgb="FFB4003C"/>
      <name val="Century Gothic"/>
      <family val="1"/>
    </font>
    <font>
      <i/>
      <sz val="9"/>
      <color theme="0"/>
      <name val="Century Gothic"/>
      <family val="1"/>
    </font>
    <font>
      <sz val="20"/>
      <color rgb="FFC00000"/>
      <name val="Century Gothic"/>
      <family val="1"/>
    </font>
    <font>
      <b/>
      <sz val="9"/>
      <color rgb="FFC00149"/>
      <name val="Arial"/>
      <family val="2"/>
    </font>
    <font>
      <b/>
      <sz val="14"/>
      <color theme="1" tint="0.14999847407452621"/>
      <name val="Century Gothic"/>
      <family val="1"/>
    </font>
    <font>
      <b/>
      <sz val="12"/>
      <color theme="1" tint="0.14999847407452621"/>
      <name val="Century Gothic"/>
      <family val="1"/>
    </font>
    <font>
      <sz val="20"/>
      <color theme="0"/>
      <name val="Century Gothic"/>
      <family val="1"/>
    </font>
    <font>
      <b/>
      <sz val="16"/>
      <color rgb="FFC00000"/>
      <name val="Century Gothic"/>
      <family val="1"/>
    </font>
    <font>
      <b/>
      <sz val="9"/>
      <color theme="1"/>
      <name val="Century Gothic"/>
      <family val="1"/>
    </font>
    <font>
      <b/>
      <sz val="10"/>
      <color rgb="FFFF0000"/>
      <name val="Century Gothic"/>
      <family val="1"/>
    </font>
    <font>
      <sz val="12"/>
      <name val="Century Gothic"/>
      <family val="1"/>
    </font>
    <font>
      <sz val="14"/>
      <name val="Century Gothic"/>
      <family val="1"/>
    </font>
    <font>
      <sz val="10"/>
      <name val="Century Gothic"/>
      <family val="1"/>
    </font>
    <font>
      <b/>
      <sz val="14"/>
      <name val="Century Gothic"/>
      <family val="1"/>
    </font>
    <font>
      <b/>
      <sz val="11"/>
      <color rgb="FFC00149"/>
      <name val="Century Gothic"/>
      <family val="1"/>
    </font>
    <font>
      <b/>
      <sz val="12"/>
      <color rgb="FFC00149"/>
      <name val="Century Gothic"/>
      <family val="1"/>
    </font>
    <font>
      <b/>
      <sz val="18"/>
      <color rgb="FFC00149"/>
      <name val="Century Gothic"/>
      <family val="1"/>
    </font>
    <font>
      <sz val="10"/>
      <color rgb="FFC00149"/>
      <name val="Century Gothic"/>
      <family val="1"/>
    </font>
    <font>
      <b/>
      <sz val="9"/>
      <color rgb="FFC00000"/>
      <name val="Century Gothic"/>
      <family val="1"/>
    </font>
    <font>
      <sz val="12"/>
      <color theme="0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8"/>
      <color theme="1" tint="0.249977111117893"/>
      <name val="Century Gothic"/>
      <family val="1"/>
    </font>
    <font>
      <sz val="12"/>
      <color rgb="FFC00149"/>
      <name val="Century Gothic"/>
      <family val="1"/>
    </font>
    <font>
      <sz val="12"/>
      <color rgb="FF161667"/>
      <name val="Century Gothic"/>
      <family val="1"/>
    </font>
    <font>
      <b/>
      <sz val="18"/>
      <color rgb="FFC00149"/>
      <name val="Arial"/>
      <family val="2"/>
      <charset val="204"/>
    </font>
    <font>
      <sz val="9"/>
      <color theme="1"/>
      <name val="Century Gothic"/>
      <family val="1"/>
    </font>
    <font>
      <sz val="8"/>
      <color theme="0"/>
      <name val="Century Gothic"/>
      <family val="1"/>
    </font>
    <font>
      <sz val="10"/>
      <color rgb="FF161667"/>
      <name val="Century Gothic"/>
      <family val="1"/>
    </font>
    <font>
      <sz val="10"/>
      <color theme="0"/>
      <name val="Arial Cyr"/>
      <charset val="204"/>
    </font>
    <font>
      <sz val="9"/>
      <color rgb="FFC00149"/>
      <name val="Century Gothic"/>
      <family val="1"/>
    </font>
    <font>
      <sz val="9"/>
      <color rgb="FF7B81C7"/>
      <name val="Century Gothic"/>
      <family val="1"/>
    </font>
    <font>
      <b/>
      <sz val="8"/>
      <color rgb="FFC00149"/>
      <name val="Century Gothic"/>
      <family val="1"/>
    </font>
    <font>
      <sz val="16"/>
      <color rgb="FFEFF3FF"/>
      <name val="Century Gothic"/>
      <family val="1"/>
    </font>
    <font>
      <b/>
      <sz val="9"/>
      <color theme="3"/>
      <name val="Century Gothic"/>
      <family val="1"/>
    </font>
    <font>
      <sz val="9"/>
      <color theme="3"/>
      <name val="Century Gothic"/>
      <family val="1"/>
    </font>
    <font>
      <sz val="11"/>
      <name val="Century Gothic"/>
      <family val="1"/>
    </font>
    <font>
      <b/>
      <sz val="14"/>
      <color theme="1"/>
      <name val="Century Gothic"/>
      <family val="1"/>
    </font>
    <font>
      <b/>
      <sz val="11"/>
      <color theme="1"/>
      <name val="Century Gothic"/>
      <family val="1"/>
    </font>
    <font>
      <b/>
      <sz val="16"/>
      <color theme="1"/>
      <name val="Century Gothic"/>
      <family val="1"/>
    </font>
    <font>
      <sz val="9"/>
      <color theme="0"/>
      <name val="Arial"/>
      <family val="2"/>
      <charset val="204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b/>
      <sz val="16"/>
      <color rgb="FFEFF3FF"/>
      <name val="Century Gothic"/>
      <family val="2"/>
      <charset val="204"/>
    </font>
    <font>
      <b/>
      <sz val="9"/>
      <color rgb="FFC00149"/>
      <name val="Century Gothic"/>
      <family val="1"/>
    </font>
    <font>
      <b/>
      <sz val="24"/>
      <name val="Century Gothic"/>
      <family val="1"/>
    </font>
    <font>
      <b/>
      <sz val="10"/>
      <name val="Century Gothic"/>
      <family val="2"/>
      <charset val="204"/>
    </font>
    <font>
      <sz val="9"/>
      <color theme="0" tint="-0.34998626667073579"/>
      <name val="Century Gothic"/>
      <family val="1"/>
    </font>
    <font>
      <b/>
      <sz val="11"/>
      <color theme="0" tint="-0.34998626667073579"/>
      <name val="Arial"/>
      <family val="2"/>
      <charset val="204"/>
    </font>
    <font>
      <sz val="8"/>
      <name val="Century Gothic"/>
      <family val="2"/>
      <charset val="204"/>
    </font>
    <font>
      <b/>
      <sz val="9"/>
      <color rgb="FF161667"/>
      <name val="Century Gothic"/>
      <family val="1"/>
    </font>
    <font>
      <sz val="14"/>
      <color theme="0"/>
      <name val="Century Gothic"/>
      <family val="1"/>
    </font>
    <font>
      <sz val="11"/>
      <color theme="0"/>
      <name val="Calibri"/>
      <family val="2"/>
      <charset val="204"/>
      <scheme val="minor"/>
    </font>
    <font>
      <sz val="9"/>
      <name val="Arial Cyr"/>
      <charset val="204"/>
    </font>
    <font>
      <b/>
      <sz val="10"/>
      <name val="Arial Cyr"/>
      <charset val="204"/>
    </font>
    <font>
      <b/>
      <sz val="9"/>
      <color rgb="FFFF0000"/>
      <name val="Arial"/>
      <family val="2"/>
      <charset val="204"/>
    </font>
    <font>
      <sz val="10"/>
      <color rgb="FFFF0000"/>
      <name val="Arial Cyr"/>
      <charset val="204"/>
    </font>
    <font>
      <sz val="16"/>
      <color theme="0"/>
      <name val="Century Gothic"/>
      <family val="1"/>
    </font>
    <font>
      <sz val="20"/>
      <name val="Century Gothic"/>
      <family val="1"/>
    </font>
    <font>
      <b/>
      <sz val="11"/>
      <color theme="0"/>
      <name val="Century Gothic"/>
      <family val="1"/>
    </font>
    <font>
      <b/>
      <sz val="10"/>
      <color rgb="FF002060"/>
      <name val="Century Gothic"/>
      <family val="1"/>
    </font>
    <font>
      <b/>
      <sz val="16"/>
      <color theme="0"/>
      <name val="Century Gothic"/>
      <family val="2"/>
      <charset val="204"/>
    </font>
    <font>
      <sz val="10"/>
      <name val="Century Gothic"/>
      <family val="2"/>
      <charset val="204"/>
    </font>
    <font>
      <b/>
      <sz val="15.5"/>
      <color theme="0"/>
      <name val="Century Gothic"/>
      <family val="1"/>
    </font>
    <font>
      <b/>
      <sz val="18"/>
      <name val="Century Gothic"/>
      <family val="2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Calibri"/>
      <family val="2"/>
      <charset val="204"/>
    </font>
    <font>
      <b/>
      <sz val="8"/>
      <color rgb="FF000000"/>
      <name val="Times New Roman"/>
      <family val="1"/>
      <charset val="204"/>
    </font>
    <font>
      <sz val="9"/>
      <color theme="1"/>
      <name val="Arial"/>
      <family val="2"/>
      <charset val="204"/>
    </font>
    <font>
      <sz val="8"/>
      <name val="Arial Cyr"/>
      <charset val="204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18"/>
      <name val="Arial"/>
      <family val="2"/>
      <charset val="204"/>
    </font>
    <font>
      <b/>
      <sz val="14"/>
      <color rgb="FFC00000"/>
      <name val="Arial"/>
      <family val="2"/>
      <charset val="204"/>
    </font>
    <font>
      <b/>
      <sz val="10"/>
      <name val="Calibri"/>
      <family val="2"/>
      <charset val="204"/>
    </font>
    <font>
      <sz val="10"/>
      <name val="Times New Roman"/>
      <family val="1"/>
      <charset val="204"/>
    </font>
    <font>
      <b/>
      <sz val="11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rgb="FF212121"/>
      <name val="Times New Roman"/>
      <family val="1"/>
      <charset val="204"/>
    </font>
    <font>
      <sz val="9"/>
      <name val="Century Gothic"/>
      <family val="2"/>
      <charset val="204"/>
    </font>
    <font>
      <b/>
      <sz val="9"/>
      <name val="Century Gothic"/>
      <family val="2"/>
      <charset val="204"/>
    </font>
    <font>
      <b/>
      <sz val="9"/>
      <color rgb="FFFF0000"/>
      <name val="Century Gothic"/>
      <family val="1"/>
    </font>
    <font>
      <sz val="10"/>
      <name val="Calibri"/>
      <family val="2"/>
      <charset val="204"/>
    </font>
    <font>
      <sz val="10"/>
      <color rgb="FFFF0000"/>
      <name val="Calibri"/>
      <family val="2"/>
      <charset val="204"/>
    </font>
    <font>
      <b/>
      <sz val="10"/>
      <color theme="1"/>
      <name val="Century Gothic"/>
      <family val="2"/>
      <charset val="204"/>
    </font>
    <font>
      <b/>
      <sz val="11"/>
      <name val="Century Gothic"/>
      <family val="2"/>
      <charset val="204"/>
    </font>
    <font>
      <b/>
      <sz val="8"/>
      <color rgb="FFC00000"/>
      <name val="Century Gothic"/>
      <family val="1"/>
    </font>
    <font>
      <b/>
      <sz val="10"/>
      <color theme="1" tint="0.499984740745262"/>
      <name val="Century Gothic"/>
      <family val="1"/>
    </font>
    <font>
      <sz val="9"/>
      <color rgb="FFFF0000"/>
      <name val="Arial"/>
      <family val="2"/>
      <charset val="204"/>
    </font>
    <font>
      <sz val="10"/>
      <color rgb="FF000000"/>
      <name val="Calibri"/>
      <family val="2"/>
      <charset val="204"/>
    </font>
    <font>
      <sz val="10"/>
      <color rgb="FFC00000"/>
      <name val="Calibri"/>
      <family val="2"/>
      <charset val="204"/>
    </font>
    <font>
      <sz val="9"/>
      <color rgb="FF0070C0"/>
      <name val="Arial"/>
      <family val="2"/>
      <charset val="204"/>
    </font>
    <font>
      <sz val="9"/>
      <color rgb="FF00B050"/>
      <name val="Arial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AE3FF"/>
        <bgColor indexed="64"/>
      </patternFill>
    </fill>
    <fill>
      <patternFill patternType="solid">
        <fgColor rgb="FFC00049"/>
        <bgColor indexed="64"/>
      </patternFill>
    </fill>
    <fill>
      <patternFill patternType="solid">
        <fgColor rgb="FFEFF3FF"/>
        <bgColor indexed="64"/>
      </patternFill>
    </fill>
    <fill>
      <patternFill patternType="solid">
        <fgColor rgb="FF161667"/>
        <bgColor indexed="64"/>
      </patternFill>
    </fill>
    <fill>
      <patternFill patternType="solid">
        <fgColor rgb="FFF9ECF9"/>
        <bgColor rgb="FFF4D4EF"/>
      </patternFill>
    </fill>
    <fill>
      <patternFill patternType="solid">
        <fgColor rgb="FFF2E4EE"/>
        <bgColor indexed="64"/>
      </patternFill>
    </fill>
    <fill>
      <patternFill patternType="solid">
        <fgColor rgb="FFC00149"/>
        <bgColor indexed="64"/>
      </patternFill>
    </fill>
    <fill>
      <patternFill patternType="solid">
        <fgColor rgb="FFEFF3FF"/>
        <bgColor rgb="FFF4D4EF"/>
      </patternFill>
    </fill>
    <fill>
      <patternFill patternType="solid">
        <fgColor rgb="FF7B81C7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83D68"/>
        <bgColor indexed="64"/>
      </patternFill>
    </fill>
    <fill>
      <patternFill patternType="solid">
        <fgColor rgb="FF647E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B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4D4E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2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rgb="FFC00049"/>
      </left>
      <right style="thin">
        <color theme="0" tint="-0.14999847407452621"/>
      </right>
      <top style="medium">
        <color rgb="FFC00049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C00049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C00049"/>
      </right>
      <top style="medium">
        <color rgb="FFC00049"/>
      </top>
      <bottom style="thin">
        <color theme="0" tint="-0.14999847407452621"/>
      </bottom>
      <diagonal/>
    </border>
    <border>
      <left style="medium">
        <color rgb="FFC00049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C00049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C00049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medium">
        <color rgb="FFC00049"/>
      </right>
      <top style="thin">
        <color theme="0" tint="-0.14999847407452621"/>
      </top>
      <bottom/>
      <diagonal/>
    </border>
    <border>
      <left style="thin">
        <color rgb="FF7B81C7"/>
      </left>
      <right style="thin">
        <color rgb="FF7B81C7"/>
      </right>
      <top style="thin">
        <color rgb="FF7B81C7"/>
      </top>
      <bottom style="thin">
        <color rgb="FF7B81C7"/>
      </bottom>
      <diagonal/>
    </border>
    <border>
      <left style="thin">
        <color rgb="FF8990E0"/>
      </left>
      <right/>
      <top style="thin">
        <color rgb="FF8990E0"/>
      </top>
      <bottom style="thin">
        <color rgb="FF8990E0"/>
      </bottom>
      <diagonal/>
    </border>
    <border>
      <left style="thin">
        <color rgb="FF8990E0"/>
      </left>
      <right/>
      <top style="thin">
        <color rgb="FF8990E0"/>
      </top>
      <bottom/>
      <diagonal/>
    </border>
    <border>
      <left style="thin">
        <color rgb="FF7B81C7"/>
      </left>
      <right style="thin">
        <color rgb="FF7B81C7"/>
      </right>
      <top style="thin">
        <color rgb="FF7B81C7"/>
      </top>
      <bottom/>
      <diagonal/>
    </border>
    <border>
      <left/>
      <right/>
      <top/>
      <bottom style="medium">
        <color rgb="FFC00149"/>
      </bottom>
      <diagonal/>
    </border>
    <border>
      <left style="thin">
        <color rgb="FFC00149"/>
      </left>
      <right style="thin">
        <color rgb="FFC00149"/>
      </right>
      <top style="thin">
        <color rgb="FFC00149"/>
      </top>
      <bottom style="thin">
        <color rgb="FFC00149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B81C7"/>
      </left>
      <right style="thin">
        <color rgb="FF7B81C7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8990E0"/>
      </left>
      <right/>
      <top/>
      <bottom style="thin">
        <color rgb="FF8990E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B81C7"/>
      </left>
      <right style="thin">
        <color rgb="FF7B81C7"/>
      </right>
      <top style="thin">
        <color rgb="FF7B81C7"/>
      </top>
      <bottom style="medium">
        <color rgb="FFC00149"/>
      </bottom>
      <diagonal/>
    </border>
    <border>
      <left/>
      <right style="thin">
        <color rgb="FFC00149"/>
      </right>
      <top style="thin">
        <color rgb="FFC00149"/>
      </top>
      <bottom style="thin">
        <color rgb="FFC0014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B81C7"/>
      </left>
      <right/>
      <top style="thin">
        <color rgb="FF7B81C7"/>
      </top>
      <bottom style="thin">
        <color rgb="FF7B81C7"/>
      </bottom>
      <diagonal/>
    </border>
    <border>
      <left style="medium">
        <color rgb="FFC00149"/>
      </left>
      <right/>
      <top style="medium">
        <color rgb="FFC00149"/>
      </top>
      <bottom/>
      <diagonal/>
    </border>
    <border>
      <left/>
      <right/>
      <top style="medium">
        <color rgb="FFC00149"/>
      </top>
      <bottom/>
      <diagonal/>
    </border>
    <border>
      <left/>
      <right style="medium">
        <color rgb="FFC00149"/>
      </right>
      <top style="medium">
        <color rgb="FFC00149"/>
      </top>
      <bottom/>
      <diagonal/>
    </border>
    <border>
      <left style="thin">
        <color rgb="FFEFF3FF"/>
      </left>
      <right style="thin">
        <color rgb="FFEFF3FF"/>
      </right>
      <top style="thin">
        <color rgb="FFEFF3FF"/>
      </top>
      <bottom style="thin">
        <color rgb="FFEFF3FF"/>
      </bottom>
      <diagonal/>
    </border>
    <border>
      <left style="medium">
        <color rgb="FFC00049"/>
      </left>
      <right/>
      <top style="medium">
        <color rgb="FFC00049"/>
      </top>
      <bottom/>
      <diagonal/>
    </border>
    <border>
      <left/>
      <right/>
      <top style="medium">
        <color rgb="FFC00049"/>
      </top>
      <bottom/>
      <diagonal/>
    </border>
    <border>
      <left/>
      <right style="thin">
        <color theme="0" tint="-0.14999847407452621"/>
      </right>
      <top style="medium">
        <color rgb="FFC00049"/>
      </top>
      <bottom/>
      <diagonal/>
    </border>
    <border>
      <left style="medium">
        <color rgb="FFC00049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rgb="FF7B81C7"/>
      </right>
      <top/>
      <bottom/>
      <diagonal/>
    </border>
    <border>
      <left style="thin">
        <color rgb="FF7B81C7"/>
      </left>
      <right style="thin">
        <color rgb="FF7B81C7"/>
      </right>
      <top/>
      <bottom style="thin">
        <color rgb="FF7B81C7"/>
      </bottom>
      <diagonal/>
    </border>
    <border>
      <left style="thin">
        <color rgb="FFC00149"/>
      </left>
      <right/>
      <top style="thin">
        <color rgb="FFC00149"/>
      </top>
      <bottom/>
      <diagonal/>
    </border>
    <border>
      <left/>
      <right/>
      <top style="thin">
        <color rgb="FFC00149"/>
      </top>
      <bottom/>
      <diagonal/>
    </border>
    <border>
      <left/>
      <right style="thin">
        <color rgb="FFC00149"/>
      </right>
      <top style="thin">
        <color rgb="FFC00149"/>
      </top>
      <bottom/>
      <diagonal/>
    </border>
    <border>
      <left style="thin">
        <color rgb="FF7B81C7"/>
      </left>
      <right/>
      <top style="thin">
        <color rgb="FF7B81C7"/>
      </top>
      <bottom/>
      <diagonal/>
    </border>
    <border>
      <left/>
      <right style="thin">
        <color rgb="FF7B81C7"/>
      </right>
      <top/>
      <bottom style="medium">
        <color rgb="FF161667"/>
      </bottom>
      <diagonal/>
    </border>
    <border>
      <left/>
      <right/>
      <top/>
      <bottom style="medium">
        <color rgb="FF161667"/>
      </bottom>
      <diagonal/>
    </border>
    <border>
      <left/>
      <right style="thin">
        <color rgb="FF7B81C7"/>
      </right>
      <top/>
      <bottom style="medium">
        <color rgb="FFC00149"/>
      </bottom>
      <diagonal/>
    </border>
    <border>
      <left style="thin">
        <color rgb="FFC00149"/>
      </left>
      <right style="thin">
        <color rgb="FFC00149"/>
      </right>
      <top/>
      <bottom/>
      <diagonal/>
    </border>
    <border>
      <left style="medium">
        <color rgb="FFC00049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rgb="FFEFF3FF"/>
      </left>
      <right/>
      <top style="thin">
        <color rgb="FFEFF3FF"/>
      </top>
      <bottom style="thin">
        <color rgb="FFEFF3FF"/>
      </bottom>
      <diagonal/>
    </border>
    <border>
      <left/>
      <right style="thin">
        <color rgb="FFEFF3FF"/>
      </right>
      <top style="thin">
        <color rgb="FFEFF3FF"/>
      </top>
      <bottom style="thin">
        <color rgb="FFEFF3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rgb="FFC00149"/>
      </left>
      <right/>
      <top/>
      <bottom/>
      <diagonal/>
    </border>
    <border>
      <left/>
      <right style="medium">
        <color rgb="FFC00149"/>
      </right>
      <top/>
      <bottom/>
      <diagonal/>
    </border>
    <border>
      <left style="medium">
        <color rgb="FFC00149"/>
      </left>
      <right/>
      <top/>
      <bottom style="thin">
        <color rgb="FFC00149"/>
      </bottom>
      <diagonal/>
    </border>
    <border>
      <left/>
      <right/>
      <top/>
      <bottom style="thin">
        <color rgb="FFC00149"/>
      </bottom>
      <diagonal/>
    </border>
    <border>
      <left/>
      <right style="medium">
        <color rgb="FFC00149"/>
      </right>
      <top/>
      <bottom style="thin">
        <color rgb="FFC00149"/>
      </bottom>
      <diagonal/>
    </border>
    <border>
      <left style="thin">
        <color rgb="FF7B81C7"/>
      </left>
      <right/>
      <top/>
      <bottom/>
      <diagonal/>
    </border>
    <border>
      <left style="thin">
        <color rgb="FFC00149"/>
      </left>
      <right/>
      <top style="thin">
        <color rgb="FFC00149"/>
      </top>
      <bottom style="thin">
        <color rgb="FFC00149"/>
      </bottom>
      <diagonal/>
    </border>
    <border>
      <left/>
      <right/>
      <top style="thin">
        <color rgb="FFC00149"/>
      </top>
      <bottom style="thin">
        <color rgb="FFC00149"/>
      </bottom>
      <diagonal/>
    </border>
    <border>
      <left style="thin">
        <color rgb="FF7B81C7"/>
      </left>
      <right/>
      <top/>
      <bottom style="thin">
        <color rgb="FF7B81C7"/>
      </bottom>
      <diagonal/>
    </border>
    <border>
      <left style="thin">
        <color rgb="FFC00149"/>
      </left>
      <right style="thin">
        <color rgb="FFC00149"/>
      </right>
      <top/>
      <bottom style="thin">
        <color rgb="FFC00149"/>
      </bottom>
      <diagonal/>
    </border>
    <border>
      <left style="thin">
        <color rgb="FFC00149"/>
      </left>
      <right style="thin">
        <color rgb="FFC00149"/>
      </right>
      <top style="thin">
        <color rgb="FFC00149"/>
      </top>
      <bottom/>
      <diagonal/>
    </border>
    <border>
      <left style="thin">
        <color rgb="FF647ED1"/>
      </left>
      <right style="thin">
        <color rgb="FF647ED1"/>
      </right>
      <top style="thin">
        <color rgb="FF647ED1"/>
      </top>
      <bottom style="thin">
        <color rgb="FF647ED1"/>
      </bottom>
      <diagonal/>
    </border>
    <border>
      <left/>
      <right style="thin">
        <color rgb="FF647ED1"/>
      </right>
      <top style="thin">
        <color rgb="FF647ED1"/>
      </top>
      <bottom/>
      <diagonal/>
    </border>
    <border>
      <left style="thin">
        <color rgb="FF647ED1"/>
      </left>
      <right/>
      <top style="thin">
        <color rgb="FF647ED1"/>
      </top>
      <bottom/>
      <diagonal/>
    </border>
    <border>
      <left style="thin">
        <color rgb="FF647ED1"/>
      </left>
      <right style="thin">
        <color rgb="FF647ED1"/>
      </right>
      <top style="thin">
        <color rgb="FF647ED1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rgb="FF7B81C7"/>
      </top>
      <bottom style="thin">
        <color rgb="FF7B81C7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rgb="FFEFF3FF"/>
      </top>
      <bottom/>
      <diagonal/>
    </border>
    <border>
      <left/>
      <right style="thin">
        <color theme="0"/>
      </right>
      <top/>
      <bottom/>
      <diagonal/>
    </border>
  </borders>
  <cellStyleXfs count="16">
    <xf numFmtId="0" fontId="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40" fillId="0" borderId="0"/>
    <xf numFmtId="164" fontId="2" fillId="0" borderId="0" applyFont="0" applyFill="0" applyBorder="0" applyAlignment="0" applyProtection="0"/>
    <xf numFmtId="0" fontId="1" fillId="0" borderId="0"/>
  </cellStyleXfs>
  <cellXfs count="1106">
    <xf numFmtId="0" fontId="0" fillId="0" borderId="0" xfId="0"/>
    <xf numFmtId="0" fontId="11" fillId="0" borderId="0" xfId="0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0" fontId="0" fillId="0" borderId="0" xfId="0" applyProtection="1">
      <protection hidden="1"/>
    </xf>
    <xf numFmtId="0" fontId="18" fillId="8" borderId="0" xfId="0" applyFont="1" applyFill="1" applyProtection="1">
      <protection hidden="1"/>
    </xf>
    <xf numFmtId="0" fontId="19" fillId="8" borderId="0" xfId="0" applyFont="1" applyFill="1" applyAlignment="1" applyProtection="1">
      <alignment horizontal="left"/>
      <protection hidden="1"/>
    </xf>
    <xf numFmtId="167" fontId="14" fillId="0" borderId="0" xfId="0" applyNumberFormat="1" applyFont="1" applyAlignment="1" applyProtection="1">
      <alignment horizontal="left"/>
      <protection hidden="1"/>
    </xf>
    <xf numFmtId="14" fontId="12" fillId="0" borderId="0" xfId="0" applyNumberFormat="1" applyFont="1" applyAlignment="1" applyProtection="1">
      <alignment horizontal="center"/>
      <protection hidden="1"/>
    </xf>
    <xf numFmtId="0" fontId="19" fillId="8" borderId="0" xfId="0" applyFont="1" applyFill="1" applyProtection="1">
      <protection hidden="1"/>
    </xf>
    <xf numFmtId="171" fontId="13" fillId="0" borderId="0" xfId="0" applyNumberFormat="1" applyFont="1" applyAlignment="1" applyProtection="1">
      <alignment horizontal="center"/>
      <protection hidden="1"/>
    </xf>
    <xf numFmtId="10" fontId="11" fillId="0" borderId="0" xfId="1" applyNumberFormat="1" applyFont="1" applyFill="1" applyBorder="1" applyAlignment="1" applyProtection="1">
      <alignment horizontal="center"/>
      <protection hidden="1"/>
    </xf>
    <xf numFmtId="167" fontId="11" fillId="0" borderId="0" xfId="0" applyNumberFormat="1" applyFont="1" applyProtection="1">
      <protection hidden="1"/>
    </xf>
    <xf numFmtId="9" fontId="11" fillId="0" borderId="1" xfId="1" applyFont="1" applyFill="1" applyBorder="1" applyAlignment="1" applyProtection="1">
      <alignment horizontal="center"/>
      <protection hidden="1"/>
    </xf>
    <xf numFmtId="166" fontId="11" fillId="0" borderId="0" xfId="0" applyNumberFormat="1" applyFont="1" applyProtection="1">
      <protection hidden="1"/>
    </xf>
    <xf numFmtId="9" fontId="11" fillId="0" borderId="2" xfId="1" applyFont="1" applyFill="1" applyBorder="1" applyAlignment="1" applyProtection="1">
      <alignment horizontal="center"/>
      <protection hidden="1"/>
    </xf>
    <xf numFmtId="10" fontId="11" fillId="0" borderId="0" xfId="0" applyNumberFormat="1" applyFont="1" applyProtection="1">
      <protection hidden="1"/>
    </xf>
    <xf numFmtId="0" fontId="12" fillId="0" borderId="0" xfId="0" applyFont="1" applyProtection="1">
      <protection hidden="1"/>
    </xf>
    <xf numFmtId="10" fontId="19" fillId="8" borderId="0" xfId="1" applyNumberFormat="1" applyFont="1" applyFill="1" applyBorder="1" applyAlignment="1" applyProtection="1">
      <alignment horizontal="center"/>
      <protection hidden="1"/>
    </xf>
    <xf numFmtId="170" fontId="11" fillId="0" borderId="0" xfId="0" applyNumberFormat="1" applyFont="1" applyProtection="1">
      <protection hidden="1"/>
    </xf>
    <xf numFmtId="0" fontId="18" fillId="6" borderId="0" xfId="0" applyFont="1" applyFill="1" applyAlignment="1" applyProtection="1">
      <alignment horizontal="center" vertical="top" wrapText="1"/>
      <protection hidden="1"/>
    </xf>
    <xf numFmtId="0" fontId="20" fillId="6" borderId="0" xfId="0" applyFont="1" applyFill="1" applyAlignment="1" applyProtection="1">
      <alignment horizontal="center" vertical="top" wrapText="1"/>
      <protection hidden="1"/>
    </xf>
    <xf numFmtId="0" fontId="18" fillId="7" borderId="0" xfId="0" applyFont="1" applyFill="1" applyAlignment="1" applyProtection="1">
      <alignment vertical="top"/>
      <protection hidden="1"/>
    </xf>
    <xf numFmtId="14" fontId="15" fillId="9" borderId="0" xfId="0" applyNumberFormat="1" applyFont="1" applyFill="1" applyAlignment="1" applyProtection="1">
      <alignment horizontal="center"/>
      <protection hidden="1"/>
    </xf>
    <xf numFmtId="170" fontId="18" fillId="5" borderId="0" xfId="0" applyNumberFormat="1" applyFont="1" applyFill="1" applyAlignment="1" applyProtection="1">
      <alignment horizontal="center"/>
      <protection hidden="1"/>
    </xf>
    <xf numFmtId="166" fontId="19" fillId="7" borderId="0" xfId="2" applyFont="1" applyFill="1" applyBorder="1" applyAlignment="1" applyProtection="1">
      <alignment horizontal="center" vertical="top"/>
      <protection hidden="1"/>
    </xf>
    <xf numFmtId="165" fontId="19" fillId="7" borderId="0" xfId="0" applyNumberFormat="1" applyFont="1" applyFill="1" applyAlignment="1" applyProtection="1">
      <alignment horizontal="center" vertical="top"/>
      <protection hidden="1"/>
    </xf>
    <xf numFmtId="165" fontId="19" fillId="7" borderId="0" xfId="0" quotePrefix="1" applyNumberFormat="1" applyFont="1" applyFill="1" applyAlignment="1" applyProtection="1">
      <alignment horizontal="right"/>
      <protection hidden="1"/>
    </xf>
    <xf numFmtId="14" fontId="19" fillId="7" borderId="0" xfId="0" applyNumberFormat="1" applyFont="1" applyFill="1" applyAlignment="1" applyProtection="1">
      <alignment horizontal="center"/>
      <protection hidden="1"/>
    </xf>
    <xf numFmtId="0" fontId="19" fillId="3" borderId="0" xfId="0" applyFont="1" applyFill="1" applyProtection="1">
      <protection hidden="1"/>
    </xf>
    <xf numFmtId="0" fontId="18" fillId="3" borderId="0" xfId="0" applyFont="1" applyFill="1" applyAlignment="1" applyProtection="1">
      <alignment horizontal="right"/>
      <protection hidden="1"/>
    </xf>
    <xf numFmtId="167" fontId="18" fillId="2" borderId="0" xfId="0" applyNumberFormat="1" applyFont="1" applyFill="1" applyAlignment="1" applyProtection="1">
      <alignment horizontal="center"/>
      <protection hidden="1"/>
    </xf>
    <xf numFmtId="167" fontId="18" fillId="3" borderId="0" xfId="0" applyNumberFormat="1" applyFont="1" applyFill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10" fontId="12" fillId="0" borderId="0" xfId="0" applyNumberFormat="1" applyFont="1" applyAlignment="1" applyProtection="1">
      <alignment horizontal="center"/>
      <protection hidden="1"/>
    </xf>
    <xf numFmtId="168" fontId="12" fillId="0" borderId="0" xfId="0" applyNumberFormat="1" applyFont="1" applyProtection="1">
      <protection hidden="1"/>
    </xf>
    <xf numFmtId="168" fontId="11" fillId="0" borderId="0" xfId="0" applyNumberFormat="1" applyFont="1" applyProtection="1">
      <protection hidden="1"/>
    </xf>
    <xf numFmtId="173" fontId="19" fillId="7" borderId="0" xfId="2" applyNumberFormat="1" applyFont="1" applyFill="1" applyBorder="1" applyAlignment="1" applyProtection="1">
      <alignment horizontal="center" vertical="top"/>
      <protection hidden="1"/>
    </xf>
    <xf numFmtId="0" fontId="12" fillId="8" borderId="0" xfId="0" applyFont="1" applyFill="1" applyAlignment="1" applyProtection="1">
      <alignment horizontal="center"/>
      <protection hidden="1"/>
    </xf>
    <xf numFmtId="0" fontId="17" fillId="6" borderId="0" xfId="0" applyFont="1" applyFill="1" applyAlignment="1" applyProtection="1">
      <alignment horizontal="center"/>
      <protection hidden="1"/>
    </xf>
    <xf numFmtId="170" fontId="17" fillId="6" borderId="0" xfId="0" applyNumberFormat="1" applyFont="1" applyFill="1" applyAlignment="1" applyProtection="1">
      <alignment horizontal="center"/>
      <protection hidden="1"/>
    </xf>
    <xf numFmtId="0" fontId="11" fillId="8" borderId="0" xfId="0" applyFont="1" applyFill="1" applyAlignment="1" applyProtection="1">
      <alignment horizontal="center"/>
      <protection hidden="1"/>
    </xf>
    <xf numFmtId="170" fontId="16" fillId="6" borderId="0" xfId="0" applyNumberFormat="1" applyFont="1" applyFill="1" applyAlignment="1" applyProtection="1">
      <alignment horizontal="center"/>
      <protection hidden="1"/>
    </xf>
    <xf numFmtId="0" fontId="16" fillId="6" borderId="0" xfId="0" applyFont="1" applyFill="1" applyAlignment="1" applyProtection="1">
      <alignment horizontal="center"/>
      <protection hidden="1"/>
    </xf>
    <xf numFmtId="0" fontId="18" fillId="6" borderId="0" xfId="0" applyFont="1" applyFill="1" applyAlignment="1" applyProtection="1">
      <alignment vertical="top" wrapText="1"/>
      <protection hidden="1"/>
    </xf>
    <xf numFmtId="173" fontId="11" fillId="0" borderId="0" xfId="2" applyNumberFormat="1" applyFont="1" applyProtection="1">
      <protection hidden="1"/>
    </xf>
    <xf numFmtId="0" fontId="23" fillId="6" borderId="0" xfId="0" applyFont="1" applyFill="1" applyAlignment="1" applyProtection="1">
      <alignment horizontal="center" vertical="top" wrapText="1"/>
      <protection hidden="1"/>
    </xf>
    <xf numFmtId="16" fontId="11" fillId="0" borderId="0" xfId="0" applyNumberFormat="1" applyFont="1" applyProtection="1">
      <protection hidden="1"/>
    </xf>
    <xf numFmtId="173" fontId="12" fillId="0" borderId="0" xfId="2" applyNumberFormat="1" applyFont="1" applyFill="1" applyAlignment="1" applyProtection="1">
      <alignment horizontal="center"/>
      <protection hidden="1"/>
    </xf>
    <xf numFmtId="173" fontId="12" fillId="0" borderId="0" xfId="2" applyNumberFormat="1" applyFont="1" applyAlignment="1" applyProtection="1">
      <alignment horizontal="center"/>
      <protection hidden="1"/>
    </xf>
    <xf numFmtId="173" fontId="22" fillId="7" borderId="0" xfId="2" applyNumberFormat="1" applyFont="1" applyFill="1" applyAlignment="1" applyProtection="1">
      <alignment horizontal="left" vertical="center"/>
      <protection hidden="1"/>
    </xf>
    <xf numFmtId="173" fontId="18" fillId="6" borderId="0" xfId="2" applyNumberFormat="1" applyFont="1" applyFill="1" applyBorder="1" applyAlignment="1" applyProtection="1">
      <alignment horizontal="center" vertical="top" wrapText="1"/>
      <protection hidden="1"/>
    </xf>
    <xf numFmtId="173" fontId="18" fillId="3" borderId="0" xfId="2" applyNumberFormat="1" applyFont="1" applyFill="1" applyBorder="1" applyAlignment="1" applyProtection="1">
      <alignment horizontal="center"/>
      <protection hidden="1"/>
    </xf>
    <xf numFmtId="173" fontId="12" fillId="0" borderId="0" xfId="2" applyNumberFormat="1" applyFont="1" applyBorder="1" applyAlignment="1" applyProtection="1">
      <alignment horizontal="center"/>
      <protection hidden="1"/>
    </xf>
    <xf numFmtId="16" fontId="11" fillId="0" borderId="0" xfId="0" applyNumberFormat="1" applyFont="1" applyAlignment="1" applyProtection="1">
      <alignment horizontal="center"/>
      <protection hidden="1"/>
    </xf>
    <xf numFmtId="2" fontId="11" fillId="0" borderId="0" xfId="0" applyNumberFormat="1" applyFont="1" applyProtection="1">
      <protection hidden="1"/>
    </xf>
    <xf numFmtId="0" fontId="11" fillId="0" borderId="0" xfId="0" applyFont="1" applyAlignment="1" applyProtection="1">
      <alignment wrapText="1"/>
      <protection hidden="1"/>
    </xf>
    <xf numFmtId="170" fontId="19" fillId="7" borderId="0" xfId="2" applyNumberFormat="1" applyFont="1" applyFill="1" applyBorder="1" applyAlignment="1" applyProtection="1">
      <alignment horizontal="center" vertical="top"/>
      <protection hidden="1"/>
    </xf>
    <xf numFmtId="14" fontId="11" fillId="0" borderId="0" xfId="0" applyNumberFormat="1" applyFont="1" applyProtection="1">
      <protection hidden="1"/>
    </xf>
    <xf numFmtId="9" fontId="11" fillId="0" borderId="0" xfId="1" applyFont="1" applyFill="1" applyBorder="1" applyAlignment="1" applyProtection="1">
      <alignment horizontal="center"/>
      <protection hidden="1"/>
    </xf>
    <xf numFmtId="16" fontId="19" fillId="7" borderId="0" xfId="2" applyNumberFormat="1" applyFont="1" applyFill="1" applyBorder="1" applyAlignment="1" applyProtection="1">
      <alignment horizontal="center" vertical="top"/>
      <protection hidden="1"/>
    </xf>
    <xf numFmtId="14" fontId="12" fillId="0" borderId="0" xfId="0" applyNumberFormat="1" applyFont="1" applyProtection="1">
      <protection hidden="1"/>
    </xf>
    <xf numFmtId="14" fontId="0" fillId="0" borderId="0" xfId="0" applyNumberFormat="1"/>
    <xf numFmtId="10" fontId="11" fillId="0" borderId="0" xfId="1" applyNumberFormat="1" applyFont="1" applyProtection="1">
      <protection hidden="1"/>
    </xf>
    <xf numFmtId="0" fontId="11" fillId="0" borderId="0" xfId="0" applyFont="1" applyAlignment="1" applyProtection="1">
      <alignment horizontal="center" vertical="center"/>
      <protection hidden="1"/>
    </xf>
    <xf numFmtId="9" fontId="11" fillId="0" borderId="0" xfId="1" applyFont="1" applyProtection="1">
      <protection hidden="1"/>
    </xf>
    <xf numFmtId="0" fontId="11" fillId="2" borderId="0" xfId="0" applyFont="1" applyFill="1" applyProtection="1">
      <protection hidden="1"/>
    </xf>
    <xf numFmtId="169" fontId="11" fillId="0" borderId="0" xfId="0" applyNumberFormat="1" applyFont="1" applyProtection="1">
      <protection hidden="1"/>
    </xf>
    <xf numFmtId="0" fontId="19" fillId="6" borderId="3" xfId="0" applyFont="1" applyFill="1" applyBorder="1" applyAlignment="1" applyProtection="1">
      <alignment horizontal="left"/>
      <protection hidden="1"/>
    </xf>
    <xf numFmtId="0" fontId="18" fillId="12" borderId="3" xfId="0" applyFont="1" applyFill="1" applyBorder="1" applyAlignment="1" applyProtection="1">
      <alignment horizontal="center"/>
      <protection hidden="1"/>
    </xf>
    <xf numFmtId="0" fontId="11" fillId="12" borderId="3" xfId="0" applyFont="1" applyFill="1" applyBorder="1" applyAlignment="1" applyProtection="1">
      <alignment horizontal="center"/>
      <protection hidden="1"/>
    </xf>
    <xf numFmtId="172" fontId="12" fillId="12" borderId="3" xfId="0" applyNumberFormat="1" applyFont="1" applyFill="1" applyBorder="1" applyAlignment="1" applyProtection="1">
      <alignment horizontal="center"/>
      <protection hidden="1"/>
    </xf>
    <xf numFmtId="168" fontId="11" fillId="12" borderId="3" xfId="0" applyNumberFormat="1" applyFont="1" applyFill="1" applyBorder="1" applyAlignment="1" applyProtection="1">
      <alignment horizontal="center"/>
      <protection hidden="1"/>
    </xf>
    <xf numFmtId="170" fontId="12" fillId="12" borderId="3" xfId="0" applyNumberFormat="1" applyFont="1" applyFill="1" applyBorder="1" applyAlignment="1" applyProtection="1">
      <alignment horizontal="center"/>
      <protection hidden="1"/>
    </xf>
    <xf numFmtId="10" fontId="19" fillId="12" borderId="3" xfId="1" applyNumberFormat="1" applyFont="1" applyFill="1" applyBorder="1" applyAlignment="1" applyProtection="1">
      <alignment horizontal="center"/>
      <protection hidden="1"/>
    </xf>
    <xf numFmtId="170" fontId="16" fillId="12" borderId="3" xfId="0" applyNumberFormat="1" applyFont="1" applyFill="1" applyBorder="1" applyAlignment="1" applyProtection="1">
      <alignment horizontal="center"/>
      <protection hidden="1"/>
    </xf>
    <xf numFmtId="172" fontId="16" fillId="12" borderId="3" xfId="0" applyNumberFormat="1" applyFont="1" applyFill="1" applyBorder="1" applyAlignment="1" applyProtection="1">
      <alignment horizontal="center"/>
      <protection hidden="1"/>
    </xf>
    <xf numFmtId="10" fontId="16" fillId="12" borderId="3" xfId="1" applyNumberFormat="1" applyFont="1" applyFill="1" applyBorder="1" applyAlignment="1" applyProtection="1">
      <alignment horizontal="center"/>
      <protection hidden="1"/>
    </xf>
    <xf numFmtId="175" fontId="12" fillId="6" borderId="3" xfId="0" applyNumberFormat="1" applyFont="1" applyFill="1" applyBorder="1" applyAlignment="1" applyProtection="1">
      <alignment horizontal="center"/>
      <protection hidden="1"/>
    </xf>
    <xf numFmtId="10" fontId="12" fillId="6" borderId="3" xfId="1" applyNumberFormat="1" applyFont="1" applyFill="1" applyBorder="1" applyAlignment="1" applyProtection="1">
      <alignment horizontal="center"/>
      <protection hidden="1"/>
    </xf>
    <xf numFmtId="174" fontId="16" fillId="11" borderId="3" xfId="1" applyNumberFormat="1" applyFont="1" applyFill="1" applyBorder="1" applyAlignment="1" applyProtection="1">
      <alignment horizontal="center"/>
      <protection hidden="1"/>
    </xf>
    <xf numFmtId="10" fontId="11" fillId="13" borderId="0" xfId="0" applyNumberFormat="1" applyFont="1" applyFill="1" applyProtection="1">
      <protection hidden="1"/>
    </xf>
    <xf numFmtId="0" fontId="0" fillId="13" borderId="0" xfId="0" applyFill="1" applyProtection="1">
      <protection hidden="1"/>
    </xf>
    <xf numFmtId="0" fontId="11" fillId="13" borderId="0" xfId="0" applyFont="1" applyFill="1" applyProtection="1">
      <protection hidden="1"/>
    </xf>
    <xf numFmtId="10" fontId="16" fillId="11" borderId="3" xfId="1" applyNumberFormat="1" applyFont="1" applyFill="1" applyBorder="1" applyAlignment="1" applyProtection="1">
      <alignment horizontal="center"/>
      <protection hidden="1"/>
    </xf>
    <xf numFmtId="10" fontId="11" fillId="14" borderId="0" xfId="0" applyNumberFormat="1" applyFont="1" applyFill="1" applyProtection="1">
      <protection hidden="1"/>
    </xf>
    <xf numFmtId="0" fontId="11" fillId="14" borderId="0" xfId="0" applyFont="1" applyFill="1" applyAlignment="1" applyProtection="1">
      <alignment wrapText="1"/>
      <protection hidden="1"/>
    </xf>
    <xf numFmtId="10" fontId="11" fillId="14" borderId="0" xfId="1" applyNumberFormat="1" applyFont="1" applyFill="1" applyProtection="1">
      <protection hidden="1"/>
    </xf>
    <xf numFmtId="0" fontId="11" fillId="14" borderId="0" xfId="0" applyFont="1" applyFill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1" fontId="0" fillId="0" borderId="0" xfId="0" applyNumberFormat="1"/>
    <xf numFmtId="14" fontId="0" fillId="0" borderId="0" xfId="0" applyNumberFormat="1" applyProtection="1">
      <protection hidden="1"/>
    </xf>
    <xf numFmtId="0" fontId="26" fillId="0" borderId="0" xfId="0" applyFont="1" applyAlignment="1">
      <alignment horizontal="center" vertical="top" wrapText="1"/>
    </xf>
    <xf numFmtId="0" fontId="0" fillId="15" borderId="0" xfId="0" applyFill="1"/>
    <xf numFmtId="174" fontId="0" fillId="15" borderId="0" xfId="1" applyNumberFormat="1" applyFont="1" applyFill="1"/>
    <xf numFmtId="10" fontId="0" fillId="15" borderId="0" xfId="0" applyNumberFormat="1" applyFill="1"/>
    <xf numFmtId="173" fontId="21" fillId="4" borderId="0" xfId="2" applyNumberFormat="1" applyFont="1" applyFill="1" applyAlignment="1" applyProtection="1">
      <alignment horizontal="left" vertical="center"/>
      <protection hidden="1"/>
    </xf>
    <xf numFmtId="176" fontId="11" fillId="0" borderId="0" xfId="0" applyNumberFormat="1" applyFont="1" applyProtection="1">
      <protection hidden="1"/>
    </xf>
    <xf numFmtId="0" fontId="11" fillId="0" borderId="0" xfId="0" applyFont="1" applyAlignment="1" applyProtection="1">
      <alignment vertical="top"/>
      <protection hidden="1"/>
    </xf>
    <xf numFmtId="9" fontId="11" fillId="0" borderId="0" xfId="0" applyNumberFormat="1" applyFont="1" applyProtection="1">
      <protection hidden="1"/>
    </xf>
    <xf numFmtId="14" fontId="18" fillId="3" borderId="0" xfId="0" applyNumberFormat="1" applyFont="1" applyFill="1" applyAlignment="1" applyProtection="1">
      <alignment horizontal="center"/>
      <protection hidden="1"/>
    </xf>
    <xf numFmtId="14" fontId="11" fillId="0" borderId="0" xfId="0" applyNumberFormat="1" applyFont="1" applyAlignment="1" applyProtection="1">
      <alignment wrapText="1"/>
      <protection hidden="1"/>
    </xf>
    <xf numFmtId="10" fontId="11" fillId="2" borderId="0" xfId="0" applyNumberFormat="1" applyFont="1" applyFill="1" applyProtection="1">
      <protection hidden="1"/>
    </xf>
    <xf numFmtId="173" fontId="22" fillId="16" borderId="0" xfId="2" applyNumberFormat="1" applyFont="1" applyFill="1" applyAlignment="1" applyProtection="1">
      <alignment horizontal="left" vertical="center"/>
      <protection hidden="1"/>
    </xf>
    <xf numFmtId="0" fontId="22" fillId="16" borderId="0" xfId="0" applyFont="1" applyFill="1" applyAlignment="1" applyProtection="1">
      <alignment horizontal="left" vertical="center"/>
      <protection hidden="1"/>
    </xf>
    <xf numFmtId="173" fontId="18" fillId="16" borderId="0" xfId="2" applyNumberFormat="1" applyFont="1" applyFill="1" applyBorder="1" applyAlignment="1" applyProtection="1">
      <alignment horizontal="center" vertical="top" wrapText="1"/>
      <protection hidden="1"/>
    </xf>
    <xf numFmtId="166" fontId="19" fillId="16" borderId="0" xfId="2" applyFont="1" applyFill="1" applyBorder="1" applyAlignment="1" applyProtection="1">
      <alignment horizontal="center" vertical="top"/>
      <protection hidden="1"/>
    </xf>
    <xf numFmtId="165" fontId="19" fillId="16" borderId="0" xfId="0" applyNumberFormat="1" applyFont="1" applyFill="1" applyAlignment="1" applyProtection="1">
      <alignment horizontal="center" vertical="top"/>
      <protection hidden="1"/>
    </xf>
    <xf numFmtId="170" fontId="19" fillId="16" borderId="0" xfId="2" applyNumberFormat="1" applyFont="1" applyFill="1" applyBorder="1" applyAlignment="1" applyProtection="1">
      <alignment horizontal="center" vertical="top"/>
      <protection hidden="1"/>
    </xf>
    <xf numFmtId="173" fontId="19" fillId="16" borderId="0" xfId="2" applyNumberFormat="1" applyFont="1" applyFill="1" applyBorder="1" applyAlignment="1" applyProtection="1">
      <alignment horizontal="center" vertical="top"/>
      <protection hidden="1"/>
    </xf>
    <xf numFmtId="165" fontId="19" fillId="16" borderId="0" xfId="0" quotePrefix="1" applyNumberFormat="1" applyFont="1" applyFill="1" applyAlignment="1" applyProtection="1">
      <alignment horizontal="right"/>
      <protection hidden="1"/>
    </xf>
    <xf numFmtId="14" fontId="19" fillId="16" borderId="0" xfId="0" applyNumberFormat="1" applyFont="1" applyFill="1" applyAlignment="1" applyProtection="1">
      <alignment horizontal="center"/>
      <protection hidden="1"/>
    </xf>
    <xf numFmtId="14" fontId="19" fillId="7" borderId="0" xfId="0" applyNumberFormat="1" applyFont="1" applyFill="1" applyAlignment="1" applyProtection="1">
      <alignment horizontal="center" vertical="top"/>
      <protection hidden="1"/>
    </xf>
    <xf numFmtId="10" fontId="11" fillId="0" borderId="0" xfId="0" applyNumberFormat="1" applyFont="1" applyAlignment="1" applyProtection="1">
      <alignment vertical="top"/>
      <protection hidden="1"/>
    </xf>
    <xf numFmtId="0" fontId="0" fillId="0" borderId="0" xfId="0" applyAlignment="1" applyProtection="1">
      <alignment vertical="top"/>
      <protection hidden="1"/>
    </xf>
    <xf numFmtId="165" fontId="19" fillId="7" borderId="0" xfId="0" quotePrefix="1" applyNumberFormat="1" applyFont="1" applyFill="1" applyAlignment="1" applyProtection="1">
      <alignment horizontal="center" vertical="top"/>
      <protection hidden="1"/>
    </xf>
    <xf numFmtId="10" fontId="11" fillId="0" borderId="0" xfId="0" applyNumberFormat="1" applyFont="1" applyAlignment="1" applyProtection="1">
      <alignment horizontal="center" vertical="top"/>
      <protection hidden="1"/>
    </xf>
    <xf numFmtId="0" fontId="11" fillId="0" borderId="0" xfId="0" applyFont="1" applyAlignment="1" applyProtection="1">
      <alignment horizontal="center" vertical="top"/>
      <protection hidden="1"/>
    </xf>
    <xf numFmtId="0" fontId="22" fillId="7" borderId="0" xfId="0" applyFont="1" applyFill="1" applyAlignment="1" applyProtection="1">
      <alignment horizontal="left" vertical="center"/>
      <protection hidden="1"/>
    </xf>
    <xf numFmtId="164" fontId="11" fillId="0" borderId="0" xfId="0" applyNumberFormat="1" applyFont="1" applyProtection="1">
      <protection hidden="1"/>
    </xf>
    <xf numFmtId="177" fontId="11" fillId="12" borderId="15" xfId="0" applyNumberFormat="1" applyFont="1" applyFill="1" applyBorder="1" applyAlignment="1" applyProtection="1">
      <alignment horizontal="center" vertical="center"/>
      <protection hidden="1"/>
    </xf>
    <xf numFmtId="10" fontId="11" fillId="12" borderId="16" xfId="1" applyNumberFormat="1" applyFont="1" applyFill="1" applyBorder="1" applyAlignment="1" applyProtection="1">
      <alignment horizontal="center" vertical="center"/>
      <protection hidden="1"/>
    </xf>
    <xf numFmtId="177" fontId="12" fillId="12" borderId="15" xfId="1" applyNumberFormat="1" applyFont="1" applyFill="1" applyBorder="1" applyAlignment="1" applyProtection="1">
      <alignment horizontal="center" vertical="center"/>
      <protection hidden="1"/>
    </xf>
    <xf numFmtId="10" fontId="11" fillId="14" borderId="0" xfId="0" applyNumberFormat="1" applyFont="1" applyFill="1" applyAlignment="1" applyProtection="1">
      <alignment horizontal="right" vertical="top"/>
      <protection hidden="1"/>
    </xf>
    <xf numFmtId="4" fontId="11" fillId="0" borderId="0" xfId="0" applyNumberFormat="1" applyFont="1" applyAlignment="1" applyProtection="1">
      <alignment horizontal="center"/>
      <protection hidden="1"/>
    </xf>
    <xf numFmtId="0" fontId="28" fillId="0" borderId="7" xfId="0" applyFont="1" applyBorder="1" applyAlignment="1" applyProtection="1">
      <alignment horizontal="center"/>
      <protection hidden="1"/>
    </xf>
    <xf numFmtId="0" fontId="27" fillId="0" borderId="10" xfId="0" applyFont="1" applyBorder="1" applyAlignment="1" applyProtection="1">
      <alignment horizontal="center" vertical="center"/>
      <protection hidden="1"/>
    </xf>
    <xf numFmtId="0" fontId="28" fillId="0" borderId="10" xfId="0" applyFont="1" applyBorder="1" applyAlignment="1" applyProtection="1">
      <alignment horizontal="center"/>
      <protection hidden="1"/>
    </xf>
    <xf numFmtId="0" fontId="27" fillId="0" borderId="17" xfId="0" applyFont="1" applyBorder="1" applyAlignment="1" applyProtection="1">
      <alignment horizontal="center" vertical="center"/>
      <protection hidden="1"/>
    </xf>
    <xf numFmtId="0" fontId="27" fillId="0" borderId="2" xfId="0" applyFont="1" applyBorder="1" applyAlignment="1" applyProtection="1">
      <alignment horizontal="center" vertical="center"/>
      <protection hidden="1"/>
    </xf>
    <xf numFmtId="0" fontId="27" fillId="0" borderId="11" xfId="0" applyFont="1" applyBorder="1" applyAlignment="1" applyProtection="1">
      <alignment horizontal="center" vertical="center"/>
      <protection hidden="1"/>
    </xf>
    <xf numFmtId="1" fontId="11" fillId="0" borderId="0" xfId="0" applyNumberFormat="1" applyFont="1" applyProtection="1">
      <protection hidden="1"/>
    </xf>
    <xf numFmtId="0" fontId="33" fillId="0" borderId="0" xfId="0" applyFont="1" applyProtection="1">
      <protection hidden="1"/>
    </xf>
    <xf numFmtId="4" fontId="11" fillId="0" borderId="0" xfId="0" applyNumberFormat="1" applyFont="1" applyProtection="1">
      <protection hidden="1"/>
    </xf>
    <xf numFmtId="10" fontId="11" fillId="0" borderId="3" xfId="0" applyNumberFormat="1" applyFont="1" applyBorder="1" applyProtection="1">
      <protection hidden="1"/>
    </xf>
    <xf numFmtId="0" fontId="11" fillId="0" borderId="3" xfId="0" applyFont="1" applyBorder="1" applyProtection="1">
      <protection hidden="1"/>
    </xf>
    <xf numFmtId="0" fontId="11" fillId="0" borderId="3" xfId="0" applyFont="1" applyBorder="1" applyAlignment="1" applyProtection="1">
      <alignment horizontal="left"/>
      <protection hidden="1"/>
    </xf>
    <xf numFmtId="177" fontId="27" fillId="5" borderId="15" xfId="1" applyNumberFormat="1" applyFont="1" applyFill="1" applyBorder="1" applyAlignment="1" applyProtection="1">
      <alignment horizontal="center" vertical="center"/>
      <protection hidden="1"/>
    </xf>
    <xf numFmtId="177" fontId="12" fillId="12" borderId="15" xfId="0" applyNumberFormat="1" applyFont="1" applyFill="1" applyBorder="1" applyAlignment="1" applyProtection="1">
      <alignment horizontal="center" vertical="center"/>
      <protection hidden="1"/>
    </xf>
    <xf numFmtId="0" fontId="12" fillId="17" borderId="0" xfId="0" applyFont="1" applyFill="1" applyProtection="1">
      <protection hidden="1"/>
    </xf>
    <xf numFmtId="0" fontId="11" fillId="17" borderId="0" xfId="0" applyFont="1" applyFill="1" applyProtection="1">
      <protection hidden="1"/>
    </xf>
    <xf numFmtId="0" fontId="36" fillId="17" borderId="3" xfId="0" applyFont="1" applyFill="1" applyBorder="1" applyAlignment="1">
      <alignment horizontal="right" wrapText="1"/>
    </xf>
    <xf numFmtId="0" fontId="37" fillId="17" borderId="3" xfId="0" applyFont="1" applyFill="1" applyBorder="1" applyAlignment="1">
      <alignment horizontal="right" wrapText="1"/>
    </xf>
    <xf numFmtId="0" fontId="0" fillId="17" borderId="3" xfId="0" applyFill="1" applyBorder="1" applyAlignment="1">
      <alignment horizontal="right"/>
    </xf>
    <xf numFmtId="177" fontId="12" fillId="0" borderId="0" xfId="0" applyNumberFormat="1" applyFont="1" applyProtection="1">
      <protection hidden="1"/>
    </xf>
    <xf numFmtId="0" fontId="11" fillId="14" borderId="0" xfId="0" applyFont="1" applyFill="1" applyAlignment="1" applyProtection="1">
      <alignment horizontal="center"/>
      <protection hidden="1"/>
    </xf>
    <xf numFmtId="0" fontId="11" fillId="14" borderId="0" xfId="0" applyFont="1" applyFill="1" applyAlignment="1" applyProtection="1">
      <alignment horizontal="center" wrapText="1"/>
      <protection hidden="1"/>
    </xf>
    <xf numFmtId="173" fontId="22" fillId="7" borderId="0" xfId="2" applyNumberFormat="1" applyFont="1" applyFill="1" applyAlignment="1" applyProtection="1">
      <alignment horizontal="center" vertical="center"/>
      <protection hidden="1"/>
    </xf>
    <xf numFmtId="10" fontId="11" fillId="0" borderId="0" xfId="0" applyNumberFormat="1" applyFont="1" applyAlignment="1" applyProtection="1">
      <alignment horizontal="center"/>
      <protection hidden="1"/>
    </xf>
    <xf numFmtId="10" fontId="11" fillId="14" borderId="0" xfId="0" applyNumberFormat="1" applyFont="1" applyFill="1" applyAlignment="1" applyProtection="1">
      <alignment horizontal="center"/>
      <protection hidden="1"/>
    </xf>
    <xf numFmtId="0" fontId="23" fillId="2" borderId="0" xfId="0" applyFont="1" applyFill="1" applyAlignment="1" applyProtection="1">
      <alignment horizontal="center" vertical="top" wrapText="1"/>
      <protection hidden="1"/>
    </xf>
    <xf numFmtId="173" fontId="18" fillId="2" borderId="0" xfId="2" applyNumberFormat="1" applyFont="1" applyFill="1" applyBorder="1" applyAlignment="1" applyProtection="1">
      <alignment horizontal="center" vertical="top" wrapText="1"/>
      <protection hidden="1"/>
    </xf>
    <xf numFmtId="1" fontId="11" fillId="2" borderId="0" xfId="0" applyNumberFormat="1" applyFont="1" applyFill="1" applyProtection="1">
      <protection hidden="1"/>
    </xf>
    <xf numFmtId="10" fontId="18" fillId="3" borderId="0" xfId="1" applyNumberFormat="1" applyFont="1" applyFill="1" applyBorder="1" applyAlignment="1" applyProtection="1">
      <alignment horizontal="center"/>
      <protection hidden="1"/>
    </xf>
    <xf numFmtId="14" fontId="18" fillId="7" borderId="0" xfId="0" applyNumberFormat="1" applyFont="1" applyFill="1" applyAlignment="1" applyProtection="1">
      <alignment horizontal="center" vertical="top" wrapText="1"/>
      <protection hidden="1"/>
    </xf>
    <xf numFmtId="10" fontId="12" fillId="0" borderId="0" xfId="1" applyNumberFormat="1" applyFont="1" applyProtection="1">
      <protection hidden="1"/>
    </xf>
    <xf numFmtId="0" fontId="12" fillId="0" borderId="3" xfId="0" applyFont="1" applyBorder="1" applyProtection="1">
      <protection hidden="1"/>
    </xf>
    <xf numFmtId="0" fontId="12" fillId="0" borderId="0" xfId="2" applyNumberFormat="1" applyFont="1" applyAlignment="1" applyProtection="1">
      <alignment horizontal="center"/>
      <protection hidden="1"/>
    </xf>
    <xf numFmtId="0" fontId="11" fillId="0" borderId="0" xfId="2" applyNumberFormat="1" applyFont="1" applyProtection="1">
      <protection hidden="1"/>
    </xf>
    <xf numFmtId="0" fontId="0" fillId="17" borderId="0" xfId="0" applyFill="1" applyAlignment="1">
      <alignment horizontal="right"/>
    </xf>
    <xf numFmtId="0" fontId="38" fillId="7" borderId="17" xfId="0" applyFont="1" applyFill="1" applyBorder="1" applyAlignment="1" applyProtection="1">
      <alignment horizontal="center" vertical="top" wrapText="1"/>
      <protection hidden="1"/>
    </xf>
    <xf numFmtId="0" fontId="18" fillId="16" borderId="0" xfId="0" applyFont="1" applyFill="1" applyAlignment="1" applyProtection="1">
      <alignment vertical="top" wrapText="1"/>
      <protection hidden="1"/>
    </xf>
    <xf numFmtId="0" fontId="18" fillId="16" borderId="0" xfId="0" applyFont="1" applyFill="1" applyAlignment="1" applyProtection="1">
      <alignment horizontal="center" vertical="top" wrapText="1"/>
      <protection hidden="1"/>
    </xf>
    <xf numFmtId="0" fontId="20" fillId="16" borderId="0" xfId="0" applyFont="1" applyFill="1" applyAlignment="1" applyProtection="1">
      <alignment horizontal="center" vertical="top" wrapText="1"/>
      <protection hidden="1"/>
    </xf>
    <xf numFmtId="0" fontId="23" fillId="16" borderId="0" xfId="0" applyFont="1" applyFill="1" applyAlignment="1" applyProtection="1">
      <alignment horizontal="center" vertical="top" wrapText="1"/>
      <protection hidden="1"/>
    </xf>
    <xf numFmtId="0" fontId="18" fillId="16" borderId="0" xfId="0" applyFont="1" applyFill="1" applyAlignment="1" applyProtection="1">
      <alignment vertical="top"/>
      <protection hidden="1"/>
    </xf>
    <xf numFmtId="14" fontId="18" fillId="16" borderId="0" xfId="0" applyNumberFormat="1" applyFont="1" applyFill="1" applyAlignment="1" applyProtection="1">
      <alignment horizontal="center"/>
      <protection hidden="1"/>
    </xf>
    <xf numFmtId="165" fontId="19" fillId="16" borderId="0" xfId="0" quotePrefix="1" applyNumberFormat="1" applyFont="1" applyFill="1" applyAlignment="1" applyProtection="1">
      <alignment horizontal="right" vertical="top"/>
      <protection hidden="1"/>
    </xf>
    <xf numFmtId="14" fontId="19" fillId="16" borderId="0" xfId="0" applyNumberFormat="1" applyFont="1" applyFill="1" applyAlignment="1" applyProtection="1">
      <alignment horizontal="center" vertical="top"/>
      <protection hidden="1"/>
    </xf>
    <xf numFmtId="165" fontId="19" fillId="16" borderId="0" xfId="0" quotePrefix="1" applyNumberFormat="1" applyFont="1" applyFill="1" applyAlignment="1" applyProtection="1">
      <alignment horizontal="center" vertical="top"/>
      <protection hidden="1"/>
    </xf>
    <xf numFmtId="10" fontId="12" fillId="0" borderId="0" xfId="0" applyNumberFormat="1" applyFont="1" applyProtection="1">
      <protection hidden="1"/>
    </xf>
    <xf numFmtId="166" fontId="11" fillId="0" borderId="3" xfId="2" applyFont="1" applyBorder="1" applyProtection="1">
      <protection hidden="1"/>
    </xf>
    <xf numFmtId="166" fontId="11" fillId="0" borderId="3" xfId="2" applyFont="1" applyBorder="1" applyAlignment="1" applyProtection="1">
      <alignment horizontal="left"/>
      <protection hidden="1"/>
    </xf>
    <xf numFmtId="166" fontId="12" fillId="0" borderId="0" xfId="2" applyFont="1" applyProtection="1">
      <protection hidden="1"/>
    </xf>
    <xf numFmtId="173" fontId="11" fillId="0" borderId="0" xfId="0" applyNumberFormat="1" applyFont="1" applyProtection="1">
      <protection hidden="1"/>
    </xf>
    <xf numFmtId="10" fontId="0" fillId="0" borderId="0" xfId="0" applyNumberFormat="1"/>
    <xf numFmtId="8" fontId="0" fillId="0" borderId="0" xfId="0" applyNumberFormat="1" applyProtection="1">
      <protection hidden="1"/>
    </xf>
    <xf numFmtId="10" fontId="19" fillId="7" borderId="0" xfId="1" applyNumberFormat="1" applyFont="1" applyFill="1" applyBorder="1" applyAlignment="1" applyProtection="1">
      <alignment horizontal="center" vertical="top"/>
      <protection hidden="1"/>
    </xf>
    <xf numFmtId="10" fontId="19" fillId="16" borderId="0" xfId="0" applyNumberFormat="1" applyFont="1" applyFill="1" applyAlignment="1" applyProtection="1">
      <alignment horizontal="center"/>
      <protection hidden="1"/>
    </xf>
    <xf numFmtId="0" fontId="45" fillId="0" borderId="0" xfId="0" applyFont="1" applyProtection="1">
      <protection hidden="1"/>
    </xf>
    <xf numFmtId="10" fontId="45" fillId="0" borderId="0" xfId="0" applyNumberFormat="1" applyFont="1" applyProtection="1">
      <protection hidden="1"/>
    </xf>
    <xf numFmtId="0" fontId="46" fillId="0" borderId="0" xfId="0" applyFont="1" applyProtection="1">
      <protection hidden="1"/>
    </xf>
    <xf numFmtId="16" fontId="45" fillId="0" borderId="0" xfId="0" applyNumberFormat="1" applyFont="1" applyProtection="1">
      <protection hidden="1"/>
    </xf>
    <xf numFmtId="166" fontId="45" fillId="0" borderId="0" xfId="0" applyNumberFormat="1" applyFont="1" applyProtection="1">
      <protection hidden="1"/>
    </xf>
    <xf numFmtId="16" fontId="45" fillId="0" borderId="0" xfId="0" applyNumberFormat="1" applyFont="1" applyAlignment="1" applyProtection="1">
      <alignment horizontal="center"/>
      <protection hidden="1"/>
    </xf>
    <xf numFmtId="0" fontId="45" fillId="0" borderId="0" xfId="0" applyFont="1" applyAlignment="1" applyProtection="1">
      <alignment horizontal="center"/>
      <protection hidden="1"/>
    </xf>
    <xf numFmtId="0" fontId="43" fillId="7" borderId="20" xfId="0" applyFont="1" applyFill="1" applyBorder="1" applyAlignment="1" applyProtection="1">
      <alignment vertical="center"/>
      <protection hidden="1"/>
    </xf>
    <xf numFmtId="0" fontId="46" fillId="0" borderId="0" xfId="0" applyFont="1" applyAlignment="1" applyProtection="1">
      <alignment vertical="center"/>
      <protection hidden="1"/>
    </xf>
    <xf numFmtId="0" fontId="43" fillId="7" borderId="25" xfId="0" applyFont="1" applyFill="1" applyBorder="1" applyAlignment="1" applyProtection="1">
      <alignment vertical="center"/>
      <protection hidden="1"/>
    </xf>
    <xf numFmtId="0" fontId="43" fillId="7" borderId="26" xfId="0" applyFont="1" applyFill="1" applyBorder="1" applyAlignment="1" applyProtection="1">
      <alignment vertical="center"/>
      <protection hidden="1"/>
    </xf>
    <xf numFmtId="0" fontId="51" fillId="19" borderId="0" xfId="0" applyFont="1" applyFill="1" applyAlignment="1" applyProtection="1">
      <alignment horizontal="center" vertical="center"/>
      <protection hidden="1"/>
    </xf>
    <xf numFmtId="177" fontId="46" fillId="0" borderId="0" xfId="0" applyNumberFormat="1" applyFont="1" applyAlignment="1" applyProtection="1">
      <alignment horizontal="center" vertical="center"/>
      <protection hidden="1"/>
    </xf>
    <xf numFmtId="177" fontId="45" fillId="0" borderId="0" xfId="0" applyNumberFormat="1" applyFont="1" applyAlignment="1" applyProtection="1">
      <alignment horizontal="center" vertical="center"/>
      <protection hidden="1"/>
    </xf>
    <xf numFmtId="177" fontId="46" fillId="0" borderId="0" xfId="1" applyNumberFormat="1" applyFont="1" applyFill="1" applyBorder="1" applyAlignment="1" applyProtection="1">
      <alignment horizontal="center" vertical="center"/>
      <protection hidden="1"/>
    </xf>
    <xf numFmtId="169" fontId="46" fillId="20" borderId="29" xfId="0" applyNumberFormat="1" applyFont="1" applyFill="1" applyBorder="1" applyAlignment="1" applyProtection="1">
      <alignment horizontal="center" vertical="center"/>
      <protection locked="0" hidden="1"/>
    </xf>
    <xf numFmtId="177" fontId="46" fillId="20" borderId="30" xfId="1" applyNumberFormat="1" applyFont="1" applyFill="1" applyBorder="1" applyAlignment="1" applyProtection="1">
      <alignment horizontal="center" vertical="center"/>
      <protection hidden="1"/>
    </xf>
    <xf numFmtId="0" fontId="22" fillId="23" borderId="0" xfId="0" applyFont="1" applyFill="1" applyAlignment="1" applyProtection="1">
      <alignment horizontal="left" vertical="center"/>
      <protection hidden="1"/>
    </xf>
    <xf numFmtId="0" fontId="23" fillId="23" borderId="0" xfId="0" applyFont="1" applyFill="1" applyAlignment="1" applyProtection="1">
      <alignment horizontal="center" vertical="top" wrapText="1"/>
      <protection hidden="1"/>
    </xf>
    <xf numFmtId="165" fontId="19" fillId="23" borderId="0" xfId="0" applyNumberFormat="1" applyFont="1" applyFill="1" applyAlignment="1" applyProtection="1">
      <alignment horizontal="center" vertical="top"/>
      <protection hidden="1"/>
    </xf>
    <xf numFmtId="173" fontId="19" fillId="23" borderId="0" xfId="2" applyNumberFormat="1" applyFont="1" applyFill="1" applyBorder="1" applyAlignment="1" applyProtection="1">
      <alignment horizontal="center" vertical="top"/>
      <protection hidden="1"/>
    </xf>
    <xf numFmtId="177" fontId="46" fillId="20" borderId="31" xfId="0" applyNumberFormat="1" applyFont="1" applyFill="1" applyBorder="1" applyAlignment="1" applyProtection="1">
      <alignment horizontal="center" vertical="center"/>
      <protection hidden="1"/>
    </xf>
    <xf numFmtId="177" fontId="44" fillId="18" borderId="32" xfId="1" applyNumberFormat="1" applyFont="1" applyFill="1" applyBorder="1" applyAlignment="1" applyProtection="1">
      <alignment horizontal="center" vertical="center"/>
      <protection hidden="1"/>
    </xf>
    <xf numFmtId="10" fontId="45" fillId="0" borderId="0" xfId="0" applyNumberFormat="1" applyFont="1" applyAlignment="1" applyProtection="1">
      <alignment horizontal="center" vertical="center"/>
      <protection hidden="1"/>
    </xf>
    <xf numFmtId="177" fontId="45" fillId="0" borderId="33" xfId="0" applyNumberFormat="1" applyFont="1" applyBorder="1" applyAlignment="1" applyProtection="1">
      <alignment horizontal="center" vertical="center"/>
      <protection hidden="1"/>
    </xf>
    <xf numFmtId="177" fontId="46" fillId="0" borderId="33" xfId="0" applyNumberFormat="1" applyFont="1" applyBorder="1" applyAlignment="1" applyProtection="1">
      <alignment horizontal="center" vertical="center"/>
      <protection hidden="1"/>
    </xf>
    <xf numFmtId="177" fontId="59" fillId="0" borderId="35" xfId="0" applyNumberFormat="1" applyFont="1" applyBorder="1" applyAlignment="1" applyProtection="1">
      <alignment horizontal="center" vertical="center"/>
      <protection hidden="1"/>
    </xf>
    <xf numFmtId="10" fontId="65" fillId="0" borderId="35" xfId="1" applyNumberFormat="1" applyFont="1" applyFill="1" applyBorder="1" applyAlignment="1" applyProtection="1">
      <alignment horizontal="center" vertical="center"/>
      <protection hidden="1"/>
    </xf>
    <xf numFmtId="177" fontId="65" fillId="0" borderId="35" xfId="0" applyNumberFormat="1" applyFont="1" applyBorder="1" applyAlignment="1" applyProtection="1">
      <alignment horizontal="center" vertical="center"/>
      <protection hidden="1"/>
    </xf>
    <xf numFmtId="177" fontId="46" fillId="22" borderId="34" xfId="0" applyNumberFormat="1" applyFont="1" applyFill="1" applyBorder="1" applyAlignment="1" applyProtection="1">
      <alignment horizontal="center" vertical="center"/>
      <protection hidden="1"/>
    </xf>
    <xf numFmtId="177" fontId="45" fillId="22" borderId="34" xfId="0" applyNumberFormat="1" applyFont="1" applyFill="1" applyBorder="1" applyAlignment="1" applyProtection="1">
      <alignment horizontal="center" vertical="center"/>
      <protection hidden="1"/>
    </xf>
    <xf numFmtId="177" fontId="46" fillId="22" borderId="34" xfId="1" applyNumberFormat="1" applyFont="1" applyFill="1" applyBorder="1" applyAlignment="1" applyProtection="1">
      <alignment horizontal="center" vertical="center"/>
      <protection hidden="1"/>
    </xf>
    <xf numFmtId="177" fontId="65" fillId="0" borderId="37" xfId="0" applyNumberFormat="1" applyFont="1" applyBorder="1" applyAlignment="1" applyProtection="1">
      <alignment horizontal="center" vertical="center"/>
      <protection hidden="1"/>
    </xf>
    <xf numFmtId="177" fontId="66" fillId="20" borderId="32" xfId="1" applyNumberFormat="1" applyFont="1" applyFill="1" applyBorder="1" applyAlignment="1" applyProtection="1">
      <alignment horizontal="center" vertical="center"/>
      <protection hidden="1"/>
    </xf>
    <xf numFmtId="177" fontId="61" fillId="24" borderId="36" xfId="1" applyNumberFormat="1" applyFont="1" applyFill="1" applyBorder="1" applyAlignment="1" applyProtection="1">
      <alignment horizontal="center" vertical="center"/>
      <protection hidden="1"/>
    </xf>
    <xf numFmtId="0" fontId="45" fillId="0" borderId="0" xfId="0" applyFont="1" applyAlignment="1" applyProtection="1">
      <alignment horizontal="right" vertical="center"/>
      <protection hidden="1"/>
    </xf>
    <xf numFmtId="9" fontId="47" fillId="10" borderId="0" xfId="1" applyFont="1" applyFill="1" applyBorder="1" applyAlignment="1" applyProtection="1">
      <alignment horizontal="center" vertical="center" wrapText="1"/>
      <protection hidden="1"/>
    </xf>
    <xf numFmtId="169" fontId="46" fillId="20" borderId="29" xfId="0" applyNumberFormat="1" applyFont="1" applyFill="1" applyBorder="1" applyAlignment="1" applyProtection="1">
      <alignment horizontal="center" vertical="center"/>
      <protection hidden="1"/>
    </xf>
    <xf numFmtId="0" fontId="46" fillId="20" borderId="29" xfId="0" applyFont="1" applyFill="1" applyBorder="1" applyAlignment="1" applyProtection="1">
      <alignment horizontal="center" vertical="center"/>
      <protection hidden="1"/>
    </xf>
    <xf numFmtId="10" fontId="46" fillId="25" borderId="29" xfId="1" applyNumberFormat="1" applyFont="1" applyFill="1" applyBorder="1" applyAlignment="1" applyProtection="1">
      <alignment horizontal="center" vertical="center"/>
      <protection hidden="1"/>
    </xf>
    <xf numFmtId="177" fontId="46" fillId="25" borderId="29" xfId="0" applyNumberFormat="1" applyFont="1" applyFill="1" applyBorder="1" applyAlignment="1" applyProtection="1">
      <alignment horizontal="center" vertical="center"/>
      <protection hidden="1"/>
    </xf>
    <xf numFmtId="9" fontId="47" fillId="10" borderId="0" xfId="1" applyFont="1" applyFill="1" applyBorder="1" applyAlignment="1" applyProtection="1">
      <alignment vertical="center" wrapText="1"/>
      <protection hidden="1"/>
    </xf>
    <xf numFmtId="10" fontId="46" fillId="20" borderId="29" xfId="0" applyNumberFormat="1" applyFont="1" applyFill="1" applyBorder="1" applyAlignment="1" applyProtection="1">
      <alignment horizontal="center" vertical="center"/>
      <protection locked="0" hidden="1"/>
    </xf>
    <xf numFmtId="174" fontId="46" fillId="20" borderId="29" xfId="1" applyNumberFormat="1" applyFont="1" applyFill="1" applyBorder="1" applyAlignment="1" applyProtection="1">
      <alignment horizontal="center" vertical="center"/>
      <protection locked="0" hidden="1"/>
    </xf>
    <xf numFmtId="10" fontId="46" fillId="20" borderId="29" xfId="1" applyNumberFormat="1" applyFont="1" applyFill="1" applyBorder="1" applyAlignment="1" applyProtection="1">
      <alignment horizontal="center" vertical="center"/>
      <protection hidden="1"/>
    </xf>
    <xf numFmtId="0" fontId="46" fillId="20" borderId="32" xfId="0" applyFont="1" applyFill="1" applyBorder="1" applyAlignment="1" applyProtection="1">
      <alignment horizontal="center" vertical="center"/>
      <protection hidden="1"/>
    </xf>
    <xf numFmtId="177" fontId="59" fillId="0" borderId="0" xfId="0" applyNumberFormat="1" applyFont="1" applyAlignment="1" applyProtection="1">
      <alignment horizontal="center" vertical="center"/>
      <protection hidden="1"/>
    </xf>
    <xf numFmtId="10" fontId="65" fillId="0" borderId="0" xfId="1" applyNumberFormat="1" applyFont="1" applyFill="1" applyBorder="1" applyAlignment="1" applyProtection="1">
      <alignment horizontal="center" vertical="center"/>
      <protection hidden="1"/>
    </xf>
    <xf numFmtId="177" fontId="65" fillId="0" borderId="0" xfId="0" applyNumberFormat="1" applyFont="1" applyAlignment="1" applyProtection="1">
      <alignment horizontal="center" vertical="center"/>
      <protection hidden="1"/>
    </xf>
    <xf numFmtId="0" fontId="42" fillId="0" borderId="0" xfId="0" applyFont="1" applyAlignment="1" applyProtection="1">
      <alignment horizontal="center" wrapText="1"/>
      <protection hidden="1"/>
    </xf>
    <xf numFmtId="0" fontId="43" fillId="0" borderId="0" xfId="0" applyFont="1" applyAlignment="1" applyProtection="1">
      <alignment vertical="center"/>
      <protection hidden="1"/>
    </xf>
    <xf numFmtId="0" fontId="43" fillId="0" borderId="0" xfId="0" applyFont="1" applyAlignment="1" applyProtection="1">
      <alignment horizontal="center" vertical="center"/>
      <protection hidden="1"/>
    </xf>
    <xf numFmtId="0" fontId="51" fillId="0" borderId="0" xfId="0" applyFont="1" applyAlignment="1" applyProtection="1">
      <alignment horizontal="center" vertical="center"/>
      <protection hidden="1"/>
    </xf>
    <xf numFmtId="9" fontId="47" fillId="0" borderId="0" xfId="1" applyFont="1" applyFill="1" applyBorder="1" applyAlignment="1" applyProtection="1">
      <alignment vertical="center" wrapText="1"/>
      <protection hidden="1"/>
    </xf>
    <xf numFmtId="9" fontId="47" fillId="0" borderId="0" xfId="1" applyFont="1" applyFill="1" applyBorder="1" applyAlignment="1" applyProtection="1">
      <alignment horizontal="center" vertical="center" wrapText="1"/>
      <protection hidden="1"/>
    </xf>
    <xf numFmtId="0" fontId="52" fillId="0" borderId="0" xfId="0" applyFont="1" applyAlignment="1" applyProtection="1">
      <alignment horizontal="center" vertical="center" wrapText="1"/>
      <protection hidden="1"/>
    </xf>
    <xf numFmtId="177" fontId="44" fillId="0" borderId="0" xfId="1" applyNumberFormat="1" applyFont="1" applyFill="1" applyBorder="1" applyAlignment="1" applyProtection="1">
      <alignment horizontal="center" vertical="center"/>
      <protection hidden="1"/>
    </xf>
    <xf numFmtId="177" fontId="61" fillId="0" borderId="0" xfId="1" applyNumberFormat="1" applyFont="1" applyFill="1" applyBorder="1" applyAlignment="1" applyProtection="1">
      <alignment horizontal="center" vertical="center" wrapText="1"/>
      <protection hidden="1"/>
    </xf>
    <xf numFmtId="0" fontId="59" fillId="0" borderId="0" xfId="0" applyFont="1" applyAlignment="1" applyProtection="1">
      <alignment horizontal="center" vertical="top" wrapText="1"/>
      <protection hidden="1"/>
    </xf>
    <xf numFmtId="0" fontId="69" fillId="24" borderId="0" xfId="0" applyFont="1" applyFill="1" applyAlignment="1" applyProtection="1">
      <alignment horizontal="center" vertical="center" wrapText="1"/>
      <protection hidden="1"/>
    </xf>
    <xf numFmtId="0" fontId="70" fillId="23" borderId="0" xfId="0" applyFont="1" applyFill="1" applyAlignment="1" applyProtection="1">
      <alignment horizontal="left" vertical="center"/>
      <protection hidden="1"/>
    </xf>
    <xf numFmtId="170" fontId="19" fillId="23" borderId="0" xfId="2" applyNumberFormat="1" applyFont="1" applyFill="1" applyBorder="1" applyAlignment="1" applyProtection="1">
      <alignment horizontal="center" vertical="center"/>
      <protection hidden="1"/>
    </xf>
    <xf numFmtId="14" fontId="15" fillId="23" borderId="0" xfId="0" applyNumberFormat="1" applyFont="1" applyFill="1" applyAlignment="1" applyProtection="1">
      <alignment horizontal="center" vertical="center"/>
      <protection hidden="1"/>
    </xf>
    <xf numFmtId="170" fontId="18" fillId="23" borderId="0" xfId="0" applyNumberFormat="1" applyFont="1" applyFill="1" applyAlignment="1" applyProtection="1">
      <alignment horizontal="center" vertical="center"/>
      <protection hidden="1"/>
    </xf>
    <xf numFmtId="166" fontId="19" fillId="23" borderId="0" xfId="2" applyFont="1" applyFill="1" applyBorder="1" applyAlignment="1" applyProtection="1">
      <alignment horizontal="center" vertical="center"/>
      <protection hidden="1"/>
    </xf>
    <xf numFmtId="165" fontId="19" fillId="23" borderId="0" xfId="0" applyNumberFormat="1" applyFont="1" applyFill="1" applyAlignment="1" applyProtection="1">
      <alignment horizontal="center" vertical="center"/>
      <protection hidden="1"/>
    </xf>
    <xf numFmtId="165" fontId="19" fillId="23" borderId="0" xfId="0" quotePrefix="1" applyNumberFormat="1" applyFont="1" applyFill="1" applyAlignment="1" applyProtection="1">
      <alignment horizontal="center" vertical="center"/>
      <protection hidden="1"/>
    </xf>
    <xf numFmtId="14" fontId="19" fillId="23" borderId="0" xfId="0" applyNumberFormat="1" applyFont="1" applyFill="1" applyAlignment="1" applyProtection="1">
      <alignment horizontal="center" vertical="center"/>
      <protection hidden="1"/>
    </xf>
    <xf numFmtId="10" fontId="19" fillId="23" borderId="0" xfId="1" applyNumberFormat="1" applyFont="1" applyFill="1" applyBorder="1" applyAlignment="1" applyProtection="1">
      <alignment horizontal="center" vertical="center"/>
      <protection hidden="1"/>
    </xf>
    <xf numFmtId="166" fontId="71" fillId="23" borderId="0" xfId="2" applyFont="1" applyFill="1" applyBorder="1" applyAlignment="1" applyProtection="1">
      <alignment horizontal="center" vertical="center"/>
      <protection hidden="1"/>
    </xf>
    <xf numFmtId="165" fontId="19" fillId="23" borderId="33" xfId="0" quotePrefix="1" applyNumberFormat="1" applyFont="1" applyFill="1" applyBorder="1" applyAlignment="1" applyProtection="1">
      <alignment horizontal="center" vertical="center"/>
      <protection hidden="1"/>
    </xf>
    <xf numFmtId="14" fontId="19" fillId="23" borderId="33" xfId="0" applyNumberFormat="1" applyFont="1" applyFill="1" applyBorder="1" applyAlignment="1" applyProtection="1">
      <alignment horizontal="center" vertical="center"/>
      <protection hidden="1"/>
    </xf>
    <xf numFmtId="10" fontId="19" fillId="23" borderId="33" xfId="1" applyNumberFormat="1" applyFont="1" applyFill="1" applyBorder="1" applyAlignment="1" applyProtection="1">
      <alignment horizontal="center" vertical="center"/>
      <protection hidden="1"/>
    </xf>
    <xf numFmtId="166" fontId="71" fillId="23" borderId="33" xfId="2" applyFont="1" applyFill="1" applyBorder="1" applyAlignment="1" applyProtection="1">
      <alignment horizontal="center" vertical="center"/>
      <protection hidden="1"/>
    </xf>
    <xf numFmtId="166" fontId="19" fillId="23" borderId="33" xfId="2" applyFont="1" applyFill="1" applyBorder="1" applyAlignment="1" applyProtection="1">
      <alignment horizontal="center" vertical="center"/>
      <protection hidden="1"/>
    </xf>
    <xf numFmtId="0" fontId="18" fillId="23" borderId="0" xfId="0" applyFont="1" applyFill="1" applyAlignment="1" applyProtection="1">
      <alignment horizontal="center" vertical="center"/>
      <protection hidden="1"/>
    </xf>
    <xf numFmtId="0" fontId="49" fillId="0" borderId="0" xfId="0" applyFont="1" applyAlignment="1" applyProtection="1">
      <alignment vertical="center" wrapText="1"/>
      <protection hidden="1"/>
    </xf>
    <xf numFmtId="0" fontId="18" fillId="20" borderId="0" xfId="0" applyFont="1" applyFill="1" applyAlignment="1" applyProtection="1">
      <alignment vertical="top"/>
      <protection hidden="1"/>
    </xf>
    <xf numFmtId="14" fontId="18" fillId="20" borderId="0" xfId="0" applyNumberFormat="1" applyFont="1" applyFill="1" applyAlignment="1" applyProtection="1">
      <alignment horizontal="center"/>
      <protection hidden="1"/>
    </xf>
    <xf numFmtId="170" fontId="18" fillId="20" borderId="0" xfId="0" applyNumberFormat="1" applyFont="1" applyFill="1" applyAlignment="1" applyProtection="1">
      <alignment horizontal="center"/>
      <protection hidden="1"/>
    </xf>
    <xf numFmtId="166" fontId="19" fillId="20" borderId="0" xfId="2" applyFont="1" applyFill="1" applyBorder="1" applyAlignment="1" applyProtection="1">
      <alignment horizontal="center" vertical="top"/>
      <protection hidden="1"/>
    </xf>
    <xf numFmtId="165" fontId="19" fillId="20" borderId="0" xfId="0" applyNumberFormat="1" applyFont="1" applyFill="1" applyAlignment="1" applyProtection="1">
      <alignment horizontal="center" vertical="top"/>
      <protection hidden="1"/>
    </xf>
    <xf numFmtId="170" fontId="19" fillId="20" borderId="0" xfId="2" applyNumberFormat="1" applyFont="1" applyFill="1" applyBorder="1" applyAlignment="1" applyProtection="1">
      <alignment horizontal="center" vertical="top"/>
      <protection hidden="1"/>
    </xf>
    <xf numFmtId="165" fontId="19" fillId="20" borderId="0" xfId="0" quotePrefix="1" applyNumberFormat="1" applyFont="1" applyFill="1" applyAlignment="1" applyProtection="1">
      <alignment horizontal="right"/>
      <protection hidden="1"/>
    </xf>
    <xf numFmtId="14" fontId="19" fillId="20" borderId="0" xfId="0" applyNumberFormat="1" applyFont="1" applyFill="1" applyAlignment="1" applyProtection="1">
      <alignment horizontal="center"/>
      <protection hidden="1"/>
    </xf>
    <xf numFmtId="10" fontId="19" fillId="20" borderId="0" xfId="0" applyNumberFormat="1" applyFont="1" applyFill="1" applyAlignment="1" applyProtection="1">
      <alignment horizontal="center"/>
      <protection hidden="1"/>
    </xf>
    <xf numFmtId="165" fontId="19" fillId="20" borderId="0" xfId="0" quotePrefix="1" applyNumberFormat="1" applyFont="1" applyFill="1" applyAlignment="1" applyProtection="1">
      <alignment horizontal="right" vertical="top"/>
      <protection hidden="1"/>
    </xf>
    <xf numFmtId="14" fontId="19" fillId="20" borderId="0" xfId="0" applyNumberFormat="1" applyFont="1" applyFill="1" applyAlignment="1" applyProtection="1">
      <alignment horizontal="center" vertical="top"/>
      <protection hidden="1"/>
    </xf>
    <xf numFmtId="165" fontId="19" fillId="20" borderId="0" xfId="0" quotePrefix="1" applyNumberFormat="1" applyFont="1" applyFill="1" applyAlignment="1" applyProtection="1">
      <alignment horizontal="center" vertical="top"/>
      <protection hidden="1"/>
    </xf>
    <xf numFmtId="0" fontId="74" fillId="26" borderId="0" xfId="0" applyFont="1" applyFill="1" applyAlignment="1" applyProtection="1">
      <alignment horizontal="left" vertical="center"/>
      <protection hidden="1"/>
    </xf>
    <xf numFmtId="177" fontId="45" fillId="12" borderId="12" xfId="0" applyNumberFormat="1" applyFont="1" applyFill="1" applyBorder="1" applyAlignment="1" applyProtection="1">
      <alignment horizontal="center" vertical="center"/>
      <protection hidden="1"/>
    </xf>
    <xf numFmtId="177" fontId="46" fillId="12" borderId="13" xfId="1" applyNumberFormat="1" applyFont="1" applyFill="1" applyBorder="1" applyAlignment="1" applyProtection="1">
      <alignment horizontal="center" vertical="center"/>
      <protection hidden="1"/>
    </xf>
    <xf numFmtId="174" fontId="56" fillId="0" borderId="0" xfId="1" applyNumberFormat="1" applyFont="1" applyFill="1" applyBorder="1" applyAlignment="1" applyProtection="1">
      <alignment horizontal="center" vertical="center"/>
      <protection hidden="1"/>
    </xf>
    <xf numFmtId="10" fontId="56" fillId="0" borderId="0" xfId="1" applyNumberFormat="1" applyFont="1" applyFill="1" applyBorder="1" applyAlignment="1" applyProtection="1">
      <alignment horizontal="center" vertical="center"/>
      <protection hidden="1"/>
    </xf>
    <xf numFmtId="0" fontId="44" fillId="0" borderId="0" xfId="0" applyFont="1" applyAlignment="1" applyProtection="1">
      <alignment vertical="center" wrapText="1"/>
      <protection hidden="1"/>
    </xf>
    <xf numFmtId="0" fontId="45" fillId="0" borderId="0" xfId="0" applyFont="1" applyAlignment="1" applyProtection="1">
      <alignment vertical="center"/>
      <protection hidden="1"/>
    </xf>
    <xf numFmtId="177" fontId="56" fillId="0" borderId="0" xfId="1" applyNumberFormat="1" applyFont="1" applyFill="1" applyBorder="1" applyAlignment="1" applyProtection="1">
      <alignment horizontal="center" vertical="center"/>
      <protection hidden="1"/>
    </xf>
    <xf numFmtId="177" fontId="45" fillId="12" borderId="13" xfId="0" applyNumberFormat="1" applyFont="1" applyFill="1" applyBorder="1" applyAlignment="1" applyProtection="1">
      <alignment horizontal="center" vertical="center"/>
      <protection hidden="1"/>
    </xf>
    <xf numFmtId="177" fontId="46" fillId="12" borderId="13" xfId="0" applyNumberFormat="1" applyFont="1" applyFill="1" applyBorder="1" applyAlignment="1" applyProtection="1">
      <alignment horizontal="center" vertical="center"/>
      <protection hidden="1"/>
    </xf>
    <xf numFmtId="177" fontId="44" fillId="5" borderId="13" xfId="1" applyNumberFormat="1" applyFont="1" applyFill="1" applyBorder="1" applyAlignment="1" applyProtection="1">
      <alignment horizontal="center" vertical="center"/>
      <protection hidden="1"/>
    </xf>
    <xf numFmtId="172" fontId="45" fillId="12" borderId="12" xfId="0" applyNumberFormat="1" applyFont="1" applyFill="1" applyBorder="1" applyAlignment="1" applyProtection="1">
      <alignment horizontal="center" vertical="center"/>
      <protection hidden="1"/>
    </xf>
    <xf numFmtId="10" fontId="45" fillId="12" borderId="14" xfId="1" applyNumberFormat="1" applyFont="1" applyFill="1" applyBorder="1" applyAlignment="1" applyProtection="1">
      <alignment horizontal="center" vertical="center"/>
      <protection hidden="1"/>
    </xf>
    <xf numFmtId="0" fontId="77" fillId="7" borderId="17" xfId="0" applyFont="1" applyFill="1" applyBorder="1" applyAlignment="1" applyProtection="1">
      <alignment horizontal="center" vertical="top" wrapText="1"/>
      <protection hidden="1"/>
    </xf>
    <xf numFmtId="177" fontId="45" fillId="12" borderId="5" xfId="0" applyNumberFormat="1" applyFont="1" applyFill="1" applyBorder="1" applyAlignment="1" applyProtection="1">
      <alignment horizontal="center" vertical="center"/>
      <protection hidden="1"/>
    </xf>
    <xf numFmtId="10" fontId="45" fillId="12" borderId="5" xfId="0" applyNumberFormat="1" applyFont="1" applyFill="1" applyBorder="1" applyAlignment="1" applyProtection="1">
      <alignment horizontal="center" vertical="center"/>
      <protection hidden="1"/>
    </xf>
    <xf numFmtId="0" fontId="27" fillId="5" borderId="0" xfId="0" applyFont="1" applyFill="1" applyAlignment="1" applyProtection="1">
      <alignment horizontal="center" vertical="center"/>
      <protection hidden="1"/>
    </xf>
    <xf numFmtId="0" fontId="31" fillId="7" borderId="0" xfId="0" applyFont="1" applyFill="1" applyAlignment="1" applyProtection="1">
      <alignment horizontal="center" vertical="center" wrapText="1"/>
      <protection hidden="1"/>
    </xf>
    <xf numFmtId="174" fontId="16" fillId="12" borderId="0" xfId="1" applyNumberFormat="1" applyFont="1" applyFill="1" applyBorder="1" applyAlignment="1" applyProtection="1">
      <alignment horizontal="center" vertical="center"/>
      <protection hidden="1"/>
    </xf>
    <xf numFmtId="10" fontId="12" fillId="12" borderId="0" xfId="1" applyNumberFormat="1" applyFont="1" applyFill="1" applyBorder="1" applyAlignment="1" applyProtection="1">
      <alignment horizontal="center" vertical="center"/>
      <protection hidden="1"/>
    </xf>
    <xf numFmtId="174" fontId="12" fillId="12" borderId="0" xfId="1" applyNumberFormat="1" applyFont="1" applyFill="1" applyBorder="1" applyAlignment="1" applyProtection="1">
      <alignment horizontal="center" vertical="center"/>
      <protection hidden="1"/>
    </xf>
    <xf numFmtId="177" fontId="11" fillId="12" borderId="0" xfId="0" applyNumberFormat="1" applyFont="1" applyFill="1" applyAlignment="1" applyProtection="1">
      <alignment horizontal="center" vertical="center"/>
      <protection hidden="1"/>
    </xf>
    <xf numFmtId="177" fontId="12" fillId="12" borderId="0" xfId="1" applyNumberFormat="1" applyFont="1" applyFill="1" applyBorder="1" applyAlignment="1" applyProtection="1">
      <alignment horizontal="center" vertical="center"/>
      <protection hidden="1"/>
    </xf>
    <xf numFmtId="177" fontId="34" fillId="5" borderId="0" xfId="0" applyNumberFormat="1" applyFont="1" applyFill="1" applyAlignment="1" applyProtection="1">
      <alignment horizontal="center" vertical="center"/>
      <protection hidden="1"/>
    </xf>
    <xf numFmtId="10" fontId="11" fillId="12" borderId="0" xfId="1" applyNumberFormat="1" applyFont="1" applyFill="1" applyBorder="1" applyAlignment="1" applyProtection="1">
      <alignment horizontal="center" vertical="center"/>
      <protection hidden="1"/>
    </xf>
    <xf numFmtId="0" fontId="42" fillId="0" borderId="0" xfId="0" applyFont="1" applyAlignment="1" applyProtection="1">
      <alignment horizontal="center" vertical="center" wrapText="1"/>
      <protection hidden="1"/>
    </xf>
    <xf numFmtId="0" fontId="22" fillId="0" borderId="0" xfId="0" applyFont="1" applyAlignment="1" applyProtection="1">
      <alignment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27" fillId="0" borderId="0" xfId="0" applyFont="1" applyAlignment="1" applyProtection="1">
      <alignment horizontal="center" vertical="center"/>
      <protection hidden="1"/>
    </xf>
    <xf numFmtId="10" fontId="39" fillId="0" borderId="0" xfId="1" applyNumberFormat="1" applyFont="1" applyFill="1" applyBorder="1" applyAlignment="1" applyProtection="1">
      <alignment horizontal="center" vertical="center" wrapText="1"/>
      <protection hidden="1"/>
    </xf>
    <xf numFmtId="0" fontId="31" fillId="0" borderId="0" xfId="0" applyFont="1" applyAlignment="1" applyProtection="1">
      <alignment horizontal="center" vertical="center" wrapText="1"/>
      <protection hidden="1"/>
    </xf>
    <xf numFmtId="174" fontId="16" fillId="0" borderId="0" xfId="1" applyNumberFormat="1" applyFont="1" applyFill="1" applyBorder="1" applyAlignment="1" applyProtection="1">
      <alignment horizontal="center" vertical="center"/>
      <protection hidden="1"/>
    </xf>
    <xf numFmtId="10" fontId="12" fillId="0" borderId="0" xfId="1" applyNumberFormat="1" applyFont="1" applyFill="1" applyBorder="1" applyAlignment="1" applyProtection="1">
      <alignment horizontal="center" vertical="center"/>
      <protection hidden="1"/>
    </xf>
    <xf numFmtId="174" fontId="12" fillId="0" borderId="0" xfId="1" applyNumberFormat="1" applyFont="1" applyFill="1" applyBorder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horizontal="center" vertical="center"/>
      <protection hidden="1"/>
    </xf>
    <xf numFmtId="177" fontId="12" fillId="0" borderId="0" xfId="1" applyNumberFormat="1" applyFont="1" applyFill="1" applyBorder="1" applyAlignment="1" applyProtection="1">
      <alignment horizontal="center" vertical="center"/>
      <protection hidden="1"/>
    </xf>
    <xf numFmtId="177" fontId="34" fillId="0" borderId="0" xfId="0" applyNumberFormat="1" applyFont="1" applyAlignment="1" applyProtection="1">
      <alignment horizontal="center" vertical="center"/>
      <protection hidden="1"/>
    </xf>
    <xf numFmtId="10" fontId="11" fillId="0" borderId="0" xfId="1" applyNumberFormat="1" applyFont="1" applyFill="1" applyBorder="1" applyAlignment="1" applyProtection="1">
      <alignment horizontal="center" vertical="center"/>
      <protection hidden="1"/>
    </xf>
    <xf numFmtId="177" fontId="12" fillId="0" borderId="0" xfId="0" applyNumberFormat="1" applyFont="1" applyAlignment="1" applyProtection="1">
      <alignment horizontal="center" vertical="center"/>
      <protection hidden="1"/>
    </xf>
    <xf numFmtId="177" fontId="27" fillId="0" borderId="0" xfId="1" applyNumberFormat="1" applyFont="1" applyFill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top" wrapText="1"/>
      <protection hidden="1"/>
    </xf>
    <xf numFmtId="177" fontId="45" fillId="12" borderId="39" xfId="0" applyNumberFormat="1" applyFont="1" applyFill="1" applyBorder="1" applyAlignment="1" applyProtection="1">
      <alignment horizontal="center" vertical="center"/>
      <protection hidden="1"/>
    </xf>
    <xf numFmtId="177" fontId="11" fillId="12" borderId="18" xfId="0" applyNumberFormat="1" applyFont="1" applyFill="1" applyBorder="1" applyAlignment="1" applyProtection="1">
      <alignment horizontal="center" vertical="center"/>
      <protection hidden="1"/>
    </xf>
    <xf numFmtId="0" fontId="50" fillId="0" borderId="0" xfId="0" applyFont="1" applyAlignment="1" applyProtection="1">
      <alignment horizontal="center" vertical="center"/>
      <protection hidden="1"/>
    </xf>
    <xf numFmtId="0" fontId="22" fillId="7" borderId="0" xfId="0" applyFont="1" applyFill="1" applyAlignment="1" applyProtection="1">
      <alignment vertical="center"/>
      <protection hidden="1"/>
    </xf>
    <xf numFmtId="0" fontId="46" fillId="0" borderId="0" xfId="0" applyFont="1" applyAlignment="1" applyProtection="1">
      <alignment horizontal="center" vertical="center"/>
      <protection locked="0" hidden="1"/>
    </xf>
    <xf numFmtId="174" fontId="46" fillId="0" borderId="0" xfId="1" applyNumberFormat="1" applyFont="1" applyFill="1" applyBorder="1" applyAlignment="1" applyProtection="1">
      <alignment horizontal="center" vertical="center"/>
      <protection locked="0" hidden="1"/>
    </xf>
    <xf numFmtId="0" fontId="46" fillId="12" borderId="0" xfId="0" applyFont="1" applyFill="1" applyAlignment="1" applyProtection="1">
      <alignment horizontal="center" vertical="center"/>
      <protection hidden="1"/>
    </xf>
    <xf numFmtId="10" fontId="46" fillId="12" borderId="0" xfId="1" applyNumberFormat="1" applyFont="1" applyFill="1" applyBorder="1" applyAlignment="1" applyProtection="1">
      <alignment horizontal="center" vertical="center"/>
      <protection hidden="1"/>
    </xf>
    <xf numFmtId="169" fontId="45" fillId="12" borderId="0" xfId="1" applyNumberFormat="1" applyFont="1" applyFill="1" applyBorder="1" applyAlignment="1" applyProtection="1">
      <alignment horizontal="center" vertical="center"/>
      <protection hidden="1"/>
    </xf>
    <xf numFmtId="0" fontId="75" fillId="7" borderId="0" xfId="0" applyFont="1" applyFill="1" applyAlignment="1" applyProtection="1">
      <alignment horizontal="center" vertical="center" wrapText="1"/>
      <protection hidden="1"/>
    </xf>
    <xf numFmtId="1" fontId="46" fillId="10" borderId="0" xfId="0" applyNumberFormat="1" applyFont="1" applyFill="1" applyAlignment="1" applyProtection="1">
      <alignment horizontal="center" vertical="center"/>
      <protection locked="0" hidden="1"/>
    </xf>
    <xf numFmtId="174" fontId="76" fillId="12" borderId="0" xfId="1" applyNumberFormat="1" applyFont="1" applyFill="1" applyBorder="1" applyAlignment="1" applyProtection="1">
      <alignment horizontal="center" vertical="center"/>
      <protection hidden="1"/>
    </xf>
    <xf numFmtId="10" fontId="46" fillId="12" borderId="0" xfId="1" applyNumberFormat="1" applyFont="1" applyFill="1" applyBorder="1" applyAlignment="1" applyProtection="1">
      <alignment horizontal="center" vertical="center" wrapText="1"/>
      <protection hidden="1"/>
    </xf>
    <xf numFmtId="174" fontId="46" fillId="12" borderId="0" xfId="1" applyNumberFormat="1" applyFont="1" applyFill="1" applyBorder="1" applyAlignment="1" applyProtection="1">
      <alignment horizontal="center" vertical="center"/>
      <protection hidden="1"/>
    </xf>
    <xf numFmtId="177" fontId="46" fillId="12" borderId="0" xfId="1" applyNumberFormat="1" applyFont="1" applyFill="1" applyBorder="1" applyAlignment="1" applyProtection="1">
      <alignment horizontal="center" vertical="center"/>
      <protection hidden="1"/>
    </xf>
    <xf numFmtId="0" fontId="56" fillId="0" borderId="0" xfId="0" applyFont="1" applyAlignment="1" applyProtection="1">
      <alignment horizontal="center" vertical="center"/>
      <protection locked="0" hidden="1"/>
    </xf>
    <xf numFmtId="177" fontId="48" fillId="5" borderId="0" xfId="0" applyNumberFormat="1" applyFont="1" applyFill="1" applyAlignment="1" applyProtection="1">
      <alignment horizontal="center" vertical="center"/>
      <protection hidden="1"/>
    </xf>
    <xf numFmtId="10" fontId="46" fillId="0" borderId="0" xfId="1" applyNumberFormat="1" applyFont="1" applyFill="1" applyBorder="1" applyAlignment="1" applyProtection="1">
      <alignment horizontal="center" vertical="center"/>
      <protection hidden="1"/>
    </xf>
    <xf numFmtId="0" fontId="65" fillId="24" borderId="0" xfId="0" applyFont="1" applyFill="1" applyAlignment="1" applyProtection="1">
      <alignment horizontal="center" vertical="center" wrapText="1"/>
      <protection hidden="1"/>
    </xf>
    <xf numFmtId="0" fontId="45" fillId="20" borderId="29" xfId="0" applyFont="1" applyFill="1" applyBorder="1" applyAlignment="1" applyProtection="1">
      <alignment horizontal="left" vertical="center"/>
      <protection hidden="1"/>
    </xf>
    <xf numFmtId="175" fontId="48" fillId="20" borderId="29" xfId="0" applyNumberFormat="1" applyFont="1" applyFill="1" applyBorder="1" applyAlignment="1" applyProtection="1">
      <alignment horizontal="center" vertical="center"/>
      <protection hidden="1"/>
    </xf>
    <xf numFmtId="175" fontId="45" fillId="20" borderId="29" xfId="0" applyNumberFormat="1" applyFont="1" applyFill="1" applyBorder="1" applyAlignment="1" applyProtection="1">
      <alignment horizontal="center" vertical="center"/>
      <protection hidden="1"/>
    </xf>
    <xf numFmtId="169" fontId="45" fillId="20" borderId="29" xfId="1" applyNumberFormat="1" applyFont="1" applyFill="1" applyBorder="1" applyAlignment="1" applyProtection="1">
      <alignment horizontal="center" vertical="center"/>
      <protection hidden="1"/>
    </xf>
    <xf numFmtId="177" fontId="45" fillId="20" borderId="29" xfId="0" applyNumberFormat="1" applyFont="1" applyFill="1" applyBorder="1" applyAlignment="1" applyProtection="1">
      <alignment horizontal="center" vertical="center"/>
      <protection hidden="1"/>
    </xf>
    <xf numFmtId="175" fontId="46" fillId="20" borderId="29" xfId="0" applyNumberFormat="1" applyFont="1" applyFill="1" applyBorder="1" applyAlignment="1" applyProtection="1">
      <alignment horizontal="center" vertical="center"/>
      <protection hidden="1"/>
    </xf>
    <xf numFmtId="175" fontId="46" fillId="20" borderId="32" xfId="1" applyNumberFormat="1" applyFont="1" applyFill="1" applyBorder="1" applyAlignment="1" applyProtection="1">
      <alignment horizontal="center" vertical="center"/>
      <protection hidden="1"/>
    </xf>
    <xf numFmtId="175" fontId="27" fillId="20" borderId="29" xfId="1" applyNumberFormat="1" applyFont="1" applyFill="1" applyBorder="1" applyAlignment="1" applyProtection="1">
      <alignment horizontal="center" vertical="center"/>
      <protection hidden="1"/>
    </xf>
    <xf numFmtId="0" fontId="84" fillId="0" borderId="0" xfId="0" applyFont="1" applyAlignment="1" applyProtection="1">
      <alignment horizontal="left" vertical="center"/>
      <protection hidden="1"/>
    </xf>
    <xf numFmtId="0" fontId="85" fillId="0" borderId="29" xfId="0" applyFont="1" applyBorder="1" applyAlignment="1" applyProtection="1">
      <alignment horizontal="center" vertical="center"/>
      <protection hidden="1"/>
    </xf>
    <xf numFmtId="0" fontId="85" fillId="0" borderId="40" xfId="0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center" vertical="top" wrapText="1"/>
      <protection hidden="1"/>
    </xf>
    <xf numFmtId="166" fontId="19" fillId="23" borderId="0" xfId="2" applyFont="1" applyFill="1" applyBorder="1" applyAlignment="1" applyProtection="1">
      <alignment horizontal="center" vertical="top"/>
      <protection hidden="1"/>
    </xf>
    <xf numFmtId="170" fontId="19" fillId="23" borderId="0" xfId="2" applyNumberFormat="1" applyFont="1" applyFill="1" applyBorder="1" applyAlignment="1" applyProtection="1">
      <alignment horizontal="center" vertical="top"/>
      <protection hidden="1"/>
    </xf>
    <xf numFmtId="0" fontId="43" fillId="7" borderId="0" xfId="0" applyFont="1" applyFill="1" applyAlignment="1" applyProtection="1">
      <alignment vertical="center"/>
      <protection hidden="1"/>
    </xf>
    <xf numFmtId="177" fontId="45" fillId="0" borderId="0" xfId="0" applyNumberFormat="1" applyFont="1" applyProtection="1">
      <protection hidden="1"/>
    </xf>
    <xf numFmtId="8" fontId="45" fillId="0" borderId="0" xfId="0" applyNumberFormat="1" applyFont="1" applyProtection="1">
      <protection hidden="1"/>
    </xf>
    <xf numFmtId="10" fontId="47" fillId="0" borderId="0" xfId="1" applyNumberFormat="1" applyFont="1" applyFill="1" applyBorder="1" applyAlignment="1" applyProtection="1">
      <alignment vertical="center" wrapText="1"/>
      <protection hidden="1"/>
    </xf>
    <xf numFmtId="174" fontId="46" fillId="0" borderId="0" xfId="1" applyNumberFormat="1" applyFont="1" applyFill="1" applyBorder="1" applyAlignment="1" applyProtection="1">
      <alignment horizontal="center" vertical="center"/>
      <protection hidden="1"/>
    </xf>
    <xf numFmtId="0" fontId="45" fillId="0" borderId="0" xfId="0" applyFont="1" applyAlignment="1" applyProtection="1">
      <alignment horizontal="left" vertical="center"/>
      <protection hidden="1"/>
    </xf>
    <xf numFmtId="174" fontId="86" fillId="0" borderId="0" xfId="1" applyNumberFormat="1" applyFont="1" applyFill="1" applyBorder="1" applyAlignment="1" applyProtection="1">
      <alignment horizontal="center" vertical="center"/>
      <protection hidden="1"/>
    </xf>
    <xf numFmtId="0" fontId="86" fillId="0" borderId="0" xfId="0" applyFont="1" applyAlignment="1" applyProtection="1">
      <alignment vertical="center"/>
      <protection hidden="1"/>
    </xf>
    <xf numFmtId="177" fontId="48" fillId="0" borderId="0" xfId="0" applyNumberFormat="1" applyFont="1" applyAlignment="1" applyProtection="1">
      <alignment horizontal="center" vertical="center"/>
      <protection hidden="1"/>
    </xf>
    <xf numFmtId="10" fontId="45" fillId="0" borderId="0" xfId="1" applyNumberFormat="1" applyFont="1" applyFill="1" applyBorder="1" applyAlignment="1" applyProtection="1">
      <alignment horizontal="center" vertical="center"/>
      <protection hidden="1"/>
    </xf>
    <xf numFmtId="0" fontId="75" fillId="0" borderId="0" xfId="0" applyFont="1" applyAlignment="1" applyProtection="1">
      <alignment horizontal="center" vertical="center" wrapText="1"/>
      <protection hidden="1"/>
    </xf>
    <xf numFmtId="0" fontId="77" fillId="0" borderId="0" xfId="0" applyFont="1" applyAlignment="1" applyProtection="1">
      <alignment horizontal="center" vertical="top" wrapText="1"/>
      <protection hidden="1"/>
    </xf>
    <xf numFmtId="177" fontId="45" fillId="20" borderId="38" xfId="0" applyNumberFormat="1" applyFont="1" applyFill="1" applyBorder="1" applyAlignment="1" applyProtection="1">
      <alignment horizontal="center" vertical="center"/>
      <protection hidden="1"/>
    </xf>
    <xf numFmtId="177" fontId="48" fillId="22" borderId="41" xfId="0" applyNumberFormat="1" applyFont="1" applyFill="1" applyBorder="1" applyAlignment="1" applyProtection="1">
      <alignment horizontal="center" vertical="center"/>
      <protection hidden="1"/>
    </xf>
    <xf numFmtId="169" fontId="45" fillId="22" borderId="41" xfId="1" applyNumberFormat="1" applyFont="1" applyFill="1" applyBorder="1" applyAlignment="1" applyProtection="1">
      <alignment horizontal="center" vertical="center"/>
      <protection hidden="1"/>
    </xf>
    <xf numFmtId="177" fontId="45" fillId="22" borderId="41" xfId="0" applyNumberFormat="1" applyFont="1" applyFill="1" applyBorder="1" applyAlignment="1" applyProtection="1">
      <alignment horizontal="center" vertical="center"/>
      <protection hidden="1"/>
    </xf>
    <xf numFmtId="177" fontId="48" fillId="20" borderId="29" xfId="0" applyNumberFormat="1" applyFont="1" applyFill="1" applyBorder="1" applyAlignment="1" applyProtection="1">
      <alignment horizontal="center" vertical="center"/>
      <protection hidden="1"/>
    </xf>
    <xf numFmtId="0" fontId="46" fillId="20" borderId="43" xfId="0" applyFont="1" applyFill="1" applyBorder="1" applyAlignment="1" applyProtection="1">
      <alignment horizontal="center" vertical="center"/>
      <protection locked="0" hidden="1"/>
    </xf>
    <xf numFmtId="10" fontId="46" fillId="20" borderId="43" xfId="1" applyNumberFormat="1" applyFont="1" applyFill="1" applyBorder="1" applyAlignment="1" applyProtection="1">
      <alignment horizontal="center" vertical="center"/>
      <protection hidden="1"/>
    </xf>
    <xf numFmtId="177" fontId="46" fillId="20" borderId="43" xfId="1" applyNumberFormat="1" applyFont="1" applyFill="1" applyBorder="1" applyAlignment="1" applyProtection="1">
      <alignment horizontal="center" vertical="center"/>
      <protection hidden="1"/>
    </xf>
    <xf numFmtId="10" fontId="47" fillId="0" borderId="35" xfId="1" applyNumberFormat="1" applyFont="1" applyFill="1" applyBorder="1" applyAlignment="1" applyProtection="1">
      <alignment vertical="center" wrapText="1"/>
      <protection hidden="1"/>
    </xf>
    <xf numFmtId="174" fontId="56" fillId="0" borderId="35" xfId="1" applyNumberFormat="1" applyFont="1" applyFill="1" applyBorder="1" applyAlignment="1" applyProtection="1">
      <alignment horizontal="center" vertical="center"/>
      <protection hidden="1"/>
    </xf>
    <xf numFmtId="10" fontId="56" fillId="0" borderId="35" xfId="1" applyNumberFormat="1" applyFont="1" applyFill="1" applyBorder="1" applyAlignment="1" applyProtection="1">
      <alignment horizontal="center" vertical="center"/>
      <protection hidden="1"/>
    </xf>
    <xf numFmtId="177" fontId="56" fillId="0" borderId="35" xfId="1" applyNumberFormat="1" applyFont="1" applyFill="1" applyBorder="1" applyAlignment="1" applyProtection="1">
      <alignment horizontal="center" vertical="center"/>
      <protection hidden="1"/>
    </xf>
    <xf numFmtId="0" fontId="80" fillId="20" borderId="29" xfId="0" applyFont="1" applyFill="1" applyBorder="1" applyAlignment="1" applyProtection="1">
      <alignment horizontal="left" vertical="center" wrapText="1"/>
      <protection hidden="1"/>
    </xf>
    <xf numFmtId="0" fontId="80" fillId="20" borderId="40" xfId="0" applyFont="1" applyFill="1" applyBorder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vertical="center"/>
      <protection hidden="1"/>
    </xf>
    <xf numFmtId="0" fontId="79" fillId="0" borderId="0" xfId="0" applyFont="1" applyProtection="1">
      <protection hidden="1"/>
    </xf>
    <xf numFmtId="0" fontId="57" fillId="24" borderId="0" xfId="0" applyFont="1" applyFill="1" applyAlignment="1" applyProtection="1">
      <alignment horizontal="center" vertical="center"/>
      <protection hidden="1"/>
    </xf>
    <xf numFmtId="0" fontId="79" fillId="0" borderId="33" xfId="0" applyFont="1" applyBorder="1" applyProtection="1">
      <protection hidden="1"/>
    </xf>
    <xf numFmtId="0" fontId="92" fillId="0" borderId="0" xfId="0" applyFont="1" applyAlignment="1" applyProtection="1">
      <alignment vertical="center"/>
      <protection hidden="1"/>
    </xf>
    <xf numFmtId="10" fontId="83" fillId="20" borderId="29" xfId="1" applyNumberFormat="1" applyFont="1" applyFill="1" applyBorder="1" applyAlignment="1" applyProtection="1">
      <alignment horizontal="center" vertical="center"/>
      <protection hidden="1"/>
    </xf>
    <xf numFmtId="0" fontId="94" fillId="0" borderId="0" xfId="0" applyFont="1" applyAlignment="1" applyProtection="1">
      <alignment vertical="center"/>
      <protection hidden="1"/>
    </xf>
    <xf numFmtId="10" fontId="95" fillId="20" borderId="29" xfId="1" applyNumberFormat="1" applyFont="1" applyFill="1" applyBorder="1" applyAlignment="1" applyProtection="1">
      <alignment horizontal="center" vertical="center"/>
      <protection hidden="1"/>
    </xf>
    <xf numFmtId="168" fontId="76" fillId="20" borderId="29" xfId="0" applyNumberFormat="1" applyFont="1" applyFill="1" applyBorder="1" applyAlignment="1" applyProtection="1">
      <alignment horizontal="center" vertical="center"/>
      <protection hidden="1"/>
    </xf>
    <xf numFmtId="169" fontId="95" fillId="20" borderId="40" xfId="1" applyNumberFormat="1" applyFont="1" applyFill="1" applyBorder="1" applyAlignment="1" applyProtection="1">
      <alignment horizontal="center" vertical="center"/>
      <protection hidden="1"/>
    </xf>
    <xf numFmtId="168" fontId="76" fillId="20" borderId="40" xfId="0" applyNumberFormat="1" applyFont="1" applyFill="1" applyBorder="1" applyAlignment="1" applyProtection="1">
      <alignment horizontal="center" vertical="center"/>
      <protection hidden="1"/>
    </xf>
    <xf numFmtId="0" fontId="18" fillId="23" borderId="0" xfId="0" applyFont="1" applyFill="1" applyAlignment="1" applyProtection="1">
      <alignment vertical="top"/>
      <protection hidden="1"/>
    </xf>
    <xf numFmtId="14" fontId="15" fillId="23" borderId="0" xfId="0" applyNumberFormat="1" applyFont="1" applyFill="1" applyAlignment="1" applyProtection="1">
      <alignment horizontal="center"/>
      <protection hidden="1"/>
    </xf>
    <xf numFmtId="170" fontId="18" fillId="23" borderId="0" xfId="0" applyNumberFormat="1" applyFont="1" applyFill="1" applyAlignment="1" applyProtection="1">
      <alignment horizontal="center"/>
      <protection hidden="1"/>
    </xf>
    <xf numFmtId="14" fontId="19" fillId="23" borderId="0" xfId="2" applyNumberFormat="1" applyFont="1" applyFill="1" applyBorder="1" applyAlignment="1" applyProtection="1">
      <alignment horizontal="center" vertical="top"/>
      <protection hidden="1"/>
    </xf>
    <xf numFmtId="165" fontId="19" fillId="23" borderId="0" xfId="0" quotePrefix="1" applyNumberFormat="1" applyFont="1" applyFill="1" applyAlignment="1" applyProtection="1">
      <alignment horizontal="right"/>
      <protection hidden="1"/>
    </xf>
    <xf numFmtId="14" fontId="19" fillId="23" borderId="0" xfId="0" applyNumberFormat="1" applyFont="1" applyFill="1" applyAlignment="1" applyProtection="1">
      <alignment horizontal="center"/>
      <protection hidden="1"/>
    </xf>
    <xf numFmtId="14" fontId="69" fillId="24" borderId="0" xfId="0" applyNumberFormat="1" applyFont="1" applyFill="1" applyAlignment="1" applyProtection="1">
      <alignment horizontal="center" vertical="center" wrapText="1"/>
      <protection hidden="1"/>
    </xf>
    <xf numFmtId="0" fontId="96" fillId="24" borderId="0" xfId="0" applyFont="1" applyFill="1" applyAlignment="1" applyProtection="1">
      <alignment horizontal="center" vertical="center" wrapText="1"/>
      <protection hidden="1"/>
    </xf>
    <xf numFmtId="170" fontId="63" fillId="20" borderId="29" xfId="0" applyNumberFormat="1" applyFont="1" applyFill="1" applyBorder="1" applyAlignment="1" applyProtection="1">
      <alignment horizontal="center" vertical="center"/>
      <protection locked="0"/>
    </xf>
    <xf numFmtId="14" fontId="63" fillId="20" borderId="29" xfId="0" applyNumberFormat="1" applyFont="1" applyFill="1" applyBorder="1" applyAlignment="1">
      <alignment horizontal="center" vertical="center"/>
    </xf>
    <xf numFmtId="170" fontId="63" fillId="20" borderId="29" xfId="0" applyNumberFormat="1" applyFont="1" applyFill="1" applyBorder="1" applyAlignment="1">
      <alignment horizontal="center" vertical="center"/>
    </xf>
    <xf numFmtId="168" fontId="63" fillId="20" borderId="40" xfId="0" applyNumberFormat="1" applyFont="1" applyFill="1" applyBorder="1" applyAlignment="1">
      <alignment horizontal="center" vertical="center"/>
    </xf>
    <xf numFmtId="0" fontId="95" fillId="0" borderId="0" xfId="0" applyFont="1" applyAlignment="1" applyProtection="1">
      <alignment horizontal="center" vertical="center"/>
      <protection hidden="1"/>
    </xf>
    <xf numFmtId="0" fontId="95" fillId="0" borderId="0" xfId="0" applyFont="1" applyAlignment="1" applyProtection="1">
      <alignment horizontal="center" vertical="center" wrapText="1"/>
      <protection hidden="1"/>
    </xf>
    <xf numFmtId="0" fontId="95" fillId="0" borderId="33" xfId="0" applyFont="1" applyBorder="1" applyAlignment="1" applyProtection="1">
      <alignment horizontal="center" vertical="center"/>
      <protection hidden="1"/>
    </xf>
    <xf numFmtId="170" fontId="63" fillId="20" borderId="54" xfId="0" applyNumberFormat="1" applyFont="1" applyFill="1" applyBorder="1" applyAlignment="1" applyProtection="1">
      <alignment horizontal="center" vertical="center"/>
      <protection locked="0"/>
    </xf>
    <xf numFmtId="14" fontId="63" fillId="20" borderId="32" xfId="0" applyNumberFormat="1" applyFont="1" applyFill="1" applyBorder="1" applyAlignment="1" applyProtection="1">
      <alignment horizontal="center" vertical="center"/>
      <protection locked="0"/>
    </xf>
    <xf numFmtId="0" fontId="100" fillId="0" borderId="0" xfId="0" applyFont="1" applyAlignment="1">
      <alignment horizontal="left" vertical="center" wrapText="1"/>
    </xf>
    <xf numFmtId="0" fontId="46" fillId="20" borderId="29" xfId="0" applyFont="1" applyFill="1" applyBorder="1" applyAlignment="1" applyProtection="1">
      <alignment horizontal="center" vertical="center"/>
      <protection locked="0" hidden="1"/>
    </xf>
    <xf numFmtId="178" fontId="11" fillId="0" borderId="0" xfId="0" applyNumberFormat="1" applyFont="1" applyProtection="1">
      <protection hidden="1"/>
    </xf>
    <xf numFmtId="174" fontId="46" fillId="20" borderId="29" xfId="1" applyNumberFormat="1" applyFont="1" applyFill="1" applyBorder="1" applyAlignment="1" applyProtection="1">
      <alignment horizontal="center" vertical="center"/>
      <protection hidden="1"/>
    </xf>
    <xf numFmtId="177" fontId="46" fillId="20" borderId="29" xfId="1" applyNumberFormat="1" applyFont="1" applyFill="1" applyBorder="1" applyAlignment="1" applyProtection="1">
      <alignment horizontal="center" vertical="center"/>
      <protection hidden="1"/>
    </xf>
    <xf numFmtId="177" fontId="95" fillId="0" borderId="35" xfId="0" applyNumberFormat="1" applyFont="1" applyBorder="1" applyAlignment="1" applyProtection="1">
      <alignment horizontal="center" vertical="center"/>
      <protection hidden="1"/>
    </xf>
    <xf numFmtId="174" fontId="82" fillId="20" borderId="29" xfId="1" applyNumberFormat="1" applyFont="1" applyFill="1" applyBorder="1" applyAlignment="1" applyProtection="1">
      <alignment horizontal="center" vertical="center"/>
      <protection hidden="1"/>
    </xf>
    <xf numFmtId="174" fontId="101" fillId="0" borderId="0" xfId="1" applyNumberFormat="1" applyFont="1" applyFill="1" applyBorder="1" applyAlignment="1" applyProtection="1">
      <alignment horizontal="center" vertical="center" wrapText="1"/>
      <protection hidden="1"/>
    </xf>
    <xf numFmtId="0" fontId="46" fillId="20" borderId="58" xfId="0" applyFont="1" applyFill="1" applyBorder="1" applyAlignment="1" applyProtection="1">
      <alignment horizontal="center" vertical="center"/>
      <protection hidden="1"/>
    </xf>
    <xf numFmtId="10" fontId="47" fillId="0" borderId="37" xfId="1" applyNumberFormat="1" applyFont="1" applyFill="1" applyBorder="1" applyAlignment="1" applyProtection="1">
      <alignment vertical="center" wrapText="1"/>
      <protection hidden="1"/>
    </xf>
    <xf numFmtId="0" fontId="45" fillId="0" borderId="61" xfId="0" applyFont="1" applyBorder="1" applyAlignment="1" applyProtection="1">
      <alignment vertical="center"/>
      <protection hidden="1"/>
    </xf>
    <xf numFmtId="174" fontId="76" fillId="0" borderId="29" xfId="1" applyNumberFormat="1" applyFont="1" applyFill="1" applyBorder="1" applyAlignment="1" applyProtection="1">
      <alignment horizontal="center" vertical="center"/>
      <protection hidden="1"/>
    </xf>
    <xf numFmtId="177" fontId="48" fillId="0" borderId="29" xfId="0" applyNumberFormat="1" applyFont="1" applyBorder="1" applyAlignment="1" applyProtection="1">
      <alignment horizontal="center" vertical="center"/>
      <protection hidden="1"/>
    </xf>
    <xf numFmtId="169" fontId="45" fillId="0" borderId="29" xfId="1" applyNumberFormat="1" applyFont="1" applyFill="1" applyBorder="1" applyAlignment="1" applyProtection="1">
      <alignment horizontal="center" vertical="center"/>
      <protection hidden="1"/>
    </xf>
    <xf numFmtId="177" fontId="45" fillId="0" borderId="29" xfId="0" applyNumberFormat="1" applyFont="1" applyBorder="1" applyAlignment="1" applyProtection="1">
      <alignment horizontal="center" vertical="center"/>
      <protection hidden="1"/>
    </xf>
    <xf numFmtId="177" fontId="46" fillId="0" borderId="29" xfId="0" applyNumberFormat="1" applyFont="1" applyBorder="1" applyAlignment="1" applyProtection="1">
      <alignment horizontal="center" vertical="center"/>
      <protection hidden="1"/>
    </xf>
    <xf numFmtId="177" fontId="46" fillId="0" borderId="29" xfId="1" applyNumberFormat="1" applyFont="1" applyFill="1" applyBorder="1" applyAlignment="1" applyProtection="1">
      <alignment horizontal="center" vertical="center"/>
      <protection hidden="1"/>
    </xf>
    <xf numFmtId="172" fontId="45" fillId="0" borderId="29" xfId="0" applyNumberFormat="1" applyFont="1" applyBorder="1" applyAlignment="1" applyProtection="1">
      <alignment horizontal="center" vertical="center"/>
      <protection hidden="1"/>
    </xf>
    <xf numFmtId="10" fontId="45" fillId="0" borderId="29" xfId="1" applyNumberFormat="1" applyFont="1" applyFill="1" applyBorder="1" applyAlignment="1" applyProtection="1">
      <alignment horizontal="center" vertical="center"/>
      <protection hidden="1"/>
    </xf>
    <xf numFmtId="0" fontId="45" fillId="21" borderId="0" xfId="0" applyFont="1" applyFill="1" applyAlignment="1" applyProtection="1">
      <alignment vertical="center"/>
      <protection hidden="1"/>
    </xf>
    <xf numFmtId="10" fontId="45" fillId="0" borderId="29" xfId="0" applyNumberFormat="1" applyFont="1" applyBorder="1" applyAlignment="1" applyProtection="1">
      <alignment horizontal="center" vertical="center"/>
      <protection hidden="1"/>
    </xf>
    <xf numFmtId="177" fontId="45" fillId="0" borderId="40" xfId="0" applyNumberFormat="1" applyFont="1" applyBorder="1" applyAlignment="1" applyProtection="1">
      <alignment horizontal="center" vertical="center"/>
      <protection hidden="1"/>
    </xf>
    <xf numFmtId="0" fontId="45" fillId="0" borderId="64" xfId="0" applyFont="1" applyBorder="1" applyAlignment="1" applyProtection="1">
      <alignment horizontal="right" vertical="center"/>
      <protection hidden="1"/>
    </xf>
    <xf numFmtId="0" fontId="45" fillId="10" borderId="0" xfId="0" applyFont="1" applyFill="1" applyAlignment="1" applyProtection="1">
      <alignment horizontal="right" vertical="center"/>
      <protection hidden="1"/>
    </xf>
    <xf numFmtId="0" fontId="103" fillId="23" borderId="0" xfId="0" applyFont="1" applyFill="1" applyAlignment="1" applyProtection="1">
      <alignment vertical="top"/>
      <protection hidden="1"/>
    </xf>
    <xf numFmtId="14" fontId="56" fillId="23" borderId="0" xfId="0" applyNumberFormat="1" applyFont="1" applyFill="1" applyAlignment="1" applyProtection="1">
      <alignment horizontal="center"/>
      <protection hidden="1"/>
    </xf>
    <xf numFmtId="170" fontId="103" fillId="23" borderId="0" xfId="0" applyNumberFormat="1" applyFont="1" applyFill="1" applyAlignment="1" applyProtection="1">
      <alignment horizontal="center"/>
      <protection hidden="1"/>
    </xf>
    <xf numFmtId="166" fontId="104" fillId="23" borderId="0" xfId="2" applyFont="1" applyFill="1" applyBorder="1" applyAlignment="1" applyProtection="1">
      <alignment horizontal="center" vertical="top"/>
      <protection hidden="1"/>
    </xf>
    <xf numFmtId="165" fontId="104" fillId="23" borderId="0" xfId="0" applyNumberFormat="1" applyFont="1" applyFill="1" applyAlignment="1" applyProtection="1">
      <alignment horizontal="center" vertical="top"/>
      <protection hidden="1"/>
    </xf>
    <xf numFmtId="170" fontId="104" fillId="23" borderId="0" xfId="2" applyNumberFormat="1" applyFont="1" applyFill="1" applyBorder="1" applyAlignment="1" applyProtection="1">
      <alignment horizontal="center" vertical="top"/>
      <protection hidden="1"/>
    </xf>
    <xf numFmtId="165" fontId="104" fillId="23" borderId="0" xfId="0" quotePrefix="1" applyNumberFormat="1" applyFont="1" applyFill="1" applyAlignment="1" applyProtection="1">
      <alignment horizontal="center" vertical="top"/>
      <protection hidden="1"/>
    </xf>
    <xf numFmtId="14" fontId="104" fillId="23" borderId="0" xfId="0" applyNumberFormat="1" applyFont="1" applyFill="1" applyAlignment="1" applyProtection="1">
      <alignment horizontal="center" vertical="top"/>
      <protection hidden="1"/>
    </xf>
    <xf numFmtId="177" fontId="66" fillId="20" borderId="29" xfId="1" applyNumberFormat="1" applyFont="1" applyFill="1" applyBorder="1" applyAlignment="1" applyProtection="1">
      <alignment horizontal="center" vertical="center"/>
      <protection hidden="1"/>
    </xf>
    <xf numFmtId="177" fontId="66" fillId="20" borderId="0" xfId="1" applyNumberFormat="1" applyFont="1" applyFill="1" applyBorder="1" applyAlignment="1" applyProtection="1">
      <alignment horizontal="center" vertical="center"/>
      <protection hidden="1"/>
    </xf>
    <xf numFmtId="0" fontId="22" fillId="21" borderId="0" xfId="0" applyFont="1" applyFill="1" applyAlignment="1" applyProtection="1">
      <alignment horizontal="left" vertical="center"/>
      <protection hidden="1"/>
    </xf>
    <xf numFmtId="0" fontId="20" fillId="21" borderId="0" xfId="0" applyFont="1" applyFill="1" applyAlignment="1" applyProtection="1">
      <alignment horizontal="center" vertical="top" wrapText="1"/>
      <protection hidden="1"/>
    </xf>
    <xf numFmtId="0" fontId="103" fillId="20" borderId="0" xfId="0" applyFont="1" applyFill="1" applyAlignment="1" applyProtection="1">
      <alignment vertical="top"/>
      <protection hidden="1"/>
    </xf>
    <xf numFmtId="14" fontId="103" fillId="20" borderId="0" xfId="0" applyNumberFormat="1" applyFont="1" applyFill="1" applyAlignment="1" applyProtection="1">
      <alignment horizontal="center"/>
      <protection hidden="1"/>
    </xf>
    <xf numFmtId="170" fontId="103" fillId="20" borderId="0" xfId="0" applyNumberFormat="1" applyFont="1" applyFill="1" applyAlignment="1" applyProtection="1">
      <alignment horizontal="center"/>
      <protection hidden="1"/>
    </xf>
    <xf numFmtId="166" fontId="104" fillId="20" borderId="0" xfId="2" applyFont="1" applyFill="1" applyBorder="1" applyAlignment="1" applyProtection="1">
      <alignment horizontal="center" vertical="top"/>
      <protection hidden="1"/>
    </xf>
    <xf numFmtId="165" fontId="104" fillId="20" borderId="0" xfId="0" applyNumberFormat="1" applyFont="1" applyFill="1" applyAlignment="1" applyProtection="1">
      <alignment horizontal="center" vertical="top"/>
      <protection hidden="1"/>
    </xf>
    <xf numFmtId="170" fontId="104" fillId="20" borderId="0" xfId="2" applyNumberFormat="1" applyFont="1" applyFill="1" applyBorder="1" applyAlignment="1" applyProtection="1">
      <alignment horizontal="center" vertical="top"/>
      <protection hidden="1"/>
    </xf>
    <xf numFmtId="165" fontId="104" fillId="20" borderId="0" xfId="0" quotePrefix="1" applyNumberFormat="1" applyFont="1" applyFill="1" applyAlignment="1" applyProtection="1">
      <alignment horizontal="right"/>
      <protection hidden="1"/>
    </xf>
    <xf numFmtId="14" fontId="104" fillId="20" borderId="0" xfId="0" applyNumberFormat="1" applyFont="1" applyFill="1" applyAlignment="1" applyProtection="1">
      <alignment horizontal="center"/>
      <protection hidden="1"/>
    </xf>
    <xf numFmtId="165" fontId="104" fillId="20" borderId="0" xfId="0" quotePrefix="1" applyNumberFormat="1" applyFont="1" applyFill="1" applyAlignment="1" applyProtection="1">
      <alignment horizontal="right" vertical="top"/>
      <protection hidden="1"/>
    </xf>
    <xf numFmtId="14" fontId="104" fillId="20" borderId="0" xfId="0" applyNumberFormat="1" applyFont="1" applyFill="1" applyAlignment="1" applyProtection="1">
      <alignment horizontal="center" vertical="top"/>
      <protection hidden="1"/>
    </xf>
    <xf numFmtId="165" fontId="104" fillId="20" borderId="0" xfId="0" quotePrefix="1" applyNumberFormat="1" applyFont="1" applyFill="1" applyAlignment="1" applyProtection="1">
      <alignment horizontal="center" vertical="top"/>
      <protection hidden="1"/>
    </xf>
    <xf numFmtId="0" fontId="104" fillId="23" borderId="0" xfId="0" applyFont="1" applyFill="1" applyProtection="1">
      <protection hidden="1"/>
    </xf>
    <xf numFmtId="0" fontId="103" fillId="23" borderId="0" xfId="0" applyFont="1" applyFill="1" applyAlignment="1" applyProtection="1">
      <alignment horizontal="right"/>
      <protection hidden="1"/>
    </xf>
    <xf numFmtId="167" fontId="103" fillId="23" borderId="0" xfId="0" applyNumberFormat="1" applyFont="1" applyFill="1" applyAlignment="1" applyProtection="1">
      <alignment horizontal="center"/>
      <protection hidden="1"/>
    </xf>
    <xf numFmtId="0" fontId="80" fillId="0" borderId="0" xfId="0" applyFont="1" applyProtection="1">
      <protection hidden="1"/>
    </xf>
    <xf numFmtId="177" fontId="67" fillId="20" borderId="29" xfId="0" applyNumberFormat="1" applyFont="1" applyFill="1" applyBorder="1" applyAlignment="1" applyProtection="1">
      <alignment horizontal="center" vertical="center"/>
      <protection hidden="1"/>
    </xf>
    <xf numFmtId="177" fontId="68" fillId="22" borderId="29" xfId="0" applyNumberFormat="1" applyFont="1" applyFill="1" applyBorder="1" applyAlignment="1" applyProtection="1">
      <alignment horizontal="center" vertical="center"/>
      <protection hidden="1"/>
    </xf>
    <xf numFmtId="177" fontId="56" fillId="21" borderId="29" xfId="0" applyNumberFormat="1" applyFont="1" applyFill="1" applyBorder="1" applyAlignment="1" applyProtection="1">
      <alignment horizontal="center" vertical="center"/>
      <protection hidden="1"/>
    </xf>
    <xf numFmtId="177" fontId="46" fillId="22" borderId="29" xfId="0" applyNumberFormat="1" applyFont="1" applyFill="1" applyBorder="1" applyAlignment="1" applyProtection="1">
      <alignment horizontal="center" vertical="center"/>
      <protection hidden="1"/>
    </xf>
    <xf numFmtId="14" fontId="93" fillId="0" borderId="0" xfId="0" applyNumberFormat="1" applyFont="1" applyAlignment="1" applyProtection="1">
      <alignment vertical="center"/>
      <protection hidden="1"/>
    </xf>
    <xf numFmtId="14" fontId="44" fillId="0" borderId="0" xfId="0" applyNumberFormat="1" applyFont="1" applyAlignment="1" applyProtection="1">
      <alignment vertical="center"/>
      <protection locked="0" hidden="1"/>
    </xf>
    <xf numFmtId="14" fontId="78" fillId="20" borderId="0" xfId="0" applyNumberFormat="1" applyFont="1" applyFill="1" applyAlignment="1" applyProtection="1">
      <alignment vertical="center"/>
      <protection hidden="1"/>
    </xf>
    <xf numFmtId="14" fontId="78" fillId="20" borderId="33" xfId="0" applyNumberFormat="1" applyFont="1" applyFill="1" applyBorder="1" applyAlignment="1" applyProtection="1">
      <alignment vertical="center"/>
      <protection hidden="1"/>
    </xf>
    <xf numFmtId="14" fontId="78" fillId="0" borderId="0" xfId="0" applyNumberFormat="1" applyFont="1" applyAlignment="1" applyProtection="1">
      <alignment vertical="center"/>
      <protection hidden="1"/>
    </xf>
    <xf numFmtId="14" fontId="44" fillId="0" borderId="0" xfId="0" applyNumberFormat="1" applyFont="1" applyAlignment="1" applyProtection="1">
      <alignment horizontal="center" vertical="center"/>
      <protection hidden="1"/>
    </xf>
    <xf numFmtId="14" fontId="44" fillId="18" borderId="0" xfId="0" applyNumberFormat="1" applyFont="1" applyFill="1" applyAlignment="1" applyProtection="1">
      <alignment horizontal="center" vertical="center"/>
      <protection hidden="1"/>
    </xf>
    <xf numFmtId="14" fontId="78" fillId="0" borderId="0" xfId="0" applyNumberFormat="1" applyFont="1" applyAlignment="1" applyProtection="1">
      <alignment horizontal="right" vertical="center"/>
      <protection hidden="1"/>
    </xf>
    <xf numFmtId="14" fontId="78" fillId="0" borderId="33" xfId="0" applyNumberFormat="1" applyFont="1" applyBorder="1" applyAlignment="1" applyProtection="1">
      <alignment vertical="center"/>
      <protection hidden="1"/>
    </xf>
    <xf numFmtId="14" fontId="78" fillId="0" borderId="0" xfId="0" applyNumberFormat="1" applyFont="1" applyAlignment="1" applyProtection="1">
      <alignment horizontal="center" vertical="center"/>
      <protection hidden="1"/>
    </xf>
    <xf numFmtId="0" fontId="65" fillId="26" borderId="0" xfId="0" applyFont="1" applyFill="1" applyAlignment="1" applyProtection="1">
      <alignment horizontal="center" vertical="center" wrapText="1"/>
      <protection hidden="1"/>
    </xf>
    <xf numFmtId="0" fontId="109" fillId="0" borderId="0" xfId="0" applyFont="1" applyProtection="1">
      <protection hidden="1"/>
    </xf>
    <xf numFmtId="0" fontId="110" fillId="0" borderId="0" xfId="0" applyFont="1" applyAlignment="1" applyProtection="1">
      <alignment vertical="center"/>
      <protection hidden="1"/>
    </xf>
    <xf numFmtId="0" fontId="111" fillId="0" borderId="0" xfId="0" applyFont="1" applyAlignment="1" applyProtection="1">
      <alignment vertical="center"/>
      <protection hidden="1"/>
    </xf>
    <xf numFmtId="0" fontId="111" fillId="0" borderId="33" xfId="0" applyFont="1" applyBorder="1" applyAlignment="1" applyProtection="1">
      <alignment vertical="center"/>
      <protection hidden="1"/>
    </xf>
    <xf numFmtId="170" fontId="19" fillId="23" borderId="0" xfId="2" applyNumberFormat="1" applyFont="1" applyFill="1" applyBorder="1" applyAlignment="1" applyProtection="1">
      <alignment horizontal="center" vertical="center"/>
      <protection locked="0" hidden="1"/>
    </xf>
    <xf numFmtId="166" fontId="19" fillId="23" borderId="0" xfId="2" applyFont="1" applyFill="1" applyBorder="1" applyAlignment="1" applyProtection="1">
      <alignment horizontal="center" vertical="center"/>
      <protection locked="0" hidden="1"/>
    </xf>
    <xf numFmtId="166" fontId="19" fillId="23" borderId="33" xfId="2" applyFont="1" applyFill="1" applyBorder="1" applyAlignment="1" applyProtection="1">
      <alignment horizontal="center" vertical="center"/>
      <protection locked="0" hidden="1"/>
    </xf>
    <xf numFmtId="170" fontId="104" fillId="23" borderId="0" xfId="2" applyNumberFormat="1" applyFont="1" applyFill="1" applyBorder="1" applyAlignment="1" applyProtection="1">
      <alignment horizontal="center" vertical="top"/>
      <protection locked="0" hidden="1"/>
    </xf>
    <xf numFmtId="166" fontId="104" fillId="23" borderId="0" xfId="2" applyFont="1" applyFill="1" applyBorder="1" applyAlignment="1" applyProtection="1">
      <alignment horizontal="center" vertical="top"/>
      <protection locked="0" hidden="1"/>
    </xf>
    <xf numFmtId="0" fontId="45" fillId="0" borderId="69" xfId="0" applyFont="1" applyBorder="1" applyAlignment="1" applyProtection="1">
      <alignment horizontal="left" vertical="center"/>
      <protection hidden="1"/>
    </xf>
    <xf numFmtId="0" fontId="115" fillId="0" borderId="0" xfId="0" applyFont="1" applyAlignment="1" applyProtection="1">
      <alignment horizontal="right" vertical="center"/>
      <protection hidden="1"/>
    </xf>
    <xf numFmtId="177" fontId="56" fillId="0" borderId="0" xfId="0" applyNumberFormat="1" applyFont="1" applyAlignment="1" applyProtection="1">
      <alignment horizontal="center" vertical="center"/>
      <protection hidden="1"/>
    </xf>
    <xf numFmtId="175" fontId="48" fillId="20" borderId="29" xfId="0" applyNumberFormat="1" applyFont="1" applyFill="1" applyBorder="1" applyAlignment="1" applyProtection="1">
      <alignment horizontal="center" vertical="center"/>
      <protection locked="0" hidden="1"/>
    </xf>
    <xf numFmtId="10" fontId="39" fillId="12" borderId="0" xfId="1" applyNumberFormat="1" applyFont="1" applyFill="1" applyBorder="1" applyAlignment="1" applyProtection="1">
      <alignment horizontal="center" vertical="center" wrapText="1"/>
      <protection hidden="1"/>
    </xf>
    <xf numFmtId="0" fontId="59" fillId="24" borderId="34" xfId="0" applyFont="1" applyFill="1" applyBorder="1" applyAlignment="1" applyProtection="1">
      <alignment horizontal="center" vertical="top" wrapText="1"/>
      <protection hidden="1"/>
    </xf>
    <xf numFmtId="173" fontId="0" fillId="0" borderId="0" xfId="2" applyNumberFormat="1" applyFont="1"/>
    <xf numFmtId="0" fontId="0" fillId="2" borderId="0" xfId="0" applyFill="1"/>
    <xf numFmtId="10" fontId="11" fillId="16" borderId="0" xfId="0" applyNumberFormat="1" applyFont="1" applyFill="1" applyProtection="1">
      <protection hidden="1"/>
    </xf>
    <xf numFmtId="10" fontId="11" fillId="2" borderId="0" xfId="1" applyNumberFormat="1" applyFont="1" applyFill="1" applyProtection="1">
      <protection hidden="1"/>
    </xf>
    <xf numFmtId="0" fontId="52" fillId="24" borderId="0" xfId="0" applyFont="1" applyFill="1" applyAlignment="1" applyProtection="1">
      <alignment vertical="center" wrapText="1"/>
      <protection hidden="1"/>
    </xf>
    <xf numFmtId="10" fontId="45" fillId="20" borderId="29" xfId="1" applyNumberFormat="1" applyFont="1" applyFill="1" applyBorder="1" applyAlignment="1" applyProtection="1">
      <alignment horizontal="center" vertical="center"/>
      <protection hidden="1"/>
    </xf>
    <xf numFmtId="10" fontId="0" fillId="0" borderId="0" xfId="0" applyNumberFormat="1" applyProtection="1">
      <protection hidden="1"/>
    </xf>
    <xf numFmtId="10" fontId="12" fillId="2" borderId="0" xfId="0" applyNumberFormat="1" applyFont="1" applyFill="1" applyProtection="1">
      <protection hidden="1"/>
    </xf>
    <xf numFmtId="0" fontId="12" fillId="2" borderId="0" xfId="0" applyFont="1" applyFill="1" applyProtection="1">
      <protection hidden="1"/>
    </xf>
    <xf numFmtId="8" fontId="0" fillId="0" borderId="0" xfId="0" applyNumberFormat="1"/>
    <xf numFmtId="177" fontId="67" fillId="20" borderId="54" xfId="0" applyNumberFormat="1" applyFont="1" applyFill="1" applyBorder="1" applyAlignment="1" applyProtection="1">
      <alignment horizontal="center" vertical="center"/>
      <protection hidden="1"/>
    </xf>
    <xf numFmtId="0" fontId="45" fillId="10" borderId="0" xfId="0" applyFont="1" applyFill="1" applyAlignment="1" applyProtection="1">
      <alignment horizontal="left" vertical="center"/>
      <protection hidden="1"/>
    </xf>
    <xf numFmtId="177" fontId="31" fillId="0" borderId="0" xfId="0" applyNumberFormat="1" applyFont="1" applyAlignment="1" applyProtection="1">
      <alignment horizontal="center" vertical="center" wrapText="1"/>
      <protection hidden="1"/>
    </xf>
    <xf numFmtId="0" fontId="122" fillId="0" borderId="0" xfId="0" applyFont="1"/>
    <xf numFmtId="0" fontId="122" fillId="2" borderId="0" xfId="0" applyFont="1" applyFill="1"/>
    <xf numFmtId="0" fontId="123" fillId="0" borderId="0" xfId="0" applyFont="1"/>
    <xf numFmtId="0" fontId="123" fillId="2" borderId="0" xfId="0" applyFont="1" applyFill="1"/>
    <xf numFmtId="10" fontId="104" fillId="23" borderId="0" xfId="0" applyNumberFormat="1" applyFont="1" applyFill="1" applyAlignment="1" applyProtection="1">
      <alignment horizontal="center" vertical="top"/>
      <protection hidden="1"/>
    </xf>
    <xf numFmtId="0" fontId="45" fillId="23" borderId="0" xfId="0" applyFont="1" applyFill="1" applyAlignment="1" applyProtection="1">
      <alignment horizontal="center" vertical="center"/>
      <protection hidden="1"/>
    </xf>
    <xf numFmtId="0" fontId="52" fillId="19" borderId="0" xfId="0" applyFont="1" applyFill="1" applyAlignment="1" applyProtection="1">
      <alignment horizontal="center" vertical="center" wrapText="1"/>
      <protection hidden="1"/>
    </xf>
    <xf numFmtId="0" fontId="0" fillId="3" borderId="0" xfId="0" applyFill="1"/>
    <xf numFmtId="0" fontId="124" fillId="3" borderId="0" xfId="0" applyFont="1" applyFill="1" applyProtection="1">
      <protection hidden="1"/>
    </xf>
    <xf numFmtId="0" fontId="125" fillId="3" borderId="0" xfId="0" applyFont="1" applyFill="1"/>
    <xf numFmtId="0" fontId="74" fillId="0" borderId="0" xfId="0" applyFont="1" applyAlignment="1" applyProtection="1">
      <alignment horizontal="left" vertical="center"/>
      <protection hidden="1"/>
    </xf>
    <xf numFmtId="0" fontId="45" fillId="0" borderId="69" xfId="0" applyFont="1" applyBorder="1" applyAlignment="1" applyProtection="1">
      <alignment horizontal="right" vertical="center"/>
      <protection hidden="1"/>
    </xf>
    <xf numFmtId="169" fontId="46" fillId="20" borderId="43" xfId="0" applyNumberFormat="1" applyFont="1" applyFill="1" applyBorder="1" applyAlignment="1" applyProtection="1">
      <alignment horizontal="center" vertical="center"/>
      <protection locked="0" hidden="1"/>
    </xf>
    <xf numFmtId="10" fontId="46" fillId="20" borderId="43" xfId="0" applyNumberFormat="1" applyFont="1" applyFill="1" applyBorder="1" applyAlignment="1" applyProtection="1">
      <alignment horizontal="center" vertical="center"/>
      <protection locked="0" hidden="1"/>
    </xf>
    <xf numFmtId="174" fontId="46" fillId="20" borderId="43" xfId="1" applyNumberFormat="1" applyFont="1" applyFill="1" applyBorder="1" applyAlignment="1" applyProtection="1">
      <alignment horizontal="center" vertical="center"/>
      <protection locked="0" hidden="1"/>
    </xf>
    <xf numFmtId="0" fontId="46" fillId="20" borderId="43" xfId="0" applyFont="1" applyFill="1" applyBorder="1" applyAlignment="1" applyProtection="1">
      <alignment horizontal="center" vertical="center"/>
      <protection hidden="1"/>
    </xf>
    <xf numFmtId="177" fontId="67" fillId="20" borderId="43" xfId="0" applyNumberFormat="1" applyFont="1" applyFill="1" applyBorder="1" applyAlignment="1" applyProtection="1">
      <alignment horizontal="center" vertical="center"/>
      <protection hidden="1"/>
    </xf>
    <xf numFmtId="177" fontId="56" fillId="21" borderId="43" xfId="0" applyNumberFormat="1" applyFont="1" applyFill="1" applyBorder="1" applyAlignment="1" applyProtection="1">
      <alignment horizontal="center" vertical="center"/>
      <protection hidden="1"/>
    </xf>
    <xf numFmtId="177" fontId="45" fillId="20" borderId="43" xfId="0" applyNumberFormat="1" applyFont="1" applyFill="1" applyBorder="1" applyAlignment="1" applyProtection="1">
      <alignment horizontal="center" vertical="center"/>
      <protection hidden="1"/>
    </xf>
    <xf numFmtId="177" fontId="56" fillId="0" borderId="0" xfId="0" applyNumberFormat="1" applyFont="1" applyAlignment="1" applyProtection="1">
      <alignment vertical="center"/>
      <protection locked="0" hidden="1"/>
    </xf>
    <xf numFmtId="9" fontId="126" fillId="10" borderId="0" xfId="1" applyFont="1" applyFill="1" applyBorder="1" applyAlignment="1" applyProtection="1">
      <alignment vertical="center" wrapText="1"/>
      <protection hidden="1"/>
    </xf>
    <xf numFmtId="169" fontId="56" fillId="0" borderId="0" xfId="0" applyNumberFormat="1" applyFont="1" applyAlignment="1" applyProtection="1">
      <alignment horizontal="center" vertical="center"/>
      <protection hidden="1"/>
    </xf>
    <xf numFmtId="14" fontId="56" fillId="0" borderId="0" xfId="0" applyNumberFormat="1" applyFont="1" applyAlignment="1" applyProtection="1">
      <alignment vertical="center"/>
      <protection locked="0" hidden="1"/>
    </xf>
    <xf numFmtId="0" fontId="56" fillId="0" borderId="0" xfId="0" applyFont="1" applyAlignment="1" applyProtection="1">
      <alignment vertical="center"/>
      <protection locked="0" hidden="1"/>
    </xf>
    <xf numFmtId="9" fontId="126" fillId="10" borderId="0" xfId="1" applyFont="1" applyFill="1" applyBorder="1" applyAlignment="1" applyProtection="1">
      <alignment horizontal="center" vertical="center" wrapText="1"/>
      <protection hidden="1"/>
    </xf>
    <xf numFmtId="0" fontId="56" fillId="0" borderId="0" xfId="0" applyFont="1" applyAlignment="1" applyProtection="1">
      <alignment horizontal="center" vertical="center"/>
      <protection hidden="1"/>
    </xf>
    <xf numFmtId="177" fontId="48" fillId="20" borderId="43" xfId="0" applyNumberFormat="1" applyFont="1" applyFill="1" applyBorder="1" applyAlignment="1" applyProtection="1">
      <alignment horizontal="center" vertical="center"/>
      <protection hidden="1"/>
    </xf>
    <xf numFmtId="169" fontId="45" fillId="20" borderId="43" xfId="1" applyNumberFormat="1" applyFont="1" applyFill="1" applyBorder="1" applyAlignment="1" applyProtection="1">
      <alignment horizontal="center" vertical="center"/>
      <protection hidden="1"/>
    </xf>
    <xf numFmtId="177" fontId="66" fillId="20" borderId="58" xfId="1" applyNumberFormat="1" applyFont="1" applyFill="1" applyBorder="1" applyAlignment="1" applyProtection="1">
      <alignment horizontal="center" vertical="center"/>
      <protection hidden="1"/>
    </xf>
    <xf numFmtId="177" fontId="61" fillId="0" borderId="0" xfId="1" applyNumberFormat="1" applyFont="1" applyFill="1" applyBorder="1" applyAlignment="1" applyProtection="1">
      <alignment horizontal="center" vertical="center"/>
      <protection hidden="1"/>
    </xf>
    <xf numFmtId="177" fontId="51" fillId="0" borderId="0" xfId="1" applyNumberFormat="1" applyFont="1" applyFill="1" applyBorder="1" applyAlignment="1" applyProtection="1">
      <alignment horizontal="center" vertical="center"/>
      <protection hidden="1"/>
    </xf>
    <xf numFmtId="0" fontId="43" fillId="7" borderId="20" xfId="0" applyFont="1" applyFill="1" applyBorder="1" applyAlignment="1" applyProtection="1">
      <alignment horizontal="center" vertical="center"/>
      <protection hidden="1"/>
    </xf>
    <xf numFmtId="177" fontId="46" fillId="20" borderId="43" xfId="0" applyNumberFormat="1" applyFont="1" applyFill="1" applyBorder="1" applyAlignment="1" applyProtection="1">
      <alignment horizontal="center" vertical="center"/>
      <protection locked="0" hidden="1"/>
    </xf>
    <xf numFmtId="14" fontId="46" fillId="20" borderId="43" xfId="0" applyNumberFormat="1" applyFont="1" applyFill="1" applyBorder="1" applyAlignment="1" applyProtection="1">
      <alignment horizontal="center" vertical="center"/>
      <protection locked="0" hidden="1"/>
    </xf>
    <xf numFmtId="0" fontId="46" fillId="0" borderId="0" xfId="0" applyFont="1" applyAlignment="1" applyProtection="1">
      <alignment horizontal="center"/>
      <protection hidden="1"/>
    </xf>
    <xf numFmtId="166" fontId="45" fillId="0" borderId="0" xfId="0" applyNumberFormat="1" applyFont="1" applyAlignment="1" applyProtection="1">
      <alignment horizontal="center"/>
      <protection hidden="1"/>
    </xf>
    <xf numFmtId="174" fontId="121" fillId="10" borderId="3" xfId="1" applyNumberFormat="1" applyFont="1" applyFill="1" applyBorder="1" applyProtection="1">
      <protection hidden="1"/>
    </xf>
    <xf numFmtId="0" fontId="45" fillId="0" borderId="0" xfId="0" applyFont="1" applyAlignment="1" applyProtection="1">
      <alignment horizontal="center" vertical="center" wrapText="1"/>
      <protection hidden="1"/>
    </xf>
    <xf numFmtId="0" fontId="127" fillId="0" borderId="0" xfId="0" applyFont="1" applyAlignment="1" applyProtection="1">
      <alignment horizontal="left" vertical="center"/>
      <protection hidden="1"/>
    </xf>
    <xf numFmtId="0" fontId="100" fillId="0" borderId="0" xfId="0" applyFont="1" applyAlignment="1">
      <alignment vertical="center" wrapText="1"/>
    </xf>
    <xf numFmtId="177" fontId="68" fillId="22" borderId="34" xfId="0" applyNumberFormat="1" applyFont="1" applyFill="1" applyBorder="1" applyAlignment="1" applyProtection="1">
      <alignment horizontal="center" vertical="center"/>
      <protection hidden="1"/>
    </xf>
    <xf numFmtId="177" fontId="48" fillId="22" borderId="34" xfId="0" applyNumberFormat="1" applyFont="1" applyFill="1" applyBorder="1" applyAlignment="1" applyProtection="1">
      <alignment horizontal="center" vertical="center"/>
      <protection hidden="1"/>
    </xf>
    <xf numFmtId="169" fontId="45" fillId="22" borderId="34" xfId="1" applyNumberFormat="1" applyFont="1" applyFill="1" applyBorder="1" applyAlignment="1" applyProtection="1">
      <alignment horizontal="center" vertical="center"/>
      <protection hidden="1"/>
    </xf>
    <xf numFmtId="0" fontId="51" fillId="28" borderId="0" xfId="0" applyFont="1" applyFill="1" applyAlignment="1" applyProtection="1">
      <alignment horizontal="center" vertical="center"/>
      <protection hidden="1"/>
    </xf>
    <xf numFmtId="177" fontId="46" fillId="22" borderId="78" xfId="0" applyNumberFormat="1" applyFont="1" applyFill="1" applyBorder="1" applyAlignment="1" applyProtection="1">
      <alignment horizontal="center" vertical="center"/>
      <protection hidden="1"/>
    </xf>
    <xf numFmtId="9" fontId="47" fillId="10" borderId="73" xfId="1" applyFont="1" applyFill="1" applyBorder="1" applyAlignment="1" applyProtection="1">
      <alignment horizontal="center" vertical="center" wrapText="1"/>
      <protection hidden="1"/>
    </xf>
    <xf numFmtId="177" fontId="66" fillId="20" borderId="80" xfId="1" applyNumberFormat="1" applyFont="1" applyFill="1" applyBorder="1" applyAlignment="1" applyProtection="1">
      <alignment horizontal="center" vertical="center"/>
      <protection hidden="1"/>
    </xf>
    <xf numFmtId="177" fontId="61" fillId="29" borderId="81" xfId="1" applyNumberFormat="1" applyFont="1" applyFill="1" applyBorder="1" applyAlignment="1" applyProtection="1">
      <alignment horizontal="center" vertical="center"/>
      <protection hidden="1"/>
    </xf>
    <xf numFmtId="177" fontId="67" fillId="20" borderId="58" xfId="0" applyNumberFormat="1" applyFont="1" applyFill="1" applyBorder="1" applyAlignment="1" applyProtection="1">
      <alignment horizontal="center" vertical="center"/>
      <protection hidden="1"/>
    </xf>
    <xf numFmtId="177" fontId="68" fillId="22" borderId="78" xfId="0" applyNumberFormat="1" applyFont="1" applyFill="1" applyBorder="1" applyAlignment="1" applyProtection="1">
      <alignment horizontal="center" vertical="center"/>
      <protection hidden="1"/>
    </xf>
    <xf numFmtId="177" fontId="48" fillId="20" borderId="76" xfId="0" applyNumberFormat="1" applyFont="1" applyFill="1" applyBorder="1" applyAlignment="1" applyProtection="1">
      <alignment horizontal="center" vertical="center"/>
      <protection hidden="1"/>
    </xf>
    <xf numFmtId="177" fontId="48" fillId="22" borderId="77" xfId="0" applyNumberFormat="1" applyFont="1" applyFill="1" applyBorder="1" applyAlignment="1" applyProtection="1">
      <alignment horizontal="center" vertical="center"/>
      <protection hidden="1"/>
    </xf>
    <xf numFmtId="177" fontId="59" fillId="0" borderId="83" xfId="0" applyNumberFormat="1" applyFont="1" applyBorder="1" applyAlignment="1" applyProtection="1">
      <alignment horizontal="center" vertical="center"/>
      <protection hidden="1"/>
    </xf>
    <xf numFmtId="0" fontId="127" fillId="30" borderId="0" xfId="0" applyFont="1" applyFill="1" applyAlignment="1" applyProtection="1">
      <alignment horizontal="left" vertical="center"/>
      <protection hidden="1"/>
    </xf>
    <xf numFmtId="0" fontId="45" fillId="30" borderId="0" xfId="0" applyFont="1" applyFill="1" applyAlignment="1" applyProtection="1">
      <alignment horizontal="center" vertical="center" wrapText="1"/>
      <protection hidden="1"/>
    </xf>
    <xf numFmtId="9" fontId="56" fillId="21" borderId="43" xfId="1" applyFont="1" applyFill="1" applyBorder="1" applyAlignment="1" applyProtection="1">
      <alignment horizontal="center" vertical="center"/>
      <protection hidden="1"/>
    </xf>
    <xf numFmtId="166" fontId="19" fillId="20" borderId="0" xfId="2" applyFont="1" applyFill="1" applyBorder="1" applyAlignment="1" applyProtection="1">
      <alignment horizontal="center" vertical="center"/>
      <protection hidden="1"/>
    </xf>
    <xf numFmtId="166" fontId="19" fillId="20" borderId="33" xfId="2" applyFont="1" applyFill="1" applyBorder="1" applyAlignment="1" applyProtection="1">
      <alignment horizontal="center" vertical="center"/>
      <protection hidden="1"/>
    </xf>
    <xf numFmtId="0" fontId="18" fillId="20" borderId="0" xfId="0" applyFont="1" applyFill="1" applyAlignment="1" applyProtection="1">
      <alignment vertical="center"/>
      <protection hidden="1"/>
    </xf>
    <xf numFmtId="14" fontId="18" fillId="20" borderId="0" xfId="0" applyNumberFormat="1" applyFont="1" applyFill="1" applyAlignment="1" applyProtection="1">
      <alignment horizontal="center" vertical="center"/>
      <protection hidden="1"/>
    </xf>
    <xf numFmtId="170" fontId="18" fillId="20" borderId="0" xfId="0" applyNumberFormat="1" applyFont="1" applyFill="1" applyAlignment="1" applyProtection="1">
      <alignment horizontal="center" vertical="center"/>
      <protection hidden="1"/>
    </xf>
    <xf numFmtId="165" fontId="19" fillId="20" borderId="0" xfId="0" applyNumberFormat="1" applyFont="1" applyFill="1" applyAlignment="1" applyProtection="1">
      <alignment horizontal="center" vertical="center"/>
      <protection hidden="1"/>
    </xf>
    <xf numFmtId="170" fontId="19" fillId="20" borderId="0" xfId="2" applyNumberFormat="1" applyFont="1" applyFill="1" applyBorder="1" applyAlignment="1" applyProtection="1">
      <alignment horizontal="center" vertical="center"/>
      <protection hidden="1"/>
    </xf>
    <xf numFmtId="165" fontId="19" fillId="20" borderId="0" xfId="0" quotePrefix="1" applyNumberFormat="1" applyFont="1" applyFill="1" applyAlignment="1" applyProtection="1">
      <alignment horizontal="right" vertical="center"/>
      <protection hidden="1"/>
    </xf>
    <xf numFmtId="14" fontId="19" fillId="20" borderId="0" xfId="0" applyNumberFormat="1" applyFont="1" applyFill="1" applyAlignment="1" applyProtection="1">
      <alignment horizontal="center" vertical="center"/>
      <protection hidden="1"/>
    </xf>
    <xf numFmtId="10" fontId="19" fillId="20" borderId="0" xfId="0" applyNumberFormat="1" applyFont="1" applyFill="1" applyAlignment="1" applyProtection="1">
      <alignment horizontal="center" vertical="center"/>
      <protection hidden="1"/>
    </xf>
    <xf numFmtId="165" fontId="19" fillId="20" borderId="33" xfId="0" quotePrefix="1" applyNumberFormat="1" applyFont="1" applyFill="1" applyBorder="1" applyAlignment="1" applyProtection="1">
      <alignment horizontal="right" vertical="center"/>
      <protection hidden="1"/>
    </xf>
    <xf numFmtId="10" fontId="19" fillId="20" borderId="33" xfId="0" applyNumberFormat="1" applyFont="1" applyFill="1" applyBorder="1" applyAlignment="1" applyProtection="1">
      <alignment horizontal="center" vertical="center"/>
      <protection hidden="1"/>
    </xf>
    <xf numFmtId="165" fontId="19" fillId="20" borderId="0" xfId="0" quotePrefix="1" applyNumberFormat="1" applyFont="1" applyFill="1" applyAlignment="1" applyProtection="1">
      <alignment horizontal="center" vertical="center"/>
      <protection hidden="1"/>
    </xf>
    <xf numFmtId="166" fontId="19" fillId="16" borderId="0" xfId="2" applyFont="1" applyFill="1" applyBorder="1" applyAlignment="1" applyProtection="1">
      <alignment horizontal="center" vertical="center"/>
      <protection hidden="1"/>
    </xf>
    <xf numFmtId="166" fontId="19" fillId="16" borderId="33" xfId="2" applyFont="1" applyFill="1" applyBorder="1" applyAlignment="1" applyProtection="1">
      <alignment horizontal="center" vertical="center"/>
      <protection hidden="1"/>
    </xf>
    <xf numFmtId="177" fontId="131" fillId="22" borderId="41" xfId="0" applyNumberFormat="1" applyFont="1" applyFill="1" applyBorder="1" applyAlignment="1" applyProtection="1">
      <alignment horizontal="center" vertical="center"/>
      <protection hidden="1"/>
    </xf>
    <xf numFmtId="10" fontId="19" fillId="16" borderId="0" xfId="1" applyNumberFormat="1" applyFont="1" applyFill="1" applyBorder="1" applyAlignment="1" applyProtection="1">
      <alignment horizontal="center" vertical="top"/>
      <protection hidden="1"/>
    </xf>
    <xf numFmtId="10" fontId="121" fillId="10" borderId="3" xfId="1" applyNumberFormat="1" applyFont="1" applyFill="1" applyBorder="1" applyProtection="1">
      <protection hidden="1"/>
    </xf>
    <xf numFmtId="0" fontId="55" fillId="21" borderId="0" xfId="0" applyFont="1" applyFill="1" applyAlignment="1" applyProtection="1">
      <alignment horizontal="center" vertical="center" wrapText="1"/>
      <protection hidden="1"/>
    </xf>
    <xf numFmtId="10" fontId="11" fillId="31" borderId="0" xfId="0" applyNumberFormat="1" applyFont="1" applyFill="1" applyProtection="1">
      <protection hidden="1"/>
    </xf>
    <xf numFmtId="10" fontId="11" fillId="31" borderId="0" xfId="0" applyNumberFormat="1" applyFont="1" applyFill="1" applyAlignment="1" applyProtection="1">
      <alignment vertical="top"/>
      <protection hidden="1"/>
    </xf>
    <xf numFmtId="174" fontId="46" fillId="20" borderId="43" xfId="1" applyNumberFormat="1" applyFont="1" applyFill="1" applyBorder="1" applyAlignment="1" applyProtection="1">
      <alignment horizontal="center" vertical="center"/>
      <protection hidden="1"/>
    </xf>
    <xf numFmtId="177" fontId="67" fillId="20" borderId="43" xfId="0" applyNumberFormat="1" applyFont="1" applyFill="1" applyBorder="1" applyAlignment="1" applyProtection="1">
      <alignment horizontal="center" vertical="center"/>
      <protection locked="0" hidden="1"/>
    </xf>
    <xf numFmtId="10" fontId="12" fillId="3" borderId="0" xfId="0" applyNumberFormat="1" applyFont="1" applyFill="1" applyProtection="1">
      <protection hidden="1"/>
    </xf>
    <xf numFmtId="0" fontId="65" fillId="24" borderId="0" xfId="0" applyFont="1" applyFill="1" applyAlignment="1" applyProtection="1">
      <alignment vertical="center" wrapText="1"/>
      <protection hidden="1"/>
    </xf>
    <xf numFmtId="0" fontId="134" fillId="0" borderId="85" xfId="0" applyFont="1" applyBorder="1" applyAlignment="1">
      <alignment horizontal="center" vertical="center"/>
    </xf>
    <xf numFmtId="0" fontId="135" fillId="0" borderId="2" xfId="0" applyFont="1" applyBorder="1" applyAlignment="1">
      <alignment vertical="center"/>
    </xf>
    <xf numFmtId="10" fontId="135" fillId="0" borderId="2" xfId="0" applyNumberFormat="1" applyFont="1" applyBorder="1" applyAlignment="1">
      <alignment horizontal="center" vertical="center"/>
    </xf>
    <xf numFmtId="0" fontId="136" fillId="0" borderId="86" xfId="0" applyFont="1" applyBorder="1" applyAlignment="1">
      <alignment vertical="center" wrapText="1"/>
    </xf>
    <xf numFmtId="0" fontId="137" fillId="0" borderId="84" xfId="0" applyFont="1" applyBorder="1" applyAlignment="1">
      <alignment horizontal="center" vertical="center"/>
    </xf>
    <xf numFmtId="0" fontId="137" fillId="0" borderId="85" xfId="0" applyFont="1" applyBorder="1" applyAlignment="1">
      <alignment horizontal="center" vertical="center" wrapText="1"/>
    </xf>
    <xf numFmtId="174" fontId="46" fillId="20" borderId="43" xfId="0" applyNumberFormat="1" applyFont="1" applyFill="1" applyBorder="1" applyAlignment="1" applyProtection="1">
      <alignment horizontal="center" vertical="center"/>
      <protection locked="0" hidden="1"/>
    </xf>
    <xf numFmtId="174" fontId="46" fillId="25" borderId="29" xfId="1" applyNumberFormat="1" applyFont="1" applyFill="1" applyBorder="1" applyAlignment="1" applyProtection="1">
      <alignment horizontal="center" vertical="center"/>
      <protection hidden="1"/>
    </xf>
    <xf numFmtId="169" fontId="46" fillId="20" borderId="43" xfId="0" applyNumberFormat="1" applyFont="1" applyFill="1" applyBorder="1" applyAlignment="1" applyProtection="1">
      <alignment horizontal="center" vertical="center"/>
      <protection hidden="1"/>
    </xf>
    <xf numFmtId="166" fontId="138" fillId="0" borderId="3" xfId="2" applyFont="1" applyBorder="1" applyAlignment="1">
      <alignment horizontal="center" vertical="center" wrapText="1"/>
    </xf>
    <xf numFmtId="14" fontId="19" fillId="23" borderId="33" xfId="2" applyNumberFormat="1" applyFont="1" applyFill="1" applyBorder="1" applyAlignment="1" applyProtection="1">
      <alignment horizontal="center" vertical="center"/>
      <protection hidden="1"/>
    </xf>
    <xf numFmtId="14" fontId="19" fillId="20" borderId="33" xfId="2" applyNumberFormat="1" applyFont="1" applyFill="1" applyBorder="1" applyAlignment="1" applyProtection="1">
      <alignment horizontal="center" vertical="center"/>
      <protection hidden="1"/>
    </xf>
    <xf numFmtId="0" fontId="134" fillId="0" borderId="87" xfId="0" applyFont="1" applyBorder="1" applyAlignment="1">
      <alignment vertical="center" wrapText="1"/>
    </xf>
    <xf numFmtId="9" fontId="126" fillId="0" borderId="0" xfId="1" applyFont="1" applyFill="1" applyBorder="1" applyAlignment="1" applyProtection="1">
      <alignment horizontal="center" vertical="center" wrapText="1"/>
      <protection hidden="1"/>
    </xf>
    <xf numFmtId="166" fontId="11" fillId="0" borderId="0" xfId="2" applyFont="1" applyProtection="1">
      <protection hidden="1"/>
    </xf>
    <xf numFmtId="0" fontId="141" fillId="0" borderId="88" xfId="0" applyFont="1" applyBorder="1" applyAlignment="1">
      <alignment vertical="center" wrapText="1"/>
    </xf>
    <xf numFmtId="0" fontId="141" fillId="0" borderId="89" xfId="0" applyFont="1" applyBorder="1" applyAlignment="1">
      <alignment vertical="center" wrapText="1"/>
    </xf>
    <xf numFmtId="0" fontId="141" fillId="0" borderId="90" xfId="0" applyFont="1" applyBorder="1" applyAlignment="1">
      <alignment vertical="center" wrapText="1"/>
    </xf>
    <xf numFmtId="0" fontId="141" fillId="0" borderId="91" xfId="0" applyFont="1" applyBorder="1" applyAlignment="1">
      <alignment vertical="center" wrapText="1"/>
    </xf>
    <xf numFmtId="10" fontId="141" fillId="0" borderId="91" xfId="0" applyNumberFormat="1" applyFont="1" applyBorder="1" applyAlignment="1">
      <alignment vertical="center" wrapText="1"/>
    </xf>
    <xf numFmtId="0" fontId="142" fillId="0" borderId="91" xfId="0" applyFont="1" applyBorder="1" applyAlignment="1">
      <alignment vertical="center" wrapText="1"/>
    </xf>
    <xf numFmtId="0" fontId="141" fillId="0" borderId="92" xfId="0" applyFont="1" applyBorder="1" applyAlignment="1">
      <alignment vertical="center" wrapText="1"/>
    </xf>
    <xf numFmtId="0" fontId="142" fillId="0" borderId="85" xfId="0" applyFont="1" applyBorder="1" applyAlignment="1">
      <alignment vertical="center" wrapText="1"/>
    </xf>
    <xf numFmtId="0" fontId="141" fillId="0" borderId="93" xfId="0" applyFont="1" applyBorder="1" applyAlignment="1">
      <alignment vertical="center" wrapText="1"/>
    </xf>
    <xf numFmtId="10" fontId="142" fillId="0" borderId="2" xfId="0" applyNumberFormat="1" applyFont="1" applyBorder="1" applyAlignment="1">
      <alignment vertical="center" wrapText="1"/>
    </xf>
    <xf numFmtId="0" fontId="141" fillId="0" borderId="94" xfId="0" applyFont="1" applyBorder="1" applyAlignment="1">
      <alignment vertical="center" wrapText="1"/>
    </xf>
    <xf numFmtId="0" fontId="141" fillId="0" borderId="2" xfId="0" applyFont="1" applyBorder="1" applyAlignment="1">
      <alignment vertical="center" wrapText="1"/>
    </xf>
    <xf numFmtId="10" fontId="141" fillId="0" borderId="95" xfId="0" applyNumberFormat="1" applyFont="1" applyBorder="1" applyAlignment="1">
      <alignment vertical="center" wrapText="1"/>
    </xf>
    <xf numFmtId="0" fontId="141" fillId="0" borderId="95" xfId="0" applyFont="1" applyBorder="1" applyAlignment="1">
      <alignment vertical="center" wrapText="1"/>
    </xf>
    <xf numFmtId="0" fontId="142" fillId="0" borderId="95" xfId="0" applyFont="1" applyBorder="1" applyAlignment="1">
      <alignment vertical="center" wrapText="1"/>
    </xf>
    <xf numFmtId="0" fontId="141" fillId="0" borderId="86" xfId="0" applyFont="1" applyBorder="1" applyAlignment="1">
      <alignment vertical="center" wrapText="1"/>
    </xf>
    <xf numFmtId="10" fontId="141" fillId="0" borderId="2" xfId="0" applyNumberFormat="1" applyFont="1" applyBorder="1" applyAlignment="1">
      <alignment vertical="center" wrapText="1"/>
    </xf>
    <xf numFmtId="0" fontId="142" fillId="0" borderId="2" xfId="0" applyFont="1" applyBorder="1" applyAlignment="1">
      <alignment vertical="center" wrapText="1"/>
    </xf>
    <xf numFmtId="0" fontId="22" fillId="7" borderId="0" xfId="0" applyFont="1" applyFill="1" applyAlignment="1" applyProtection="1">
      <alignment horizontal="left" vertical="center"/>
      <protection hidden="1"/>
    </xf>
    <xf numFmtId="0" fontId="27" fillId="0" borderId="2" xfId="0" applyFont="1" applyBorder="1" applyAlignment="1" applyProtection="1">
      <alignment horizontal="center" vertical="center"/>
      <protection hidden="1"/>
    </xf>
    <xf numFmtId="0" fontId="27" fillId="0" borderId="10" xfId="0" applyFont="1" applyBorder="1" applyAlignment="1" applyProtection="1">
      <alignment horizontal="center" vertical="center"/>
      <protection hidden="1"/>
    </xf>
    <xf numFmtId="177" fontId="11" fillId="0" borderId="0" xfId="0" applyNumberFormat="1" applyFont="1" applyProtection="1">
      <protection hidden="1"/>
    </xf>
    <xf numFmtId="0" fontId="27" fillId="5" borderId="3" xfId="0" applyFont="1" applyFill="1" applyBorder="1" applyAlignment="1" applyProtection="1">
      <alignment vertical="center"/>
      <protection hidden="1"/>
    </xf>
    <xf numFmtId="166" fontId="12" fillId="10" borderId="100" xfId="2" applyFont="1" applyFill="1" applyBorder="1" applyAlignment="1" applyProtection="1">
      <alignment horizontal="center" vertical="center"/>
      <protection locked="0" hidden="1"/>
    </xf>
    <xf numFmtId="166" fontId="12" fillId="12" borderId="102" xfId="2" applyFont="1" applyFill="1" applyBorder="1" applyAlignment="1" applyProtection="1">
      <alignment horizontal="center" vertical="center"/>
      <protection hidden="1"/>
    </xf>
    <xf numFmtId="0" fontId="18" fillId="7" borderId="0" xfId="0" applyFont="1" applyFill="1" applyAlignment="1" applyProtection="1">
      <alignment vertical="top" wrapText="1"/>
      <protection hidden="1"/>
    </xf>
    <xf numFmtId="0" fontId="18" fillId="7" borderId="0" xfId="0" applyFont="1" applyFill="1" applyAlignment="1" applyProtection="1">
      <alignment horizontal="center" vertical="top" wrapText="1"/>
      <protection hidden="1"/>
    </xf>
    <xf numFmtId="0" fontId="20" fillId="7" borderId="0" xfId="0" applyFont="1" applyFill="1" applyAlignment="1" applyProtection="1">
      <alignment horizontal="center" vertical="top" wrapText="1"/>
      <protection hidden="1"/>
    </xf>
    <xf numFmtId="169" fontId="12" fillId="10" borderId="12" xfId="0" applyNumberFormat="1" applyFont="1" applyFill="1" applyBorder="1" applyAlignment="1" applyProtection="1">
      <alignment horizontal="center" vertical="center"/>
      <protection locked="0" hidden="1"/>
    </xf>
    <xf numFmtId="169" fontId="12" fillId="12" borderId="13" xfId="0" applyNumberFormat="1" applyFont="1" applyFill="1" applyBorder="1" applyAlignment="1" applyProtection="1">
      <alignment horizontal="center" vertical="center"/>
      <protection locked="0" hidden="1"/>
    </xf>
    <xf numFmtId="14" fontId="12" fillId="10" borderId="3" xfId="0" applyNumberFormat="1" applyFont="1" applyFill="1" applyBorder="1" applyAlignment="1" applyProtection="1">
      <alignment horizontal="center" vertical="center"/>
      <protection locked="0" hidden="1"/>
    </xf>
    <xf numFmtId="14" fontId="12" fillId="12" borderId="3" xfId="0" applyNumberFormat="1" applyFont="1" applyFill="1" applyBorder="1" applyAlignment="1" applyProtection="1">
      <alignment horizontal="center" vertical="center"/>
      <protection locked="0" hidden="1"/>
    </xf>
    <xf numFmtId="0" fontId="12" fillId="10" borderId="100" xfId="0" applyFont="1" applyFill="1" applyBorder="1" applyAlignment="1" applyProtection="1">
      <alignment horizontal="center" vertical="center"/>
      <protection locked="0" hidden="1"/>
    </xf>
    <xf numFmtId="0" fontId="12" fillId="12" borderId="100" xfId="0" applyFont="1" applyFill="1" applyBorder="1" applyAlignment="1" applyProtection="1">
      <alignment horizontal="center" vertical="center"/>
      <protection locked="0" hidden="1"/>
    </xf>
    <xf numFmtId="0" fontId="146" fillId="0" borderId="0" xfId="0" applyFont="1" applyAlignment="1">
      <alignment vertical="center"/>
    </xf>
    <xf numFmtId="0" fontId="11" fillId="12" borderId="101" xfId="0" applyFont="1" applyFill="1" applyBorder="1" applyAlignment="1" applyProtection="1">
      <alignment horizontal="left" vertical="center"/>
      <protection hidden="1"/>
    </xf>
    <xf numFmtId="0" fontId="12" fillId="0" borderId="100" xfId="0" applyFont="1" applyBorder="1" applyAlignment="1" applyProtection="1">
      <alignment horizontal="center" vertical="center"/>
      <protection locked="0" hidden="1"/>
    </xf>
    <xf numFmtId="0" fontId="12" fillId="12" borderId="100" xfId="0" applyFont="1" applyFill="1" applyBorder="1" applyAlignment="1" applyProtection="1">
      <alignment horizontal="center" vertical="center"/>
      <protection hidden="1"/>
    </xf>
    <xf numFmtId="174" fontId="16" fillId="12" borderId="13" xfId="1" applyNumberFormat="1" applyFont="1" applyFill="1" applyBorder="1" applyAlignment="1" applyProtection="1">
      <alignment horizontal="center" vertical="center"/>
      <protection hidden="1"/>
    </xf>
    <xf numFmtId="0" fontId="16" fillId="12" borderId="100" xfId="0" applyFont="1" applyFill="1" applyBorder="1" applyAlignment="1" applyProtection="1">
      <alignment vertical="center"/>
      <protection hidden="1"/>
    </xf>
    <xf numFmtId="0" fontId="16" fillId="12" borderId="104" xfId="0" applyFont="1" applyFill="1" applyBorder="1" applyAlignment="1" applyProtection="1">
      <alignment vertical="center"/>
      <protection hidden="1"/>
    </xf>
    <xf numFmtId="174" fontId="148" fillId="12" borderId="12" xfId="1" applyNumberFormat="1" applyFont="1" applyFill="1" applyBorder="1" applyAlignment="1" applyProtection="1">
      <alignment horizontal="center" vertical="center"/>
      <protection hidden="1"/>
    </xf>
    <xf numFmtId="174" fontId="148" fillId="12" borderId="13" xfId="1" applyNumberFormat="1" applyFont="1" applyFill="1" applyBorder="1" applyAlignment="1" applyProtection="1">
      <alignment horizontal="center" vertical="center"/>
      <protection hidden="1"/>
    </xf>
    <xf numFmtId="10" fontId="12" fillId="0" borderId="107" xfId="0" applyNumberFormat="1" applyFont="1" applyBorder="1" applyAlignment="1" applyProtection="1">
      <alignment horizontal="center" vertical="center"/>
      <protection locked="0" hidden="1"/>
    </xf>
    <xf numFmtId="10" fontId="12" fillId="12" borderId="102" xfId="1" applyNumberFormat="1" applyFont="1" applyFill="1" applyBorder="1" applyAlignment="1" applyProtection="1">
      <alignment horizontal="center" vertical="center"/>
      <protection hidden="1"/>
    </xf>
    <xf numFmtId="174" fontId="12" fillId="0" borderId="12" xfId="1" applyNumberFormat="1" applyFont="1" applyFill="1" applyBorder="1" applyAlignment="1" applyProtection="1">
      <alignment horizontal="center" vertical="center"/>
      <protection locked="0" hidden="1"/>
    </xf>
    <xf numFmtId="174" fontId="12" fillId="12" borderId="13" xfId="1" applyNumberFormat="1" applyFont="1" applyFill="1" applyBorder="1" applyAlignment="1" applyProtection="1">
      <alignment horizontal="center" vertical="center"/>
      <protection locked="0" hidden="1"/>
    </xf>
    <xf numFmtId="10" fontId="12" fillId="12" borderId="102" xfId="1" applyNumberFormat="1" applyFont="1" applyFill="1" applyBorder="1" applyAlignment="1" applyProtection="1">
      <alignment horizontal="center" vertical="center" wrapText="1"/>
      <protection hidden="1"/>
    </xf>
    <xf numFmtId="0" fontId="11" fillId="12" borderId="4" xfId="0" applyFont="1" applyFill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horizontal="center" vertical="center"/>
      <protection locked="0" hidden="1"/>
    </xf>
    <xf numFmtId="174" fontId="12" fillId="12" borderId="12" xfId="1" applyNumberFormat="1" applyFont="1" applyFill="1" applyBorder="1" applyAlignment="1" applyProtection="1">
      <alignment horizontal="center" vertical="center" wrapText="1"/>
      <protection hidden="1"/>
    </xf>
    <xf numFmtId="164" fontId="12" fillId="0" borderId="0" xfId="0" applyNumberFormat="1" applyFont="1" applyProtection="1">
      <protection hidden="1"/>
    </xf>
    <xf numFmtId="10" fontId="12" fillId="12" borderId="12" xfId="1" applyNumberFormat="1" applyFont="1" applyFill="1" applyBorder="1" applyAlignment="1" applyProtection="1">
      <alignment horizontal="center" vertical="center"/>
      <protection hidden="1"/>
    </xf>
    <xf numFmtId="177" fontId="12" fillId="12" borderId="12" xfId="1" applyNumberFormat="1" applyFont="1" applyFill="1" applyBorder="1" applyAlignment="1" applyProtection="1">
      <alignment horizontal="center" vertical="center"/>
      <protection hidden="1"/>
    </xf>
    <xf numFmtId="177" fontId="12" fillId="12" borderId="13" xfId="1" applyNumberFormat="1" applyFont="1" applyFill="1" applyBorder="1" applyAlignment="1" applyProtection="1">
      <alignment horizontal="center" vertical="center"/>
      <protection hidden="1"/>
    </xf>
    <xf numFmtId="0" fontId="11" fillId="34" borderId="4" xfId="0" applyFont="1" applyFill="1" applyBorder="1" applyAlignment="1" applyProtection="1">
      <alignment vertical="center"/>
      <protection hidden="1"/>
    </xf>
    <xf numFmtId="177" fontId="12" fillId="34" borderId="12" xfId="1" applyNumberFormat="1" applyFont="1" applyFill="1" applyBorder="1" applyAlignment="1" applyProtection="1">
      <alignment horizontal="center" vertical="center"/>
      <protection hidden="1"/>
    </xf>
    <xf numFmtId="10" fontId="12" fillId="12" borderId="13" xfId="1" applyNumberFormat="1" applyFont="1" applyFill="1" applyBorder="1" applyAlignment="1" applyProtection="1">
      <alignment horizontal="center" vertical="center"/>
      <protection hidden="1"/>
    </xf>
    <xf numFmtId="177" fontId="34" fillId="5" borderId="12" xfId="0" applyNumberFormat="1" applyFont="1" applyFill="1" applyBorder="1" applyAlignment="1" applyProtection="1">
      <alignment horizontal="center" vertical="center"/>
      <protection hidden="1"/>
    </xf>
    <xf numFmtId="173" fontId="34" fillId="5" borderId="13" xfId="2" applyNumberFormat="1" applyFont="1" applyFill="1" applyBorder="1" applyAlignment="1" applyProtection="1">
      <alignment horizontal="center" vertical="center"/>
      <protection hidden="1"/>
    </xf>
    <xf numFmtId="173" fontId="34" fillId="5" borderId="13" xfId="0" applyNumberFormat="1" applyFont="1" applyFill="1" applyBorder="1" applyAlignment="1" applyProtection="1">
      <alignment horizontal="center" vertical="center"/>
      <protection hidden="1"/>
    </xf>
    <xf numFmtId="0" fontId="11" fillId="12" borderId="12" xfId="1" applyNumberFormat="1" applyFont="1" applyFill="1" applyBorder="1" applyAlignment="1" applyProtection="1">
      <alignment horizontal="center" vertical="center"/>
      <protection hidden="1"/>
    </xf>
    <xf numFmtId="0" fontId="11" fillId="12" borderId="13" xfId="1" applyNumberFormat="1" applyFont="1" applyFill="1" applyBorder="1" applyAlignment="1" applyProtection="1">
      <alignment horizontal="center" vertical="center"/>
      <protection hidden="1"/>
    </xf>
    <xf numFmtId="169" fontId="11" fillId="12" borderId="12" xfId="1" applyNumberFormat="1" applyFont="1" applyFill="1" applyBorder="1" applyAlignment="1" applyProtection="1">
      <alignment horizontal="center" vertical="center"/>
      <protection hidden="1"/>
    </xf>
    <xf numFmtId="177" fontId="11" fillId="12" borderId="13" xfId="0" applyNumberFormat="1" applyFont="1" applyFill="1" applyBorder="1" applyAlignment="1" applyProtection="1">
      <alignment horizontal="center" vertical="center"/>
      <protection hidden="1"/>
    </xf>
    <xf numFmtId="169" fontId="11" fillId="0" borderId="3" xfId="0" applyNumberFormat="1" applyFont="1" applyBorder="1" applyProtection="1">
      <protection hidden="1"/>
    </xf>
    <xf numFmtId="0" fontId="149" fillId="35" borderId="110" xfId="0" applyFont="1" applyFill="1" applyBorder="1" applyAlignment="1">
      <alignment horizontal="right" vertical="center"/>
    </xf>
    <xf numFmtId="0" fontId="11" fillId="0" borderId="111" xfId="0" applyFont="1" applyBorder="1" applyProtection="1">
      <protection hidden="1"/>
    </xf>
    <xf numFmtId="0" fontId="11" fillId="0" borderId="112" xfId="0" applyFont="1" applyBorder="1" applyProtection="1">
      <protection hidden="1"/>
    </xf>
    <xf numFmtId="0" fontId="11" fillId="0" borderId="113" xfId="0" applyFont="1" applyBorder="1" applyProtection="1">
      <protection hidden="1"/>
    </xf>
    <xf numFmtId="0" fontId="11" fillId="0" borderId="115" xfId="0" applyFont="1" applyBorder="1" applyProtection="1">
      <protection hidden="1"/>
    </xf>
    <xf numFmtId="0" fontId="11" fillId="0" borderId="116" xfId="0" applyFont="1" applyBorder="1" applyProtection="1">
      <protection hidden="1"/>
    </xf>
    <xf numFmtId="10" fontId="11" fillId="0" borderId="112" xfId="0" applyNumberFormat="1" applyFont="1" applyBorder="1" applyProtection="1">
      <protection hidden="1"/>
    </xf>
    <xf numFmtId="10" fontId="11" fillId="0" borderId="114" xfId="0" applyNumberFormat="1" applyFont="1" applyBorder="1" applyProtection="1">
      <protection hidden="1"/>
    </xf>
    <xf numFmtId="10" fontId="11" fillId="0" borderId="116" xfId="0" applyNumberFormat="1" applyFont="1" applyBorder="1" applyProtection="1">
      <protection hidden="1"/>
    </xf>
    <xf numFmtId="0" fontId="45" fillId="20" borderId="29" xfId="0" applyNumberFormat="1" applyFont="1" applyFill="1" applyBorder="1" applyAlignment="1" applyProtection="1">
      <alignment horizontal="center" vertical="center"/>
      <protection hidden="1"/>
    </xf>
    <xf numFmtId="177" fontId="150" fillId="20" borderId="30" xfId="1" applyNumberFormat="1" applyFont="1" applyFill="1" applyBorder="1" applyAlignment="1" applyProtection="1">
      <alignment horizontal="center" vertical="center"/>
      <protection hidden="1"/>
    </xf>
    <xf numFmtId="174" fontId="56" fillId="10" borderId="117" xfId="1" applyNumberFormat="1" applyFont="1" applyFill="1" applyBorder="1" applyAlignment="1" applyProtection="1">
      <alignment horizontal="center" vertical="center"/>
      <protection hidden="1"/>
    </xf>
    <xf numFmtId="177" fontId="56" fillId="36" borderId="117" xfId="0" applyNumberFormat="1" applyFont="1" applyFill="1" applyBorder="1" applyAlignment="1" applyProtection="1">
      <alignment horizontal="center" vertical="center"/>
      <protection hidden="1"/>
    </xf>
    <xf numFmtId="9" fontId="126" fillId="10" borderId="118" xfId="1" applyFont="1" applyFill="1" applyBorder="1" applyAlignment="1" applyProtection="1">
      <alignment horizontal="center" vertical="center" wrapText="1"/>
      <protection hidden="1"/>
    </xf>
    <xf numFmtId="10" fontId="45" fillId="22" borderId="41" xfId="1" applyNumberFormat="1" applyFont="1" applyFill="1" applyBorder="1" applyAlignment="1" applyProtection="1">
      <alignment horizontal="center" vertical="center"/>
      <protection hidden="1"/>
    </xf>
    <xf numFmtId="0" fontId="45" fillId="22" borderId="41" xfId="0" applyNumberFormat="1" applyFont="1" applyFill="1" applyBorder="1" applyAlignment="1" applyProtection="1">
      <alignment horizontal="center" vertical="center"/>
      <protection hidden="1"/>
    </xf>
    <xf numFmtId="0" fontId="22" fillId="7" borderId="0" xfId="0" applyFont="1" applyFill="1" applyAlignment="1" applyProtection="1">
      <alignment horizontal="left" vertical="center"/>
      <protection hidden="1"/>
    </xf>
    <xf numFmtId="0" fontId="65" fillId="24" borderId="0" xfId="0" applyFont="1" applyFill="1" applyAlignment="1" applyProtection="1">
      <alignment horizontal="center" vertical="center" wrapText="1"/>
      <protection hidden="1"/>
    </xf>
    <xf numFmtId="0" fontId="27" fillId="0" borderId="2" xfId="0" applyFont="1" applyBorder="1" applyAlignment="1" applyProtection="1">
      <alignment horizontal="center" vertical="center"/>
      <protection hidden="1"/>
    </xf>
    <xf numFmtId="0" fontId="27" fillId="0" borderId="10" xfId="0" applyFont="1" applyBorder="1" applyAlignment="1" applyProtection="1">
      <alignment horizontal="center" vertical="center"/>
      <protection hidden="1"/>
    </xf>
    <xf numFmtId="0" fontId="45" fillId="30" borderId="0" xfId="0" applyFont="1" applyFill="1" applyAlignment="1" applyProtection="1">
      <alignment horizontal="center" vertical="center" wrapText="1"/>
      <protection hidden="1"/>
    </xf>
    <xf numFmtId="0" fontId="55" fillId="21" borderId="0" xfId="0" applyFont="1" applyFill="1" applyAlignment="1" applyProtection="1">
      <alignment horizontal="center" vertical="center" wrapText="1"/>
      <protection hidden="1"/>
    </xf>
    <xf numFmtId="177" fontId="45" fillId="0" borderId="0" xfId="0" applyNumberFormat="1" applyFont="1" applyAlignment="1" applyProtection="1">
      <alignment horizontal="center" vertical="center"/>
      <protection hidden="1"/>
    </xf>
    <xf numFmtId="0" fontId="50" fillId="0" borderId="0" xfId="0" applyFont="1" applyAlignment="1" applyProtection="1">
      <alignment horizontal="center" vertical="center"/>
      <protection hidden="1"/>
    </xf>
    <xf numFmtId="0" fontId="45" fillId="0" borderId="0" xfId="0" applyFont="1" applyAlignment="1" applyProtection="1">
      <alignment horizontal="center" vertical="center" wrapText="1"/>
      <protection hidden="1"/>
    </xf>
    <xf numFmtId="0" fontId="45" fillId="0" borderId="0" xfId="0" applyFont="1" applyAlignment="1" applyProtection="1">
      <alignment horizontal="right" vertical="center"/>
      <protection hidden="1"/>
    </xf>
    <xf numFmtId="0" fontId="52" fillId="19" borderId="0" xfId="0" applyFont="1" applyFill="1" applyAlignment="1" applyProtection="1">
      <alignment horizontal="center" vertical="center" wrapText="1"/>
      <protection hidden="1"/>
    </xf>
    <xf numFmtId="14" fontId="19" fillId="23" borderId="33" xfId="0" quotePrefix="1" applyNumberFormat="1" applyFont="1" applyFill="1" applyBorder="1" applyAlignment="1" applyProtection="1">
      <alignment horizontal="center" vertical="center"/>
      <protection hidden="1"/>
    </xf>
    <xf numFmtId="14" fontId="19" fillId="20" borderId="33" xfId="0" quotePrefix="1" applyNumberFormat="1" applyFont="1" applyFill="1" applyBorder="1" applyAlignment="1" applyProtection="1">
      <alignment horizontal="center" vertical="center"/>
      <protection hidden="1"/>
    </xf>
    <xf numFmtId="14" fontId="19" fillId="16" borderId="0" xfId="0" applyNumberFormat="1" applyFont="1" applyFill="1" applyAlignment="1" applyProtection="1">
      <alignment horizontal="center" vertical="center"/>
      <protection hidden="1"/>
    </xf>
    <xf numFmtId="179" fontId="11" fillId="0" borderId="0" xfId="0" applyNumberFormat="1" applyFont="1" applyProtection="1">
      <protection hidden="1"/>
    </xf>
    <xf numFmtId="0" fontId="153" fillId="0" borderId="86" xfId="0" applyFont="1" applyBorder="1" applyAlignment="1">
      <alignment vertical="center"/>
    </xf>
    <xf numFmtId="0" fontId="153" fillId="0" borderId="2" xfId="0" applyFont="1" applyBorder="1" applyAlignment="1">
      <alignment vertical="center"/>
    </xf>
    <xf numFmtId="0" fontId="145" fillId="32" borderId="86" xfId="0" applyFont="1" applyFill="1" applyBorder="1" applyAlignment="1">
      <alignment vertical="center"/>
    </xf>
    <xf numFmtId="0" fontId="145" fillId="32" borderId="2" xfId="0" applyFont="1" applyFill="1" applyBorder="1" applyAlignment="1">
      <alignment vertical="center"/>
    </xf>
    <xf numFmtId="0" fontId="154" fillId="0" borderId="2" xfId="0" applyFont="1" applyBorder="1" applyAlignment="1">
      <alignment vertical="center"/>
    </xf>
    <xf numFmtId="0" fontId="22" fillId="7" borderId="0" xfId="0" applyFont="1" applyFill="1" applyAlignment="1" applyProtection="1">
      <alignment horizontal="left" vertical="center"/>
      <protection hidden="1"/>
    </xf>
    <xf numFmtId="0" fontId="65" fillId="24" borderId="0" xfId="0" applyFont="1" applyFill="1" applyAlignment="1" applyProtection="1">
      <alignment horizontal="center" vertical="center" wrapText="1"/>
      <protection hidden="1"/>
    </xf>
    <xf numFmtId="0" fontId="27" fillId="0" borderId="2" xfId="0" applyFont="1" applyBorder="1" applyAlignment="1" applyProtection="1">
      <alignment horizontal="center" vertical="center"/>
      <protection hidden="1"/>
    </xf>
    <xf numFmtId="0" fontId="27" fillId="0" borderId="10" xfId="0" applyFont="1" applyBorder="1" applyAlignment="1" applyProtection="1">
      <alignment horizontal="center" vertical="center"/>
      <protection hidden="1"/>
    </xf>
    <xf numFmtId="0" fontId="45" fillId="30" borderId="0" xfId="0" applyFont="1" applyFill="1" applyAlignment="1" applyProtection="1">
      <alignment horizontal="center" vertical="center" wrapText="1"/>
      <protection hidden="1"/>
    </xf>
    <xf numFmtId="0" fontId="55" fillId="21" borderId="0" xfId="0" applyFont="1" applyFill="1" applyAlignment="1" applyProtection="1">
      <alignment horizontal="center" vertical="center" wrapText="1"/>
      <protection hidden="1"/>
    </xf>
    <xf numFmtId="0" fontId="52" fillId="19" borderId="0" xfId="0" applyFont="1" applyFill="1" applyAlignment="1" applyProtection="1">
      <alignment horizontal="center" vertical="center" wrapText="1"/>
      <protection hidden="1"/>
    </xf>
    <xf numFmtId="177" fontId="45" fillId="0" borderId="0" xfId="0" applyNumberFormat="1" applyFont="1" applyAlignment="1" applyProtection="1">
      <alignment horizontal="center" vertical="center"/>
      <protection hidden="1"/>
    </xf>
    <xf numFmtId="0" fontId="50" fillId="0" borderId="0" xfId="0" applyFont="1" applyAlignment="1" applyProtection="1">
      <alignment horizontal="center" vertical="center"/>
      <protection hidden="1"/>
    </xf>
    <xf numFmtId="0" fontId="45" fillId="0" borderId="0" xfId="0" applyFont="1" applyAlignment="1" applyProtection="1">
      <alignment horizontal="center" vertical="center" wrapText="1"/>
      <protection hidden="1"/>
    </xf>
    <xf numFmtId="0" fontId="45" fillId="0" borderId="0" xfId="0" applyFont="1" applyAlignment="1" applyProtection="1">
      <alignment horizontal="right" vertical="center"/>
      <protection hidden="1"/>
    </xf>
    <xf numFmtId="0" fontId="1" fillId="10" borderId="0" xfId="15" applyFill="1" applyProtection="1">
      <protection hidden="1"/>
    </xf>
    <xf numFmtId="0" fontId="36" fillId="10" borderId="0" xfId="15" applyFont="1" applyFill="1" applyProtection="1">
      <protection hidden="1"/>
    </xf>
    <xf numFmtId="10" fontId="1" fillId="10" borderId="0" xfId="15" applyNumberFormat="1" applyFill="1" applyProtection="1">
      <protection hidden="1"/>
    </xf>
    <xf numFmtId="9" fontId="1" fillId="10" borderId="0" xfId="15" applyNumberFormat="1" applyFill="1" applyProtection="1">
      <protection hidden="1"/>
    </xf>
    <xf numFmtId="177" fontId="36" fillId="10" borderId="0" xfId="15" applyNumberFormat="1" applyFont="1" applyFill="1" applyProtection="1">
      <protection hidden="1"/>
    </xf>
    <xf numFmtId="177" fontId="1" fillId="10" borderId="0" xfId="15" applyNumberFormat="1" applyFill="1" applyProtection="1">
      <protection hidden="1"/>
    </xf>
    <xf numFmtId="8" fontId="1" fillId="10" borderId="0" xfId="15" applyNumberFormat="1" applyFill="1" applyProtection="1">
      <protection hidden="1"/>
    </xf>
    <xf numFmtId="0" fontId="121" fillId="10" borderId="0" xfId="15" applyFont="1" applyFill="1" applyProtection="1">
      <protection hidden="1"/>
    </xf>
    <xf numFmtId="0" fontId="89" fillId="10" borderId="0" xfId="15" applyFont="1" applyFill="1" applyProtection="1">
      <protection hidden="1"/>
    </xf>
    <xf numFmtId="0" fontId="121" fillId="10" borderId="3" xfId="15" applyFont="1" applyFill="1" applyBorder="1" applyProtection="1">
      <protection hidden="1"/>
    </xf>
    <xf numFmtId="0" fontId="60" fillId="24" borderId="67" xfId="15" applyFont="1" applyFill="1" applyBorder="1" applyAlignment="1" applyProtection="1">
      <alignment horizontal="center" vertical="center"/>
      <protection hidden="1"/>
    </xf>
    <xf numFmtId="0" fontId="59" fillId="24" borderId="67" xfId="15" applyFont="1" applyFill="1" applyBorder="1" applyAlignment="1" applyProtection="1">
      <alignment horizontal="center" vertical="center"/>
      <protection hidden="1"/>
    </xf>
    <xf numFmtId="10" fontId="121" fillId="10" borderId="3" xfId="15" applyNumberFormat="1" applyFont="1" applyFill="1" applyBorder="1" applyProtection="1">
      <protection hidden="1"/>
    </xf>
    <xf numFmtId="14" fontId="89" fillId="10" borderId="0" xfId="15" applyNumberFormat="1" applyFont="1" applyFill="1" applyProtection="1">
      <protection hidden="1"/>
    </xf>
    <xf numFmtId="177" fontId="89" fillId="10" borderId="0" xfId="15" applyNumberFormat="1" applyFont="1" applyFill="1" applyProtection="1">
      <protection hidden="1"/>
    </xf>
    <xf numFmtId="177" fontId="90" fillId="10" borderId="0" xfId="15" applyNumberFormat="1" applyFont="1" applyFill="1" applyProtection="1">
      <protection hidden="1"/>
    </xf>
    <xf numFmtId="9" fontId="121" fillId="10" borderId="3" xfId="15" applyNumberFormat="1" applyFont="1" applyFill="1" applyBorder="1" applyProtection="1">
      <protection hidden="1"/>
    </xf>
    <xf numFmtId="174" fontId="1" fillId="10" borderId="0" xfId="1" applyNumberFormat="1" applyFont="1" applyFill="1" applyProtection="1">
      <protection hidden="1"/>
    </xf>
    <xf numFmtId="0" fontId="88" fillId="10" borderId="0" xfId="15" applyFont="1" applyFill="1" applyProtection="1">
      <protection hidden="1"/>
    </xf>
    <xf numFmtId="0" fontId="107" fillId="10" borderId="0" xfId="15" applyFont="1" applyFill="1" applyProtection="1">
      <protection hidden="1"/>
    </xf>
    <xf numFmtId="0" fontId="60" fillId="24" borderId="47" xfId="15" applyFont="1" applyFill="1" applyBorder="1" applyAlignment="1" applyProtection="1">
      <alignment horizontal="center" vertical="center"/>
      <protection hidden="1"/>
    </xf>
    <xf numFmtId="0" fontId="59" fillId="24" borderId="47" xfId="15" applyFont="1" applyFill="1" applyBorder="1" applyAlignment="1" applyProtection="1">
      <alignment horizontal="center" vertical="center"/>
      <protection hidden="1"/>
    </xf>
    <xf numFmtId="14" fontId="88" fillId="10" borderId="0" xfId="15" applyNumberFormat="1" applyFont="1" applyFill="1" applyProtection="1">
      <protection hidden="1"/>
    </xf>
    <xf numFmtId="177" fontId="88" fillId="10" borderId="0" xfId="15" applyNumberFormat="1" applyFont="1" applyFill="1" applyProtection="1">
      <protection hidden="1"/>
    </xf>
    <xf numFmtId="177" fontId="107" fillId="10" borderId="0" xfId="15" applyNumberFormat="1" applyFont="1" applyFill="1" applyProtection="1">
      <protection hidden="1"/>
    </xf>
    <xf numFmtId="0" fontId="1" fillId="10" borderId="19" xfId="15" applyFill="1" applyBorder="1" applyProtection="1">
      <protection hidden="1"/>
    </xf>
    <xf numFmtId="14" fontId="1" fillId="10" borderId="19" xfId="15" applyNumberFormat="1" applyFill="1" applyBorder="1" applyProtection="1">
      <protection hidden="1"/>
    </xf>
    <xf numFmtId="177" fontId="1" fillId="10" borderId="19" xfId="15" applyNumberFormat="1" applyFill="1" applyBorder="1" applyProtection="1">
      <protection hidden="1"/>
    </xf>
    <xf numFmtId="14" fontId="1" fillId="10" borderId="0" xfId="15" applyNumberFormat="1" applyFill="1" applyProtection="1">
      <protection hidden="1"/>
    </xf>
    <xf numFmtId="0" fontId="150" fillId="0" borderId="0" xfId="0" applyFont="1" applyProtection="1">
      <protection hidden="1"/>
    </xf>
    <xf numFmtId="0" fontId="11" fillId="0" borderId="0" xfId="0" applyFont="1" applyBorder="1" applyProtection="1">
      <protection hidden="1"/>
    </xf>
    <xf numFmtId="0" fontId="145" fillId="32" borderId="0" xfId="0" applyFont="1" applyFill="1" applyBorder="1" applyAlignment="1">
      <alignment vertical="center"/>
    </xf>
    <xf numFmtId="0" fontId="153" fillId="0" borderId="0" xfId="0" applyFont="1" applyBorder="1" applyAlignment="1">
      <alignment vertical="center"/>
    </xf>
    <xf numFmtId="0" fontId="146" fillId="0" borderId="0" xfId="0" applyFont="1" applyBorder="1" applyAlignment="1">
      <alignment vertical="center"/>
    </xf>
    <xf numFmtId="177" fontId="157" fillId="0" borderId="0" xfId="0" applyNumberFormat="1" applyFont="1" applyAlignment="1" applyProtection="1">
      <alignment horizontal="center" vertical="center"/>
      <protection hidden="1"/>
    </xf>
    <xf numFmtId="177" fontId="158" fillId="0" borderId="0" xfId="0" applyNumberFormat="1" applyFont="1" applyAlignment="1" applyProtection="1">
      <alignment horizontal="center" vertical="center"/>
      <protection hidden="1"/>
    </xf>
    <xf numFmtId="10" fontId="159" fillId="0" borderId="0" xfId="0" applyNumberFormat="1" applyFont="1" applyProtection="1">
      <protection hidden="1"/>
    </xf>
    <xf numFmtId="0" fontId="22" fillId="7" borderId="0" xfId="0" applyFont="1" applyFill="1" applyAlignment="1" applyProtection="1">
      <alignment horizontal="left" vertical="center"/>
      <protection hidden="1"/>
    </xf>
    <xf numFmtId="0" fontId="27" fillId="0" borderId="2" xfId="0" applyFont="1" applyBorder="1" applyAlignment="1" applyProtection="1">
      <alignment horizontal="center" vertical="center"/>
      <protection hidden="1"/>
    </xf>
    <xf numFmtId="0" fontId="27" fillId="0" borderId="10" xfId="0" applyFont="1" applyBorder="1" applyAlignment="1" applyProtection="1">
      <alignment horizontal="center" vertical="center"/>
      <protection hidden="1"/>
    </xf>
    <xf numFmtId="0" fontId="55" fillId="21" borderId="0" xfId="0" applyFont="1" applyFill="1" applyAlignment="1" applyProtection="1">
      <alignment horizontal="center" vertical="center" wrapText="1"/>
      <protection hidden="1"/>
    </xf>
    <xf numFmtId="0" fontId="52" fillId="19" borderId="0" xfId="0" applyFont="1" applyFill="1" applyAlignment="1" applyProtection="1">
      <alignment horizontal="center" vertical="center" wrapText="1"/>
      <protection hidden="1"/>
    </xf>
    <xf numFmtId="0" fontId="11" fillId="0" borderId="3" xfId="0" applyNumberFormat="1" applyFont="1" applyBorder="1" applyProtection="1">
      <protection hidden="1"/>
    </xf>
    <xf numFmtId="0" fontId="11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10" fontId="11" fillId="0" borderId="0" xfId="0" applyNumberFormat="1" applyFont="1" applyFill="1" applyAlignment="1" applyProtection="1">
      <alignment horizontal="center"/>
      <protection hidden="1"/>
    </xf>
    <xf numFmtId="10" fontId="11" fillId="0" borderId="0" xfId="0" applyNumberFormat="1" applyFont="1" applyFill="1" applyProtection="1">
      <protection hidden="1"/>
    </xf>
    <xf numFmtId="0" fontId="18" fillId="7" borderId="0" xfId="0" applyFont="1" applyFill="1" applyBorder="1" applyAlignment="1" applyProtection="1">
      <alignment vertical="top" wrapText="1"/>
      <protection hidden="1"/>
    </xf>
    <xf numFmtId="0" fontId="18" fillId="7" borderId="0" xfId="0" applyFont="1" applyFill="1" applyBorder="1" applyAlignment="1" applyProtection="1">
      <alignment horizontal="center" vertical="top" wrapText="1"/>
      <protection hidden="1"/>
    </xf>
    <xf numFmtId="0" fontId="20" fillId="7" borderId="0" xfId="0" applyFont="1" applyFill="1" applyBorder="1" applyAlignment="1" applyProtection="1">
      <alignment horizontal="center" vertical="top" wrapText="1"/>
      <protection hidden="1"/>
    </xf>
    <xf numFmtId="0" fontId="23" fillId="2" borderId="0" xfId="0" applyFont="1" applyFill="1" applyBorder="1" applyAlignment="1" applyProtection="1">
      <alignment horizontal="center" vertical="top" wrapText="1"/>
      <protection hidden="1"/>
    </xf>
    <xf numFmtId="0" fontId="18" fillId="16" borderId="0" xfId="0" applyFont="1" applyFill="1" applyBorder="1" applyAlignment="1" applyProtection="1">
      <alignment vertical="top" wrapText="1"/>
      <protection hidden="1"/>
    </xf>
    <xf numFmtId="0" fontId="18" fillId="16" borderId="0" xfId="0" applyFont="1" applyFill="1" applyBorder="1" applyAlignment="1" applyProtection="1">
      <alignment horizontal="center" vertical="top" wrapText="1"/>
      <protection hidden="1"/>
    </xf>
    <xf numFmtId="0" fontId="20" fillId="16" borderId="0" xfId="0" applyFont="1" applyFill="1" applyBorder="1" applyAlignment="1" applyProtection="1">
      <alignment horizontal="center" vertical="top" wrapText="1"/>
      <protection hidden="1"/>
    </xf>
    <xf numFmtId="0" fontId="23" fillId="16" borderId="0" xfId="0" applyFont="1" applyFill="1" applyBorder="1" applyAlignment="1" applyProtection="1">
      <alignment horizontal="center" vertical="top" wrapText="1"/>
      <protection hidden="1"/>
    </xf>
    <xf numFmtId="14" fontId="18" fillId="7" borderId="0" xfId="0" applyNumberFormat="1" applyFont="1" applyFill="1" applyBorder="1" applyAlignment="1" applyProtection="1">
      <alignment horizontal="center" vertical="top" wrapText="1"/>
      <protection hidden="1"/>
    </xf>
    <xf numFmtId="14" fontId="0" fillId="0" borderId="0" xfId="0" applyNumberFormat="1" applyProtection="1"/>
    <xf numFmtId="0" fontId="136" fillId="32" borderId="86" xfId="0" applyFont="1" applyFill="1" applyBorder="1" applyAlignment="1">
      <alignment vertical="center"/>
    </xf>
    <xf numFmtId="0" fontId="136" fillId="32" borderId="2" xfId="0" applyFont="1" applyFill="1" applyBorder="1" applyAlignment="1">
      <alignment vertical="center"/>
    </xf>
    <xf numFmtId="0" fontId="18" fillId="7" borderId="0" xfId="0" applyFont="1" applyFill="1" applyBorder="1" applyAlignment="1" applyProtection="1">
      <alignment vertical="top"/>
      <protection hidden="1"/>
    </xf>
    <xf numFmtId="14" fontId="15" fillId="9" borderId="0" xfId="0" applyNumberFormat="1" applyFont="1" applyFill="1" applyBorder="1" applyAlignment="1" applyProtection="1">
      <alignment horizontal="center"/>
      <protection hidden="1"/>
    </xf>
    <xf numFmtId="170" fontId="18" fillId="5" borderId="0" xfId="0" applyNumberFormat="1" applyFont="1" applyFill="1" applyBorder="1" applyAlignment="1" applyProtection="1">
      <alignment horizontal="center"/>
      <protection hidden="1"/>
    </xf>
    <xf numFmtId="165" fontId="19" fillId="7" borderId="0" xfId="0" applyNumberFormat="1" applyFont="1" applyFill="1" applyBorder="1" applyAlignment="1" applyProtection="1">
      <alignment horizontal="center" vertical="top"/>
      <protection hidden="1"/>
    </xf>
    <xf numFmtId="0" fontId="18" fillId="16" borderId="0" xfId="0" applyFont="1" applyFill="1" applyBorder="1" applyAlignment="1" applyProtection="1">
      <alignment vertical="top"/>
      <protection hidden="1"/>
    </xf>
    <xf numFmtId="14" fontId="18" fillId="16" borderId="0" xfId="0" applyNumberFormat="1" applyFont="1" applyFill="1" applyBorder="1" applyAlignment="1" applyProtection="1">
      <alignment horizontal="center"/>
      <protection hidden="1"/>
    </xf>
    <xf numFmtId="165" fontId="19" fillId="16" borderId="0" xfId="0" applyNumberFormat="1" applyFont="1" applyFill="1" applyBorder="1" applyAlignment="1" applyProtection="1">
      <alignment horizontal="center" vertical="top"/>
      <protection hidden="1"/>
    </xf>
    <xf numFmtId="0" fontId="160" fillId="0" borderId="86" xfId="0" applyFont="1" applyBorder="1" applyAlignment="1">
      <alignment vertical="center"/>
    </xf>
    <xf numFmtId="0" fontId="161" fillId="0" borderId="2" xfId="0" applyFont="1" applyBorder="1" applyAlignment="1">
      <alignment vertical="center"/>
    </xf>
    <xf numFmtId="165" fontId="19" fillId="7" borderId="0" xfId="0" quotePrefix="1" applyNumberFormat="1" applyFont="1" applyFill="1" applyBorder="1" applyAlignment="1" applyProtection="1">
      <alignment horizontal="center" vertical="top"/>
      <protection hidden="1"/>
    </xf>
    <xf numFmtId="14" fontId="19" fillId="7" borderId="0" xfId="0" applyNumberFormat="1" applyFont="1" applyFill="1" applyBorder="1" applyAlignment="1" applyProtection="1">
      <alignment horizontal="center" vertical="top"/>
      <protection hidden="1"/>
    </xf>
    <xf numFmtId="165" fontId="19" fillId="16" borderId="0" xfId="0" quotePrefix="1" applyNumberFormat="1" applyFont="1" applyFill="1" applyBorder="1" applyAlignment="1" applyProtection="1">
      <alignment horizontal="right"/>
      <protection hidden="1"/>
    </xf>
    <xf numFmtId="14" fontId="19" fillId="16" borderId="0" xfId="0" applyNumberFormat="1" applyFont="1" applyFill="1" applyBorder="1" applyAlignment="1" applyProtection="1">
      <alignment horizontal="center"/>
      <protection hidden="1"/>
    </xf>
    <xf numFmtId="0" fontId="160" fillId="0" borderId="2" xfId="0" applyFont="1" applyBorder="1" applyAlignment="1">
      <alignment vertical="center"/>
    </xf>
    <xf numFmtId="0" fontId="12" fillId="0" borderId="100" xfId="0" applyFont="1" applyFill="1" applyBorder="1" applyAlignment="1" applyProtection="1">
      <alignment horizontal="center" vertical="center"/>
      <protection locked="0" hidden="1"/>
    </xf>
    <xf numFmtId="165" fontId="19" fillId="16" borderId="0" xfId="0" quotePrefix="1" applyNumberFormat="1" applyFont="1" applyFill="1" applyBorder="1" applyAlignment="1" applyProtection="1">
      <alignment horizontal="right" vertical="top"/>
      <protection hidden="1"/>
    </xf>
    <xf numFmtId="14" fontId="19" fillId="16" borderId="0" xfId="0" applyNumberFormat="1" applyFont="1" applyFill="1" applyBorder="1" applyAlignment="1" applyProtection="1">
      <alignment horizontal="center" vertical="top"/>
      <protection hidden="1"/>
    </xf>
    <xf numFmtId="10" fontId="11" fillId="0" borderId="0" xfId="0" applyNumberFormat="1" applyFont="1" applyFill="1" applyAlignment="1" applyProtection="1">
      <alignment vertical="top"/>
      <protection hidden="1"/>
    </xf>
    <xf numFmtId="0" fontId="12" fillId="0" borderId="13" xfId="0" applyFont="1" applyFill="1" applyBorder="1" applyAlignment="1" applyProtection="1">
      <alignment horizontal="center" vertical="center"/>
      <protection locked="0" hidden="1"/>
    </xf>
    <xf numFmtId="10" fontId="11" fillId="0" borderId="0" xfId="0" applyNumberFormat="1" applyFont="1" applyFill="1" applyAlignment="1" applyProtection="1">
      <alignment horizontal="center" vertical="top"/>
      <protection hidden="1"/>
    </xf>
    <xf numFmtId="165" fontId="19" fillId="16" borderId="0" xfId="0" quotePrefix="1" applyNumberFormat="1" applyFont="1" applyFill="1" applyBorder="1" applyAlignment="1" applyProtection="1">
      <alignment horizontal="center" vertical="top"/>
      <protection hidden="1"/>
    </xf>
    <xf numFmtId="0" fontId="0" fillId="17" borderId="0" xfId="0" applyFill="1" applyBorder="1" applyAlignment="1">
      <alignment horizontal="right"/>
    </xf>
    <xf numFmtId="0" fontId="12" fillId="8" borderId="0" xfId="0" applyFont="1" applyFill="1" applyBorder="1" applyAlignment="1" applyProtection="1">
      <alignment horizontal="center"/>
      <protection hidden="1"/>
    </xf>
    <xf numFmtId="0" fontId="17" fillId="6" borderId="0" xfId="0" applyFont="1" applyFill="1" applyBorder="1" applyAlignment="1" applyProtection="1">
      <alignment horizontal="center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167" fontId="14" fillId="0" borderId="0" xfId="0" applyNumberFormat="1" applyFont="1" applyFill="1" applyBorder="1" applyAlignment="1" applyProtection="1">
      <alignment horizontal="left"/>
      <protection hidden="1"/>
    </xf>
    <xf numFmtId="14" fontId="19" fillId="7" borderId="0" xfId="0" applyNumberFormat="1" applyFont="1" applyFill="1" applyBorder="1" applyAlignment="1" applyProtection="1">
      <alignment horizontal="center"/>
      <protection hidden="1"/>
    </xf>
    <xf numFmtId="0" fontId="19" fillId="8" borderId="0" xfId="0" applyFont="1" applyFill="1" applyBorder="1" applyAlignment="1" applyProtection="1">
      <alignment horizontal="left"/>
      <protection hidden="1"/>
    </xf>
    <xf numFmtId="170" fontId="17" fillId="6" borderId="0" xfId="0" applyNumberFormat="1" applyFont="1" applyFill="1" applyBorder="1" applyAlignment="1" applyProtection="1">
      <alignment horizontal="center"/>
      <protection hidden="1"/>
    </xf>
    <xf numFmtId="171" fontId="13" fillId="0" borderId="0" xfId="0" applyNumberFormat="1" applyFont="1" applyFill="1" applyBorder="1" applyAlignment="1" applyProtection="1">
      <alignment horizontal="center"/>
      <protection hidden="1"/>
    </xf>
    <xf numFmtId="0" fontId="19" fillId="8" borderId="0" xfId="0" applyFont="1" applyFill="1" applyBorder="1" applyProtection="1">
      <protection hidden="1"/>
    </xf>
    <xf numFmtId="170" fontId="16" fillId="6" borderId="0" xfId="0" applyNumberFormat="1" applyFont="1" applyFill="1" applyBorder="1" applyAlignment="1" applyProtection="1">
      <alignment horizontal="center"/>
      <protection hidden="1"/>
    </xf>
    <xf numFmtId="0" fontId="11" fillId="8" borderId="0" xfId="0" applyFont="1" applyFill="1" applyBorder="1" applyAlignment="1" applyProtection="1">
      <alignment horizontal="center"/>
      <protection hidden="1"/>
    </xf>
    <xf numFmtId="0" fontId="16" fillId="6" borderId="0" xfId="0" applyFont="1" applyFill="1" applyBorder="1" applyAlignment="1" applyProtection="1">
      <alignment horizontal="center"/>
      <protection hidden="1"/>
    </xf>
    <xf numFmtId="14" fontId="12" fillId="0" borderId="0" xfId="0" applyNumberFormat="1" applyFont="1" applyFill="1" applyAlignment="1" applyProtection="1">
      <alignment horizontal="center"/>
      <protection hidden="1"/>
    </xf>
    <xf numFmtId="167" fontId="11" fillId="0" borderId="0" xfId="0" applyNumberFormat="1" applyFont="1" applyFill="1" applyBorder="1" applyProtection="1">
      <protection hidden="1"/>
    </xf>
    <xf numFmtId="0" fontId="12" fillId="0" borderId="0" xfId="0" applyFont="1" applyFill="1" applyProtection="1">
      <protection hidden="1"/>
    </xf>
    <xf numFmtId="0" fontId="18" fillId="3" borderId="0" xfId="0" applyFont="1" applyFill="1" applyBorder="1" applyAlignment="1" applyProtection="1">
      <alignment horizontal="right"/>
      <protection hidden="1"/>
    </xf>
    <xf numFmtId="10" fontId="12" fillId="0" borderId="0" xfId="0" applyNumberFormat="1" applyFont="1" applyBorder="1" applyAlignment="1" applyProtection="1">
      <alignment horizontal="center"/>
      <protection hidden="1"/>
    </xf>
    <xf numFmtId="0" fontId="19" fillId="3" borderId="0" xfId="0" applyFont="1" applyFill="1" applyBorder="1" applyProtection="1">
      <protection hidden="1"/>
    </xf>
    <xf numFmtId="167" fontId="18" fillId="2" borderId="0" xfId="0" applyNumberFormat="1" applyFont="1" applyFill="1" applyBorder="1" applyAlignment="1" applyProtection="1">
      <alignment horizontal="center"/>
      <protection hidden="1"/>
    </xf>
    <xf numFmtId="167" fontId="18" fillId="3" borderId="0" xfId="0" applyNumberFormat="1" applyFont="1" applyFill="1" applyBorder="1" applyAlignment="1" applyProtection="1">
      <alignment horizontal="center"/>
      <protection hidden="1"/>
    </xf>
    <xf numFmtId="0" fontId="11" fillId="14" borderId="0" xfId="0" applyFont="1" applyFill="1" applyAlignment="1" applyProtection="1">
      <alignment horizontal="center" vertical="center" wrapText="1"/>
      <protection hidden="1"/>
    </xf>
    <xf numFmtId="166" fontId="11" fillId="0" borderId="0" xfId="0" applyNumberFormat="1" applyFont="1" applyAlignment="1" applyProtection="1">
      <alignment horizontal="center"/>
      <protection hidden="1"/>
    </xf>
    <xf numFmtId="177" fontId="46" fillId="38" borderId="0" xfId="0" applyNumberFormat="1" applyFont="1" applyFill="1" applyAlignment="1" applyProtection="1">
      <alignment horizontal="center" vertical="center"/>
      <protection hidden="1"/>
    </xf>
    <xf numFmtId="177" fontId="44" fillId="38" borderId="32" xfId="1" applyNumberFormat="1" applyFont="1" applyFill="1" applyBorder="1" applyAlignment="1" applyProtection="1">
      <alignment horizontal="center" vertical="center"/>
      <protection hidden="1"/>
    </xf>
    <xf numFmtId="177" fontId="46" fillId="20" borderId="29" xfId="0" applyNumberFormat="1" applyFont="1" applyFill="1" applyBorder="1" applyAlignment="1" applyProtection="1">
      <alignment vertical="center"/>
      <protection locked="0" hidden="1"/>
    </xf>
    <xf numFmtId="0" fontId="46" fillId="20" borderId="29" xfId="0" applyFont="1" applyFill="1" applyBorder="1" applyAlignment="1" applyProtection="1">
      <alignment vertical="center"/>
      <protection locked="0" hidden="1"/>
    </xf>
    <xf numFmtId="10" fontId="162" fillId="39" borderId="0" xfId="0" applyNumberFormat="1" applyFont="1" applyFill="1" applyProtection="1">
      <protection hidden="1"/>
    </xf>
    <xf numFmtId="10" fontId="163" fillId="39" borderId="0" xfId="0" applyNumberFormat="1" applyFont="1" applyFill="1" applyProtection="1">
      <protection hidden="1"/>
    </xf>
    <xf numFmtId="0" fontId="16" fillId="11" borderId="4" xfId="0" applyFont="1" applyFill="1" applyBorder="1" applyAlignment="1" applyProtection="1">
      <alignment horizontal="center"/>
      <protection hidden="1"/>
    </xf>
    <xf numFmtId="0" fontId="16" fillId="11" borderId="5" xfId="0" applyFont="1" applyFill="1" applyBorder="1" applyAlignment="1" applyProtection="1">
      <alignment horizontal="center"/>
      <protection hidden="1"/>
    </xf>
    <xf numFmtId="0" fontId="19" fillId="12" borderId="4" xfId="0" applyFont="1" applyFill="1" applyBorder="1" applyAlignment="1" applyProtection="1">
      <alignment horizontal="center"/>
      <protection hidden="1"/>
    </xf>
    <xf numFmtId="0" fontId="19" fillId="12" borderId="5" xfId="0" applyFont="1" applyFill="1" applyBorder="1" applyAlignment="1" applyProtection="1">
      <alignment horizontal="center"/>
      <protection hidden="1"/>
    </xf>
    <xf numFmtId="0" fontId="16" fillId="11" borderId="3" xfId="0" applyFont="1" applyFill="1" applyBorder="1" applyAlignment="1" applyProtection="1">
      <alignment horizontal="center" wrapText="1"/>
      <protection locked="0"/>
    </xf>
    <xf numFmtId="0" fontId="12" fillId="10" borderId="3" xfId="0" applyFont="1" applyFill="1" applyBorder="1" applyAlignment="1" applyProtection="1">
      <alignment horizontal="center"/>
      <protection locked="0"/>
    </xf>
    <xf numFmtId="170" fontId="24" fillId="12" borderId="3" xfId="0" applyNumberFormat="1" applyFont="1" applyFill="1" applyBorder="1" applyAlignment="1" applyProtection="1">
      <alignment horizontal="center"/>
      <protection hidden="1"/>
    </xf>
    <xf numFmtId="14" fontId="12" fillId="10" borderId="3" xfId="0" applyNumberFormat="1" applyFont="1" applyFill="1" applyBorder="1" applyAlignment="1" applyProtection="1">
      <alignment horizontal="center"/>
      <protection locked="0"/>
    </xf>
    <xf numFmtId="168" fontId="12" fillId="10" borderId="3" xfId="0" applyNumberFormat="1" applyFont="1" applyFill="1" applyBorder="1" applyAlignment="1" applyProtection="1">
      <alignment horizontal="center"/>
      <protection locked="0"/>
    </xf>
    <xf numFmtId="169" fontId="12" fillId="10" borderId="3" xfId="0" applyNumberFormat="1" applyFont="1" applyFill="1" applyBorder="1" applyAlignment="1" applyProtection="1">
      <alignment horizontal="center"/>
      <protection locked="0"/>
    </xf>
    <xf numFmtId="0" fontId="21" fillId="4" borderId="0" xfId="0" applyFont="1" applyFill="1" applyAlignment="1" applyProtection="1">
      <alignment horizontal="center" vertical="center" wrapText="1"/>
      <protection hidden="1"/>
    </xf>
    <xf numFmtId="0" fontId="22" fillId="7" borderId="0" xfId="0" applyFont="1" applyFill="1" applyAlignment="1" applyProtection="1">
      <alignment horizontal="left" vertical="center"/>
      <protection hidden="1"/>
    </xf>
    <xf numFmtId="167" fontId="19" fillId="12" borderId="4" xfId="0" applyNumberFormat="1" applyFont="1" applyFill="1" applyBorder="1" applyAlignment="1" applyProtection="1">
      <alignment horizontal="center" vertical="center"/>
      <protection hidden="1"/>
    </xf>
    <xf numFmtId="167" fontId="19" fillId="12" borderId="5" xfId="0" applyNumberFormat="1" applyFont="1" applyFill="1" applyBorder="1" applyAlignment="1" applyProtection="1">
      <alignment horizontal="center" vertical="center"/>
      <protection hidden="1"/>
    </xf>
    <xf numFmtId="170" fontId="16" fillId="10" borderId="3" xfId="0" applyNumberFormat="1" applyFont="1" applyFill="1" applyBorder="1" applyAlignment="1" applyProtection="1">
      <alignment horizontal="center" vertical="center"/>
      <protection locked="0"/>
    </xf>
    <xf numFmtId="0" fontId="42" fillId="10" borderId="0" xfId="0" applyFont="1" applyFill="1" applyAlignment="1" applyProtection="1">
      <alignment horizontal="center" wrapText="1"/>
      <protection hidden="1"/>
    </xf>
    <xf numFmtId="0" fontId="65" fillId="21" borderId="0" xfId="0" applyFont="1" applyFill="1" applyAlignment="1" applyProtection="1">
      <alignment horizontal="center" vertical="center" wrapText="1"/>
      <protection hidden="1"/>
    </xf>
    <xf numFmtId="0" fontId="65" fillId="24" borderId="0" xfId="0" applyFont="1" applyFill="1" applyAlignment="1" applyProtection="1">
      <alignment horizontal="center" vertical="center" wrapText="1"/>
      <protection hidden="1"/>
    </xf>
    <xf numFmtId="0" fontId="25" fillId="0" borderId="0" xfId="0" applyFont="1" applyAlignment="1" applyProtection="1">
      <alignment horizontal="center"/>
      <protection hidden="1"/>
    </xf>
    <xf numFmtId="0" fontId="30" fillId="0" borderId="10" xfId="0" applyFont="1" applyBorder="1" applyAlignment="1" applyProtection="1">
      <alignment horizontal="center"/>
      <protection hidden="1"/>
    </xf>
    <xf numFmtId="0" fontId="11" fillId="0" borderId="7" xfId="0" applyFont="1" applyBorder="1" applyAlignment="1" applyProtection="1">
      <alignment horizontal="center" vertical="center"/>
      <protection hidden="1"/>
    </xf>
    <xf numFmtId="0" fontId="11" fillId="0" borderId="10" xfId="0" applyFont="1" applyBorder="1" applyAlignment="1" applyProtection="1">
      <alignment horizontal="center" vertical="center"/>
      <protection hidden="1"/>
    </xf>
    <xf numFmtId="0" fontId="27" fillId="0" borderId="6" xfId="0" applyFont="1" applyBorder="1" applyAlignment="1" applyProtection="1">
      <alignment horizontal="center" vertical="center" wrapText="1"/>
      <protection hidden="1"/>
    </xf>
    <xf numFmtId="0" fontId="27" fillId="0" borderId="9" xfId="0" applyFont="1" applyBorder="1" applyAlignment="1" applyProtection="1">
      <alignment horizontal="center" vertical="center" wrapText="1"/>
      <protection hidden="1"/>
    </xf>
    <xf numFmtId="9" fontId="27" fillId="0" borderId="8" xfId="0" applyNumberFormat="1" applyFont="1" applyBorder="1" applyAlignment="1" applyProtection="1">
      <alignment horizontal="center" vertical="center"/>
      <protection hidden="1"/>
    </xf>
    <xf numFmtId="0" fontId="27" fillId="0" borderId="2" xfId="0" applyFont="1" applyBorder="1" applyAlignment="1" applyProtection="1">
      <alignment horizontal="center" vertical="center"/>
      <protection hidden="1"/>
    </xf>
    <xf numFmtId="0" fontId="27" fillId="0" borderId="7" xfId="0" applyFont="1" applyBorder="1" applyAlignment="1" applyProtection="1">
      <alignment horizontal="center" vertical="center"/>
      <protection hidden="1"/>
    </xf>
    <xf numFmtId="0" fontId="27" fillId="0" borderId="10" xfId="0" applyFont="1" applyBorder="1" applyAlignment="1" applyProtection="1">
      <alignment horizontal="center" vertical="center"/>
      <protection hidden="1"/>
    </xf>
    <xf numFmtId="0" fontId="29" fillId="0" borderId="7" xfId="0" applyFont="1" applyBorder="1" applyAlignment="1" applyProtection="1">
      <alignment horizontal="center" vertical="center"/>
      <protection hidden="1"/>
    </xf>
    <xf numFmtId="0" fontId="29" fillId="0" borderId="10" xfId="0" applyFont="1" applyBorder="1" applyAlignment="1" applyProtection="1">
      <alignment horizontal="center" vertical="center"/>
      <protection hidden="1"/>
    </xf>
    <xf numFmtId="0" fontId="49" fillId="0" borderId="0" xfId="0" applyFont="1" applyAlignment="1" applyProtection="1">
      <alignment horizontal="center" vertical="center" wrapText="1"/>
      <protection hidden="1"/>
    </xf>
    <xf numFmtId="0" fontId="57" fillId="19" borderId="0" xfId="0" applyFont="1" applyFill="1" applyAlignment="1" applyProtection="1">
      <alignment horizontal="center" vertical="center"/>
      <protection hidden="1"/>
    </xf>
    <xf numFmtId="0" fontId="46" fillId="20" borderId="29" xfId="0" applyFont="1" applyFill="1" applyBorder="1" applyAlignment="1" applyProtection="1">
      <alignment horizontal="center" vertical="center"/>
      <protection locked="0" hidden="1"/>
    </xf>
    <xf numFmtId="0" fontId="45" fillId="10" borderId="0" xfId="0" applyFont="1" applyFill="1" applyAlignment="1" applyProtection="1">
      <alignment horizontal="center" vertical="center"/>
      <protection hidden="1"/>
    </xf>
    <xf numFmtId="14" fontId="46" fillId="20" borderId="29" xfId="0" applyNumberFormat="1" applyFont="1" applyFill="1" applyBorder="1" applyAlignment="1" applyProtection="1">
      <alignment horizontal="center" vertical="center"/>
      <protection locked="0" hidden="1"/>
    </xf>
    <xf numFmtId="0" fontId="45" fillId="0" borderId="33" xfId="0" applyFont="1" applyBorder="1" applyAlignment="1" applyProtection="1">
      <alignment horizontal="center" vertical="center"/>
      <protection hidden="1"/>
    </xf>
    <xf numFmtId="0" fontId="59" fillId="24" borderId="34" xfId="0" applyFont="1" applyFill="1" applyBorder="1" applyAlignment="1" applyProtection="1">
      <alignment horizontal="center" vertical="top" wrapText="1"/>
      <protection hidden="1"/>
    </xf>
    <xf numFmtId="0" fontId="59" fillId="24" borderId="62" xfId="0" applyFont="1" applyFill="1" applyBorder="1" applyAlignment="1" applyProtection="1">
      <alignment horizontal="center" vertical="top" wrapText="1"/>
      <protection hidden="1"/>
    </xf>
    <xf numFmtId="0" fontId="45" fillId="0" borderId="0" xfId="0" applyFont="1" applyAlignment="1" applyProtection="1">
      <alignment horizontal="center" vertical="center"/>
      <protection hidden="1"/>
    </xf>
    <xf numFmtId="0" fontId="45" fillId="20" borderId="0" xfId="0" applyFont="1" applyFill="1" applyAlignment="1" applyProtection="1">
      <alignment horizontal="center" vertical="center"/>
      <protection hidden="1"/>
    </xf>
    <xf numFmtId="0" fontId="61" fillId="21" borderId="0" xfId="0" applyFont="1" applyFill="1" applyAlignment="1" applyProtection="1">
      <alignment horizontal="center" vertical="center"/>
      <protection hidden="1"/>
    </xf>
    <xf numFmtId="0" fontId="52" fillId="24" borderId="0" xfId="0" applyFont="1" applyFill="1" applyAlignment="1" applyProtection="1">
      <alignment horizontal="center" vertical="center" wrapText="1"/>
      <protection hidden="1"/>
    </xf>
    <xf numFmtId="0" fontId="45" fillId="10" borderId="60" xfId="0" applyFont="1" applyFill="1" applyBorder="1" applyAlignment="1" applyProtection="1">
      <alignment horizontal="center" vertical="center"/>
      <protection hidden="1"/>
    </xf>
    <xf numFmtId="0" fontId="45" fillId="10" borderId="59" xfId="0" applyFont="1" applyFill="1" applyBorder="1" applyAlignment="1" applyProtection="1">
      <alignment horizontal="center" vertical="center"/>
      <protection hidden="1"/>
    </xf>
    <xf numFmtId="0" fontId="46" fillId="0" borderId="0" xfId="0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0" fontId="44" fillId="20" borderId="0" xfId="0" applyFont="1" applyFill="1" applyAlignment="1" applyProtection="1">
      <alignment horizontal="center" vertical="center" wrapText="1"/>
      <protection hidden="1"/>
    </xf>
    <xf numFmtId="0" fontId="42" fillId="10" borderId="22" xfId="0" applyFont="1" applyFill="1" applyBorder="1" applyAlignment="1" applyProtection="1">
      <alignment horizontal="center" vertical="center" wrapText="1"/>
      <protection hidden="1"/>
    </xf>
    <xf numFmtId="0" fontId="42" fillId="10" borderId="23" xfId="0" applyFont="1" applyFill="1" applyBorder="1" applyAlignment="1" applyProtection="1">
      <alignment horizontal="center" vertical="center" wrapText="1"/>
      <protection hidden="1"/>
    </xf>
    <xf numFmtId="0" fontId="42" fillId="10" borderId="24" xfId="0" applyFont="1" applyFill="1" applyBorder="1" applyAlignment="1" applyProtection="1">
      <alignment horizontal="center" vertical="center" wrapText="1"/>
      <protection hidden="1"/>
    </xf>
    <xf numFmtId="0" fontId="42" fillId="10" borderId="27" xfId="0" applyFont="1" applyFill="1" applyBorder="1" applyAlignment="1" applyProtection="1">
      <alignment horizontal="center" vertical="center" wrapText="1"/>
      <protection hidden="1"/>
    </xf>
    <xf numFmtId="0" fontId="42" fillId="10" borderId="21" xfId="0" applyFont="1" applyFill="1" applyBorder="1" applyAlignment="1" applyProtection="1">
      <alignment horizontal="center" vertical="center" wrapText="1"/>
      <protection hidden="1"/>
    </xf>
    <xf numFmtId="0" fontId="42" fillId="10" borderId="28" xfId="0" applyFont="1" applyFill="1" applyBorder="1" applyAlignment="1" applyProtection="1">
      <alignment horizontal="center" vertical="center" wrapText="1"/>
      <protection hidden="1"/>
    </xf>
    <xf numFmtId="0" fontId="43" fillId="7" borderId="10" xfId="0" applyFont="1" applyFill="1" applyBorder="1" applyAlignment="1" applyProtection="1">
      <alignment horizontal="center" vertical="center"/>
      <protection hidden="1"/>
    </xf>
    <xf numFmtId="177" fontId="46" fillId="20" borderId="29" xfId="0" applyNumberFormat="1" applyFont="1" applyFill="1" applyBorder="1" applyAlignment="1" applyProtection="1">
      <alignment horizontal="center" vertical="center"/>
      <protection locked="0" hidden="1"/>
    </xf>
    <xf numFmtId="0" fontId="87" fillId="21" borderId="0" xfId="0" applyFont="1" applyFill="1" applyAlignment="1" applyProtection="1">
      <alignment horizontal="center" vertical="center" wrapText="1"/>
      <protection hidden="1"/>
    </xf>
    <xf numFmtId="0" fontId="53" fillId="0" borderId="25" xfId="0" applyFont="1" applyBorder="1" applyAlignment="1" applyProtection="1">
      <alignment horizontal="center" vertical="center"/>
      <protection hidden="1"/>
    </xf>
    <xf numFmtId="0" fontId="50" fillId="0" borderId="20" xfId="0" applyFont="1" applyBorder="1" applyAlignment="1" applyProtection="1">
      <alignment horizontal="center" vertical="center"/>
      <protection hidden="1"/>
    </xf>
    <xf numFmtId="0" fontId="50" fillId="0" borderId="26" xfId="0" applyFont="1" applyBorder="1" applyAlignment="1" applyProtection="1">
      <alignment horizontal="center" vertical="center"/>
      <protection hidden="1"/>
    </xf>
    <xf numFmtId="0" fontId="55" fillId="24" borderId="0" xfId="0" applyFont="1" applyFill="1" applyAlignment="1" applyProtection="1">
      <alignment horizontal="center" vertical="center" wrapText="1"/>
      <protection hidden="1"/>
    </xf>
    <xf numFmtId="0" fontId="55" fillId="24" borderId="0" xfId="0" applyFont="1" applyFill="1" applyAlignment="1" applyProtection="1">
      <alignment horizontal="center" vertical="center"/>
      <protection hidden="1"/>
    </xf>
    <xf numFmtId="0" fontId="43" fillId="7" borderId="27" xfId="0" applyFont="1" applyFill="1" applyBorder="1" applyAlignment="1" applyProtection="1">
      <alignment horizontal="center" vertical="center"/>
      <protection hidden="1"/>
    </xf>
    <xf numFmtId="0" fontId="43" fillId="7" borderId="21" xfId="0" applyFont="1" applyFill="1" applyBorder="1" applyAlignment="1" applyProtection="1">
      <alignment horizontal="center" vertical="center"/>
      <protection hidden="1"/>
    </xf>
    <xf numFmtId="0" fontId="43" fillId="7" borderId="28" xfId="0" applyFont="1" applyFill="1" applyBorder="1" applyAlignment="1" applyProtection="1">
      <alignment horizontal="center" vertical="center"/>
      <protection hidden="1"/>
    </xf>
    <xf numFmtId="0" fontId="42" fillId="10" borderId="25" xfId="0" applyFont="1" applyFill="1" applyBorder="1" applyAlignment="1" applyProtection="1">
      <alignment horizontal="center" vertical="center" wrapText="1"/>
      <protection hidden="1"/>
    </xf>
    <xf numFmtId="0" fontId="42" fillId="10" borderId="20" xfId="0" applyFont="1" applyFill="1" applyBorder="1" applyAlignment="1" applyProtection="1">
      <alignment horizontal="center" vertical="center" wrapText="1"/>
      <protection hidden="1"/>
    </xf>
    <xf numFmtId="0" fontId="42" fillId="10" borderId="26" xfId="0" applyFont="1" applyFill="1" applyBorder="1" applyAlignment="1" applyProtection="1">
      <alignment horizontal="center" vertical="center" wrapText="1"/>
      <protection hidden="1"/>
    </xf>
    <xf numFmtId="0" fontId="73" fillId="0" borderId="0" xfId="0" applyFont="1" applyAlignment="1" applyProtection="1">
      <alignment horizontal="center" vertical="center"/>
      <protection hidden="1"/>
    </xf>
    <xf numFmtId="0" fontId="73" fillId="0" borderId="0" xfId="0" applyFont="1" applyAlignment="1" applyProtection="1">
      <alignment horizontal="left" vertical="center"/>
      <protection hidden="1"/>
    </xf>
    <xf numFmtId="0" fontId="46" fillId="10" borderId="0" xfId="0" applyFont="1" applyFill="1" applyAlignment="1" applyProtection="1">
      <alignment horizontal="center" vertical="center"/>
      <protection hidden="1"/>
    </xf>
    <xf numFmtId="0" fontId="45" fillId="30" borderId="0" xfId="0" applyFont="1" applyFill="1" applyAlignment="1" applyProtection="1">
      <alignment horizontal="center" vertical="center" wrapText="1"/>
      <protection hidden="1"/>
    </xf>
    <xf numFmtId="0" fontId="55" fillId="24" borderId="63" xfId="0" applyFont="1" applyFill="1" applyBorder="1" applyAlignment="1" applyProtection="1">
      <alignment horizontal="center" vertical="center" wrapText="1"/>
      <protection hidden="1"/>
    </xf>
    <xf numFmtId="0" fontId="55" fillId="24" borderId="27" xfId="0" applyFont="1" applyFill="1" applyBorder="1" applyAlignment="1" applyProtection="1">
      <alignment horizontal="center" vertical="center"/>
      <protection hidden="1"/>
    </xf>
    <xf numFmtId="0" fontId="55" fillId="21" borderId="0" xfId="0" applyFont="1" applyFill="1" applyAlignment="1" applyProtection="1">
      <alignment horizontal="center" vertical="center" wrapText="1"/>
      <protection hidden="1"/>
    </xf>
    <xf numFmtId="0" fontId="46" fillId="0" borderId="0" xfId="0" applyFont="1" applyAlignment="1" applyProtection="1">
      <alignment horizontal="center" vertical="center"/>
      <protection hidden="1"/>
    </xf>
    <xf numFmtId="0" fontId="59" fillId="24" borderId="74" xfId="0" applyFont="1" applyFill="1" applyBorder="1" applyAlignment="1" applyProtection="1">
      <alignment horizontal="center" vertical="top" wrapText="1"/>
      <protection hidden="1"/>
    </xf>
    <xf numFmtId="0" fontId="59" fillId="24" borderId="75" xfId="0" applyFont="1" applyFill="1" applyBorder="1" applyAlignment="1" applyProtection="1">
      <alignment horizontal="center" vertical="top" wrapText="1"/>
      <protection hidden="1"/>
    </xf>
    <xf numFmtId="0" fontId="59" fillId="24" borderId="41" xfId="0" applyFont="1" applyFill="1" applyBorder="1" applyAlignment="1" applyProtection="1">
      <alignment horizontal="center" vertical="top" wrapText="1"/>
      <protection hidden="1"/>
    </xf>
    <xf numFmtId="0" fontId="44" fillId="18" borderId="32" xfId="0" applyFont="1" applyFill="1" applyBorder="1" applyAlignment="1" applyProtection="1">
      <alignment horizontal="center" vertical="top" wrapText="1"/>
      <protection hidden="1"/>
    </xf>
    <xf numFmtId="0" fontId="150" fillId="0" borderId="0" xfId="0" applyFont="1" applyAlignment="1" applyProtection="1">
      <alignment horizontal="center" vertical="center"/>
      <protection hidden="1"/>
    </xf>
    <xf numFmtId="0" fontId="119" fillId="18" borderId="0" xfId="0" applyFont="1" applyFill="1" applyAlignment="1" applyProtection="1">
      <alignment horizontal="center" vertical="center"/>
      <protection hidden="1"/>
    </xf>
    <xf numFmtId="0" fontId="152" fillId="18" borderId="0" xfId="0" applyFont="1" applyFill="1" applyAlignment="1" applyProtection="1">
      <alignment horizontal="left" vertical="center" indent="3"/>
      <protection hidden="1"/>
    </xf>
    <xf numFmtId="0" fontId="12" fillId="17" borderId="0" xfId="0" applyFont="1" applyFill="1" applyAlignment="1" applyProtection="1">
      <alignment horizontal="center"/>
      <protection hidden="1"/>
    </xf>
    <xf numFmtId="0" fontId="45" fillId="0" borderId="53" xfId="0" applyFont="1" applyBorder="1" applyAlignment="1" applyProtection="1">
      <alignment horizontal="center" vertical="center"/>
      <protection hidden="1"/>
    </xf>
    <xf numFmtId="0" fontId="46" fillId="0" borderId="53" xfId="0" applyFont="1" applyBorder="1" applyAlignment="1" applyProtection="1">
      <alignment horizontal="center" vertical="center"/>
      <protection hidden="1"/>
    </xf>
    <xf numFmtId="0" fontId="112" fillId="24" borderId="0" xfId="0" applyFont="1" applyFill="1" applyAlignment="1" applyProtection="1">
      <alignment horizontal="center" vertical="center" wrapText="1"/>
      <protection hidden="1"/>
    </xf>
    <xf numFmtId="0" fontId="132" fillId="19" borderId="0" xfId="0" applyFont="1" applyFill="1" applyAlignment="1" applyProtection="1">
      <alignment horizontal="center" vertical="center" wrapText="1"/>
      <protection hidden="1"/>
    </xf>
    <xf numFmtId="0" fontId="132" fillId="19" borderId="53" xfId="0" applyFont="1" applyFill="1" applyBorder="1" applyAlignment="1" applyProtection="1">
      <alignment horizontal="center" vertical="center" wrapText="1"/>
      <protection hidden="1"/>
    </xf>
    <xf numFmtId="0" fontId="113" fillId="0" borderId="0" xfId="0" applyFont="1" applyAlignment="1" applyProtection="1">
      <alignment horizontal="center" vertical="center" wrapText="1"/>
      <protection hidden="1"/>
    </xf>
    <xf numFmtId="0" fontId="56" fillId="0" borderId="0" xfId="0" applyFont="1" applyAlignment="1" applyProtection="1">
      <alignment horizontal="center" vertical="center"/>
      <protection hidden="1"/>
    </xf>
    <xf numFmtId="0" fontId="56" fillId="0" borderId="120" xfId="0" applyFont="1" applyBorder="1" applyAlignment="1" applyProtection="1">
      <alignment horizontal="center" vertical="center"/>
      <protection hidden="1"/>
    </xf>
    <xf numFmtId="0" fontId="136" fillId="32" borderId="97" xfId="0" applyFont="1" applyFill="1" applyBorder="1" applyAlignment="1">
      <alignment horizontal="center" vertical="center"/>
    </xf>
    <xf numFmtId="0" fontId="136" fillId="32" borderId="98" xfId="0" applyFont="1" applyFill="1" applyBorder="1" applyAlignment="1">
      <alignment horizontal="center" vertical="center"/>
    </xf>
    <xf numFmtId="0" fontId="136" fillId="32" borderId="99" xfId="0" applyFont="1" applyFill="1" applyBorder="1" applyAlignment="1">
      <alignment horizontal="center" vertical="center"/>
    </xf>
    <xf numFmtId="0" fontId="40" fillId="16" borderId="0" xfId="0" applyFont="1" applyFill="1" applyAlignment="1" applyProtection="1">
      <alignment horizontal="center" vertical="center"/>
      <protection hidden="1"/>
    </xf>
    <xf numFmtId="0" fontId="12" fillId="0" borderId="103" xfId="0" applyFont="1" applyBorder="1" applyAlignment="1" applyProtection="1">
      <alignment horizontal="center"/>
      <protection hidden="1"/>
    </xf>
    <xf numFmtId="0" fontId="31" fillId="37" borderId="106" xfId="0" applyFont="1" applyFill="1" applyBorder="1" applyAlignment="1" applyProtection="1">
      <alignment horizontal="center" vertical="center" wrapText="1"/>
      <protection hidden="1"/>
    </xf>
    <xf numFmtId="0" fontId="31" fillId="37" borderId="0" xfId="0" applyFont="1" applyFill="1" applyBorder="1" applyAlignment="1" applyProtection="1">
      <alignment horizontal="center" vertical="center" wrapText="1"/>
      <protection hidden="1"/>
    </xf>
    <xf numFmtId="0" fontId="31" fillId="37" borderId="103" xfId="0" applyFont="1" applyFill="1" applyBorder="1" applyAlignment="1" applyProtection="1">
      <alignment horizontal="center" vertical="center" wrapText="1"/>
      <protection hidden="1"/>
    </xf>
    <xf numFmtId="0" fontId="12" fillId="5" borderId="100" xfId="0" applyFont="1" applyFill="1" applyBorder="1" applyAlignment="1" applyProtection="1">
      <alignment horizontal="center" vertical="center" wrapText="1"/>
      <protection hidden="1"/>
    </xf>
    <xf numFmtId="0" fontId="12" fillId="5" borderId="101" xfId="0" applyFont="1" applyFill="1" applyBorder="1" applyAlignment="1" applyProtection="1">
      <alignment horizontal="center" vertical="center" wrapText="1"/>
      <protection hidden="1"/>
    </xf>
    <xf numFmtId="0" fontId="11" fillId="12" borderId="100" xfId="0" applyFont="1" applyFill="1" applyBorder="1" applyAlignment="1" applyProtection="1">
      <alignment horizontal="center" vertical="center"/>
      <protection hidden="1"/>
    </xf>
    <xf numFmtId="0" fontId="11" fillId="12" borderId="104" xfId="0" applyFont="1" applyFill="1" applyBorder="1" applyAlignment="1" applyProtection="1">
      <alignment horizontal="center" vertical="center"/>
      <protection hidden="1"/>
    </xf>
    <xf numFmtId="0" fontId="11" fillId="12" borderId="101" xfId="0" applyFont="1" applyFill="1" applyBorder="1" applyAlignment="1" applyProtection="1">
      <alignment horizontal="center" vertical="center"/>
      <protection hidden="1"/>
    </xf>
    <xf numFmtId="0" fontId="12" fillId="33" borderId="108" xfId="0" applyFont="1" applyFill="1" applyBorder="1" applyAlignment="1" applyProtection="1">
      <alignment horizontal="center" vertical="center"/>
      <protection hidden="1"/>
    </xf>
    <xf numFmtId="0" fontId="12" fillId="33" borderId="109" xfId="0" applyFont="1" applyFill="1" applyBorder="1" applyAlignment="1" applyProtection="1">
      <alignment horizontal="center" vertical="center"/>
      <protection hidden="1"/>
    </xf>
    <xf numFmtId="0" fontId="12" fillId="33" borderId="100" xfId="0" applyFont="1" applyFill="1" applyBorder="1" applyAlignment="1" applyProtection="1">
      <alignment horizontal="center" vertical="center"/>
      <protection hidden="1"/>
    </xf>
    <xf numFmtId="0" fontId="12" fillId="33" borderId="101" xfId="0" applyFont="1" applyFill="1" applyBorder="1" applyAlignment="1" applyProtection="1">
      <alignment horizontal="center" vertical="center"/>
      <protection hidden="1"/>
    </xf>
    <xf numFmtId="0" fontId="12" fillId="33" borderId="100" xfId="0" applyFont="1" applyFill="1" applyBorder="1" applyAlignment="1" applyProtection="1">
      <alignment horizontal="center" vertical="center" wrapText="1"/>
      <protection hidden="1"/>
    </xf>
    <xf numFmtId="0" fontId="12" fillId="33" borderId="5" xfId="0" applyFont="1" applyFill="1" applyBorder="1" applyAlignment="1" applyProtection="1">
      <alignment horizontal="center" vertical="center" wrapText="1"/>
      <protection hidden="1"/>
    </xf>
    <xf numFmtId="0" fontId="12" fillId="33" borderId="5" xfId="0" applyFont="1" applyFill="1" applyBorder="1" applyAlignment="1" applyProtection="1">
      <alignment horizontal="center" vertical="center"/>
      <protection hidden="1"/>
    </xf>
    <xf numFmtId="0" fontId="27" fillId="5" borderId="12" xfId="0" applyFont="1" applyFill="1" applyBorder="1" applyAlignment="1" applyProtection="1">
      <alignment horizontal="center" vertical="center" wrapText="1"/>
      <protection hidden="1"/>
    </xf>
    <xf numFmtId="0" fontId="12" fillId="33" borderId="105" xfId="0" applyFont="1" applyFill="1" applyBorder="1" applyAlignment="1" applyProtection="1">
      <alignment horizontal="center" vertical="center"/>
      <protection hidden="1"/>
    </xf>
    <xf numFmtId="0" fontId="12" fillId="33" borderId="106" xfId="0" applyFont="1" applyFill="1" applyBorder="1" applyAlignment="1" applyProtection="1">
      <alignment horizontal="center" vertical="center"/>
      <protection hidden="1"/>
    </xf>
    <xf numFmtId="0" fontId="27" fillId="5" borderId="96" xfId="0" applyFont="1" applyFill="1" applyBorder="1" applyAlignment="1" applyProtection="1">
      <alignment horizontal="center" vertical="center"/>
      <protection hidden="1"/>
    </xf>
    <xf numFmtId="0" fontId="27" fillId="5" borderId="17" xfId="0" applyFont="1" applyFill="1" applyBorder="1" applyAlignment="1" applyProtection="1">
      <alignment horizontal="center" vertical="center"/>
      <protection hidden="1"/>
    </xf>
    <xf numFmtId="0" fontId="145" fillId="32" borderId="97" xfId="0" applyFont="1" applyFill="1" applyBorder="1" applyAlignment="1">
      <alignment horizontal="center" vertical="center"/>
    </xf>
    <xf numFmtId="0" fontId="145" fillId="32" borderId="98" xfId="0" applyFont="1" applyFill="1" applyBorder="1" applyAlignment="1">
      <alignment horizontal="center" vertical="center"/>
    </xf>
    <xf numFmtId="0" fontId="145" fillId="32" borderId="99" xfId="0" applyFont="1" applyFill="1" applyBorder="1" applyAlignment="1">
      <alignment horizontal="center" vertical="center"/>
    </xf>
    <xf numFmtId="9" fontId="27" fillId="0" borderId="2" xfId="0" applyNumberFormat="1" applyFont="1" applyBorder="1" applyAlignment="1" applyProtection="1">
      <alignment horizontal="center" vertical="center"/>
      <protection hidden="1"/>
    </xf>
    <xf numFmtId="0" fontId="144" fillId="7" borderId="0" xfId="0" applyFont="1" applyFill="1" applyAlignment="1" applyProtection="1">
      <alignment horizontal="center" vertical="center"/>
      <protection hidden="1"/>
    </xf>
    <xf numFmtId="0" fontId="11" fillId="12" borderId="12" xfId="0" applyFont="1" applyFill="1" applyBorder="1" applyAlignment="1" applyProtection="1">
      <alignment horizontal="center" vertical="center"/>
      <protection hidden="1"/>
    </xf>
    <xf numFmtId="0" fontId="11" fillId="12" borderId="4" xfId="0" applyFont="1" applyFill="1" applyBorder="1" applyAlignment="1" applyProtection="1">
      <alignment horizontal="center" vertical="center"/>
      <protection hidden="1"/>
    </xf>
    <xf numFmtId="0" fontId="22" fillId="7" borderId="10" xfId="0" applyFont="1" applyFill="1" applyBorder="1" applyAlignment="1" applyProtection="1">
      <alignment horizontal="center" vertical="center"/>
      <protection hidden="1"/>
    </xf>
    <xf numFmtId="0" fontId="22" fillId="7" borderId="0" xfId="0" applyFont="1" applyFill="1" applyBorder="1" applyAlignment="1" applyProtection="1">
      <alignment horizontal="center" vertical="center"/>
      <protection hidden="1"/>
    </xf>
    <xf numFmtId="0" fontId="143" fillId="5" borderId="0" xfId="0" applyFont="1" applyFill="1" applyAlignment="1" applyProtection="1">
      <alignment horizontal="center" vertical="center" wrapText="1"/>
      <protection hidden="1"/>
    </xf>
    <xf numFmtId="0" fontId="31" fillId="7" borderId="0" xfId="0" applyFont="1" applyFill="1" applyAlignment="1" applyProtection="1">
      <alignment horizontal="center" vertical="center"/>
      <protection hidden="1"/>
    </xf>
    <xf numFmtId="0" fontId="147" fillId="5" borderId="3" xfId="0" applyFont="1" applyFill="1" applyBorder="1" applyAlignment="1" applyProtection="1">
      <alignment horizontal="center" vertical="center" wrapText="1"/>
      <protection hidden="1"/>
    </xf>
    <xf numFmtId="0" fontId="147" fillId="5" borderId="3" xfId="0" applyFont="1" applyFill="1" applyBorder="1" applyAlignment="1" applyProtection="1">
      <alignment horizontal="center" vertical="center"/>
      <protection hidden="1"/>
    </xf>
    <xf numFmtId="0" fontId="31" fillId="7" borderId="100" xfId="0" applyFont="1" applyFill="1" applyBorder="1" applyAlignment="1" applyProtection="1">
      <alignment horizontal="center" vertical="center" wrapText="1"/>
      <protection hidden="1"/>
    </xf>
    <xf numFmtId="0" fontId="31" fillId="7" borderId="101" xfId="0" applyFont="1" applyFill="1" applyBorder="1" applyAlignment="1" applyProtection="1">
      <alignment horizontal="center" vertical="center" wrapText="1"/>
      <protection hidden="1"/>
    </xf>
    <xf numFmtId="0" fontId="31" fillId="7" borderId="103" xfId="0" applyFont="1" applyFill="1" applyBorder="1" applyAlignment="1" applyProtection="1">
      <alignment horizontal="center" vertical="center" wrapText="1"/>
      <protection hidden="1"/>
    </xf>
    <xf numFmtId="0" fontId="22" fillId="7" borderId="0" xfId="0" applyFont="1" applyFill="1" applyAlignment="1" applyProtection="1">
      <alignment horizontal="center" vertical="center"/>
      <protection hidden="1"/>
    </xf>
    <xf numFmtId="0" fontId="44" fillId="18" borderId="32" xfId="0" applyFont="1" applyFill="1" applyBorder="1" applyAlignment="1" applyProtection="1">
      <alignment horizontal="center" vertical="center" wrapText="1"/>
      <protection hidden="1"/>
    </xf>
    <xf numFmtId="0" fontId="145" fillId="32" borderId="0" xfId="0" applyFont="1" applyFill="1" applyBorder="1" applyAlignment="1">
      <alignment horizontal="center" vertical="center"/>
    </xf>
    <xf numFmtId="0" fontId="72" fillId="0" borderId="0" xfId="0" applyFont="1" applyAlignment="1" applyProtection="1">
      <alignment horizontal="center" vertical="center"/>
      <protection hidden="1"/>
    </xf>
    <xf numFmtId="0" fontId="52" fillId="19" borderId="0" xfId="0" applyFont="1" applyFill="1" applyAlignment="1" applyProtection="1">
      <alignment horizontal="center" vertical="center" wrapText="1"/>
      <protection hidden="1"/>
    </xf>
    <xf numFmtId="0" fontId="52" fillId="19" borderId="53" xfId="0" applyFont="1" applyFill="1" applyBorder="1" applyAlignment="1" applyProtection="1">
      <alignment horizontal="center" vertical="center" wrapText="1"/>
      <protection hidden="1"/>
    </xf>
    <xf numFmtId="0" fontId="42" fillId="10" borderId="22" xfId="0" applyFont="1" applyFill="1" applyBorder="1" applyAlignment="1" applyProtection="1">
      <alignment horizontal="center" wrapText="1"/>
      <protection hidden="1"/>
    </xf>
    <xf numFmtId="0" fontId="42" fillId="10" borderId="23" xfId="0" applyFont="1" applyFill="1" applyBorder="1" applyAlignment="1" applyProtection="1">
      <alignment horizontal="center" wrapText="1"/>
      <protection hidden="1"/>
    </xf>
    <xf numFmtId="0" fontId="42" fillId="10" borderId="24" xfId="0" applyFont="1" applyFill="1" applyBorder="1" applyAlignment="1" applyProtection="1">
      <alignment horizontal="center" wrapText="1"/>
      <protection hidden="1"/>
    </xf>
    <xf numFmtId="0" fontId="42" fillId="10" borderId="25" xfId="0" applyFont="1" applyFill="1" applyBorder="1" applyAlignment="1" applyProtection="1">
      <alignment horizontal="center" wrapText="1"/>
      <protection hidden="1"/>
    </xf>
    <xf numFmtId="0" fontId="42" fillId="10" borderId="20" xfId="0" applyFont="1" applyFill="1" applyBorder="1" applyAlignment="1" applyProtection="1">
      <alignment horizontal="center" wrapText="1"/>
      <protection hidden="1"/>
    </xf>
    <xf numFmtId="0" fontId="42" fillId="10" borderId="26" xfId="0" applyFont="1" applyFill="1" applyBorder="1" applyAlignment="1" applyProtection="1">
      <alignment horizontal="center" wrapText="1"/>
      <protection hidden="1"/>
    </xf>
    <xf numFmtId="177" fontId="45" fillId="0" borderId="0" xfId="0" applyNumberFormat="1" applyFont="1" applyAlignment="1" applyProtection="1">
      <alignment horizontal="center" vertical="center"/>
      <protection hidden="1"/>
    </xf>
    <xf numFmtId="177" fontId="46" fillId="20" borderId="29" xfId="1" applyNumberFormat="1" applyFont="1" applyFill="1" applyBorder="1" applyAlignment="1" applyProtection="1">
      <alignment horizontal="center" vertical="center"/>
      <protection hidden="1"/>
    </xf>
    <xf numFmtId="0" fontId="53" fillId="0" borderId="0" xfId="0" applyFont="1" applyAlignment="1" applyProtection="1">
      <alignment horizontal="center" vertical="center"/>
      <protection hidden="1"/>
    </xf>
    <xf numFmtId="0" fontId="50" fillId="0" borderId="0" xfId="0" applyFont="1" applyAlignment="1" applyProtection="1">
      <alignment horizontal="center" vertical="center"/>
      <protection hidden="1"/>
    </xf>
    <xf numFmtId="10" fontId="39" fillId="12" borderId="0" xfId="1" applyNumberFormat="1" applyFont="1" applyFill="1" applyBorder="1" applyAlignment="1" applyProtection="1">
      <alignment horizontal="center" vertical="center" wrapText="1"/>
      <protection hidden="1"/>
    </xf>
    <xf numFmtId="0" fontId="55" fillId="21" borderId="0" xfId="0" applyFont="1" applyFill="1" applyAlignment="1" applyProtection="1">
      <alignment horizontal="center" vertical="center"/>
      <protection hidden="1"/>
    </xf>
    <xf numFmtId="169" fontId="79" fillId="10" borderId="0" xfId="0" applyNumberFormat="1" applyFont="1" applyFill="1" applyAlignment="1" applyProtection="1">
      <alignment horizontal="center" vertical="center"/>
      <protection locked="0" hidden="1"/>
    </xf>
    <xf numFmtId="0" fontId="52" fillId="26" borderId="0" xfId="0" applyFont="1" applyFill="1" applyAlignment="1" applyProtection="1">
      <alignment horizontal="center" vertical="center" wrapText="1"/>
      <protection hidden="1"/>
    </xf>
    <xf numFmtId="0" fontId="45" fillId="0" borderId="0" xfId="0" applyFont="1" applyAlignment="1" applyProtection="1">
      <alignment horizontal="center" vertical="center" wrapText="1"/>
      <protection hidden="1"/>
    </xf>
    <xf numFmtId="0" fontId="102" fillId="24" borderId="0" xfId="0" applyFont="1" applyFill="1" applyAlignment="1" applyProtection="1">
      <alignment horizontal="center" vertical="center" wrapText="1"/>
      <protection hidden="1"/>
    </xf>
    <xf numFmtId="0" fontId="65" fillId="24" borderId="0" xfId="0" applyFont="1" applyFill="1" applyAlignment="1" applyProtection="1">
      <alignment horizontal="center" vertical="center"/>
      <protection hidden="1"/>
    </xf>
    <xf numFmtId="169" fontId="45" fillId="0" borderId="0" xfId="0" applyNumberFormat="1" applyFont="1" applyAlignment="1" applyProtection="1">
      <alignment horizontal="center" vertical="center"/>
      <protection hidden="1"/>
    </xf>
    <xf numFmtId="178" fontId="46" fillId="20" borderId="29" xfId="0" applyNumberFormat="1" applyFont="1" applyFill="1" applyBorder="1" applyAlignment="1" applyProtection="1">
      <alignment horizontal="center" vertical="center"/>
      <protection locked="0" hidden="1"/>
    </xf>
    <xf numFmtId="0" fontId="117" fillId="0" borderId="0" xfId="0" applyFont="1" applyAlignment="1" applyProtection="1">
      <alignment horizontal="center" vertical="center" wrapText="1"/>
      <protection hidden="1"/>
    </xf>
    <xf numFmtId="0" fontId="45" fillId="0" borderId="33" xfId="0" applyFont="1" applyBorder="1" applyAlignment="1" applyProtection="1">
      <alignment horizontal="right" vertical="center"/>
      <protection hidden="1"/>
    </xf>
    <xf numFmtId="0" fontId="27" fillId="20" borderId="29" xfId="0" applyFont="1" applyFill="1" applyBorder="1" applyAlignment="1" applyProtection="1">
      <alignment horizontal="center" vertical="center" wrapText="1"/>
      <protection hidden="1"/>
    </xf>
    <xf numFmtId="0" fontId="59" fillId="24" borderId="55" xfId="0" applyFont="1" applyFill="1" applyBorder="1" applyAlignment="1" applyProtection="1">
      <alignment horizontal="center" wrapText="1"/>
      <protection hidden="1"/>
    </xf>
    <xf numFmtId="0" fontId="59" fillId="24" borderId="56" xfId="0" applyFont="1" applyFill="1" applyBorder="1" applyAlignment="1" applyProtection="1">
      <alignment horizontal="center" wrapText="1"/>
      <protection hidden="1"/>
    </xf>
    <xf numFmtId="0" fontId="59" fillId="24" borderId="57" xfId="0" applyFont="1" applyFill="1" applyBorder="1" applyAlignment="1" applyProtection="1">
      <alignment horizontal="center" wrapText="1"/>
      <protection hidden="1"/>
    </xf>
    <xf numFmtId="0" fontId="45" fillId="0" borderId="0" xfId="0" applyFont="1" applyAlignment="1" applyProtection="1">
      <alignment horizontal="right" vertical="center"/>
      <protection hidden="1"/>
    </xf>
    <xf numFmtId="0" fontId="65" fillId="26" borderId="0" xfId="0" applyFont="1" applyFill="1" applyAlignment="1" applyProtection="1">
      <alignment horizontal="center" vertical="center" wrapText="1"/>
      <protection hidden="1"/>
    </xf>
    <xf numFmtId="177" fontId="46" fillId="0" borderId="0" xfId="0" applyNumberFormat="1" applyFont="1" applyAlignment="1" applyProtection="1">
      <alignment horizontal="center" vertical="center" wrapText="1"/>
      <protection hidden="1"/>
    </xf>
    <xf numFmtId="0" fontId="52" fillId="21" borderId="0" xfId="0" applyFont="1" applyFill="1" applyAlignment="1" applyProtection="1">
      <alignment horizontal="center" vertical="center" wrapText="1"/>
      <protection hidden="1"/>
    </xf>
    <xf numFmtId="0" fontId="78" fillId="23" borderId="68" xfId="0" applyFont="1" applyFill="1" applyBorder="1" applyAlignment="1" applyProtection="1">
      <alignment horizontal="center" vertical="center" wrapText="1"/>
      <protection hidden="1"/>
    </xf>
    <xf numFmtId="0" fontId="61" fillId="21" borderId="0" xfId="0" applyFont="1" applyFill="1" applyAlignment="1" applyProtection="1">
      <alignment horizontal="center" vertical="center" wrapText="1"/>
      <protection hidden="1"/>
    </xf>
    <xf numFmtId="0" fontId="84" fillId="10" borderId="33" xfId="0" applyFont="1" applyFill="1" applyBorder="1" applyAlignment="1" applyProtection="1">
      <alignment horizontal="center" vertical="center"/>
      <protection hidden="1"/>
    </xf>
    <xf numFmtId="177" fontId="58" fillId="21" borderId="0" xfId="1" applyNumberFormat="1" applyFont="1" applyFill="1" applyBorder="1" applyAlignment="1" applyProtection="1">
      <alignment horizontal="center" vertical="center" wrapText="1"/>
      <protection hidden="1"/>
    </xf>
    <xf numFmtId="0" fontId="45" fillId="0" borderId="68" xfId="0" applyFont="1" applyBorder="1" applyAlignment="1" applyProtection="1">
      <alignment horizontal="right" vertical="center"/>
      <protection hidden="1"/>
    </xf>
    <xf numFmtId="0" fontId="78" fillId="20" borderId="68" xfId="0" applyFont="1" applyFill="1" applyBorder="1" applyAlignment="1" applyProtection="1">
      <alignment horizontal="center" vertical="center" wrapText="1"/>
      <protection hidden="1"/>
    </xf>
    <xf numFmtId="0" fontId="78" fillId="20" borderId="68" xfId="0" applyFont="1" applyFill="1" applyBorder="1" applyAlignment="1" applyProtection="1">
      <alignment horizontal="center" vertical="center"/>
      <protection hidden="1"/>
    </xf>
    <xf numFmtId="3" fontId="58" fillId="21" borderId="0" xfId="0" applyNumberFormat="1" applyFont="1" applyFill="1" applyAlignment="1" applyProtection="1">
      <alignment horizontal="center" vertical="center"/>
      <protection hidden="1"/>
    </xf>
    <xf numFmtId="0" fontId="58" fillId="21" borderId="0" xfId="0" applyFont="1" applyFill="1" applyAlignment="1" applyProtection="1">
      <alignment horizontal="center" vertical="center"/>
      <protection hidden="1"/>
    </xf>
    <xf numFmtId="0" fontId="58" fillId="21" borderId="69" xfId="0" applyFont="1" applyFill="1" applyBorder="1" applyAlignment="1" applyProtection="1">
      <alignment horizontal="center" vertical="center"/>
      <protection hidden="1"/>
    </xf>
    <xf numFmtId="0" fontId="45" fillId="23" borderId="0" xfId="0" applyFont="1" applyFill="1" applyAlignment="1" applyProtection="1">
      <alignment horizontal="center" vertical="center"/>
      <protection hidden="1"/>
    </xf>
    <xf numFmtId="0" fontId="44" fillId="0" borderId="70" xfId="0" applyFont="1" applyBorder="1" applyAlignment="1" applyProtection="1">
      <alignment horizontal="center" vertical="center" wrapText="1"/>
      <protection hidden="1"/>
    </xf>
    <xf numFmtId="0" fontId="44" fillId="0" borderId="71" xfId="0" applyFont="1" applyBorder="1" applyAlignment="1" applyProtection="1">
      <alignment horizontal="center" vertical="center"/>
      <protection hidden="1"/>
    </xf>
    <xf numFmtId="177" fontId="114" fillId="0" borderId="71" xfId="0" applyNumberFormat="1" applyFont="1" applyBorder="1" applyAlignment="1" applyProtection="1">
      <alignment horizontal="center" vertical="center"/>
      <protection hidden="1"/>
    </xf>
    <xf numFmtId="0" fontId="114" fillId="0" borderId="71" xfId="0" applyFont="1" applyBorder="1" applyAlignment="1" applyProtection="1">
      <alignment horizontal="center" vertical="center"/>
      <protection hidden="1"/>
    </xf>
    <xf numFmtId="0" fontId="114" fillId="0" borderId="72" xfId="0" applyFont="1" applyBorder="1" applyAlignment="1" applyProtection="1">
      <alignment horizontal="center" vertical="center"/>
      <protection hidden="1"/>
    </xf>
    <xf numFmtId="177" fontId="116" fillId="0" borderId="73" xfId="0" applyNumberFormat="1" applyFont="1" applyBorder="1" applyAlignment="1" applyProtection="1">
      <alignment horizontal="center" vertical="center" wrapText="1"/>
      <protection hidden="1"/>
    </xf>
    <xf numFmtId="177" fontId="116" fillId="0" borderId="69" xfId="0" applyNumberFormat="1" applyFont="1" applyBorder="1" applyAlignment="1" applyProtection="1">
      <alignment horizontal="center" vertical="center" wrapText="1"/>
      <protection hidden="1"/>
    </xf>
    <xf numFmtId="3" fontId="58" fillId="21" borderId="69" xfId="0" applyNumberFormat="1" applyFont="1" applyFill="1" applyBorder="1" applyAlignment="1" applyProtection="1">
      <alignment horizontal="center" vertical="center"/>
      <protection hidden="1"/>
    </xf>
    <xf numFmtId="177" fontId="61" fillId="21" borderId="0" xfId="1" applyNumberFormat="1" applyFont="1" applyFill="1" applyBorder="1" applyAlignment="1" applyProtection="1">
      <alignment horizontal="center" vertical="center" wrapText="1"/>
      <protection hidden="1"/>
    </xf>
    <xf numFmtId="0" fontId="45" fillId="23" borderId="0" xfId="0" applyFont="1" applyFill="1" applyAlignment="1" applyProtection="1">
      <alignment horizontal="center" vertical="center" wrapText="1"/>
      <protection hidden="1"/>
    </xf>
    <xf numFmtId="177" fontId="114" fillId="0" borderId="72" xfId="0" applyNumberFormat="1" applyFont="1" applyBorder="1" applyAlignment="1" applyProtection="1">
      <alignment horizontal="center" vertical="center"/>
      <protection hidden="1"/>
    </xf>
    <xf numFmtId="0" fontId="80" fillId="20" borderId="68" xfId="0" applyFont="1" applyFill="1" applyBorder="1" applyAlignment="1" applyProtection="1">
      <alignment horizontal="center" vertical="center" wrapText="1"/>
      <protection hidden="1"/>
    </xf>
    <xf numFmtId="0" fontId="61" fillId="28" borderId="0" xfId="0" applyFont="1" applyFill="1" applyAlignment="1" applyProtection="1">
      <alignment horizontal="center" vertical="center" wrapText="1"/>
      <protection hidden="1"/>
    </xf>
    <xf numFmtId="0" fontId="61" fillId="28" borderId="0" xfId="0" applyFont="1" applyFill="1" applyAlignment="1" applyProtection="1">
      <alignment horizontal="center" vertical="center"/>
      <protection hidden="1"/>
    </xf>
    <xf numFmtId="3" fontId="58" fillId="28" borderId="0" xfId="0" applyNumberFormat="1" applyFont="1" applyFill="1" applyAlignment="1" applyProtection="1">
      <alignment horizontal="center" vertical="center"/>
      <protection hidden="1"/>
    </xf>
    <xf numFmtId="0" fontId="58" fillId="28" borderId="0" xfId="0" applyFont="1" applyFill="1" applyAlignment="1" applyProtection="1">
      <alignment horizontal="center" vertical="center"/>
      <protection hidden="1"/>
    </xf>
    <xf numFmtId="0" fontId="58" fillId="28" borderId="69" xfId="0" applyFont="1" applyFill="1" applyBorder="1" applyAlignment="1" applyProtection="1">
      <alignment horizontal="center" vertical="center"/>
      <protection hidden="1"/>
    </xf>
    <xf numFmtId="177" fontId="116" fillId="0" borderId="73" xfId="0" applyNumberFormat="1" applyFont="1" applyBorder="1" applyAlignment="1" applyProtection="1">
      <alignment horizontal="left" vertical="center" wrapText="1"/>
      <protection hidden="1"/>
    </xf>
    <xf numFmtId="177" fontId="116" fillId="0" borderId="69" xfId="0" applyNumberFormat="1" applyFont="1" applyBorder="1" applyAlignment="1" applyProtection="1">
      <alignment horizontal="left" vertical="center" wrapText="1"/>
      <protection hidden="1"/>
    </xf>
    <xf numFmtId="0" fontId="44" fillId="0" borderId="79" xfId="0" applyFont="1" applyBorder="1" applyAlignment="1" applyProtection="1">
      <alignment horizontal="center" vertical="center" wrapText="1"/>
      <protection hidden="1"/>
    </xf>
    <xf numFmtId="0" fontId="52" fillId="28" borderId="82" xfId="0" applyFont="1" applyFill="1" applyBorder="1" applyAlignment="1" applyProtection="1">
      <alignment horizontal="center" vertical="center" wrapText="1"/>
      <protection hidden="1"/>
    </xf>
    <xf numFmtId="0" fontId="52" fillId="28" borderId="81" xfId="0" applyFont="1" applyFill="1" applyBorder="1" applyAlignment="1" applyProtection="1">
      <alignment horizontal="center" vertical="center" wrapText="1"/>
      <protection hidden="1"/>
    </xf>
    <xf numFmtId="177" fontId="52" fillId="28" borderId="0" xfId="1" applyNumberFormat="1" applyFont="1" applyFill="1" applyBorder="1" applyAlignment="1" applyProtection="1">
      <alignment horizontal="center" vertical="center" wrapText="1"/>
      <protection hidden="1"/>
    </xf>
    <xf numFmtId="0" fontId="52" fillId="24" borderId="0" xfId="0" applyFont="1" applyFill="1" applyAlignment="1" applyProtection="1">
      <alignment horizontal="center" vertical="center"/>
      <protection hidden="1"/>
    </xf>
    <xf numFmtId="0" fontId="89" fillId="20" borderId="63" xfId="0" applyFont="1" applyFill="1" applyBorder="1" applyAlignment="1" applyProtection="1">
      <alignment horizontal="center" vertical="center" wrapText="1"/>
      <protection hidden="1"/>
    </xf>
    <xf numFmtId="0" fontId="89" fillId="20" borderId="27" xfId="0" applyFont="1" applyFill="1" applyBorder="1" applyAlignment="1" applyProtection="1">
      <alignment horizontal="center" vertical="center"/>
      <protection hidden="1"/>
    </xf>
    <xf numFmtId="0" fontId="130" fillId="24" borderId="0" xfId="0" applyFont="1" applyFill="1" applyAlignment="1" applyProtection="1">
      <alignment horizontal="center" vertical="center" wrapText="1"/>
      <protection hidden="1"/>
    </xf>
    <xf numFmtId="0" fontId="113" fillId="27" borderId="0" xfId="0" applyFont="1" applyFill="1" applyAlignment="1" applyProtection="1">
      <alignment horizontal="center" vertical="center"/>
      <protection hidden="1"/>
    </xf>
    <xf numFmtId="0" fontId="52" fillId="28" borderId="0" xfId="0" applyFont="1" applyFill="1" applyAlignment="1" applyProtection="1">
      <alignment horizontal="center" vertical="center" wrapText="1"/>
      <protection hidden="1"/>
    </xf>
    <xf numFmtId="0" fontId="55" fillId="28" borderId="0" xfId="0" applyFont="1" applyFill="1" applyAlignment="1" applyProtection="1">
      <alignment horizontal="center" vertical="center" wrapText="1"/>
      <protection hidden="1"/>
    </xf>
    <xf numFmtId="0" fontId="57" fillId="28" borderId="0" xfId="0" applyFont="1" applyFill="1" applyAlignment="1" applyProtection="1">
      <alignment horizontal="center" vertical="center"/>
      <protection hidden="1"/>
    </xf>
    <xf numFmtId="0" fontId="0" fillId="2" borderId="3" xfId="0" applyFill="1" applyBorder="1" applyAlignment="1">
      <alignment horizontal="center"/>
    </xf>
    <xf numFmtId="0" fontId="91" fillId="0" borderId="0" xfId="0" applyFont="1" applyAlignment="1" applyProtection="1">
      <alignment horizontal="right" vertical="center"/>
      <protection hidden="1"/>
    </xf>
    <xf numFmtId="0" fontId="78" fillId="0" borderId="0" xfId="0" applyFont="1" applyAlignment="1">
      <alignment horizontal="center" vertical="center"/>
    </xf>
    <xf numFmtId="0" fontId="78" fillId="0" borderId="0" xfId="0" applyFont="1" applyAlignment="1">
      <alignment horizontal="right" vertical="center"/>
    </xf>
    <xf numFmtId="0" fontId="111" fillId="0" borderId="45" xfId="0" applyFont="1" applyBorder="1" applyAlignment="1" applyProtection="1">
      <alignment horizontal="left" vertical="center"/>
      <protection hidden="1"/>
    </xf>
    <xf numFmtId="0" fontId="111" fillId="0" borderId="0" xfId="0" applyFont="1" applyAlignment="1" applyProtection="1">
      <alignment horizontal="left" vertical="center"/>
      <protection hidden="1"/>
    </xf>
    <xf numFmtId="0" fontId="89" fillId="0" borderId="47" xfId="15" applyFont="1" applyBorder="1" applyAlignment="1" applyProtection="1">
      <alignment horizontal="center" vertical="center"/>
      <protection hidden="1"/>
    </xf>
    <xf numFmtId="0" fontId="88" fillId="20" borderId="47" xfId="15" applyFont="1" applyFill="1" applyBorder="1" applyAlignment="1" applyProtection="1">
      <alignment horizontal="center" vertical="center"/>
      <protection locked="0"/>
    </xf>
    <xf numFmtId="0" fontId="42" fillId="10" borderId="0" xfId="0" applyFont="1" applyFill="1" applyAlignment="1" applyProtection="1">
      <alignment horizontal="left" vertical="center" wrapText="1"/>
      <protection hidden="1"/>
    </xf>
    <xf numFmtId="0" fontId="57" fillId="19" borderId="44" xfId="0" applyFont="1" applyFill="1" applyBorder="1" applyAlignment="1" applyProtection="1">
      <alignment horizontal="center" vertical="center"/>
      <protection hidden="1"/>
    </xf>
    <xf numFmtId="0" fontId="57" fillId="19" borderId="45" xfId="0" applyFont="1" applyFill="1" applyBorder="1" applyAlignment="1" applyProtection="1">
      <alignment horizontal="center" vertical="center"/>
      <protection hidden="1"/>
    </xf>
    <xf numFmtId="0" fontId="57" fillId="19" borderId="46" xfId="0" applyFont="1" applyFill="1" applyBorder="1" applyAlignment="1" applyProtection="1">
      <alignment horizontal="center" vertical="center"/>
      <protection hidden="1"/>
    </xf>
    <xf numFmtId="0" fontId="90" fillId="0" borderId="47" xfId="15" applyFont="1" applyBorder="1" applyAlignment="1" applyProtection="1">
      <alignment horizontal="center" vertical="center"/>
      <protection hidden="1"/>
    </xf>
    <xf numFmtId="177" fontId="88" fillId="20" borderId="47" xfId="15" applyNumberFormat="1" applyFont="1" applyFill="1" applyBorder="1" applyAlignment="1" applyProtection="1">
      <alignment horizontal="center"/>
      <protection locked="0"/>
    </xf>
    <xf numFmtId="0" fontId="89" fillId="0" borderId="65" xfId="15" applyFont="1" applyBorder="1" applyAlignment="1" applyProtection="1">
      <alignment horizontal="center" vertical="center"/>
      <protection hidden="1"/>
    </xf>
    <xf numFmtId="0" fontId="89" fillId="0" borderId="66" xfId="15" applyFont="1" applyBorder="1" applyAlignment="1" applyProtection="1">
      <alignment horizontal="center" vertical="center"/>
      <protection hidden="1"/>
    </xf>
    <xf numFmtId="177" fontId="88" fillId="20" borderId="65" xfId="15" applyNumberFormat="1" applyFont="1" applyFill="1" applyBorder="1" applyAlignment="1" applyProtection="1">
      <alignment horizontal="center"/>
      <protection locked="0"/>
    </xf>
    <xf numFmtId="177" fontId="88" fillId="20" borderId="66" xfId="15" applyNumberFormat="1" applyFont="1" applyFill="1" applyBorder="1" applyAlignment="1" applyProtection="1">
      <alignment horizontal="center"/>
      <protection locked="0"/>
    </xf>
    <xf numFmtId="0" fontId="89" fillId="0" borderId="65" xfId="15" applyFont="1" applyBorder="1" applyAlignment="1" applyProtection="1">
      <alignment horizontal="center" vertical="center" wrapText="1"/>
      <protection hidden="1"/>
    </xf>
    <xf numFmtId="0" fontId="89" fillId="0" borderId="66" xfId="15" applyFont="1" applyBorder="1" applyAlignment="1" applyProtection="1">
      <alignment horizontal="center" vertical="center" wrapText="1"/>
      <protection hidden="1"/>
    </xf>
    <xf numFmtId="177" fontId="88" fillId="0" borderId="65" xfId="15" applyNumberFormat="1" applyFont="1" applyBorder="1" applyAlignment="1" applyProtection="1">
      <alignment horizontal="center"/>
      <protection hidden="1"/>
    </xf>
    <xf numFmtId="177" fontId="88" fillId="0" borderId="66" xfId="15" applyNumberFormat="1" applyFont="1" applyBorder="1" applyAlignment="1" applyProtection="1">
      <alignment horizontal="center"/>
      <protection hidden="1"/>
    </xf>
    <xf numFmtId="0" fontId="155" fillId="0" borderId="65" xfId="15" applyFont="1" applyBorder="1" applyAlignment="1" applyProtection="1">
      <alignment horizontal="center" vertical="center"/>
      <protection hidden="1"/>
    </xf>
    <xf numFmtId="0" fontId="155" fillId="0" borderId="66" xfId="15" applyFont="1" applyBorder="1" applyAlignment="1" applyProtection="1">
      <alignment horizontal="center" vertical="center"/>
      <protection hidden="1"/>
    </xf>
    <xf numFmtId="10" fontId="88" fillId="10" borderId="65" xfId="1" applyNumberFormat="1" applyFont="1" applyFill="1" applyBorder="1" applyAlignment="1" applyProtection="1">
      <alignment horizontal="center"/>
      <protection hidden="1"/>
    </xf>
    <xf numFmtId="10" fontId="88" fillId="10" borderId="66" xfId="1" applyNumberFormat="1" applyFont="1" applyFill="1" applyBorder="1" applyAlignment="1" applyProtection="1">
      <alignment horizontal="center"/>
      <protection hidden="1"/>
    </xf>
    <xf numFmtId="10" fontId="88" fillId="0" borderId="65" xfId="15" applyNumberFormat="1" applyFont="1" applyBorder="1" applyAlignment="1" applyProtection="1">
      <alignment horizontal="center"/>
      <protection hidden="1"/>
    </xf>
    <xf numFmtId="10" fontId="88" fillId="0" borderId="66" xfId="15" applyNumberFormat="1" applyFont="1" applyBorder="1" applyAlignment="1" applyProtection="1">
      <alignment horizontal="center"/>
      <protection hidden="1"/>
    </xf>
    <xf numFmtId="0" fontId="88" fillId="20" borderId="65" xfId="15" applyFont="1" applyFill="1" applyBorder="1" applyAlignment="1" applyProtection="1">
      <alignment horizontal="center"/>
      <protection locked="0"/>
    </xf>
    <xf numFmtId="0" fontId="88" fillId="20" borderId="66" xfId="15" applyFont="1" applyFill="1" applyBorder="1" applyAlignment="1" applyProtection="1">
      <alignment horizontal="center"/>
      <protection locked="0"/>
    </xf>
    <xf numFmtId="14" fontId="88" fillId="20" borderId="65" xfId="15" applyNumberFormat="1" applyFont="1" applyFill="1" applyBorder="1" applyAlignment="1" applyProtection="1">
      <alignment horizontal="center"/>
      <protection locked="0"/>
    </xf>
    <xf numFmtId="14" fontId="88" fillId="20" borderId="66" xfId="15" applyNumberFormat="1" applyFont="1" applyFill="1" applyBorder="1" applyAlignment="1" applyProtection="1">
      <alignment horizontal="center"/>
      <protection locked="0"/>
    </xf>
    <xf numFmtId="0" fontId="36" fillId="10" borderId="119" xfId="15" applyFont="1" applyFill="1" applyBorder="1" applyAlignment="1" applyProtection="1">
      <alignment horizontal="center"/>
      <protection hidden="1"/>
    </xf>
    <xf numFmtId="0" fontId="41" fillId="10" borderId="0" xfId="15" applyFont="1" applyFill="1" applyAlignment="1" applyProtection="1">
      <alignment horizontal="left"/>
      <protection hidden="1"/>
    </xf>
    <xf numFmtId="0" fontId="60" fillId="24" borderId="42" xfId="15" applyFont="1" applyFill="1" applyBorder="1" applyAlignment="1" applyProtection="1">
      <alignment horizontal="center" vertical="center"/>
      <protection hidden="1"/>
    </xf>
    <xf numFmtId="0" fontId="60" fillId="24" borderId="67" xfId="15" applyFont="1" applyFill="1" applyBorder="1" applyAlignment="1" applyProtection="1">
      <alignment horizontal="center" vertical="center"/>
      <protection hidden="1"/>
    </xf>
    <xf numFmtId="0" fontId="60" fillId="24" borderId="42" xfId="15" applyFont="1" applyFill="1" applyBorder="1" applyAlignment="1" applyProtection="1">
      <alignment horizontal="center" vertical="center" wrapText="1"/>
      <protection hidden="1"/>
    </xf>
    <xf numFmtId="0" fontId="60" fillId="24" borderId="67" xfId="15" applyFont="1" applyFill="1" applyBorder="1" applyAlignment="1" applyProtection="1">
      <alignment horizontal="center" vertical="center" wrapText="1"/>
      <protection hidden="1"/>
    </xf>
    <xf numFmtId="0" fontId="108" fillId="10" borderId="0" xfId="15" applyFont="1" applyFill="1" applyAlignment="1" applyProtection="1">
      <alignment horizontal="left" vertical="center"/>
      <protection hidden="1"/>
    </xf>
    <xf numFmtId="0" fontId="107" fillId="10" borderId="65" xfId="15" applyFont="1" applyFill="1" applyBorder="1" applyAlignment="1" applyProtection="1">
      <alignment horizontal="center"/>
      <protection hidden="1"/>
    </xf>
    <xf numFmtId="0" fontId="107" fillId="10" borderId="66" xfId="15" applyFont="1" applyFill="1" applyBorder="1" applyAlignment="1" applyProtection="1">
      <alignment horizontal="center"/>
      <protection hidden="1"/>
    </xf>
    <xf numFmtId="0" fontId="88" fillId="10" borderId="65" xfId="15" applyFont="1" applyFill="1" applyBorder="1" applyAlignment="1" applyProtection="1">
      <alignment horizontal="center"/>
      <protection hidden="1"/>
    </xf>
    <xf numFmtId="0" fontId="88" fillId="10" borderId="66" xfId="15" applyFont="1" applyFill="1" applyBorder="1" applyAlignment="1" applyProtection="1">
      <alignment horizontal="center"/>
      <protection hidden="1"/>
    </xf>
    <xf numFmtId="0" fontId="88" fillId="20" borderId="47" xfId="15" applyFont="1" applyFill="1" applyBorder="1" applyAlignment="1" applyProtection="1">
      <alignment horizontal="center"/>
      <protection locked="0"/>
    </xf>
    <xf numFmtId="177" fontId="88" fillId="10" borderId="47" xfId="15" applyNumberFormat="1" applyFont="1" applyFill="1" applyBorder="1" applyAlignment="1" applyProtection="1">
      <alignment horizontal="center"/>
      <protection hidden="1"/>
    </xf>
    <xf numFmtId="0" fontId="156" fillId="10" borderId="65" xfId="15" applyFont="1" applyFill="1" applyBorder="1" applyAlignment="1" applyProtection="1">
      <alignment horizontal="center"/>
      <protection hidden="1"/>
    </xf>
    <xf numFmtId="0" fontId="156" fillId="10" borderId="66" xfId="15" applyFont="1" applyFill="1" applyBorder="1" applyAlignment="1" applyProtection="1">
      <alignment horizontal="center"/>
      <protection hidden="1"/>
    </xf>
    <xf numFmtId="10" fontId="88" fillId="10" borderId="47" xfId="15" applyNumberFormat="1" applyFont="1" applyFill="1" applyBorder="1" applyAlignment="1" applyProtection="1">
      <alignment horizontal="center"/>
      <protection hidden="1"/>
    </xf>
    <xf numFmtId="14" fontId="88" fillId="20" borderId="47" xfId="15" applyNumberFormat="1" applyFont="1" applyFill="1" applyBorder="1" applyAlignment="1" applyProtection="1">
      <alignment horizontal="center"/>
      <protection locked="0"/>
    </xf>
    <xf numFmtId="0" fontId="105" fillId="20" borderId="47" xfId="15" applyFont="1" applyFill="1" applyBorder="1" applyAlignment="1" applyProtection="1">
      <alignment horizontal="center"/>
      <protection locked="0" hidden="1"/>
    </xf>
    <xf numFmtId="8" fontId="105" fillId="10" borderId="47" xfId="15" applyNumberFormat="1" applyFont="1" applyFill="1" applyBorder="1" applyAlignment="1" applyProtection="1">
      <alignment horizontal="center"/>
      <protection hidden="1"/>
    </xf>
    <xf numFmtId="0" fontId="105" fillId="10" borderId="47" xfId="15" applyFont="1" applyFill="1" applyBorder="1" applyAlignment="1" applyProtection="1">
      <alignment horizontal="center"/>
      <protection hidden="1"/>
    </xf>
    <xf numFmtId="0" fontId="88" fillId="10" borderId="119" xfId="15" applyFont="1" applyFill="1" applyBorder="1" applyAlignment="1" applyProtection="1">
      <alignment horizontal="center"/>
      <protection hidden="1"/>
    </xf>
    <xf numFmtId="177" fontId="88" fillId="10" borderId="119" xfId="15" applyNumberFormat="1" applyFont="1" applyFill="1" applyBorder="1" applyAlignment="1" applyProtection="1">
      <alignment horizontal="center" wrapText="1"/>
      <protection hidden="1"/>
    </xf>
    <xf numFmtId="0" fontId="106" fillId="10" borderId="0" xfId="15" applyFont="1" applyFill="1" applyAlignment="1" applyProtection="1">
      <alignment horizontal="left"/>
      <protection hidden="1"/>
    </xf>
    <xf numFmtId="0" fontId="60" fillId="24" borderId="47" xfId="15" applyFont="1" applyFill="1" applyBorder="1" applyAlignment="1" applyProtection="1">
      <alignment horizontal="center" vertical="center"/>
      <protection hidden="1"/>
    </xf>
    <xf numFmtId="0" fontId="60" fillId="24" borderId="47" xfId="15" applyFont="1" applyFill="1" applyBorder="1" applyAlignment="1" applyProtection="1">
      <alignment horizontal="center" vertical="center" wrapText="1"/>
      <protection hidden="1"/>
    </xf>
    <xf numFmtId="0" fontId="60" fillId="26" borderId="0" xfId="0" applyFont="1" applyFill="1" applyAlignment="1" applyProtection="1">
      <alignment horizontal="center" vertical="center"/>
      <protection hidden="1"/>
    </xf>
    <xf numFmtId="0" fontId="60" fillId="26" borderId="53" xfId="0" applyFont="1" applyFill="1" applyBorder="1" applyAlignment="1" applyProtection="1">
      <alignment horizontal="center" vertical="center"/>
      <protection hidden="1"/>
    </xf>
    <xf numFmtId="0" fontId="60" fillId="24" borderId="0" xfId="0" applyFont="1" applyFill="1" applyAlignment="1">
      <alignment horizontal="center" vertical="center" wrapText="1"/>
    </xf>
    <xf numFmtId="0" fontId="91" fillId="0" borderId="0" xfId="0" applyFont="1" applyAlignment="1" applyProtection="1">
      <alignment horizontal="center" vertical="center"/>
      <protection hidden="1"/>
    </xf>
    <xf numFmtId="0" fontId="91" fillId="0" borderId="33" xfId="0" applyFont="1" applyBorder="1" applyAlignment="1" applyProtection="1">
      <alignment horizontal="center" vertical="center"/>
      <protection hidden="1"/>
    </xf>
    <xf numFmtId="0" fontId="98" fillId="0" borderId="0" xfId="0" applyFont="1" applyAlignment="1">
      <alignment horizontal="center" vertical="center" wrapText="1"/>
    </xf>
    <xf numFmtId="0" fontId="51" fillId="24" borderId="0" xfId="0" applyFont="1" applyFill="1" applyAlignment="1">
      <alignment horizontal="center" vertical="center"/>
    </xf>
    <xf numFmtId="0" fontId="100" fillId="0" borderId="73" xfId="0" applyFont="1" applyBorder="1" applyAlignment="1">
      <alignment horizontal="center" vertical="center" wrapText="1"/>
    </xf>
    <xf numFmtId="0" fontId="100" fillId="0" borderId="0" xfId="0" applyFont="1" applyAlignment="1">
      <alignment horizontal="center" vertical="center" wrapText="1"/>
    </xf>
    <xf numFmtId="170" fontId="95" fillId="20" borderId="29" xfId="0" applyNumberFormat="1" applyFont="1" applyFill="1" applyBorder="1" applyAlignment="1" applyProtection="1">
      <alignment horizontal="center" vertical="center"/>
      <protection hidden="1"/>
    </xf>
    <xf numFmtId="170" fontId="95" fillId="20" borderId="29" xfId="0" applyNumberFormat="1" applyFont="1" applyFill="1" applyBorder="1" applyAlignment="1">
      <alignment horizontal="center" vertical="center"/>
    </xf>
    <xf numFmtId="0" fontId="42" fillId="10" borderId="0" xfId="0" applyFont="1" applyFill="1" applyAlignment="1" applyProtection="1">
      <alignment horizontal="center" vertical="top" wrapText="1"/>
      <protection hidden="1"/>
    </xf>
    <xf numFmtId="170" fontId="97" fillId="20" borderId="29" xfId="0" applyNumberFormat="1" applyFont="1" applyFill="1" applyBorder="1" applyAlignment="1" applyProtection="1">
      <alignment horizontal="center" vertical="center"/>
      <protection locked="0"/>
    </xf>
    <xf numFmtId="169" fontId="63" fillId="20" borderId="29" xfId="0" applyNumberFormat="1" applyFont="1" applyFill="1" applyBorder="1" applyAlignment="1" applyProtection="1">
      <alignment horizontal="center" vertical="center"/>
      <protection locked="0"/>
    </xf>
    <xf numFmtId="14" fontId="63" fillId="20" borderId="29" xfId="0" applyNumberFormat="1" applyFont="1" applyFill="1" applyBorder="1" applyAlignment="1" applyProtection="1">
      <alignment horizontal="center" vertical="center"/>
      <protection locked="0"/>
    </xf>
    <xf numFmtId="0" fontId="42" fillId="10" borderId="48" xfId="0" applyFont="1" applyFill="1" applyBorder="1" applyAlignment="1" applyProtection="1">
      <alignment horizontal="right" vertical="top" wrapText="1"/>
      <protection hidden="1"/>
    </xf>
    <xf numFmtId="0" fontId="42" fillId="10" borderId="49" xfId="0" applyFont="1" applyFill="1" applyBorder="1" applyAlignment="1" applyProtection="1">
      <alignment horizontal="right" vertical="top" wrapText="1"/>
      <protection hidden="1"/>
    </xf>
    <xf numFmtId="0" fontId="42" fillId="10" borderId="50" xfId="0" applyFont="1" applyFill="1" applyBorder="1" applyAlignment="1" applyProtection="1">
      <alignment horizontal="right" vertical="top" wrapText="1"/>
      <protection hidden="1"/>
    </xf>
    <xf numFmtId="0" fontId="80" fillId="10" borderId="51" xfId="0" applyFont="1" applyFill="1" applyBorder="1" applyAlignment="1" applyProtection="1">
      <alignment horizontal="center" vertical="center" wrapText="1"/>
      <protection hidden="1"/>
    </xf>
    <xf numFmtId="0" fontId="80" fillId="10" borderId="0" xfId="0" applyFont="1" applyFill="1" applyAlignment="1" applyProtection="1">
      <alignment horizontal="center" vertical="center" wrapText="1"/>
      <protection hidden="1"/>
    </xf>
    <xf numFmtId="0" fontId="80" fillId="10" borderId="52" xfId="0" applyFont="1" applyFill="1" applyBorder="1" applyAlignment="1" applyProtection="1">
      <alignment horizontal="center" vertical="center" wrapText="1"/>
      <protection hidden="1"/>
    </xf>
    <xf numFmtId="167" fontId="95" fillId="0" borderId="0" xfId="0" applyNumberFormat="1" applyFont="1" applyAlignment="1" applyProtection="1">
      <alignment horizontal="center" vertical="center"/>
      <protection hidden="1"/>
    </xf>
    <xf numFmtId="0" fontId="63" fillId="20" borderId="29" xfId="0" applyFont="1" applyFill="1" applyBorder="1" applyAlignment="1" applyProtection="1">
      <alignment horizontal="center" vertical="center"/>
      <protection locked="0"/>
    </xf>
    <xf numFmtId="0" fontId="95" fillId="0" borderId="0" xfId="0" applyFont="1" applyAlignment="1" applyProtection="1">
      <alignment horizontal="center" vertical="center"/>
      <protection hidden="1"/>
    </xf>
    <xf numFmtId="173" fontId="63" fillId="20" borderId="29" xfId="2" applyNumberFormat="1" applyFont="1" applyFill="1" applyBorder="1" applyAlignment="1" applyProtection="1">
      <alignment horizontal="left" vertical="center"/>
      <protection locked="0"/>
    </xf>
    <xf numFmtId="173" fontId="63" fillId="20" borderId="29" xfId="2" applyNumberFormat="1" applyFont="1" applyFill="1" applyBorder="1" applyAlignment="1" applyProtection="1">
      <alignment horizontal="center"/>
      <protection locked="0"/>
    </xf>
    <xf numFmtId="0" fontId="76" fillId="0" borderId="0" xfId="0" applyFont="1" applyAlignment="1" applyProtection="1">
      <alignment horizontal="center"/>
      <protection hidden="1"/>
    </xf>
    <xf numFmtId="0" fontId="95" fillId="0" borderId="0" xfId="0" applyFont="1" applyAlignment="1" applyProtection="1">
      <alignment horizontal="center"/>
      <protection hidden="1"/>
    </xf>
    <xf numFmtId="0" fontId="95" fillId="0" borderId="33" xfId="0" applyFont="1" applyBorder="1" applyAlignment="1" applyProtection="1">
      <alignment horizontal="center"/>
      <protection hidden="1"/>
    </xf>
    <xf numFmtId="172" fontId="76" fillId="20" borderId="29" xfId="0" applyNumberFormat="1" applyFont="1" applyFill="1" applyBorder="1" applyAlignment="1" applyProtection="1">
      <alignment horizontal="center" vertical="center"/>
      <protection hidden="1"/>
    </xf>
    <xf numFmtId="168" fontId="76" fillId="20" borderId="29" xfId="0" applyNumberFormat="1" applyFont="1" applyFill="1" applyBorder="1" applyAlignment="1" applyProtection="1">
      <alignment horizontal="center" vertical="center"/>
      <protection hidden="1"/>
    </xf>
    <xf numFmtId="10" fontId="95" fillId="20" borderId="29" xfId="1" applyNumberFormat="1" applyFont="1" applyFill="1" applyBorder="1" applyAlignment="1" applyProtection="1">
      <alignment horizontal="center" vertical="center"/>
      <protection hidden="1"/>
    </xf>
  </cellXfs>
  <cellStyles count="16">
    <cellStyle name="Обычный" xfId="0" builtinId="0"/>
    <cellStyle name="Обычный 2" xfId="3" xr:uid="{00000000-0005-0000-0000-000001000000}"/>
    <cellStyle name="Обычный 2 2" xfId="13" xr:uid="{00000000-0005-0000-0000-000002000000}"/>
    <cellStyle name="Обычный 3" xfId="10" xr:uid="{00000000-0005-0000-0000-000003000000}"/>
    <cellStyle name="Обычный 4" xfId="4" xr:uid="{00000000-0005-0000-0000-000004000000}"/>
    <cellStyle name="Обычный 4 2" xfId="5" xr:uid="{00000000-0005-0000-0000-000005000000}"/>
    <cellStyle name="Обычный 4 2 2" xfId="6" xr:uid="{00000000-0005-0000-0000-000006000000}"/>
    <cellStyle name="Обычный 4 2 2 2" xfId="7" xr:uid="{00000000-0005-0000-0000-000007000000}"/>
    <cellStyle name="Обычный 4 2 2 2 2" xfId="8" xr:uid="{00000000-0005-0000-0000-000008000000}"/>
    <cellStyle name="Обычный 4 2 2 2 2 2" xfId="9" xr:uid="{00000000-0005-0000-0000-000009000000}"/>
    <cellStyle name="Обычный 4 2 2 2 2 2 2" xfId="15" xr:uid="{00000000-0005-0000-0000-00000A000000}"/>
    <cellStyle name="Процентный" xfId="1" builtinId="5"/>
    <cellStyle name="Процентный 2" xfId="11" xr:uid="{00000000-0005-0000-0000-00000C000000}"/>
    <cellStyle name="Финансовый" xfId="2" builtinId="3"/>
    <cellStyle name="Финансовый 2" xfId="14" xr:uid="{00000000-0005-0000-0000-00000E000000}"/>
    <cellStyle name="Финансовый 3" xfId="12" xr:uid="{00000000-0005-0000-0000-00000F000000}"/>
  </cellStyles>
  <dxfs count="13">
    <dxf>
      <font>
        <color theme="0"/>
      </font>
      <border>
        <left/>
        <right/>
        <bottom style="hair">
          <color theme="0"/>
        </bottom>
        <vertical/>
        <horizontal/>
      </border>
    </dxf>
    <dxf>
      <font>
        <color theme="0"/>
      </font>
      <border>
        <left/>
        <right/>
        <bottom style="hair">
          <color theme="0"/>
        </bottom>
        <vertical/>
        <horizontal/>
      </border>
    </dxf>
    <dxf>
      <font>
        <b/>
        <i val="0"/>
      </font>
      <fill>
        <patternFill>
          <bgColor rgb="FF9999FF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DAE3FF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EFF3FF"/>
      <color rgb="FFC00149"/>
      <color rgb="FF647ED1"/>
      <color rgb="FFD83D68"/>
      <color rgb="FF1024A0"/>
      <color rgb="FFFFEBFF"/>
      <color rgb="FFFFCCFF"/>
      <color rgb="FF0E30E4"/>
      <color rgb="FFFFD5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svg"/><Relationship Id="rId3" Type="http://schemas.microsoft.com/office/2007/relationships/hdphoto" Target="../media/hdphoto1.wdp"/><Relationship Id="rId7" Type="http://schemas.openxmlformats.org/officeDocument/2006/relationships/image" Target="../media/image6.svg"/><Relationship Id="rId12" Type="http://schemas.openxmlformats.org/officeDocument/2006/relationships/image" Target="../media/image11.svg"/><Relationship Id="rId17" Type="http://schemas.openxmlformats.org/officeDocument/2006/relationships/image" Target="../media/image16.png"/><Relationship Id="rId2" Type="http://schemas.openxmlformats.org/officeDocument/2006/relationships/image" Target="../media/image2.png"/><Relationship Id="rId16" Type="http://schemas.openxmlformats.org/officeDocument/2006/relationships/image" Target="../media/image15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sv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6.svg"/><Relationship Id="rId18" Type="http://schemas.openxmlformats.org/officeDocument/2006/relationships/image" Target="../media/image23.png"/><Relationship Id="rId3" Type="http://schemas.microsoft.com/office/2007/relationships/hdphoto" Target="../media/hdphoto2.wdp"/><Relationship Id="rId21" Type="http://schemas.openxmlformats.org/officeDocument/2006/relationships/image" Target="../media/image53.png"/><Relationship Id="rId7" Type="http://schemas.openxmlformats.org/officeDocument/2006/relationships/image" Target="../media/image50.svg"/><Relationship Id="rId12" Type="http://schemas.openxmlformats.org/officeDocument/2006/relationships/image" Target="../media/image13.png"/><Relationship Id="rId17" Type="http://schemas.openxmlformats.org/officeDocument/2006/relationships/image" Target="../media/image11.svg"/><Relationship Id="rId2" Type="http://schemas.openxmlformats.org/officeDocument/2006/relationships/image" Target="../media/image19.png"/><Relationship Id="rId16" Type="http://schemas.openxmlformats.org/officeDocument/2006/relationships/image" Target="../media/image22.png"/><Relationship Id="rId20" Type="http://schemas.openxmlformats.org/officeDocument/2006/relationships/image" Target="../media/image25.svg"/><Relationship Id="rId1" Type="http://schemas.openxmlformats.org/officeDocument/2006/relationships/image" Target="../media/image7.png"/><Relationship Id="rId6" Type="http://schemas.openxmlformats.org/officeDocument/2006/relationships/image" Target="../media/image49.png"/><Relationship Id="rId11" Type="http://schemas.openxmlformats.org/officeDocument/2006/relationships/image" Target="../media/image4.svg"/><Relationship Id="rId24" Type="http://schemas.openxmlformats.org/officeDocument/2006/relationships/image" Target="../media/image47.svg"/><Relationship Id="rId5" Type="http://schemas.openxmlformats.org/officeDocument/2006/relationships/image" Target="../media/image48.svg"/><Relationship Id="rId15" Type="http://schemas.openxmlformats.org/officeDocument/2006/relationships/image" Target="../media/image51.svg"/><Relationship Id="rId23" Type="http://schemas.openxmlformats.org/officeDocument/2006/relationships/image" Target="../media/image42.png"/><Relationship Id="rId10" Type="http://schemas.openxmlformats.org/officeDocument/2006/relationships/image" Target="../media/image26.png"/><Relationship Id="rId19" Type="http://schemas.openxmlformats.org/officeDocument/2006/relationships/image" Target="../media/image52.png"/><Relationship Id="rId4" Type="http://schemas.openxmlformats.org/officeDocument/2006/relationships/image" Target="../media/image35.png"/><Relationship Id="rId9" Type="http://schemas.openxmlformats.org/officeDocument/2006/relationships/image" Target="../media/image28.svg"/><Relationship Id="rId14" Type="http://schemas.openxmlformats.org/officeDocument/2006/relationships/image" Target="../media/image37.png"/><Relationship Id="rId22" Type="http://schemas.openxmlformats.org/officeDocument/2006/relationships/image" Target="../media/image4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svg"/><Relationship Id="rId13" Type="http://schemas.openxmlformats.org/officeDocument/2006/relationships/image" Target="../media/image7.png"/><Relationship Id="rId18" Type="http://schemas.openxmlformats.org/officeDocument/2006/relationships/image" Target="../media/image46.png"/><Relationship Id="rId3" Type="http://schemas.openxmlformats.org/officeDocument/2006/relationships/image" Target="../media/image35.png"/><Relationship Id="rId7" Type="http://schemas.openxmlformats.org/officeDocument/2006/relationships/image" Target="../media/image27.png"/><Relationship Id="rId12" Type="http://schemas.openxmlformats.org/officeDocument/2006/relationships/image" Target="../media/image45.svg"/><Relationship Id="rId17" Type="http://schemas.openxmlformats.org/officeDocument/2006/relationships/image" Target="../media/image41.png"/><Relationship Id="rId2" Type="http://schemas.microsoft.com/office/2007/relationships/hdphoto" Target="../media/hdphoto2.wdp"/><Relationship Id="rId16" Type="http://schemas.openxmlformats.org/officeDocument/2006/relationships/image" Target="../media/image23.png"/><Relationship Id="rId20" Type="http://schemas.openxmlformats.org/officeDocument/2006/relationships/image" Target="../media/image42.png"/><Relationship Id="rId1" Type="http://schemas.openxmlformats.org/officeDocument/2006/relationships/image" Target="../media/image19.png"/><Relationship Id="rId6" Type="http://schemas.openxmlformats.org/officeDocument/2006/relationships/image" Target="../media/image21.svg"/><Relationship Id="rId11" Type="http://schemas.openxmlformats.org/officeDocument/2006/relationships/image" Target="../media/image37.png"/><Relationship Id="rId5" Type="http://schemas.openxmlformats.org/officeDocument/2006/relationships/image" Target="../media/image20.png"/><Relationship Id="rId15" Type="http://schemas.openxmlformats.org/officeDocument/2006/relationships/image" Target="../media/image11.svg"/><Relationship Id="rId10" Type="http://schemas.openxmlformats.org/officeDocument/2006/relationships/image" Target="../media/image6.svg"/><Relationship Id="rId19" Type="http://schemas.openxmlformats.org/officeDocument/2006/relationships/image" Target="../media/image47.svg"/><Relationship Id="rId4" Type="http://schemas.openxmlformats.org/officeDocument/2006/relationships/image" Target="../media/image44.sv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4.png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4" Type="http://schemas.openxmlformats.org/officeDocument/2006/relationships/image" Target="../media/image11.sv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55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6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7.png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4" Type="http://schemas.openxmlformats.org/officeDocument/2006/relationships/image" Target="../media/image11.sv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6.png"/><Relationship Id="rId3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25.svg"/><Relationship Id="rId2" Type="http://schemas.microsoft.com/office/2007/relationships/hdphoto" Target="../media/hdphoto2.wdp"/><Relationship Id="rId1" Type="http://schemas.openxmlformats.org/officeDocument/2006/relationships/image" Target="../media/image19.png"/><Relationship Id="rId6" Type="http://schemas.openxmlformats.org/officeDocument/2006/relationships/image" Target="../media/image6.svg"/><Relationship Id="rId11" Type="http://schemas.openxmlformats.org/officeDocument/2006/relationships/image" Target="../media/image24.png"/><Relationship Id="rId5" Type="http://schemas.openxmlformats.org/officeDocument/2006/relationships/image" Target="../media/image13.png"/><Relationship Id="rId10" Type="http://schemas.openxmlformats.org/officeDocument/2006/relationships/image" Target="../media/image23.png"/><Relationship Id="rId4" Type="http://schemas.openxmlformats.org/officeDocument/2006/relationships/image" Target="../media/image21.svg"/><Relationship Id="rId9" Type="http://schemas.openxmlformats.org/officeDocument/2006/relationships/image" Target="../media/image11.svg"/><Relationship Id="rId1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6.png"/><Relationship Id="rId3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25.svg"/><Relationship Id="rId2" Type="http://schemas.microsoft.com/office/2007/relationships/hdphoto" Target="../media/hdphoto2.wdp"/><Relationship Id="rId1" Type="http://schemas.openxmlformats.org/officeDocument/2006/relationships/image" Target="../media/image19.png"/><Relationship Id="rId6" Type="http://schemas.openxmlformats.org/officeDocument/2006/relationships/image" Target="../media/image6.svg"/><Relationship Id="rId11" Type="http://schemas.openxmlformats.org/officeDocument/2006/relationships/image" Target="../media/image24.png"/><Relationship Id="rId5" Type="http://schemas.openxmlformats.org/officeDocument/2006/relationships/image" Target="../media/image13.png"/><Relationship Id="rId10" Type="http://schemas.openxmlformats.org/officeDocument/2006/relationships/image" Target="../media/image23.png"/><Relationship Id="rId4" Type="http://schemas.openxmlformats.org/officeDocument/2006/relationships/image" Target="../media/image21.svg"/><Relationship Id="rId9" Type="http://schemas.openxmlformats.org/officeDocument/2006/relationships/image" Target="../media/image11.svg"/><Relationship Id="rId1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24.png"/><Relationship Id="rId3" Type="http://schemas.openxmlformats.org/officeDocument/2006/relationships/image" Target="../media/image20.png"/><Relationship Id="rId7" Type="http://schemas.openxmlformats.org/officeDocument/2006/relationships/image" Target="../media/image13.png"/><Relationship Id="rId12" Type="http://schemas.openxmlformats.org/officeDocument/2006/relationships/image" Target="../media/image23.png"/><Relationship Id="rId2" Type="http://schemas.microsoft.com/office/2007/relationships/hdphoto" Target="../media/hdphoto2.wdp"/><Relationship Id="rId16" Type="http://schemas.openxmlformats.org/officeDocument/2006/relationships/image" Target="../media/image4.svg"/><Relationship Id="rId1" Type="http://schemas.openxmlformats.org/officeDocument/2006/relationships/image" Target="../media/image19.png"/><Relationship Id="rId6" Type="http://schemas.openxmlformats.org/officeDocument/2006/relationships/image" Target="../media/image28.svg"/><Relationship Id="rId11" Type="http://schemas.openxmlformats.org/officeDocument/2006/relationships/image" Target="../media/image11.svg"/><Relationship Id="rId5" Type="http://schemas.openxmlformats.org/officeDocument/2006/relationships/image" Target="../media/image27.png"/><Relationship Id="rId15" Type="http://schemas.openxmlformats.org/officeDocument/2006/relationships/image" Target="../media/image26.png"/><Relationship Id="rId10" Type="http://schemas.openxmlformats.org/officeDocument/2006/relationships/image" Target="../media/image22.png"/><Relationship Id="rId4" Type="http://schemas.openxmlformats.org/officeDocument/2006/relationships/image" Target="../media/image21.svg"/><Relationship Id="rId9" Type="http://schemas.openxmlformats.org/officeDocument/2006/relationships/image" Target="../media/image7.png"/><Relationship Id="rId14" Type="http://schemas.openxmlformats.org/officeDocument/2006/relationships/image" Target="../media/image25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20.png"/><Relationship Id="rId7" Type="http://schemas.openxmlformats.org/officeDocument/2006/relationships/image" Target="../media/image11.svg"/><Relationship Id="rId2" Type="http://schemas.microsoft.com/office/2007/relationships/hdphoto" Target="../media/hdphoto2.wdp"/><Relationship Id="rId1" Type="http://schemas.openxmlformats.org/officeDocument/2006/relationships/image" Target="../media/image19.png"/><Relationship Id="rId6" Type="http://schemas.openxmlformats.org/officeDocument/2006/relationships/image" Target="../media/image22.png"/><Relationship Id="rId5" Type="http://schemas.openxmlformats.org/officeDocument/2006/relationships/image" Target="../media/image7.png"/><Relationship Id="rId10" Type="http://schemas.openxmlformats.org/officeDocument/2006/relationships/image" Target="../media/image6.svg"/><Relationship Id="rId4" Type="http://schemas.openxmlformats.org/officeDocument/2006/relationships/image" Target="../media/image21.svg"/><Relationship Id="rId9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24.png"/><Relationship Id="rId3" Type="http://schemas.openxmlformats.org/officeDocument/2006/relationships/image" Target="../media/image20.png"/><Relationship Id="rId7" Type="http://schemas.openxmlformats.org/officeDocument/2006/relationships/image" Target="../media/image13.png"/><Relationship Id="rId12" Type="http://schemas.openxmlformats.org/officeDocument/2006/relationships/image" Target="../media/image23.png"/><Relationship Id="rId2" Type="http://schemas.microsoft.com/office/2007/relationships/hdphoto" Target="../media/hdphoto2.wdp"/><Relationship Id="rId16" Type="http://schemas.openxmlformats.org/officeDocument/2006/relationships/image" Target="../media/image4.svg"/><Relationship Id="rId1" Type="http://schemas.openxmlformats.org/officeDocument/2006/relationships/image" Target="../media/image19.png"/><Relationship Id="rId6" Type="http://schemas.openxmlformats.org/officeDocument/2006/relationships/image" Target="../media/image28.svg"/><Relationship Id="rId11" Type="http://schemas.openxmlformats.org/officeDocument/2006/relationships/image" Target="../media/image11.svg"/><Relationship Id="rId5" Type="http://schemas.openxmlformats.org/officeDocument/2006/relationships/image" Target="../media/image27.png"/><Relationship Id="rId15" Type="http://schemas.openxmlformats.org/officeDocument/2006/relationships/image" Target="../media/image26.png"/><Relationship Id="rId10" Type="http://schemas.openxmlformats.org/officeDocument/2006/relationships/image" Target="../media/image22.png"/><Relationship Id="rId4" Type="http://schemas.openxmlformats.org/officeDocument/2006/relationships/image" Target="../media/image21.svg"/><Relationship Id="rId9" Type="http://schemas.openxmlformats.org/officeDocument/2006/relationships/image" Target="../media/image7.png"/><Relationship Id="rId14" Type="http://schemas.openxmlformats.org/officeDocument/2006/relationships/image" Target="../media/image2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3" Type="http://schemas.openxmlformats.org/officeDocument/2006/relationships/image" Target="../media/image29.png"/><Relationship Id="rId7" Type="http://schemas.openxmlformats.org/officeDocument/2006/relationships/image" Target="../media/image4.svg"/><Relationship Id="rId12" Type="http://schemas.openxmlformats.org/officeDocument/2006/relationships/image" Target="../media/image11.svg"/><Relationship Id="rId2" Type="http://schemas.microsoft.com/office/2007/relationships/hdphoto" Target="../media/hdphoto1.wdp"/><Relationship Id="rId16" Type="http://schemas.openxmlformats.org/officeDocument/2006/relationships/image" Target="../media/image34.png"/><Relationship Id="rId1" Type="http://schemas.openxmlformats.org/officeDocument/2006/relationships/image" Target="../media/image2.png"/><Relationship Id="rId6" Type="http://schemas.openxmlformats.org/officeDocument/2006/relationships/image" Target="../media/image31.png"/><Relationship Id="rId11" Type="http://schemas.openxmlformats.org/officeDocument/2006/relationships/image" Target="../media/image10.png"/><Relationship Id="rId5" Type="http://schemas.openxmlformats.org/officeDocument/2006/relationships/image" Target="../media/image7.png"/><Relationship Id="rId15" Type="http://schemas.openxmlformats.org/officeDocument/2006/relationships/image" Target="../media/image15.svg"/><Relationship Id="rId10" Type="http://schemas.openxmlformats.org/officeDocument/2006/relationships/image" Target="../media/image32.svg"/><Relationship Id="rId4" Type="http://schemas.openxmlformats.org/officeDocument/2006/relationships/image" Target="../media/image30.svg"/><Relationship Id="rId9" Type="http://schemas.openxmlformats.org/officeDocument/2006/relationships/image" Target="../media/image22.png"/><Relationship Id="rId14" Type="http://schemas.openxmlformats.org/officeDocument/2006/relationships/image" Target="../media/image3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svg"/><Relationship Id="rId13" Type="http://schemas.openxmlformats.org/officeDocument/2006/relationships/image" Target="../media/image37.png"/><Relationship Id="rId18" Type="http://schemas.openxmlformats.org/officeDocument/2006/relationships/image" Target="../media/image23.png"/><Relationship Id="rId3" Type="http://schemas.openxmlformats.org/officeDocument/2006/relationships/image" Target="../media/image35.png"/><Relationship Id="rId21" Type="http://schemas.openxmlformats.org/officeDocument/2006/relationships/image" Target="../media/image40.png"/><Relationship Id="rId7" Type="http://schemas.openxmlformats.org/officeDocument/2006/relationships/image" Target="../media/image27.png"/><Relationship Id="rId12" Type="http://schemas.openxmlformats.org/officeDocument/2006/relationships/image" Target="../media/image6.svg"/><Relationship Id="rId17" Type="http://schemas.openxmlformats.org/officeDocument/2006/relationships/image" Target="../media/image11.svg"/><Relationship Id="rId2" Type="http://schemas.microsoft.com/office/2007/relationships/hdphoto" Target="../media/hdphoto2.wdp"/><Relationship Id="rId16" Type="http://schemas.openxmlformats.org/officeDocument/2006/relationships/image" Target="../media/image22.png"/><Relationship Id="rId20" Type="http://schemas.openxmlformats.org/officeDocument/2006/relationships/image" Target="../media/image15.svg"/><Relationship Id="rId1" Type="http://schemas.openxmlformats.org/officeDocument/2006/relationships/image" Target="../media/image19.png"/><Relationship Id="rId6" Type="http://schemas.openxmlformats.org/officeDocument/2006/relationships/image" Target="../media/image21.svg"/><Relationship Id="rId11" Type="http://schemas.openxmlformats.org/officeDocument/2006/relationships/image" Target="../media/image13.png"/><Relationship Id="rId24" Type="http://schemas.openxmlformats.org/officeDocument/2006/relationships/image" Target="../media/image43.svg"/><Relationship Id="rId5" Type="http://schemas.openxmlformats.org/officeDocument/2006/relationships/image" Target="../media/image20.png"/><Relationship Id="rId15" Type="http://schemas.openxmlformats.org/officeDocument/2006/relationships/image" Target="../media/image7.png"/><Relationship Id="rId23" Type="http://schemas.openxmlformats.org/officeDocument/2006/relationships/image" Target="../media/image42.png"/><Relationship Id="rId10" Type="http://schemas.openxmlformats.org/officeDocument/2006/relationships/image" Target="../media/image4.svg"/><Relationship Id="rId19" Type="http://schemas.openxmlformats.org/officeDocument/2006/relationships/image" Target="../media/image39.png"/><Relationship Id="rId4" Type="http://schemas.openxmlformats.org/officeDocument/2006/relationships/image" Target="../media/image36.svg"/><Relationship Id="rId9" Type="http://schemas.openxmlformats.org/officeDocument/2006/relationships/image" Target="../media/image26.png"/><Relationship Id="rId14" Type="http://schemas.openxmlformats.org/officeDocument/2006/relationships/image" Target="../media/image38.svg"/><Relationship Id="rId22" Type="http://schemas.openxmlformats.org/officeDocument/2006/relationships/image" Target="../media/image4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svg"/><Relationship Id="rId13" Type="http://schemas.openxmlformats.org/officeDocument/2006/relationships/image" Target="../media/image7.png"/><Relationship Id="rId18" Type="http://schemas.openxmlformats.org/officeDocument/2006/relationships/image" Target="../media/image46.png"/><Relationship Id="rId3" Type="http://schemas.openxmlformats.org/officeDocument/2006/relationships/image" Target="../media/image35.png"/><Relationship Id="rId7" Type="http://schemas.openxmlformats.org/officeDocument/2006/relationships/image" Target="../media/image27.png"/><Relationship Id="rId12" Type="http://schemas.openxmlformats.org/officeDocument/2006/relationships/image" Target="../media/image45.svg"/><Relationship Id="rId17" Type="http://schemas.openxmlformats.org/officeDocument/2006/relationships/image" Target="../media/image41.png"/><Relationship Id="rId2" Type="http://schemas.microsoft.com/office/2007/relationships/hdphoto" Target="../media/hdphoto2.wdp"/><Relationship Id="rId16" Type="http://schemas.openxmlformats.org/officeDocument/2006/relationships/image" Target="../media/image23.png"/><Relationship Id="rId20" Type="http://schemas.openxmlformats.org/officeDocument/2006/relationships/image" Target="../media/image42.png"/><Relationship Id="rId1" Type="http://schemas.openxmlformats.org/officeDocument/2006/relationships/image" Target="../media/image19.png"/><Relationship Id="rId6" Type="http://schemas.openxmlformats.org/officeDocument/2006/relationships/image" Target="../media/image21.svg"/><Relationship Id="rId11" Type="http://schemas.openxmlformats.org/officeDocument/2006/relationships/image" Target="../media/image37.png"/><Relationship Id="rId5" Type="http://schemas.openxmlformats.org/officeDocument/2006/relationships/image" Target="../media/image20.png"/><Relationship Id="rId15" Type="http://schemas.openxmlformats.org/officeDocument/2006/relationships/image" Target="../media/image11.svg"/><Relationship Id="rId10" Type="http://schemas.openxmlformats.org/officeDocument/2006/relationships/image" Target="../media/image6.svg"/><Relationship Id="rId19" Type="http://schemas.openxmlformats.org/officeDocument/2006/relationships/image" Target="../media/image47.svg"/><Relationship Id="rId4" Type="http://schemas.openxmlformats.org/officeDocument/2006/relationships/image" Target="../media/image44.sv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126999</xdr:colOff>
      <xdr:row>41</xdr:row>
      <xdr:rowOff>192012</xdr:rowOff>
    </xdr:from>
    <xdr:to>
      <xdr:col>2</xdr:col>
      <xdr:colOff>366657</xdr:colOff>
      <xdr:row>58</xdr:row>
      <xdr:rowOff>157042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99" y="10873619"/>
          <a:ext cx="6036301" cy="3203530"/>
        </a:xfrm>
        <a:prstGeom prst="rect">
          <a:avLst/>
        </a:prstGeom>
      </xdr:spPr>
    </xdr:pic>
    <xdr:clientData/>
  </xdr:twoCellAnchor>
  <xdr:twoCellAnchor editAs="oneCell">
    <xdr:from>
      <xdr:col>0</xdr:col>
      <xdr:colOff>328839</xdr:colOff>
      <xdr:row>0</xdr:row>
      <xdr:rowOff>102054</xdr:rowOff>
    </xdr:from>
    <xdr:to>
      <xdr:col>0</xdr:col>
      <xdr:colOff>1643159</xdr:colOff>
      <xdr:row>2</xdr:row>
      <xdr:rowOff>218760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 amt="96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839" y="102054"/>
          <a:ext cx="1314320" cy="658724"/>
        </a:xfrm>
        <a:prstGeom prst="rect">
          <a:avLst/>
        </a:prstGeom>
      </xdr:spPr>
    </xdr:pic>
    <xdr:clientData/>
  </xdr:twoCellAnchor>
  <xdr:twoCellAnchor editAs="oneCell">
    <xdr:from>
      <xdr:col>3</xdr:col>
      <xdr:colOff>209472</xdr:colOff>
      <xdr:row>12</xdr:row>
      <xdr:rowOff>2960</xdr:rowOff>
    </xdr:from>
    <xdr:to>
      <xdr:col>3</xdr:col>
      <xdr:colOff>429097</xdr:colOff>
      <xdr:row>13</xdr:row>
      <xdr:rowOff>9215</xdr:rowOff>
    </xdr:to>
    <xdr:pic>
      <xdr:nvPicPr>
        <xdr:cNvPr id="4" name="Рисунок 3" descr="Значок &quot;Крестик&quot; контур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203543" y="3118996"/>
          <a:ext cx="219625" cy="210362"/>
        </a:xfrm>
        <a:prstGeom prst="rect">
          <a:avLst/>
        </a:prstGeom>
      </xdr:spPr>
    </xdr:pic>
    <xdr:clientData/>
  </xdr:twoCellAnchor>
  <xdr:twoCellAnchor editAs="oneCell">
    <xdr:from>
      <xdr:col>2</xdr:col>
      <xdr:colOff>206427</xdr:colOff>
      <xdr:row>11</xdr:row>
      <xdr:rowOff>232791</xdr:rowOff>
    </xdr:from>
    <xdr:to>
      <xdr:col>2</xdr:col>
      <xdr:colOff>435600</xdr:colOff>
      <xdr:row>13</xdr:row>
      <xdr:rowOff>8029</xdr:rowOff>
    </xdr:to>
    <xdr:pic>
      <xdr:nvPicPr>
        <xdr:cNvPr id="5" name="Рисунок 4" descr="Значок &quot;Галочка1&quot; контур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6003070" y="3103898"/>
          <a:ext cx="229173" cy="2242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123463</xdr:rowOff>
    </xdr:from>
    <xdr:to>
      <xdr:col>1</xdr:col>
      <xdr:colOff>1119322</xdr:colOff>
      <xdr:row>22</xdr:row>
      <xdr:rowOff>51583</xdr:rowOff>
    </xdr:to>
    <xdr:pic>
      <xdr:nvPicPr>
        <xdr:cNvPr id="6" name="Google Shape;25;p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8">
          <a:alphaModFix/>
        </a:blip>
        <a:stretch>
          <a:fillRect/>
        </a:stretch>
      </xdr:blipFill>
      <xdr:spPr>
        <a:xfrm>
          <a:off x="0" y="2763249"/>
          <a:ext cx="4235358" cy="30713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312501</xdr:colOff>
      <xdr:row>17</xdr:row>
      <xdr:rowOff>181429</xdr:rowOff>
    </xdr:from>
    <xdr:to>
      <xdr:col>0</xdr:col>
      <xdr:colOff>847238</xdr:colOff>
      <xdr:row>20</xdr:row>
      <xdr:rowOff>492</xdr:rowOff>
    </xdr:to>
    <xdr:pic>
      <xdr:nvPicPr>
        <xdr:cNvPr id="7" name="Рисунок 6" descr="Уход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12501" y="4411175"/>
          <a:ext cx="534737" cy="518639"/>
        </a:xfrm>
        <a:prstGeom prst="rect">
          <a:avLst/>
        </a:prstGeom>
        <a:effectLst>
          <a:glow rad="228600">
            <a:srgbClr val="C00149">
              <a:alpha val="25000"/>
            </a:srgbClr>
          </a:glow>
          <a:softEdge rad="0"/>
        </a:effectLst>
      </xdr:spPr>
    </xdr:pic>
    <xdr:clientData/>
  </xdr:twoCellAnchor>
  <xdr:twoCellAnchor editAs="oneCell">
    <xdr:from>
      <xdr:col>2</xdr:col>
      <xdr:colOff>70918</xdr:colOff>
      <xdr:row>39</xdr:row>
      <xdr:rowOff>34019</xdr:rowOff>
    </xdr:from>
    <xdr:to>
      <xdr:col>2</xdr:col>
      <xdr:colOff>300091</xdr:colOff>
      <xdr:row>40</xdr:row>
      <xdr:rowOff>9287</xdr:rowOff>
    </xdr:to>
    <xdr:pic>
      <xdr:nvPicPr>
        <xdr:cNvPr id="8" name="Рисунок 7" descr="Предупреждение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53206" y="12109782"/>
          <a:ext cx="229173" cy="233804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80084</xdr:colOff>
      <xdr:row>40</xdr:row>
      <xdr:rowOff>61016</xdr:rowOff>
    </xdr:from>
    <xdr:to>
      <xdr:col>2</xdr:col>
      <xdr:colOff>309257</xdr:colOff>
      <xdr:row>40</xdr:row>
      <xdr:rowOff>292231</xdr:rowOff>
    </xdr:to>
    <xdr:pic>
      <xdr:nvPicPr>
        <xdr:cNvPr id="9" name="Рисунок 8" descr="Предупреждение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62372" y="12459660"/>
          <a:ext cx="229173" cy="231215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oneCellAnchor>
    <xdr:from>
      <xdr:col>0</xdr:col>
      <xdr:colOff>161055</xdr:colOff>
      <xdr:row>36</xdr:row>
      <xdr:rowOff>466901</xdr:rowOff>
    </xdr:from>
    <xdr:ext cx="874150" cy="160178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61055" y="11401816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3</a:t>
          </a:r>
        </a:p>
      </xdr:txBody>
    </xdr:sp>
    <xdr:clientData/>
  </xdr:oneCellAnchor>
  <xdr:oneCellAnchor>
    <xdr:from>
      <xdr:col>0</xdr:col>
      <xdr:colOff>150151</xdr:colOff>
      <xdr:row>20</xdr:row>
      <xdr:rowOff>399314</xdr:rowOff>
    </xdr:from>
    <xdr:ext cx="874150" cy="160178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50151" y="6491009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2</a:t>
          </a:r>
        </a:p>
      </xdr:txBody>
    </xdr:sp>
    <xdr:clientData/>
  </xdr:oneCellAnchor>
  <xdr:oneCellAnchor>
    <xdr:from>
      <xdr:col>0</xdr:col>
      <xdr:colOff>202747</xdr:colOff>
      <xdr:row>5</xdr:row>
      <xdr:rowOff>293462</xdr:rowOff>
    </xdr:from>
    <xdr:ext cx="874150" cy="160178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202747" y="1495426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1</a:t>
          </a:r>
        </a:p>
      </xdr:txBody>
    </xdr:sp>
    <xdr:clientData/>
  </xdr:oneCellAnchor>
  <xdr:oneCellAnchor>
    <xdr:from>
      <xdr:col>3</xdr:col>
      <xdr:colOff>209472</xdr:colOff>
      <xdr:row>17</xdr:row>
      <xdr:rowOff>226362</xdr:rowOff>
    </xdr:from>
    <xdr:ext cx="219625" cy="223738"/>
    <xdr:pic>
      <xdr:nvPicPr>
        <xdr:cNvPr id="16" name="Рисунок 15" descr="Значок &quot;Крестик&quot; контур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203543" y="4471791"/>
          <a:ext cx="219625" cy="223738"/>
        </a:xfrm>
        <a:prstGeom prst="rect">
          <a:avLst/>
        </a:prstGeom>
      </xdr:spPr>
    </xdr:pic>
    <xdr:clientData/>
  </xdr:oneCellAnchor>
  <xdr:oneCellAnchor>
    <xdr:from>
      <xdr:col>2</xdr:col>
      <xdr:colOff>260856</xdr:colOff>
      <xdr:row>17</xdr:row>
      <xdr:rowOff>224872</xdr:rowOff>
    </xdr:from>
    <xdr:ext cx="229173" cy="237650"/>
    <xdr:pic>
      <xdr:nvPicPr>
        <xdr:cNvPr id="17" name="Рисунок 16" descr="Значок &quot;Галочка1&quot; контур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6057499" y="4470301"/>
          <a:ext cx="229173" cy="237650"/>
        </a:xfrm>
        <a:prstGeom prst="rect">
          <a:avLst/>
        </a:prstGeom>
      </xdr:spPr>
    </xdr:pic>
    <xdr:clientData/>
  </xdr:oneCellAnchor>
  <xdr:twoCellAnchor editAs="oneCell">
    <xdr:from>
      <xdr:col>0</xdr:col>
      <xdr:colOff>1162372</xdr:colOff>
      <xdr:row>20</xdr:row>
      <xdr:rowOff>0</xdr:rowOff>
    </xdr:from>
    <xdr:to>
      <xdr:col>0</xdr:col>
      <xdr:colOff>1818898</xdr:colOff>
      <xdr:row>21</xdr:row>
      <xdr:rowOff>68037</xdr:rowOff>
    </xdr:to>
    <xdr:pic>
      <xdr:nvPicPr>
        <xdr:cNvPr id="20" name="Рисунок 19" descr="Волшебная палочка (авто) контур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62372" y="4940087"/>
          <a:ext cx="656526" cy="656526"/>
        </a:xfrm>
        <a:prstGeom prst="rect">
          <a:avLst/>
        </a:prstGeom>
        <a:effectLst>
          <a:glow rad="228600">
            <a:srgbClr val="C00149">
              <a:alpha val="25000"/>
            </a:srgbClr>
          </a:glow>
          <a:softEdge rad="0"/>
        </a:effectLst>
      </xdr:spPr>
    </xdr:pic>
    <xdr:clientData/>
  </xdr:twoCellAnchor>
  <xdr:twoCellAnchor editAs="oneCell">
    <xdr:from>
      <xdr:col>0</xdr:col>
      <xdr:colOff>269068</xdr:colOff>
      <xdr:row>13</xdr:row>
      <xdr:rowOff>75339</xdr:rowOff>
    </xdr:from>
    <xdr:to>
      <xdr:col>0</xdr:col>
      <xdr:colOff>957882</xdr:colOff>
      <xdr:row>16</xdr:row>
      <xdr:rowOff>86102</xdr:rowOff>
    </xdr:to>
    <xdr:pic>
      <xdr:nvPicPr>
        <xdr:cNvPr id="21" name="Рисунок 20" descr="Шляпа фокусника контур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69068" y="3401017"/>
          <a:ext cx="688814" cy="688814"/>
        </a:xfrm>
        <a:prstGeom prst="rect">
          <a:avLst/>
        </a:prstGeom>
        <a:effectLst>
          <a:glow rad="228600">
            <a:srgbClr val="C00149">
              <a:alpha val="25000"/>
            </a:srgbClr>
          </a:glow>
          <a:softEdge rad="0"/>
        </a:effectLst>
      </xdr:spPr>
    </xdr:pic>
    <xdr:clientData/>
  </xdr:twoCellAnchor>
  <xdr:twoCellAnchor editAs="oneCell">
    <xdr:from>
      <xdr:col>3</xdr:col>
      <xdr:colOff>1282483</xdr:colOff>
      <xdr:row>19</xdr:row>
      <xdr:rowOff>227742</xdr:rowOff>
    </xdr:from>
    <xdr:to>
      <xdr:col>4</xdr:col>
      <xdr:colOff>537758</xdr:colOff>
      <xdr:row>21</xdr:row>
      <xdr:rowOff>72375</xdr:rowOff>
    </xdr:to>
    <xdr:pic>
      <xdr:nvPicPr>
        <xdr:cNvPr id="18" name="Рисунок 17" descr="Волшебная палочка (авто) контур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 rot="15899709">
          <a:off x="9257652" y="4920284"/>
          <a:ext cx="656526" cy="656526"/>
        </a:xfrm>
        <a:prstGeom prst="rect">
          <a:avLst/>
        </a:prstGeom>
        <a:effectLst>
          <a:glow rad="228600">
            <a:srgbClr val="C00149">
              <a:alpha val="25000"/>
            </a:srgbClr>
          </a:glow>
          <a:softEdge rad="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128165</xdr:rowOff>
    </xdr:from>
    <xdr:to>
      <xdr:col>5</xdr:col>
      <xdr:colOff>209726</xdr:colOff>
      <xdr:row>50</xdr:row>
      <xdr:rowOff>233027</xdr:rowOff>
    </xdr:to>
    <xdr:pic>
      <xdr:nvPicPr>
        <xdr:cNvPr id="26" name="Google Shape;25;p2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0" y="8237523"/>
          <a:ext cx="10614405" cy="764330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89038</xdr:colOff>
      <xdr:row>5</xdr:row>
      <xdr:rowOff>375392</xdr:rowOff>
    </xdr:from>
    <xdr:ext cx="1010598" cy="19004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89038" y="1295851"/>
          <a:ext cx="1010598" cy="1900457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500" b="1">
              <a:solidFill>
                <a:srgbClr val="DAE3FF"/>
              </a:solidFill>
              <a:latin typeface="Century Gothic" panose="020B0502020202020204" pitchFamily="34" charset="0"/>
            </a:rPr>
            <a:t>1</a:t>
          </a:r>
        </a:p>
      </xdr:txBody>
    </xdr:sp>
    <xdr:clientData/>
  </xdr:oneCellAnchor>
  <xdr:twoCellAnchor editAs="oneCell">
    <xdr:from>
      <xdr:col>0</xdr:col>
      <xdr:colOff>362857</xdr:colOff>
      <xdr:row>0</xdr:row>
      <xdr:rowOff>114587</xdr:rowOff>
    </xdr:from>
    <xdr:to>
      <xdr:col>0</xdr:col>
      <xdr:colOff>1677177</xdr:colOff>
      <xdr:row>2</xdr:row>
      <xdr:rowOff>164828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 amt="96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857" y="114587"/>
          <a:ext cx="1314320" cy="650316"/>
        </a:xfrm>
        <a:prstGeom prst="rect">
          <a:avLst/>
        </a:prstGeom>
      </xdr:spPr>
    </xdr:pic>
    <xdr:clientData/>
  </xdr:twoCellAnchor>
  <xdr:twoCellAnchor editAs="oneCell">
    <xdr:from>
      <xdr:col>0</xdr:col>
      <xdr:colOff>307491</xdr:colOff>
      <xdr:row>15</xdr:row>
      <xdr:rowOff>96454</xdr:rowOff>
    </xdr:from>
    <xdr:to>
      <xdr:col>0</xdr:col>
      <xdr:colOff>873853</xdr:colOff>
      <xdr:row>17</xdr:row>
      <xdr:rowOff>168730</xdr:rowOff>
    </xdr:to>
    <xdr:pic>
      <xdr:nvPicPr>
        <xdr:cNvPr id="4" name="Рисунок 3" descr="Корона контур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07491" y="3650124"/>
          <a:ext cx="566362" cy="573285"/>
        </a:xfrm>
        <a:prstGeom prst="rect">
          <a:avLst/>
        </a:prstGeom>
        <a:effectLst>
          <a:glow>
            <a:srgbClr val="7C84EA">
              <a:alpha val="40000"/>
            </a:srgbClr>
          </a:glow>
        </a:effectLst>
      </xdr:spPr>
    </xdr:pic>
    <xdr:clientData/>
  </xdr:twoCellAnchor>
  <xdr:twoCellAnchor editAs="oneCell">
    <xdr:from>
      <xdr:col>0</xdr:col>
      <xdr:colOff>293995</xdr:colOff>
      <xdr:row>12</xdr:row>
      <xdr:rowOff>192293</xdr:rowOff>
    </xdr:from>
    <xdr:to>
      <xdr:col>0</xdr:col>
      <xdr:colOff>828732</xdr:colOff>
      <xdr:row>14</xdr:row>
      <xdr:rowOff>253808</xdr:rowOff>
    </xdr:to>
    <xdr:pic>
      <xdr:nvPicPr>
        <xdr:cNvPr id="5" name="Рисунок 4" descr="Уход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93995" y="3116788"/>
          <a:ext cx="534737" cy="539222"/>
        </a:xfrm>
        <a:prstGeom prst="rect">
          <a:avLst/>
        </a:prstGeom>
        <a:effectLst>
          <a:glow>
            <a:srgbClr val="1024A0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38487</xdr:colOff>
      <xdr:row>15</xdr:row>
      <xdr:rowOff>238868</xdr:rowOff>
    </xdr:from>
    <xdr:to>
      <xdr:col>2</xdr:col>
      <xdr:colOff>267660</xdr:colOff>
      <xdr:row>16</xdr:row>
      <xdr:rowOff>232558</xdr:rowOff>
    </xdr:to>
    <xdr:pic>
      <xdr:nvPicPr>
        <xdr:cNvPr id="6" name="Рисунок 5" descr="Предупреждение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020062" y="3705968"/>
          <a:ext cx="229173" cy="231815"/>
        </a:xfrm>
        <a:prstGeom prst="rect">
          <a:avLst/>
        </a:prstGeom>
        <a:effectLst>
          <a:glow>
            <a:srgbClr val="F5CF83">
              <a:alpha val="40000"/>
            </a:srgbClr>
          </a:glow>
        </a:effectLst>
      </xdr:spPr>
    </xdr:pic>
    <xdr:clientData/>
  </xdr:twoCellAnchor>
  <xdr:twoCellAnchor editAs="oneCell">
    <xdr:from>
      <xdr:col>3</xdr:col>
      <xdr:colOff>265809</xdr:colOff>
      <xdr:row>15</xdr:row>
      <xdr:rowOff>9548</xdr:rowOff>
    </xdr:from>
    <xdr:to>
      <xdr:col>3</xdr:col>
      <xdr:colOff>485434</xdr:colOff>
      <xdr:row>15</xdr:row>
      <xdr:rowOff>224445</xdr:rowOff>
    </xdr:to>
    <xdr:pic>
      <xdr:nvPicPr>
        <xdr:cNvPr id="7" name="Рисунок 6" descr="Значок &quot;Крестик&quot; контур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533259" y="3476648"/>
          <a:ext cx="219625" cy="214897"/>
        </a:xfrm>
        <a:prstGeom prst="rect">
          <a:avLst/>
        </a:prstGeom>
      </xdr:spPr>
    </xdr:pic>
    <xdr:clientData/>
  </xdr:twoCellAnchor>
  <xdr:twoCellAnchor editAs="oneCell">
    <xdr:from>
      <xdr:col>2</xdr:col>
      <xdr:colOff>297072</xdr:colOff>
      <xdr:row>15</xdr:row>
      <xdr:rowOff>9549</xdr:rowOff>
    </xdr:from>
    <xdr:to>
      <xdr:col>2</xdr:col>
      <xdr:colOff>526245</xdr:colOff>
      <xdr:row>16</xdr:row>
      <xdr:rowOff>1158</xdr:rowOff>
    </xdr:to>
    <xdr:pic>
      <xdr:nvPicPr>
        <xdr:cNvPr id="8" name="Рисунок 7" descr="Значок &quot;Галочка1&quot; контур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5278647" y="3476649"/>
          <a:ext cx="229173" cy="229734"/>
        </a:xfrm>
        <a:prstGeom prst="rect">
          <a:avLst/>
        </a:prstGeom>
      </xdr:spPr>
    </xdr:pic>
    <xdr:clientData/>
  </xdr:twoCellAnchor>
  <xdr:twoCellAnchor editAs="oneCell">
    <xdr:from>
      <xdr:col>0</xdr:col>
      <xdr:colOff>738175</xdr:colOff>
      <xdr:row>33</xdr:row>
      <xdr:rowOff>17672</xdr:rowOff>
    </xdr:from>
    <xdr:to>
      <xdr:col>0</xdr:col>
      <xdr:colOff>1282461</xdr:colOff>
      <xdr:row>33</xdr:row>
      <xdr:rowOff>582075</xdr:rowOff>
    </xdr:to>
    <xdr:pic>
      <xdr:nvPicPr>
        <xdr:cNvPr id="9" name="Рисунок 8" descr="Деньги контур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738175" y="9070791"/>
          <a:ext cx="544286" cy="564403"/>
        </a:xfrm>
        <a:prstGeom prst="rect">
          <a:avLst/>
        </a:prstGeom>
        <a:effectLst>
          <a:glow>
            <a:schemeClr val="bg1">
              <a:alpha val="40000"/>
            </a:schemeClr>
          </a:glow>
        </a:effectLst>
      </xdr:spPr>
    </xdr:pic>
    <xdr:clientData/>
  </xdr:twoCellAnchor>
  <xdr:oneCellAnchor>
    <xdr:from>
      <xdr:col>0</xdr:col>
      <xdr:colOff>19390</xdr:colOff>
      <xdr:row>23</xdr:row>
      <xdr:rowOff>116337</xdr:rowOff>
    </xdr:from>
    <xdr:ext cx="874150" cy="160178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/>
      </xdr:nvSpPr>
      <xdr:spPr>
        <a:xfrm>
          <a:off x="19390" y="6031362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2</a:t>
          </a:r>
        </a:p>
      </xdr:txBody>
    </xdr:sp>
    <xdr:clientData/>
  </xdr:oneCellAnchor>
  <xdr:twoCellAnchor editAs="oneCell">
    <xdr:from>
      <xdr:col>0</xdr:col>
      <xdr:colOff>0</xdr:colOff>
      <xdr:row>10</xdr:row>
      <xdr:rowOff>36764</xdr:rowOff>
    </xdr:from>
    <xdr:to>
      <xdr:col>1</xdr:col>
      <xdr:colOff>552298</xdr:colOff>
      <xdr:row>18</xdr:row>
      <xdr:rowOff>337890</xdr:rowOff>
    </xdr:to>
    <xdr:pic>
      <xdr:nvPicPr>
        <xdr:cNvPr id="11" name="Google Shape;25;p2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0" y="2495204"/>
          <a:ext cx="3453491" cy="2258558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38570</xdr:colOff>
      <xdr:row>34</xdr:row>
      <xdr:rowOff>119516</xdr:rowOff>
    </xdr:from>
    <xdr:ext cx="874150" cy="160178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38570" y="9836764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3</a:t>
          </a:r>
        </a:p>
      </xdr:txBody>
    </xdr:sp>
    <xdr:clientData/>
  </xdr:oneCellAnchor>
  <xdr:twoCellAnchor editAs="oneCell">
    <xdr:from>
      <xdr:col>2</xdr:col>
      <xdr:colOff>105038</xdr:colOff>
      <xdr:row>52</xdr:row>
      <xdr:rowOff>34501</xdr:rowOff>
    </xdr:from>
    <xdr:to>
      <xdr:col>2</xdr:col>
      <xdr:colOff>334211</xdr:colOff>
      <xdr:row>52</xdr:row>
      <xdr:rowOff>271810</xdr:rowOff>
    </xdr:to>
    <xdr:pic>
      <xdr:nvPicPr>
        <xdr:cNvPr id="13" name="Рисунок 12" descr="Предупреждение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5086613" y="15188776"/>
          <a:ext cx="229173" cy="237309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114204</xdr:colOff>
      <xdr:row>53</xdr:row>
      <xdr:rowOff>47361</xdr:rowOff>
    </xdr:from>
    <xdr:to>
      <xdr:col>2</xdr:col>
      <xdr:colOff>343377</xdr:colOff>
      <xdr:row>53</xdr:row>
      <xdr:rowOff>276534</xdr:rowOff>
    </xdr:to>
    <xdr:pic>
      <xdr:nvPicPr>
        <xdr:cNvPr id="14" name="Рисунок 13" descr="Предупреждение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5095779" y="15506436"/>
          <a:ext cx="229173" cy="229173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twoCellAnchor>
    <xdr:from>
      <xdr:col>2</xdr:col>
      <xdr:colOff>1254523</xdr:colOff>
      <xdr:row>29</xdr:row>
      <xdr:rowOff>60124</xdr:rowOff>
    </xdr:from>
    <xdr:to>
      <xdr:col>3</xdr:col>
      <xdr:colOff>130353</xdr:colOff>
      <xdr:row>29</xdr:row>
      <xdr:rowOff>200701</xdr:rowOff>
    </xdr:to>
    <xdr:sp macro="" textlink="">
      <xdr:nvSpPr>
        <xdr:cNvPr id="15" name="Стрелка вправо 15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/>
      </xdr:nvSpPr>
      <xdr:spPr>
        <a:xfrm rot="10800000">
          <a:off x="6952046" y="7750032"/>
          <a:ext cx="285646" cy="140577"/>
        </a:xfrm>
        <a:prstGeom prst="rightArrow">
          <a:avLst/>
        </a:prstGeom>
        <a:solidFill>
          <a:srgbClr val="919BDD"/>
        </a:solidFill>
        <a:ln>
          <a:noFill/>
        </a:ln>
        <a:effectLst>
          <a:glow rad="241300">
            <a:schemeClr val="accent1">
              <a:alpha val="11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ru-RU"/>
        </a:p>
      </xdr:txBody>
    </xdr:sp>
    <xdr:clientData/>
  </xdr:twoCellAnchor>
  <xdr:twoCellAnchor>
    <xdr:from>
      <xdr:col>2</xdr:col>
      <xdr:colOff>1238201</xdr:colOff>
      <xdr:row>31</xdr:row>
      <xdr:rowOff>69265</xdr:rowOff>
    </xdr:from>
    <xdr:to>
      <xdr:col>3</xdr:col>
      <xdr:colOff>114031</xdr:colOff>
      <xdr:row>31</xdr:row>
      <xdr:rowOff>197142</xdr:rowOff>
    </xdr:to>
    <xdr:sp macro="" textlink="">
      <xdr:nvSpPr>
        <xdr:cNvPr id="16" name="Стрелка вправо 16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/>
      </xdr:nvSpPr>
      <xdr:spPr>
        <a:xfrm rot="10800000">
          <a:off x="6935724" y="8178623"/>
          <a:ext cx="285646" cy="127877"/>
        </a:xfrm>
        <a:prstGeom prst="rightArrow">
          <a:avLst/>
        </a:prstGeom>
        <a:solidFill>
          <a:srgbClr val="919BDD"/>
        </a:solidFill>
        <a:ln>
          <a:noFill/>
        </a:ln>
        <a:effectLst>
          <a:glow rad="241300">
            <a:schemeClr val="accent1">
              <a:alpha val="11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ru-RU"/>
        </a:p>
      </xdr:txBody>
    </xdr:sp>
    <xdr:clientData/>
  </xdr:twoCellAnchor>
  <xdr:twoCellAnchor editAs="oneCell">
    <xdr:from>
      <xdr:col>0</xdr:col>
      <xdr:colOff>2624661</xdr:colOff>
      <xdr:row>17</xdr:row>
      <xdr:rowOff>245153</xdr:rowOff>
    </xdr:from>
    <xdr:to>
      <xdr:col>1</xdr:col>
      <xdr:colOff>388924</xdr:colOff>
      <xdr:row>19</xdr:row>
      <xdr:rowOff>195565</xdr:rowOff>
    </xdr:to>
    <xdr:pic>
      <xdr:nvPicPr>
        <xdr:cNvPr id="17" name="Рисунок 16" descr="Волшебная палочка (авто) контур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624661" y="4404694"/>
          <a:ext cx="665456" cy="661146"/>
        </a:xfrm>
        <a:prstGeom prst="rect">
          <a:avLst/>
        </a:prstGeom>
        <a:effectLst>
          <a:glow>
            <a:srgbClr val="C00149">
              <a:alpha val="25000"/>
            </a:srgbClr>
          </a:glow>
          <a:softEdge rad="0"/>
        </a:effectLst>
      </xdr:spPr>
    </xdr:pic>
    <xdr:clientData/>
  </xdr:twoCellAnchor>
  <xdr:twoCellAnchor editAs="oneCell">
    <xdr:from>
      <xdr:col>3</xdr:col>
      <xdr:colOff>44801</xdr:colOff>
      <xdr:row>17</xdr:row>
      <xdr:rowOff>228255</xdr:rowOff>
    </xdr:from>
    <xdr:to>
      <xdr:col>3</xdr:col>
      <xdr:colOff>747990</xdr:colOff>
      <xdr:row>19</xdr:row>
      <xdr:rowOff>185145</xdr:rowOff>
    </xdr:to>
    <xdr:pic>
      <xdr:nvPicPr>
        <xdr:cNvPr id="18" name="Рисунок 17" descr="Волшебная палочка (авто) контур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 rot="15899709">
          <a:off x="7169923" y="4370013"/>
          <a:ext cx="667624" cy="703189"/>
        </a:xfrm>
        <a:prstGeom prst="rect">
          <a:avLst/>
        </a:prstGeom>
        <a:effectLst>
          <a:glow>
            <a:srgbClr val="C00149">
              <a:alpha val="25000"/>
            </a:srgbClr>
          </a:glow>
          <a:softEdge rad="0"/>
        </a:effectLst>
      </xdr:spPr>
    </xdr:pic>
    <xdr:clientData/>
  </xdr:twoCellAnchor>
  <xdr:oneCellAnchor>
    <xdr:from>
      <xdr:col>2</xdr:col>
      <xdr:colOff>334933</xdr:colOff>
      <xdr:row>35</xdr:row>
      <xdr:rowOff>74828</xdr:rowOff>
    </xdr:from>
    <xdr:ext cx="229173" cy="232630"/>
    <xdr:pic>
      <xdr:nvPicPr>
        <xdr:cNvPr id="19" name="Рисунок 18" descr="Значок &quot;Галочка1&quot; контур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6032456" y="10246479"/>
          <a:ext cx="229173" cy="232630"/>
        </a:xfrm>
        <a:prstGeom prst="rect">
          <a:avLst/>
        </a:prstGeom>
      </xdr:spPr>
    </xdr:pic>
    <xdr:clientData/>
  </xdr:oneCellAnchor>
  <xdr:twoCellAnchor editAs="oneCell">
    <xdr:from>
      <xdr:col>0</xdr:col>
      <xdr:colOff>506049</xdr:colOff>
      <xdr:row>46</xdr:row>
      <xdr:rowOff>86512</xdr:rowOff>
    </xdr:from>
    <xdr:to>
      <xdr:col>0</xdr:col>
      <xdr:colOff>1026841</xdr:colOff>
      <xdr:row>46</xdr:row>
      <xdr:rowOff>606492</xdr:rowOff>
    </xdr:to>
    <xdr:pic>
      <xdr:nvPicPr>
        <xdr:cNvPr id="20" name="Рисунок 19" descr="Хозяйственная сумка контур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506049" y="12335662"/>
          <a:ext cx="520792" cy="519980"/>
        </a:xfrm>
        <a:prstGeom prst="rect">
          <a:avLst/>
        </a:prstGeom>
        <a:effectLst>
          <a:glow>
            <a:schemeClr val="accent1">
              <a:alpha val="40000"/>
            </a:schemeClr>
          </a:glow>
        </a:effectLst>
      </xdr:spPr>
    </xdr:pic>
    <xdr:clientData/>
  </xdr:twoCellAnchor>
  <xdr:oneCellAnchor>
    <xdr:from>
      <xdr:col>2</xdr:col>
      <xdr:colOff>1114574</xdr:colOff>
      <xdr:row>16</xdr:row>
      <xdr:rowOff>5840</xdr:rowOff>
    </xdr:from>
    <xdr:ext cx="229173" cy="238618"/>
    <xdr:pic>
      <xdr:nvPicPr>
        <xdr:cNvPr id="21" name="Рисунок 20" descr="Предупреждение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812097" y="3757583"/>
          <a:ext cx="229173" cy="238618"/>
        </a:xfrm>
        <a:prstGeom prst="rect">
          <a:avLst/>
        </a:prstGeom>
        <a:effectLst>
          <a:glow>
            <a:srgbClr val="F5CF83">
              <a:alpha val="40000"/>
            </a:srgbClr>
          </a:glow>
        </a:effectLst>
      </xdr:spPr>
    </xdr:pic>
    <xdr:clientData/>
  </xdr:oneCellAnchor>
  <xdr:oneCellAnchor>
    <xdr:from>
      <xdr:col>3</xdr:col>
      <xdr:colOff>293023</xdr:colOff>
      <xdr:row>20</xdr:row>
      <xdr:rowOff>132012</xdr:rowOff>
    </xdr:from>
    <xdr:ext cx="219625" cy="214897"/>
    <xdr:pic>
      <xdr:nvPicPr>
        <xdr:cNvPr id="22" name="Рисунок 21" descr="Значок &quot;Крестик&quot; контур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560473" y="4894512"/>
          <a:ext cx="219625" cy="214897"/>
        </a:xfrm>
        <a:prstGeom prst="rect">
          <a:avLst/>
        </a:prstGeom>
      </xdr:spPr>
    </xdr:pic>
    <xdr:clientData/>
  </xdr:oneCellAnchor>
  <xdr:oneCellAnchor>
    <xdr:from>
      <xdr:col>2</xdr:col>
      <xdr:colOff>310679</xdr:colOff>
      <xdr:row>20</xdr:row>
      <xdr:rowOff>104799</xdr:rowOff>
    </xdr:from>
    <xdr:ext cx="229173" cy="236537"/>
    <xdr:pic>
      <xdr:nvPicPr>
        <xdr:cNvPr id="23" name="Рисунок 22" descr="Значок &quot;Галочка1&quot; контур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5292254" y="4867299"/>
          <a:ext cx="229173" cy="236537"/>
        </a:xfrm>
        <a:prstGeom prst="rect">
          <a:avLst/>
        </a:prstGeom>
      </xdr:spPr>
    </xdr:pic>
    <xdr:clientData/>
  </xdr:oneCellAnchor>
  <xdr:oneCellAnchor>
    <xdr:from>
      <xdr:col>0</xdr:col>
      <xdr:colOff>519659</xdr:colOff>
      <xdr:row>41</xdr:row>
      <xdr:rowOff>14141</xdr:rowOff>
    </xdr:from>
    <xdr:ext cx="520792" cy="519980"/>
    <xdr:pic>
      <xdr:nvPicPr>
        <xdr:cNvPr id="24" name="Рисунок 23" descr="Хозяйственная сумка контур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519659" y="11082948"/>
          <a:ext cx="520792" cy="519980"/>
        </a:xfrm>
        <a:prstGeom prst="rect">
          <a:avLst/>
        </a:prstGeom>
        <a:effectLst>
          <a:glow>
            <a:schemeClr val="accent1">
              <a:alpha val="40000"/>
            </a:schemeClr>
          </a:glow>
        </a:effectLst>
      </xdr:spPr>
    </xdr:pic>
    <xdr:clientData/>
  </xdr:oneCellAnchor>
  <xdr:twoCellAnchor editAs="oneCell">
    <xdr:from>
      <xdr:col>1</xdr:col>
      <xdr:colOff>1473143</xdr:colOff>
      <xdr:row>33</xdr:row>
      <xdr:rowOff>18604</xdr:rowOff>
    </xdr:from>
    <xdr:to>
      <xdr:col>1</xdr:col>
      <xdr:colOff>2017429</xdr:colOff>
      <xdr:row>33</xdr:row>
      <xdr:rowOff>583007</xdr:rowOff>
    </xdr:to>
    <xdr:pic>
      <xdr:nvPicPr>
        <xdr:cNvPr id="25" name="Рисунок 24" descr="Деньги контур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374336" y="9071723"/>
          <a:ext cx="544286" cy="564403"/>
        </a:xfrm>
        <a:prstGeom prst="rect">
          <a:avLst/>
        </a:prstGeom>
        <a:effectLst>
          <a:glow>
            <a:schemeClr val="accent1">
              <a:alpha val="40000"/>
            </a:schemeClr>
          </a:glow>
        </a:effectLst>
      </xdr:spPr>
    </xdr:pic>
    <xdr:clientData/>
  </xdr:twoCellAnchor>
  <xdr:oneCellAnchor>
    <xdr:from>
      <xdr:col>0</xdr:col>
      <xdr:colOff>51154</xdr:colOff>
      <xdr:row>49</xdr:row>
      <xdr:rowOff>469990</xdr:rowOff>
    </xdr:from>
    <xdr:ext cx="874150" cy="1601785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51154" y="15418706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4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123992</xdr:colOff>
      <xdr:row>6</xdr:row>
      <xdr:rowOff>72457</xdr:rowOff>
    </xdr:from>
    <xdr:ext cx="874150" cy="160178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123992" y="1320232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1</a:t>
          </a:r>
        </a:p>
      </xdr:txBody>
    </xdr:sp>
    <xdr:clientData/>
  </xdr:oneCellAnchor>
  <xdr:twoCellAnchor editAs="oneCell">
    <xdr:from>
      <xdr:col>0</xdr:col>
      <xdr:colOff>36285</xdr:colOff>
      <xdr:row>0</xdr:row>
      <xdr:rowOff>46551</xdr:rowOff>
    </xdr:from>
    <xdr:to>
      <xdr:col>0</xdr:col>
      <xdr:colOff>1350605</xdr:colOff>
      <xdr:row>2</xdr:row>
      <xdr:rowOff>96792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96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85" y="46551"/>
          <a:ext cx="1314320" cy="650316"/>
        </a:xfrm>
        <a:prstGeom prst="rect">
          <a:avLst/>
        </a:prstGeom>
      </xdr:spPr>
    </xdr:pic>
    <xdr:clientData/>
  </xdr:twoCellAnchor>
  <xdr:twoCellAnchor editAs="oneCell">
    <xdr:from>
      <xdr:col>0</xdr:col>
      <xdr:colOff>190977</xdr:colOff>
      <xdr:row>15</xdr:row>
      <xdr:rowOff>38198</xdr:rowOff>
    </xdr:from>
    <xdr:to>
      <xdr:col>0</xdr:col>
      <xdr:colOff>821202</xdr:colOff>
      <xdr:row>17</xdr:row>
      <xdr:rowOff>175118</xdr:rowOff>
    </xdr:to>
    <xdr:pic>
      <xdr:nvPicPr>
        <xdr:cNvPr id="4" name="Рисунок 3" descr="Корона контур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0977" y="3505298"/>
          <a:ext cx="630225" cy="622695"/>
        </a:xfrm>
        <a:prstGeom prst="rect">
          <a:avLst/>
        </a:prstGeom>
        <a:effectLst>
          <a:glow rad="355600">
            <a:srgbClr val="7C84EA">
              <a:alpha val="40000"/>
            </a:srgbClr>
          </a:glow>
        </a:effectLst>
      </xdr:spPr>
    </xdr:pic>
    <xdr:clientData/>
  </xdr:twoCellAnchor>
  <xdr:twoCellAnchor editAs="oneCell">
    <xdr:from>
      <xdr:col>0</xdr:col>
      <xdr:colOff>247390</xdr:colOff>
      <xdr:row>12</xdr:row>
      <xdr:rowOff>239945</xdr:rowOff>
    </xdr:from>
    <xdr:to>
      <xdr:col>0</xdr:col>
      <xdr:colOff>782127</xdr:colOff>
      <xdr:row>15</xdr:row>
      <xdr:rowOff>32431</xdr:rowOff>
    </xdr:to>
    <xdr:pic>
      <xdr:nvPicPr>
        <xdr:cNvPr id="5" name="Рисунок 4" descr="Уход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7390" y="2964095"/>
          <a:ext cx="534737" cy="535436"/>
        </a:xfrm>
        <a:prstGeom prst="rect">
          <a:avLst/>
        </a:prstGeom>
        <a:effectLst>
          <a:glow rad="355600">
            <a:srgbClr val="F2E4EE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38487</xdr:colOff>
      <xdr:row>15</xdr:row>
      <xdr:rowOff>238868</xdr:rowOff>
    </xdr:from>
    <xdr:to>
      <xdr:col>2</xdr:col>
      <xdr:colOff>267660</xdr:colOff>
      <xdr:row>16</xdr:row>
      <xdr:rowOff>232558</xdr:rowOff>
    </xdr:to>
    <xdr:pic>
      <xdr:nvPicPr>
        <xdr:cNvPr id="6" name="Рисунок 5" descr="Предупреждение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020062" y="3705968"/>
          <a:ext cx="229173" cy="231815"/>
        </a:xfrm>
        <a:prstGeom prst="rect">
          <a:avLst/>
        </a:prstGeom>
        <a:effectLst>
          <a:glow rad="203200">
            <a:srgbClr val="F5CF83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297072</xdr:colOff>
      <xdr:row>15</xdr:row>
      <xdr:rowOff>9549</xdr:rowOff>
    </xdr:from>
    <xdr:to>
      <xdr:col>2</xdr:col>
      <xdr:colOff>526245</xdr:colOff>
      <xdr:row>16</xdr:row>
      <xdr:rowOff>1158</xdr:rowOff>
    </xdr:to>
    <xdr:pic>
      <xdr:nvPicPr>
        <xdr:cNvPr id="7" name="Рисунок 6" descr="Значок &quot;Галочка1&quot; контур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278647" y="3476649"/>
          <a:ext cx="229173" cy="229734"/>
        </a:xfrm>
        <a:prstGeom prst="rect">
          <a:avLst/>
        </a:prstGeom>
      </xdr:spPr>
    </xdr:pic>
    <xdr:clientData/>
  </xdr:twoCellAnchor>
  <xdr:twoCellAnchor editAs="oneCell">
    <xdr:from>
      <xdr:col>0</xdr:col>
      <xdr:colOff>551752</xdr:colOff>
      <xdr:row>32</xdr:row>
      <xdr:rowOff>29323</xdr:rowOff>
    </xdr:from>
    <xdr:to>
      <xdr:col>0</xdr:col>
      <xdr:colOff>1096038</xdr:colOff>
      <xdr:row>32</xdr:row>
      <xdr:rowOff>593726</xdr:rowOff>
    </xdr:to>
    <xdr:pic>
      <xdr:nvPicPr>
        <xdr:cNvPr id="8" name="Рисунок 7" descr="Деньги контур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51752" y="8277973"/>
          <a:ext cx="544286" cy="564403"/>
        </a:xfrm>
        <a:prstGeom prst="rect">
          <a:avLst/>
        </a:prstGeom>
        <a:effectLst>
          <a:glow rad="355600">
            <a:schemeClr val="accent1">
              <a:alpha val="40000"/>
            </a:schemeClr>
          </a:glow>
        </a:effectLst>
      </xdr:spPr>
    </xdr:pic>
    <xdr:clientData/>
  </xdr:twoCellAnchor>
  <xdr:oneCellAnchor>
    <xdr:from>
      <xdr:col>0</xdr:col>
      <xdr:colOff>19390</xdr:colOff>
      <xdr:row>22</xdr:row>
      <xdr:rowOff>116337</xdr:rowOff>
    </xdr:from>
    <xdr:ext cx="874150" cy="160178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 txBox="1"/>
      </xdr:nvSpPr>
      <xdr:spPr>
        <a:xfrm>
          <a:off x="19390" y="5793237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2</a:t>
          </a:r>
        </a:p>
      </xdr:txBody>
    </xdr:sp>
    <xdr:clientData/>
  </xdr:oneCellAnchor>
  <xdr:twoCellAnchor editAs="oneCell">
    <xdr:from>
      <xdr:col>0</xdr:col>
      <xdr:colOff>216692</xdr:colOff>
      <xdr:row>11</xdr:row>
      <xdr:rowOff>164928</xdr:rowOff>
    </xdr:from>
    <xdr:to>
      <xdr:col>1</xdr:col>
      <xdr:colOff>167144</xdr:colOff>
      <xdr:row>18</xdr:row>
      <xdr:rowOff>40400</xdr:rowOff>
    </xdr:to>
    <xdr:pic>
      <xdr:nvPicPr>
        <xdr:cNvPr id="10" name="Google Shape;25;p2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3">
          <a:alphaModFix/>
        </a:blip>
        <a:stretch>
          <a:fillRect/>
        </a:stretch>
      </xdr:blipFill>
      <xdr:spPr>
        <a:xfrm>
          <a:off x="216692" y="2670003"/>
          <a:ext cx="2484102" cy="157092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85175</xdr:colOff>
      <xdr:row>48</xdr:row>
      <xdr:rowOff>352544</xdr:rowOff>
    </xdr:from>
    <xdr:ext cx="874150" cy="160178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85175" y="13420844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3</a:t>
          </a:r>
        </a:p>
      </xdr:txBody>
    </xdr:sp>
    <xdr:clientData/>
  </xdr:oneCellAnchor>
  <xdr:twoCellAnchor editAs="oneCell">
    <xdr:from>
      <xdr:col>2</xdr:col>
      <xdr:colOff>105038</xdr:colOff>
      <xdr:row>51</xdr:row>
      <xdr:rowOff>34501</xdr:rowOff>
    </xdr:from>
    <xdr:to>
      <xdr:col>2</xdr:col>
      <xdr:colOff>334211</xdr:colOff>
      <xdr:row>51</xdr:row>
      <xdr:rowOff>271810</xdr:rowOff>
    </xdr:to>
    <xdr:pic>
      <xdr:nvPicPr>
        <xdr:cNvPr id="12" name="Рисунок 11" descr="Предупреждение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5086613" y="14750626"/>
          <a:ext cx="229173" cy="237309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114204</xdr:colOff>
      <xdr:row>52</xdr:row>
      <xdr:rowOff>47361</xdr:rowOff>
    </xdr:from>
    <xdr:to>
      <xdr:col>2</xdr:col>
      <xdr:colOff>343377</xdr:colOff>
      <xdr:row>52</xdr:row>
      <xdr:rowOff>276534</xdr:rowOff>
    </xdr:to>
    <xdr:pic>
      <xdr:nvPicPr>
        <xdr:cNvPr id="13" name="Рисунок 12" descr="Предупреждение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5095779" y="15068286"/>
          <a:ext cx="229173" cy="229173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oneCellAnchor>
    <xdr:from>
      <xdr:col>2</xdr:col>
      <xdr:colOff>288328</xdr:colOff>
      <xdr:row>34</xdr:row>
      <xdr:rowOff>28223</xdr:rowOff>
    </xdr:from>
    <xdr:ext cx="229173" cy="232630"/>
    <xdr:pic>
      <xdr:nvPicPr>
        <xdr:cNvPr id="14" name="Рисунок 13" descr="Значок &quot;Галочка1&quot; контур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269903" y="9105548"/>
          <a:ext cx="229173" cy="232630"/>
        </a:xfrm>
        <a:prstGeom prst="rect">
          <a:avLst/>
        </a:prstGeom>
      </xdr:spPr>
    </xdr:pic>
    <xdr:clientData/>
  </xdr:oneCellAnchor>
  <xdr:twoCellAnchor editAs="oneCell">
    <xdr:from>
      <xdr:col>0</xdr:col>
      <xdr:colOff>506049</xdr:colOff>
      <xdr:row>45</xdr:row>
      <xdr:rowOff>86512</xdr:rowOff>
    </xdr:from>
    <xdr:to>
      <xdr:col>0</xdr:col>
      <xdr:colOff>1026841</xdr:colOff>
      <xdr:row>46</xdr:row>
      <xdr:rowOff>81418</xdr:rowOff>
    </xdr:to>
    <xdr:pic>
      <xdr:nvPicPr>
        <xdr:cNvPr id="15" name="Рисунок 14" descr="Хозяйственная сумка контур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506049" y="11678437"/>
          <a:ext cx="520792" cy="518781"/>
        </a:xfrm>
        <a:prstGeom prst="rect">
          <a:avLst/>
        </a:prstGeom>
        <a:effectLst>
          <a:glow rad="355600">
            <a:schemeClr val="accent1">
              <a:alpha val="40000"/>
            </a:schemeClr>
          </a:glow>
        </a:effectLst>
      </xdr:spPr>
    </xdr:pic>
    <xdr:clientData/>
  </xdr:twoCellAnchor>
  <xdr:oneCellAnchor>
    <xdr:from>
      <xdr:col>2</xdr:col>
      <xdr:colOff>1009711</xdr:colOff>
      <xdr:row>15</xdr:row>
      <xdr:rowOff>238868</xdr:rowOff>
    </xdr:from>
    <xdr:ext cx="229173" cy="238618"/>
    <xdr:pic>
      <xdr:nvPicPr>
        <xdr:cNvPr id="16" name="Рисунок 15" descr="Предупреждение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991286" y="3705968"/>
          <a:ext cx="229173" cy="238618"/>
        </a:xfrm>
        <a:prstGeom prst="rect">
          <a:avLst/>
        </a:prstGeom>
        <a:effectLst>
          <a:glow rad="203200">
            <a:srgbClr val="F5CF83">
              <a:alpha val="40000"/>
            </a:srgbClr>
          </a:glow>
        </a:effectLst>
      </xdr:spPr>
    </xdr:pic>
    <xdr:clientData/>
  </xdr:oneCellAnchor>
  <xdr:oneCellAnchor>
    <xdr:from>
      <xdr:col>0</xdr:col>
      <xdr:colOff>519659</xdr:colOff>
      <xdr:row>40</xdr:row>
      <xdr:rowOff>14141</xdr:rowOff>
    </xdr:from>
    <xdr:ext cx="520792" cy="519980"/>
    <xdr:pic>
      <xdr:nvPicPr>
        <xdr:cNvPr id="17" name="Рисунок 16" descr="Хозяйственная сумка контур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519659" y="10282091"/>
          <a:ext cx="520792" cy="519980"/>
        </a:xfrm>
        <a:prstGeom prst="rect">
          <a:avLst/>
        </a:prstGeom>
        <a:effectLst>
          <a:glow rad="355600">
            <a:schemeClr val="accent1">
              <a:alpha val="40000"/>
            </a:schemeClr>
          </a:glow>
        </a:effec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139700</xdr:rowOff>
    </xdr:from>
    <xdr:to>
      <xdr:col>0</xdr:col>
      <xdr:colOff>1479420</xdr:colOff>
      <xdr:row>0</xdr:row>
      <xdr:rowOff>791010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96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" y="139700"/>
          <a:ext cx="1314320" cy="65131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0</xdr:rowOff>
    </xdr:from>
    <xdr:to>
      <xdr:col>4</xdr:col>
      <xdr:colOff>393700</xdr:colOff>
      <xdr:row>3</xdr:row>
      <xdr:rowOff>387783</xdr:rowOff>
    </xdr:to>
    <xdr:pic>
      <xdr:nvPicPr>
        <xdr:cNvPr id="3" name="Рисунок 2" descr="Предупреждение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175500" y="1752600"/>
          <a:ext cx="381000" cy="387783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652781</xdr:colOff>
      <xdr:row>1</xdr:row>
      <xdr:rowOff>101600</xdr:rowOff>
    </xdr:from>
    <xdr:to>
      <xdr:col>12</xdr:col>
      <xdr:colOff>345440</xdr:colOff>
      <xdr:row>17</xdr:row>
      <xdr:rowOff>79247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 txBox="1"/>
      </xdr:nvSpPr>
      <xdr:spPr>
        <a:xfrm>
          <a:off x="5939156" y="644525"/>
          <a:ext cx="5741034" cy="3920997"/>
        </a:xfrm>
        <a:prstGeom prst="rect">
          <a:avLst/>
        </a:prstGeom>
        <a:solidFill>
          <a:srgbClr val="EFF3FF"/>
        </a:solidFill>
        <a:ln w="12700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000">
              <a:latin typeface="Century Gothic" panose="020B0502020202020204" pitchFamily="34" charset="0"/>
            </a:rPr>
            <a:t>Это</a:t>
          </a:r>
          <a:r>
            <a:rPr lang="ru-RU" sz="1000" baseline="0">
              <a:latin typeface="Century Gothic" panose="020B0502020202020204" pitchFamily="34" charset="0"/>
            </a:rPr>
            <a:t> </a:t>
          </a:r>
          <a:r>
            <a:rPr lang="ru-RU" sz="1000" b="1" i="0" baseline="0">
              <a:latin typeface="Century Gothic" panose="020B0502020202020204" pitchFamily="34" charset="0"/>
            </a:rPr>
            <a:t>пример расчета </a:t>
          </a:r>
          <a:r>
            <a:rPr lang="ru-RU" sz="1000" baseline="0">
              <a:latin typeface="Century Gothic" panose="020B0502020202020204" pitchFamily="34" charset="0"/>
            </a:rPr>
            <a:t>графика платежей по продукту "Деньги и всё!", основанный на следующих предпосылках:</a:t>
          </a:r>
        </a:p>
        <a:p>
          <a:r>
            <a:rPr lang="ru-RU" sz="1000" baseline="0">
              <a:latin typeface="Century Gothic" panose="020B0502020202020204" pitchFamily="34" charset="0"/>
            </a:rPr>
            <a:t>- в день заключения договора Клиент совершает одну расходную операцию </a:t>
          </a:r>
          <a:r>
            <a:rPr lang="ru-RU" sz="1000" baseline="0">
              <a:solidFill>
                <a:srgbClr val="7B81C7"/>
              </a:solidFill>
              <a:latin typeface="Century Gothic" panose="020B0502020202020204" pitchFamily="34" charset="0"/>
            </a:rPr>
            <a:t>(покупку по карте, снятие наличных или перевод) </a:t>
          </a:r>
          <a:r>
            <a:rPr lang="ru-RU" sz="1000" baseline="0">
              <a:latin typeface="Century Gothic" panose="020B0502020202020204" pitchFamily="34" charset="0"/>
            </a:rPr>
            <a:t>и после этого не делает новых расходных операций;</a:t>
          </a:r>
        </a:p>
        <a:p>
          <a:r>
            <a:rPr lang="ru-RU" sz="1000" baseline="0">
              <a:latin typeface="Century Gothic" panose="020B0502020202020204" pitchFamily="34" charset="0"/>
            </a:rPr>
            <a:t>- Клиент погашает задолженность минимальными платежами в первый день каждого платежного периода.</a:t>
          </a:r>
        </a:p>
        <a:p>
          <a:endParaRPr lang="ru-RU" sz="1000" b="1" baseline="0">
            <a:latin typeface="Century Gothic" panose="020B0502020202020204" pitchFamily="34" charset="0"/>
          </a:endParaRPr>
        </a:p>
        <a:p>
          <a:r>
            <a:rPr lang="ru-RU" sz="1000" b="1" baseline="0">
              <a:solidFill>
                <a:srgbClr val="C00149"/>
              </a:solidFill>
              <a:latin typeface="Century Gothic" panose="020B0502020202020204" pitchFamily="34" charset="0"/>
            </a:rPr>
            <a:t>ВАЖНО! </a:t>
          </a:r>
          <a:r>
            <a:rPr lang="ru-RU" sz="1000" baseline="0">
              <a:latin typeface="Century Gothic" panose="020B0502020202020204" pitchFamily="34" charset="0"/>
            </a:rPr>
            <a:t>Обязательный ежемесячный платёж не может быть меньше, чем предусмотрен условиями договора!</a:t>
          </a:r>
        </a:p>
        <a:p>
          <a:r>
            <a:rPr lang="ru-RU" sz="1000" baseline="0">
              <a:latin typeface="Century Gothic" panose="020B0502020202020204" pitchFamily="34" charset="0"/>
            </a:rPr>
            <a:t>Реальный график погашения по договорому может отличаться от этого примера, поскольку:</a:t>
          </a:r>
        </a:p>
        <a:p>
          <a:r>
            <a:rPr lang="ru-RU" sz="1000" baseline="0">
              <a:latin typeface="Century Gothic" panose="020B0502020202020204" pitchFamily="34" charset="0"/>
            </a:rPr>
            <a:t>- Клиент может совершать большое число расходных операций в разные даты в пределах установленного лимита, что будет влиять на размер задолженности;</a:t>
          </a:r>
        </a:p>
        <a:p>
          <a:r>
            <a:rPr lang="ru-RU" sz="1000" baseline="0">
              <a:latin typeface="Century Gothic" panose="020B0502020202020204" pitchFamily="34" charset="0"/>
            </a:rPr>
            <a:t>- Клиент может погашать задолженность сверх минимального платежа и в любой день платежного периода, что будет влиять на размер процентов по кредиту;</a:t>
          </a:r>
        </a:p>
        <a:p>
          <a:r>
            <a:rPr lang="ru-RU" sz="1000" baseline="0">
              <a:latin typeface="Century Gothic" panose="020B0502020202020204" pitchFamily="34" charset="0"/>
            </a:rPr>
            <a:t>- Клиент может подключать дополнительные платные услуги, за которые Тарифами предусмотрено начисление комиссий.</a:t>
          </a:r>
        </a:p>
        <a:p>
          <a:r>
            <a:rPr lang="ru-RU" sz="1000" baseline="0">
              <a:latin typeface="Century Gothic" panose="020B0502020202020204" pitchFamily="34" charset="0"/>
            </a:rPr>
            <a:t>При консультации всегда объясняйте Клиенту, что точную сумму платежа и срок его внесения необходимо проверять в Почта Банк Онлайн, либо в </a:t>
          </a:r>
          <a:r>
            <a:rPr lang="en-US" sz="1000" baseline="0">
              <a:latin typeface="Century Gothic" panose="020B0502020202020204" pitchFamily="34" charset="0"/>
            </a:rPr>
            <a:t>SMS/Push-</a:t>
          </a:r>
          <a:r>
            <a:rPr lang="ru-RU" sz="1000" baseline="0">
              <a:latin typeface="Century Gothic" panose="020B0502020202020204" pitchFamily="34" charset="0"/>
            </a:rPr>
            <a:t>уведомлениях от Почта Банка.</a:t>
          </a:r>
        </a:p>
        <a:p>
          <a:endParaRPr lang="ru-RU" sz="1000" baseline="0">
            <a:latin typeface="Century Gothic" panose="020B0502020202020204" pitchFamily="34" charset="0"/>
          </a:endParaRPr>
        </a:p>
        <a:p>
          <a:r>
            <a:rPr lang="ru-RU" sz="1000">
              <a:latin typeface="Century Gothic" panose="020B0502020202020204" pitchFamily="34" charset="0"/>
            </a:rPr>
            <a:t>Для расчета заполните</a:t>
          </a:r>
          <a:r>
            <a:rPr lang="ru-RU" sz="1000" baseline="0">
              <a:latin typeface="Century Gothic" panose="020B0502020202020204" pitchFamily="34" charset="0"/>
            </a:rPr>
            <a:t> ячейки</a:t>
          </a:r>
          <a:r>
            <a:rPr lang="en-US" sz="1000" baseline="0">
              <a:latin typeface="Century Gothic" panose="020B0502020202020204" pitchFamily="34" charset="0"/>
            </a:rPr>
            <a:t> </a:t>
          </a:r>
          <a:r>
            <a:rPr lang="ru-RU" sz="1000" baseline="0">
              <a:latin typeface="Century Gothic" panose="020B0502020202020204" pitchFamily="34" charset="0"/>
            </a:rPr>
            <a:t>слева, выделенные </a:t>
          </a:r>
          <a:r>
            <a:rPr lang="ru-RU" sz="1000" b="1" baseline="0">
              <a:solidFill>
                <a:srgbClr val="7B81C7"/>
              </a:solidFill>
              <a:latin typeface="Century Gothic" panose="020B0502020202020204" pitchFamily="34" charset="0"/>
            </a:rPr>
            <a:t>светло-сиреневой</a:t>
          </a:r>
          <a:r>
            <a:rPr lang="ru-RU" sz="1000" baseline="0">
              <a:latin typeface="Century Gothic" panose="020B0502020202020204" pitchFamily="34" charset="0"/>
            </a:rPr>
            <a:t> заливкой.</a:t>
          </a:r>
          <a:endParaRPr lang="ru-RU" sz="1000"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25400</xdr:rowOff>
    </xdr:from>
    <xdr:to>
      <xdr:col>1</xdr:col>
      <xdr:colOff>1314320</xdr:colOff>
      <xdr:row>1</xdr:row>
      <xdr:rowOff>130610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96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5400"/>
          <a:ext cx="1314320" cy="64813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1102460</xdr:colOff>
      <xdr:row>2</xdr:row>
      <xdr:rowOff>140044</xdr:rowOff>
    </xdr:from>
    <xdr:to>
      <xdr:col>12</xdr:col>
      <xdr:colOff>420077</xdr:colOff>
      <xdr:row>19</xdr:row>
      <xdr:rowOff>48767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 txBox="1"/>
      </xdr:nvSpPr>
      <xdr:spPr>
        <a:xfrm>
          <a:off x="6026885" y="1044919"/>
          <a:ext cx="6347067" cy="4128298"/>
        </a:xfrm>
        <a:prstGeom prst="rect">
          <a:avLst/>
        </a:prstGeom>
        <a:solidFill>
          <a:srgbClr val="EFF3FF"/>
        </a:solidFill>
        <a:ln w="12700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050" i="0">
              <a:latin typeface="Century Gothic" panose="020B0502020202020204" pitchFamily="34" charset="0"/>
            </a:rPr>
            <a:t>Это</a:t>
          </a:r>
          <a:r>
            <a:rPr lang="ru-RU" sz="1050" i="0" baseline="0">
              <a:latin typeface="Century Gothic" panose="020B0502020202020204" pitchFamily="34" charset="0"/>
            </a:rPr>
            <a:t> </a:t>
          </a:r>
          <a:r>
            <a:rPr lang="ru-RU" sz="1050" b="1" i="0" baseline="0">
              <a:latin typeface="Century Gothic" panose="020B0502020202020204" pitchFamily="34" charset="0"/>
            </a:rPr>
            <a:t>пример расчета </a:t>
          </a:r>
          <a:r>
            <a:rPr lang="ru-RU" sz="1050" i="0" baseline="0">
              <a:latin typeface="Century Gothic" panose="020B0502020202020204" pitchFamily="34" charset="0"/>
            </a:rPr>
            <a:t>графика платежей по "Деньги и всё!", основанный на следующих предпосылках:</a:t>
          </a:r>
        </a:p>
        <a:p>
          <a:r>
            <a:rPr lang="ru-RU" sz="1050" i="0" baseline="0">
              <a:latin typeface="Century Gothic" panose="020B0502020202020204" pitchFamily="34" charset="0"/>
            </a:rPr>
            <a:t>- в день заключения договора Клиент совершает одну расходную операцию (покупку по карте, снятие наличных или перевод) и после этого не делает новых расходных операций;</a:t>
          </a:r>
        </a:p>
        <a:p>
          <a:r>
            <a:rPr lang="ru-RU" sz="1050" i="0" baseline="0">
              <a:latin typeface="Century Gothic" panose="020B0502020202020204" pitchFamily="34" charset="0"/>
            </a:rPr>
            <a:t>- Клиент погашает задолженность минимальными платежами в первый день каждого платежного периода.</a:t>
          </a:r>
        </a:p>
        <a:p>
          <a:endParaRPr lang="ru-RU" sz="1050" b="1" i="0" baseline="0">
            <a:latin typeface="Century Gothic" panose="020B0502020202020204" pitchFamily="34" charset="0"/>
          </a:endParaRPr>
        </a:p>
        <a:p>
          <a:r>
            <a:rPr lang="ru-RU" sz="1050" b="1" i="0" baseline="0">
              <a:solidFill>
                <a:srgbClr val="C00000"/>
              </a:solidFill>
              <a:latin typeface="Century Gothic" panose="020B0502020202020204" pitchFamily="34" charset="0"/>
            </a:rPr>
            <a:t>Важно!</a:t>
          </a:r>
          <a:r>
            <a:rPr lang="ru-RU" sz="1050" i="0" baseline="0">
              <a:latin typeface="Century Gothic" panose="020B0502020202020204" pitchFamily="34" charset="0"/>
            </a:rPr>
            <a:t> </a:t>
          </a:r>
          <a:r>
            <a:rPr lang="ru-RU" sz="1050" i="0" baseline="0">
              <a:solidFill>
                <a:srgbClr val="FF0000"/>
              </a:solidFill>
              <a:latin typeface="Century Gothic" panose="020B0502020202020204" pitchFamily="34" charset="0"/>
            </a:rPr>
            <a:t>Обязательный ежемесячный платёж не может быть меньше, чем предусмотрен условиями договора!</a:t>
          </a:r>
        </a:p>
        <a:p>
          <a:r>
            <a:rPr lang="ru-RU" sz="1050" i="0" baseline="0">
              <a:latin typeface="Century Gothic" panose="020B0502020202020204" pitchFamily="34" charset="0"/>
            </a:rPr>
            <a:t>Реальный график погашения по договорому может отличаться от этого примера, поскольку:</a:t>
          </a:r>
        </a:p>
        <a:p>
          <a:r>
            <a:rPr lang="ru-RU" sz="1050" i="0" baseline="0">
              <a:latin typeface="Century Gothic" panose="020B0502020202020204" pitchFamily="34" charset="0"/>
            </a:rPr>
            <a:t>- Клиент может совершать большое число расходных операций в разные даты в пределах установленного лимита, что будет влиять на размер задолженности;</a:t>
          </a:r>
        </a:p>
        <a:p>
          <a:r>
            <a:rPr lang="ru-RU" sz="1050" i="0" baseline="0">
              <a:latin typeface="Century Gothic" panose="020B0502020202020204" pitchFamily="34" charset="0"/>
            </a:rPr>
            <a:t>- Клиент может погашать задолженность сверх минимального платежа и в любой день платежного периода, что будет влиять на размер процентов по кредиту;</a:t>
          </a:r>
        </a:p>
        <a:p>
          <a:r>
            <a:rPr lang="ru-RU" sz="1050" i="0" baseline="0">
              <a:latin typeface="Century Gothic" panose="020B0502020202020204" pitchFamily="34" charset="0"/>
            </a:rPr>
            <a:t>- Клиент может подключать дополнительные платные услуги, за которые Тарифами предусмотрено начисление комиссий.</a:t>
          </a:r>
        </a:p>
        <a:p>
          <a:r>
            <a:rPr lang="ru-RU" sz="1050" i="0" baseline="0">
              <a:latin typeface="Century Gothic" panose="020B0502020202020204" pitchFamily="34" charset="0"/>
            </a:rPr>
            <a:t>При консультации всегда объясняйте Клиенту, что точную сумму платежа и срок его внесения необходимо проверять в Почта Банк Онлайн, либо в </a:t>
          </a:r>
          <a:r>
            <a:rPr lang="en-US" sz="1050" i="0" baseline="0">
              <a:latin typeface="Century Gothic" panose="020B0502020202020204" pitchFamily="34" charset="0"/>
            </a:rPr>
            <a:t>SMS/Push-</a:t>
          </a:r>
          <a:r>
            <a:rPr lang="ru-RU" sz="1050" i="0" baseline="0">
              <a:latin typeface="Century Gothic" panose="020B0502020202020204" pitchFamily="34" charset="0"/>
            </a:rPr>
            <a:t>уведомлениях от Почта Банка.</a:t>
          </a:r>
        </a:p>
        <a:p>
          <a:endParaRPr lang="ru-RU" sz="1050" i="0" baseline="0">
            <a:latin typeface="Century Gothic" panose="020B0502020202020204" pitchFamily="34" charset="0"/>
          </a:endParaRPr>
        </a:p>
        <a:p>
          <a:r>
            <a:rPr lang="ru-RU" sz="1050" i="0">
              <a:latin typeface="Century Gothic" panose="020B0502020202020204" pitchFamily="34" charset="0"/>
            </a:rPr>
            <a:t>Для расчета заполните</a:t>
          </a:r>
          <a:r>
            <a:rPr lang="ru-RU" sz="1050" i="0" baseline="0">
              <a:latin typeface="Century Gothic" panose="020B0502020202020204" pitchFamily="34" charset="0"/>
            </a:rPr>
            <a:t> ячейки</a:t>
          </a:r>
          <a:r>
            <a:rPr lang="en-US" sz="1050" i="0" baseline="0">
              <a:latin typeface="Century Gothic" panose="020B0502020202020204" pitchFamily="34" charset="0"/>
            </a:rPr>
            <a:t> </a:t>
          </a:r>
          <a:r>
            <a:rPr lang="ru-RU" sz="1050" i="0" baseline="0">
              <a:latin typeface="Century Gothic" panose="020B0502020202020204" pitchFamily="34" charset="0"/>
            </a:rPr>
            <a:t>слева, выделенные </a:t>
          </a:r>
          <a:r>
            <a:rPr lang="ru-RU" sz="1050" b="1" i="0" baseline="0">
              <a:solidFill>
                <a:srgbClr val="7B81C7"/>
              </a:solidFill>
              <a:latin typeface="Century Gothic" panose="020B0502020202020204" pitchFamily="34" charset="0"/>
            </a:rPr>
            <a:t>светло-сиреневой</a:t>
          </a:r>
          <a:r>
            <a:rPr lang="ru-RU" sz="1050" i="0" baseline="0">
              <a:latin typeface="Century Gothic" panose="020B0502020202020204" pitchFamily="34" charset="0"/>
            </a:rPr>
            <a:t> заливкой.</a:t>
          </a:r>
          <a:endParaRPr lang="ru-RU" sz="1050" i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13</xdr:col>
      <xdr:colOff>533400</xdr:colOff>
      <xdr:row>14</xdr:row>
      <xdr:rowOff>121920</xdr:rowOff>
    </xdr:from>
    <xdr:to>
      <xdr:col>14</xdr:col>
      <xdr:colOff>257174</xdr:colOff>
      <xdr:row>18</xdr:row>
      <xdr:rowOff>110490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 txBox="1"/>
      </xdr:nvSpPr>
      <xdr:spPr>
        <a:xfrm>
          <a:off x="13315950" y="3979545"/>
          <a:ext cx="600074" cy="9029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900" i="1"/>
            <a:t>вер. от 08.09.2023</a:t>
          </a:r>
        </a:p>
      </xdr:txBody>
    </xdr:sp>
    <xdr:clientData/>
  </xdr:twoCellAnchor>
  <xdr:twoCellAnchor editAs="oneCell">
    <xdr:from>
      <xdr:col>0</xdr:col>
      <xdr:colOff>244231</xdr:colOff>
      <xdr:row>0</xdr:row>
      <xdr:rowOff>78153</xdr:rowOff>
    </xdr:from>
    <xdr:to>
      <xdr:col>1</xdr:col>
      <xdr:colOff>1294782</xdr:colOff>
      <xdr:row>1</xdr:row>
      <xdr:rowOff>208763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96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181" y="78153"/>
          <a:ext cx="1298201" cy="63543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1314320</xdr:colOff>
      <xdr:row>1</xdr:row>
      <xdr:rowOff>379860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96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14320" cy="651310"/>
        </a:xfrm>
        <a:prstGeom prst="rect">
          <a:avLst/>
        </a:prstGeom>
      </xdr:spPr>
    </xdr:pic>
    <xdr:clientData/>
  </xdr:twoCellAnchor>
  <xdr:twoCellAnchor editAs="oneCell">
    <xdr:from>
      <xdr:col>2</xdr:col>
      <xdr:colOff>236939</xdr:colOff>
      <xdr:row>1</xdr:row>
      <xdr:rowOff>101212</xdr:rowOff>
    </xdr:from>
    <xdr:to>
      <xdr:col>2</xdr:col>
      <xdr:colOff>623276</xdr:colOff>
      <xdr:row>1</xdr:row>
      <xdr:rowOff>494428</xdr:rowOff>
    </xdr:to>
    <xdr:pic>
      <xdr:nvPicPr>
        <xdr:cNvPr id="7" name="Рисунок 6" descr="Предупреждение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520527" y="372662"/>
          <a:ext cx="386337" cy="393216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0</xdr:row>
      <xdr:rowOff>71120</xdr:rowOff>
    </xdr:from>
    <xdr:to>
      <xdr:col>0</xdr:col>
      <xdr:colOff>1517520</xdr:colOff>
      <xdr:row>0</xdr:row>
      <xdr:rowOff>729844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96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71120"/>
          <a:ext cx="1314320" cy="6587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123992</xdr:colOff>
      <xdr:row>6</xdr:row>
      <xdr:rowOff>72457</xdr:rowOff>
    </xdr:from>
    <xdr:ext cx="874150" cy="160178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23992" y="1320232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1</a:t>
          </a:r>
        </a:p>
      </xdr:txBody>
    </xdr:sp>
    <xdr:clientData/>
  </xdr:oneCellAnchor>
  <xdr:twoCellAnchor editAs="oneCell">
    <xdr:from>
      <xdr:col>0</xdr:col>
      <xdr:colOff>36285</xdr:colOff>
      <xdr:row>0</xdr:row>
      <xdr:rowOff>46551</xdr:rowOff>
    </xdr:from>
    <xdr:to>
      <xdr:col>0</xdr:col>
      <xdr:colOff>1350605</xdr:colOff>
      <xdr:row>2</xdr:row>
      <xdr:rowOff>96792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96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85" y="46551"/>
          <a:ext cx="1314320" cy="650316"/>
        </a:xfrm>
        <a:prstGeom prst="rect">
          <a:avLst/>
        </a:prstGeom>
      </xdr:spPr>
    </xdr:pic>
    <xdr:clientData/>
  </xdr:twoCellAnchor>
  <xdr:twoCellAnchor editAs="oneCell">
    <xdr:from>
      <xdr:col>0</xdr:col>
      <xdr:colOff>247390</xdr:colOff>
      <xdr:row>12</xdr:row>
      <xdr:rowOff>239945</xdr:rowOff>
    </xdr:from>
    <xdr:to>
      <xdr:col>0</xdr:col>
      <xdr:colOff>782127</xdr:colOff>
      <xdr:row>15</xdr:row>
      <xdr:rowOff>32431</xdr:rowOff>
    </xdr:to>
    <xdr:pic>
      <xdr:nvPicPr>
        <xdr:cNvPr id="5" name="Рисунок 4" descr="Уход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7390" y="2964095"/>
          <a:ext cx="534737" cy="535436"/>
        </a:xfrm>
        <a:prstGeom prst="rect">
          <a:avLst/>
        </a:prstGeom>
        <a:effectLst>
          <a:glow rad="355600">
            <a:srgbClr val="F2E4EE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297072</xdr:colOff>
      <xdr:row>15</xdr:row>
      <xdr:rowOff>9549</xdr:rowOff>
    </xdr:from>
    <xdr:to>
      <xdr:col>2</xdr:col>
      <xdr:colOff>526245</xdr:colOff>
      <xdr:row>16</xdr:row>
      <xdr:rowOff>1158</xdr:rowOff>
    </xdr:to>
    <xdr:pic>
      <xdr:nvPicPr>
        <xdr:cNvPr id="7" name="Рисунок 6" descr="Значок &quot;Галочка1&quot; контур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78647" y="3476649"/>
          <a:ext cx="229173" cy="229734"/>
        </a:xfrm>
        <a:prstGeom prst="rect">
          <a:avLst/>
        </a:prstGeom>
      </xdr:spPr>
    </xdr:pic>
    <xdr:clientData/>
  </xdr:twoCellAnchor>
  <xdr:oneCellAnchor>
    <xdr:from>
      <xdr:col>0</xdr:col>
      <xdr:colOff>19390</xdr:colOff>
      <xdr:row>23</xdr:row>
      <xdr:rowOff>116337</xdr:rowOff>
    </xdr:from>
    <xdr:ext cx="874150" cy="160178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9390" y="5793237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2</a:t>
          </a:r>
        </a:p>
      </xdr:txBody>
    </xdr:sp>
    <xdr:clientData/>
  </xdr:oneCellAnchor>
  <xdr:twoCellAnchor editAs="oneCell">
    <xdr:from>
      <xdr:col>0</xdr:col>
      <xdr:colOff>54428</xdr:colOff>
      <xdr:row>13</xdr:row>
      <xdr:rowOff>1645</xdr:rowOff>
    </xdr:from>
    <xdr:to>
      <xdr:col>1</xdr:col>
      <xdr:colOff>4880</xdr:colOff>
      <xdr:row>21</xdr:row>
      <xdr:rowOff>10583</xdr:rowOff>
    </xdr:to>
    <xdr:pic>
      <xdr:nvPicPr>
        <xdr:cNvPr id="10" name="Google Shape;25;p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7">
          <a:alphaModFix/>
        </a:blip>
        <a:stretch>
          <a:fillRect/>
        </a:stretch>
      </xdr:blipFill>
      <xdr:spPr>
        <a:xfrm>
          <a:off x="54428" y="2986145"/>
          <a:ext cx="2479869" cy="1850438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85175</xdr:colOff>
      <xdr:row>31</xdr:row>
      <xdr:rowOff>230081</xdr:rowOff>
    </xdr:from>
    <xdr:ext cx="874150" cy="160178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85175" y="8054188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3</a:t>
          </a:r>
        </a:p>
      </xdr:txBody>
    </xdr:sp>
    <xdr:clientData/>
  </xdr:oneCellAnchor>
  <xdr:twoCellAnchor editAs="oneCell">
    <xdr:from>
      <xdr:col>2</xdr:col>
      <xdr:colOff>105038</xdr:colOff>
      <xdr:row>34</xdr:row>
      <xdr:rowOff>34501</xdr:rowOff>
    </xdr:from>
    <xdr:to>
      <xdr:col>2</xdr:col>
      <xdr:colOff>334211</xdr:colOff>
      <xdr:row>34</xdr:row>
      <xdr:rowOff>271810</xdr:rowOff>
    </xdr:to>
    <xdr:pic>
      <xdr:nvPicPr>
        <xdr:cNvPr id="12" name="Рисунок 11" descr="Предупреждение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086613" y="14750626"/>
          <a:ext cx="229173" cy="237309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114204</xdr:colOff>
      <xdr:row>35</xdr:row>
      <xdr:rowOff>47361</xdr:rowOff>
    </xdr:from>
    <xdr:to>
      <xdr:col>2</xdr:col>
      <xdr:colOff>343377</xdr:colOff>
      <xdr:row>36</xdr:row>
      <xdr:rowOff>8358</xdr:rowOff>
    </xdr:to>
    <xdr:pic>
      <xdr:nvPicPr>
        <xdr:cNvPr id="13" name="Рисунок 12" descr="Предупреждение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095779" y="15068286"/>
          <a:ext cx="229173" cy="229173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twoCellAnchor editAs="oneCell">
    <xdr:from>
      <xdr:col>0</xdr:col>
      <xdr:colOff>190499</xdr:colOff>
      <xdr:row>15</xdr:row>
      <xdr:rowOff>27214</xdr:rowOff>
    </xdr:from>
    <xdr:to>
      <xdr:col>0</xdr:col>
      <xdr:colOff>893688</xdr:colOff>
      <xdr:row>17</xdr:row>
      <xdr:rowOff>201819</xdr:rowOff>
    </xdr:to>
    <xdr:pic>
      <xdr:nvPicPr>
        <xdr:cNvPr id="18" name="Рисунок 17" descr="Волшебная палочка (авто) контур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5899709">
          <a:off x="209863" y="3491279"/>
          <a:ext cx="664462" cy="703189"/>
        </a:xfrm>
        <a:prstGeom prst="rect">
          <a:avLst/>
        </a:prstGeom>
        <a:effectLst>
          <a:glow>
            <a:srgbClr val="C00149">
              <a:alpha val="25000"/>
            </a:srgbClr>
          </a:glow>
          <a:softEdge rad="0"/>
        </a:effectLst>
      </xdr:spPr>
    </xdr:pic>
    <xdr:clientData/>
  </xdr:twoCellAnchor>
  <xdr:twoCellAnchor editAs="oneCell">
    <xdr:from>
      <xdr:col>3</xdr:col>
      <xdr:colOff>299354</xdr:colOff>
      <xdr:row>15</xdr:row>
      <xdr:rowOff>13604</xdr:rowOff>
    </xdr:from>
    <xdr:to>
      <xdr:col>3</xdr:col>
      <xdr:colOff>518979</xdr:colOff>
      <xdr:row>15</xdr:row>
      <xdr:rowOff>228501</xdr:rowOff>
    </xdr:to>
    <xdr:pic>
      <xdr:nvPicPr>
        <xdr:cNvPr id="19" name="Рисунок 18" descr="Значок &quot;Крестик&quot; контур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599461" y="3170461"/>
          <a:ext cx="219625" cy="214897"/>
        </a:xfrm>
        <a:prstGeom prst="rect">
          <a:avLst/>
        </a:prstGeom>
      </xdr:spPr>
    </xdr:pic>
    <xdr:clientData/>
  </xdr:twoCellAnchor>
  <xdr:twoCellAnchor>
    <xdr:from>
      <xdr:col>2</xdr:col>
      <xdr:colOff>1415141</xdr:colOff>
      <xdr:row>30</xdr:row>
      <xdr:rowOff>231321</xdr:rowOff>
    </xdr:from>
    <xdr:to>
      <xdr:col>3</xdr:col>
      <xdr:colOff>263757</xdr:colOff>
      <xdr:row>30</xdr:row>
      <xdr:rowOff>359198</xdr:rowOff>
    </xdr:to>
    <xdr:sp macro="" textlink="">
      <xdr:nvSpPr>
        <xdr:cNvPr id="20" name="Стрелка вправо 1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 rot="10800000">
          <a:off x="6395355" y="7620000"/>
          <a:ext cx="549509" cy="127877"/>
        </a:xfrm>
        <a:prstGeom prst="rightArrow">
          <a:avLst/>
        </a:prstGeom>
        <a:solidFill>
          <a:srgbClr val="919BDD"/>
        </a:solidFill>
        <a:ln>
          <a:noFill/>
        </a:ln>
        <a:effectLst>
          <a:glow rad="241300">
            <a:schemeClr val="accent1">
              <a:alpha val="11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ru-RU"/>
        </a:p>
      </xdr:txBody>
    </xdr:sp>
    <xdr:clientData/>
  </xdr:twoCellAnchor>
  <xdr:twoCellAnchor editAs="oneCell">
    <xdr:from>
      <xdr:col>2</xdr:col>
      <xdr:colOff>326572</xdr:colOff>
      <xdr:row>13</xdr:row>
      <xdr:rowOff>13607</xdr:rowOff>
    </xdr:from>
    <xdr:to>
      <xdr:col>2</xdr:col>
      <xdr:colOff>555745</xdr:colOff>
      <xdr:row>14</xdr:row>
      <xdr:rowOff>5215</xdr:rowOff>
    </xdr:to>
    <xdr:pic>
      <xdr:nvPicPr>
        <xdr:cNvPr id="17" name="Рисунок 16" descr="Значок &quot;Галочка1&quot; контур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306786" y="2667000"/>
          <a:ext cx="229173" cy="236537"/>
        </a:xfrm>
        <a:prstGeom prst="rect">
          <a:avLst/>
        </a:prstGeom>
      </xdr:spPr>
    </xdr:pic>
    <xdr:clientData/>
  </xdr:twoCellAnchor>
  <xdr:oneCellAnchor>
    <xdr:from>
      <xdr:col>2</xdr:col>
      <xdr:colOff>326572</xdr:colOff>
      <xdr:row>13</xdr:row>
      <xdr:rowOff>13607</xdr:rowOff>
    </xdr:from>
    <xdr:ext cx="229173" cy="236537"/>
    <xdr:pic>
      <xdr:nvPicPr>
        <xdr:cNvPr id="22" name="Рисунок 21" descr="Значок &quot;Галочка1&quot; контур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306786" y="2993571"/>
          <a:ext cx="229173" cy="23653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123992</xdr:colOff>
      <xdr:row>6</xdr:row>
      <xdr:rowOff>72457</xdr:rowOff>
    </xdr:from>
    <xdr:ext cx="874150" cy="160178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23992" y="1320232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1</a:t>
          </a:r>
        </a:p>
      </xdr:txBody>
    </xdr:sp>
    <xdr:clientData/>
  </xdr:oneCellAnchor>
  <xdr:twoCellAnchor editAs="oneCell">
    <xdr:from>
      <xdr:col>0</xdr:col>
      <xdr:colOff>36285</xdr:colOff>
      <xdr:row>0</xdr:row>
      <xdr:rowOff>46551</xdr:rowOff>
    </xdr:from>
    <xdr:to>
      <xdr:col>0</xdr:col>
      <xdr:colOff>1350605</xdr:colOff>
      <xdr:row>2</xdr:row>
      <xdr:rowOff>96792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96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85" y="46551"/>
          <a:ext cx="1314320" cy="650316"/>
        </a:xfrm>
        <a:prstGeom prst="rect">
          <a:avLst/>
        </a:prstGeom>
      </xdr:spPr>
    </xdr:pic>
    <xdr:clientData/>
  </xdr:twoCellAnchor>
  <xdr:twoCellAnchor editAs="oneCell">
    <xdr:from>
      <xdr:col>0</xdr:col>
      <xdr:colOff>247390</xdr:colOff>
      <xdr:row>12</xdr:row>
      <xdr:rowOff>239945</xdr:rowOff>
    </xdr:from>
    <xdr:to>
      <xdr:col>0</xdr:col>
      <xdr:colOff>782127</xdr:colOff>
      <xdr:row>15</xdr:row>
      <xdr:rowOff>32431</xdr:rowOff>
    </xdr:to>
    <xdr:pic>
      <xdr:nvPicPr>
        <xdr:cNvPr id="4" name="Рисунок 3" descr="Уход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7390" y="2964095"/>
          <a:ext cx="534737" cy="535436"/>
        </a:xfrm>
        <a:prstGeom prst="rect">
          <a:avLst/>
        </a:prstGeom>
        <a:effectLst>
          <a:glow rad="355600">
            <a:srgbClr val="F2E4EE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297072</xdr:colOff>
      <xdr:row>15</xdr:row>
      <xdr:rowOff>9549</xdr:rowOff>
    </xdr:from>
    <xdr:to>
      <xdr:col>2</xdr:col>
      <xdr:colOff>526245</xdr:colOff>
      <xdr:row>16</xdr:row>
      <xdr:rowOff>1158</xdr:rowOff>
    </xdr:to>
    <xdr:pic>
      <xdr:nvPicPr>
        <xdr:cNvPr id="5" name="Рисунок 4" descr="Значок &quot;Галочка1&quot; контур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78647" y="3476649"/>
          <a:ext cx="229173" cy="229734"/>
        </a:xfrm>
        <a:prstGeom prst="rect">
          <a:avLst/>
        </a:prstGeom>
      </xdr:spPr>
    </xdr:pic>
    <xdr:clientData/>
  </xdr:twoCellAnchor>
  <xdr:oneCellAnchor>
    <xdr:from>
      <xdr:col>0</xdr:col>
      <xdr:colOff>19390</xdr:colOff>
      <xdr:row>23</xdr:row>
      <xdr:rowOff>116337</xdr:rowOff>
    </xdr:from>
    <xdr:ext cx="874150" cy="16017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9390" y="5593212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2</a:t>
          </a:r>
        </a:p>
      </xdr:txBody>
    </xdr:sp>
    <xdr:clientData/>
  </xdr:oneCellAnchor>
  <xdr:twoCellAnchor editAs="oneCell">
    <xdr:from>
      <xdr:col>0</xdr:col>
      <xdr:colOff>54428</xdr:colOff>
      <xdr:row>13</xdr:row>
      <xdr:rowOff>1645</xdr:rowOff>
    </xdr:from>
    <xdr:to>
      <xdr:col>1</xdr:col>
      <xdr:colOff>4880</xdr:colOff>
      <xdr:row>19</xdr:row>
      <xdr:rowOff>94831</xdr:rowOff>
    </xdr:to>
    <xdr:pic>
      <xdr:nvPicPr>
        <xdr:cNvPr id="7" name="Google Shape;25;p2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7">
          <a:alphaModFix/>
        </a:blip>
        <a:stretch>
          <a:fillRect/>
        </a:stretch>
      </xdr:blipFill>
      <xdr:spPr>
        <a:xfrm>
          <a:off x="54428" y="2963920"/>
          <a:ext cx="2484102" cy="156956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85175</xdr:colOff>
      <xdr:row>31</xdr:row>
      <xdr:rowOff>230081</xdr:rowOff>
    </xdr:from>
    <xdr:ext cx="874150" cy="160178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85175" y="8116781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3</a:t>
          </a:r>
        </a:p>
      </xdr:txBody>
    </xdr:sp>
    <xdr:clientData/>
  </xdr:oneCellAnchor>
  <xdr:twoCellAnchor editAs="oneCell">
    <xdr:from>
      <xdr:col>2</xdr:col>
      <xdr:colOff>105038</xdr:colOff>
      <xdr:row>34</xdr:row>
      <xdr:rowOff>34501</xdr:rowOff>
    </xdr:from>
    <xdr:to>
      <xdr:col>2</xdr:col>
      <xdr:colOff>334211</xdr:colOff>
      <xdr:row>34</xdr:row>
      <xdr:rowOff>271810</xdr:rowOff>
    </xdr:to>
    <xdr:pic>
      <xdr:nvPicPr>
        <xdr:cNvPr id="9" name="Рисунок 8" descr="Предупреждение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086613" y="9054676"/>
          <a:ext cx="229173" cy="237309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114204</xdr:colOff>
      <xdr:row>35</xdr:row>
      <xdr:rowOff>47361</xdr:rowOff>
    </xdr:from>
    <xdr:to>
      <xdr:col>2</xdr:col>
      <xdr:colOff>343377</xdr:colOff>
      <xdr:row>36</xdr:row>
      <xdr:rowOff>4391</xdr:rowOff>
    </xdr:to>
    <xdr:pic>
      <xdr:nvPicPr>
        <xdr:cNvPr id="10" name="Рисунок 9" descr="Предупреждение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095779" y="9467586"/>
          <a:ext cx="229173" cy="233255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twoCellAnchor editAs="oneCell">
    <xdr:from>
      <xdr:col>0</xdr:col>
      <xdr:colOff>190499</xdr:colOff>
      <xdr:row>15</xdr:row>
      <xdr:rowOff>27214</xdr:rowOff>
    </xdr:from>
    <xdr:to>
      <xdr:col>0</xdr:col>
      <xdr:colOff>893688</xdr:colOff>
      <xdr:row>17</xdr:row>
      <xdr:rowOff>201819</xdr:rowOff>
    </xdr:to>
    <xdr:pic>
      <xdr:nvPicPr>
        <xdr:cNvPr id="11" name="Рисунок 10" descr="Волшебная палочка (авто) контур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5899709">
          <a:off x="211904" y="3472909"/>
          <a:ext cx="660380" cy="703189"/>
        </a:xfrm>
        <a:prstGeom prst="rect">
          <a:avLst/>
        </a:prstGeom>
        <a:effectLst>
          <a:glow>
            <a:srgbClr val="C00149">
              <a:alpha val="25000"/>
            </a:srgbClr>
          </a:glow>
          <a:softEdge rad="0"/>
        </a:effectLst>
      </xdr:spPr>
    </xdr:pic>
    <xdr:clientData/>
  </xdr:twoCellAnchor>
  <xdr:twoCellAnchor editAs="oneCell">
    <xdr:from>
      <xdr:col>3</xdr:col>
      <xdr:colOff>299354</xdr:colOff>
      <xdr:row>15</xdr:row>
      <xdr:rowOff>13604</xdr:rowOff>
    </xdr:from>
    <xdr:to>
      <xdr:col>3</xdr:col>
      <xdr:colOff>518979</xdr:colOff>
      <xdr:row>15</xdr:row>
      <xdr:rowOff>228501</xdr:rowOff>
    </xdr:to>
    <xdr:pic>
      <xdr:nvPicPr>
        <xdr:cNvPr id="12" name="Рисунок 11" descr="Значок &quot;Крестик&quot; контур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976379" y="3480704"/>
          <a:ext cx="219625" cy="214897"/>
        </a:xfrm>
        <a:prstGeom prst="rect">
          <a:avLst/>
        </a:prstGeom>
      </xdr:spPr>
    </xdr:pic>
    <xdr:clientData/>
  </xdr:twoCellAnchor>
  <xdr:twoCellAnchor>
    <xdr:from>
      <xdr:col>2</xdr:col>
      <xdr:colOff>1415141</xdr:colOff>
      <xdr:row>30</xdr:row>
      <xdr:rowOff>231321</xdr:rowOff>
    </xdr:from>
    <xdr:to>
      <xdr:col>3</xdr:col>
      <xdr:colOff>263757</xdr:colOff>
      <xdr:row>30</xdr:row>
      <xdr:rowOff>359198</xdr:rowOff>
    </xdr:to>
    <xdr:sp macro="" textlink="">
      <xdr:nvSpPr>
        <xdr:cNvPr id="13" name="Стрелка вправо 1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 rot="10800000">
          <a:off x="6396716" y="7584621"/>
          <a:ext cx="544066" cy="127877"/>
        </a:xfrm>
        <a:prstGeom prst="rightArrow">
          <a:avLst/>
        </a:prstGeom>
        <a:solidFill>
          <a:srgbClr val="919BDD"/>
        </a:solidFill>
        <a:ln>
          <a:noFill/>
        </a:ln>
        <a:effectLst>
          <a:glow rad="241300">
            <a:schemeClr val="accent1">
              <a:alpha val="11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ru-RU"/>
        </a:p>
      </xdr:txBody>
    </xdr:sp>
    <xdr:clientData/>
  </xdr:twoCellAnchor>
  <xdr:twoCellAnchor editAs="oneCell">
    <xdr:from>
      <xdr:col>2</xdr:col>
      <xdr:colOff>326572</xdr:colOff>
      <xdr:row>13</xdr:row>
      <xdr:rowOff>13607</xdr:rowOff>
    </xdr:from>
    <xdr:to>
      <xdr:col>2</xdr:col>
      <xdr:colOff>555745</xdr:colOff>
      <xdr:row>14</xdr:row>
      <xdr:rowOff>5215</xdr:rowOff>
    </xdr:to>
    <xdr:pic>
      <xdr:nvPicPr>
        <xdr:cNvPr id="14" name="Рисунок 13" descr="Значок &quot;Галочка1&quot; контур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308147" y="2975882"/>
          <a:ext cx="229173" cy="239258"/>
        </a:xfrm>
        <a:prstGeom prst="rect">
          <a:avLst/>
        </a:prstGeom>
      </xdr:spPr>
    </xdr:pic>
    <xdr:clientData/>
  </xdr:twoCellAnchor>
  <xdr:oneCellAnchor>
    <xdr:from>
      <xdr:col>2</xdr:col>
      <xdr:colOff>326572</xdr:colOff>
      <xdr:row>13</xdr:row>
      <xdr:rowOff>13607</xdr:rowOff>
    </xdr:from>
    <xdr:ext cx="229173" cy="236537"/>
    <xdr:pic>
      <xdr:nvPicPr>
        <xdr:cNvPr id="15" name="Рисунок 14" descr="Значок &quot;Галочка1&quot; контур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308147" y="2975882"/>
          <a:ext cx="229173" cy="236537"/>
        </a:xfrm>
        <a:prstGeom prst="rect">
          <a:avLst/>
        </a:prstGeom>
      </xdr:spPr>
    </xdr:pic>
    <xdr:clientData/>
  </xdr:oneCellAnchor>
  <xdr:oneCellAnchor>
    <xdr:from>
      <xdr:col>2</xdr:col>
      <xdr:colOff>297072</xdr:colOff>
      <xdr:row>16</xdr:row>
      <xdr:rowOff>9549</xdr:rowOff>
    </xdr:from>
    <xdr:ext cx="229173" cy="229734"/>
    <xdr:pic>
      <xdr:nvPicPr>
        <xdr:cNvPr id="16" name="Рисунок 15" descr="Значок &quot;Галочка1&quot; контур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85791" y="3474268"/>
          <a:ext cx="229173" cy="22973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123992</xdr:colOff>
      <xdr:row>6</xdr:row>
      <xdr:rowOff>72457</xdr:rowOff>
    </xdr:from>
    <xdr:ext cx="874150" cy="160178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23992" y="1320232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1</a:t>
          </a:r>
        </a:p>
      </xdr:txBody>
    </xdr:sp>
    <xdr:clientData/>
  </xdr:oneCellAnchor>
  <xdr:twoCellAnchor editAs="oneCell">
    <xdr:from>
      <xdr:col>0</xdr:col>
      <xdr:colOff>36285</xdr:colOff>
      <xdr:row>0</xdr:row>
      <xdr:rowOff>46551</xdr:rowOff>
    </xdr:from>
    <xdr:to>
      <xdr:col>0</xdr:col>
      <xdr:colOff>1350605</xdr:colOff>
      <xdr:row>2</xdr:row>
      <xdr:rowOff>96792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96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85" y="46551"/>
          <a:ext cx="1314320" cy="650316"/>
        </a:xfrm>
        <a:prstGeom prst="rect">
          <a:avLst/>
        </a:prstGeom>
      </xdr:spPr>
    </xdr:pic>
    <xdr:clientData/>
  </xdr:twoCellAnchor>
  <xdr:twoCellAnchor editAs="oneCell">
    <xdr:from>
      <xdr:col>0</xdr:col>
      <xdr:colOff>247390</xdr:colOff>
      <xdr:row>12</xdr:row>
      <xdr:rowOff>239945</xdr:rowOff>
    </xdr:from>
    <xdr:to>
      <xdr:col>0</xdr:col>
      <xdr:colOff>782127</xdr:colOff>
      <xdr:row>15</xdr:row>
      <xdr:rowOff>32431</xdr:rowOff>
    </xdr:to>
    <xdr:pic>
      <xdr:nvPicPr>
        <xdr:cNvPr id="4" name="Рисунок 3" descr="Уход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7390" y="2964095"/>
          <a:ext cx="534737" cy="535436"/>
        </a:xfrm>
        <a:prstGeom prst="rect">
          <a:avLst/>
        </a:prstGeom>
        <a:effectLst>
          <a:glow rad="355600">
            <a:srgbClr val="F2E4EE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38487</xdr:colOff>
      <xdr:row>15</xdr:row>
      <xdr:rowOff>238868</xdr:rowOff>
    </xdr:from>
    <xdr:to>
      <xdr:col>2</xdr:col>
      <xdr:colOff>267660</xdr:colOff>
      <xdr:row>16</xdr:row>
      <xdr:rowOff>232558</xdr:rowOff>
    </xdr:to>
    <xdr:pic>
      <xdr:nvPicPr>
        <xdr:cNvPr id="5" name="Рисунок 4" descr="Предупреждение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20062" y="3705968"/>
          <a:ext cx="229173" cy="231815"/>
        </a:xfrm>
        <a:prstGeom prst="rect">
          <a:avLst/>
        </a:prstGeom>
        <a:effectLst>
          <a:glow rad="203200">
            <a:srgbClr val="F5CF83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297072</xdr:colOff>
      <xdr:row>15</xdr:row>
      <xdr:rowOff>9549</xdr:rowOff>
    </xdr:from>
    <xdr:to>
      <xdr:col>2</xdr:col>
      <xdr:colOff>526245</xdr:colOff>
      <xdr:row>16</xdr:row>
      <xdr:rowOff>1158</xdr:rowOff>
    </xdr:to>
    <xdr:pic>
      <xdr:nvPicPr>
        <xdr:cNvPr id="6" name="Рисунок 5" descr="Значок &quot;Галочка1&quot; контур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278647" y="3476649"/>
          <a:ext cx="229173" cy="229734"/>
        </a:xfrm>
        <a:prstGeom prst="rect">
          <a:avLst/>
        </a:prstGeom>
      </xdr:spPr>
    </xdr:pic>
    <xdr:clientData/>
  </xdr:twoCellAnchor>
  <xdr:oneCellAnchor>
    <xdr:from>
      <xdr:col>0</xdr:col>
      <xdr:colOff>19390</xdr:colOff>
      <xdr:row>23</xdr:row>
      <xdr:rowOff>116337</xdr:rowOff>
    </xdr:from>
    <xdr:ext cx="874150" cy="160178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19390" y="5593212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2</a:t>
          </a:r>
        </a:p>
      </xdr:txBody>
    </xdr:sp>
    <xdr:clientData/>
  </xdr:oneCellAnchor>
  <xdr:twoCellAnchor editAs="oneCell">
    <xdr:from>
      <xdr:col>0</xdr:col>
      <xdr:colOff>54428</xdr:colOff>
      <xdr:row>13</xdr:row>
      <xdr:rowOff>1645</xdr:rowOff>
    </xdr:from>
    <xdr:to>
      <xdr:col>1</xdr:col>
      <xdr:colOff>4880</xdr:colOff>
      <xdr:row>19</xdr:row>
      <xdr:rowOff>94831</xdr:rowOff>
    </xdr:to>
    <xdr:pic>
      <xdr:nvPicPr>
        <xdr:cNvPr id="8" name="Google Shape;25;p2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9">
          <a:alphaModFix/>
        </a:blip>
        <a:stretch>
          <a:fillRect/>
        </a:stretch>
      </xdr:blipFill>
      <xdr:spPr>
        <a:xfrm>
          <a:off x="54428" y="2963920"/>
          <a:ext cx="2484102" cy="156956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85175</xdr:colOff>
      <xdr:row>31</xdr:row>
      <xdr:rowOff>230081</xdr:rowOff>
    </xdr:from>
    <xdr:ext cx="874150" cy="160178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85175" y="8116781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3</a:t>
          </a:r>
        </a:p>
      </xdr:txBody>
    </xdr:sp>
    <xdr:clientData/>
  </xdr:oneCellAnchor>
  <xdr:twoCellAnchor editAs="oneCell">
    <xdr:from>
      <xdr:col>2</xdr:col>
      <xdr:colOff>105038</xdr:colOff>
      <xdr:row>34</xdr:row>
      <xdr:rowOff>34501</xdr:rowOff>
    </xdr:from>
    <xdr:to>
      <xdr:col>2</xdr:col>
      <xdr:colOff>334211</xdr:colOff>
      <xdr:row>34</xdr:row>
      <xdr:rowOff>271810</xdr:rowOff>
    </xdr:to>
    <xdr:pic>
      <xdr:nvPicPr>
        <xdr:cNvPr id="10" name="Рисунок 9" descr="Предупреждение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5086613" y="9054676"/>
          <a:ext cx="229173" cy="237309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114204</xdr:colOff>
      <xdr:row>35</xdr:row>
      <xdr:rowOff>47361</xdr:rowOff>
    </xdr:from>
    <xdr:to>
      <xdr:col>2</xdr:col>
      <xdr:colOff>343377</xdr:colOff>
      <xdr:row>36</xdr:row>
      <xdr:rowOff>4391</xdr:rowOff>
    </xdr:to>
    <xdr:pic>
      <xdr:nvPicPr>
        <xdr:cNvPr id="11" name="Рисунок 10" descr="Предупреждение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5095779" y="9467586"/>
          <a:ext cx="229173" cy="233255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oneCellAnchor>
    <xdr:from>
      <xdr:col>2</xdr:col>
      <xdr:colOff>1009711</xdr:colOff>
      <xdr:row>15</xdr:row>
      <xdr:rowOff>238868</xdr:rowOff>
    </xdr:from>
    <xdr:ext cx="229173" cy="238618"/>
    <xdr:pic>
      <xdr:nvPicPr>
        <xdr:cNvPr id="12" name="Рисунок 11" descr="Предупреждение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91286" y="3705968"/>
          <a:ext cx="229173" cy="238618"/>
        </a:xfrm>
        <a:prstGeom prst="rect">
          <a:avLst/>
        </a:prstGeom>
        <a:effectLst>
          <a:glow rad="203200">
            <a:srgbClr val="F5CF83">
              <a:alpha val="40000"/>
            </a:srgbClr>
          </a:glow>
        </a:effectLst>
      </xdr:spPr>
    </xdr:pic>
    <xdr:clientData/>
  </xdr:oneCellAnchor>
  <xdr:twoCellAnchor editAs="oneCell">
    <xdr:from>
      <xdr:col>0</xdr:col>
      <xdr:colOff>190499</xdr:colOff>
      <xdr:row>15</xdr:row>
      <xdr:rowOff>27214</xdr:rowOff>
    </xdr:from>
    <xdr:to>
      <xdr:col>0</xdr:col>
      <xdr:colOff>893688</xdr:colOff>
      <xdr:row>17</xdr:row>
      <xdr:rowOff>201819</xdr:rowOff>
    </xdr:to>
    <xdr:pic>
      <xdr:nvPicPr>
        <xdr:cNvPr id="13" name="Рисунок 12" descr="Волшебная палочка (авто) контур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rot="15899709">
          <a:off x="211904" y="3472909"/>
          <a:ext cx="660380" cy="703189"/>
        </a:xfrm>
        <a:prstGeom prst="rect">
          <a:avLst/>
        </a:prstGeom>
        <a:effectLst>
          <a:glow>
            <a:srgbClr val="C00149">
              <a:alpha val="25000"/>
            </a:srgbClr>
          </a:glow>
          <a:softEdge rad="0"/>
        </a:effectLst>
      </xdr:spPr>
    </xdr:pic>
    <xdr:clientData/>
  </xdr:twoCellAnchor>
  <xdr:twoCellAnchor editAs="oneCell">
    <xdr:from>
      <xdr:col>3</xdr:col>
      <xdr:colOff>299354</xdr:colOff>
      <xdr:row>15</xdr:row>
      <xdr:rowOff>13604</xdr:rowOff>
    </xdr:from>
    <xdr:to>
      <xdr:col>3</xdr:col>
      <xdr:colOff>518979</xdr:colOff>
      <xdr:row>15</xdr:row>
      <xdr:rowOff>228501</xdr:rowOff>
    </xdr:to>
    <xdr:pic>
      <xdr:nvPicPr>
        <xdr:cNvPr id="14" name="Рисунок 13" descr="Значок &quot;Крестик&quot; контур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6976379" y="3480704"/>
          <a:ext cx="219625" cy="214897"/>
        </a:xfrm>
        <a:prstGeom prst="rect">
          <a:avLst/>
        </a:prstGeom>
      </xdr:spPr>
    </xdr:pic>
    <xdr:clientData/>
  </xdr:twoCellAnchor>
  <xdr:twoCellAnchor>
    <xdr:from>
      <xdr:col>2</xdr:col>
      <xdr:colOff>1415141</xdr:colOff>
      <xdr:row>30</xdr:row>
      <xdr:rowOff>231321</xdr:rowOff>
    </xdr:from>
    <xdr:to>
      <xdr:col>3</xdr:col>
      <xdr:colOff>263757</xdr:colOff>
      <xdr:row>30</xdr:row>
      <xdr:rowOff>359198</xdr:rowOff>
    </xdr:to>
    <xdr:sp macro="" textlink="">
      <xdr:nvSpPr>
        <xdr:cNvPr id="15" name="Стрелка вправо 16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 rot="10800000">
          <a:off x="6396716" y="7584621"/>
          <a:ext cx="544066" cy="127877"/>
        </a:xfrm>
        <a:prstGeom prst="rightArrow">
          <a:avLst/>
        </a:prstGeom>
        <a:solidFill>
          <a:srgbClr val="919BDD"/>
        </a:solidFill>
        <a:ln>
          <a:noFill/>
        </a:ln>
        <a:effectLst>
          <a:glow rad="241300">
            <a:schemeClr val="accent1">
              <a:alpha val="11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ru-RU"/>
        </a:p>
      </xdr:txBody>
    </xdr:sp>
    <xdr:clientData/>
  </xdr:twoCellAnchor>
  <xdr:twoCellAnchor>
    <xdr:from>
      <xdr:col>2</xdr:col>
      <xdr:colOff>1415141</xdr:colOff>
      <xdr:row>29</xdr:row>
      <xdr:rowOff>122463</xdr:rowOff>
    </xdr:from>
    <xdr:to>
      <xdr:col>3</xdr:col>
      <xdr:colOff>263757</xdr:colOff>
      <xdr:row>29</xdr:row>
      <xdr:rowOff>250340</xdr:rowOff>
    </xdr:to>
    <xdr:sp macro="" textlink="">
      <xdr:nvSpPr>
        <xdr:cNvPr id="16" name="Стрелка вправо 16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 rot="10800000">
          <a:off x="6396716" y="7028088"/>
          <a:ext cx="544066" cy="127877"/>
        </a:xfrm>
        <a:prstGeom prst="rightArrow">
          <a:avLst/>
        </a:prstGeom>
        <a:solidFill>
          <a:srgbClr val="919BDD"/>
        </a:solidFill>
        <a:ln>
          <a:noFill/>
        </a:ln>
        <a:effectLst>
          <a:glow rad="241300">
            <a:schemeClr val="accent1">
              <a:alpha val="11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ru-RU"/>
        </a:p>
      </xdr:txBody>
    </xdr:sp>
    <xdr:clientData/>
  </xdr:twoCellAnchor>
  <xdr:twoCellAnchor editAs="oneCell">
    <xdr:from>
      <xdr:col>2</xdr:col>
      <xdr:colOff>326572</xdr:colOff>
      <xdr:row>13</xdr:row>
      <xdr:rowOff>13607</xdr:rowOff>
    </xdr:from>
    <xdr:to>
      <xdr:col>2</xdr:col>
      <xdr:colOff>555745</xdr:colOff>
      <xdr:row>14</xdr:row>
      <xdr:rowOff>5215</xdr:rowOff>
    </xdr:to>
    <xdr:pic>
      <xdr:nvPicPr>
        <xdr:cNvPr id="17" name="Рисунок 16" descr="Значок &quot;Галочка1&quot; контур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308147" y="2975882"/>
          <a:ext cx="229173" cy="239258"/>
        </a:xfrm>
        <a:prstGeom prst="rect">
          <a:avLst/>
        </a:prstGeom>
      </xdr:spPr>
    </xdr:pic>
    <xdr:clientData/>
  </xdr:twoCellAnchor>
  <xdr:oneCellAnchor>
    <xdr:from>
      <xdr:col>2</xdr:col>
      <xdr:colOff>326572</xdr:colOff>
      <xdr:row>13</xdr:row>
      <xdr:rowOff>13607</xdr:rowOff>
    </xdr:from>
    <xdr:ext cx="229173" cy="236537"/>
    <xdr:pic>
      <xdr:nvPicPr>
        <xdr:cNvPr id="18" name="Рисунок 17" descr="Значок &quot;Галочка1&quot; контур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308147" y="2975882"/>
          <a:ext cx="229173" cy="23653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123992</xdr:colOff>
      <xdr:row>6</xdr:row>
      <xdr:rowOff>72457</xdr:rowOff>
    </xdr:from>
    <xdr:ext cx="874150" cy="160178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123992" y="1320232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1</a:t>
          </a:r>
        </a:p>
      </xdr:txBody>
    </xdr:sp>
    <xdr:clientData/>
  </xdr:oneCellAnchor>
  <xdr:twoCellAnchor editAs="oneCell">
    <xdr:from>
      <xdr:col>0</xdr:col>
      <xdr:colOff>36285</xdr:colOff>
      <xdr:row>0</xdr:row>
      <xdr:rowOff>46551</xdr:rowOff>
    </xdr:from>
    <xdr:to>
      <xdr:col>0</xdr:col>
      <xdr:colOff>1350605</xdr:colOff>
      <xdr:row>2</xdr:row>
      <xdr:rowOff>96792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96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85" y="46551"/>
          <a:ext cx="1314320" cy="650316"/>
        </a:xfrm>
        <a:prstGeom prst="rect">
          <a:avLst/>
        </a:prstGeom>
      </xdr:spPr>
    </xdr:pic>
    <xdr:clientData/>
  </xdr:twoCellAnchor>
  <xdr:twoCellAnchor editAs="oneCell">
    <xdr:from>
      <xdr:col>0</xdr:col>
      <xdr:colOff>247390</xdr:colOff>
      <xdr:row>12</xdr:row>
      <xdr:rowOff>239945</xdr:rowOff>
    </xdr:from>
    <xdr:to>
      <xdr:col>0</xdr:col>
      <xdr:colOff>782127</xdr:colOff>
      <xdr:row>15</xdr:row>
      <xdr:rowOff>32431</xdr:rowOff>
    </xdr:to>
    <xdr:pic>
      <xdr:nvPicPr>
        <xdr:cNvPr id="4" name="Рисунок 3" descr="Уход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7390" y="2964095"/>
          <a:ext cx="534737" cy="535436"/>
        </a:xfrm>
        <a:prstGeom prst="rect">
          <a:avLst/>
        </a:prstGeom>
        <a:effectLst>
          <a:glow rad="355600">
            <a:srgbClr val="F2E4EE">
              <a:alpha val="40000"/>
            </a:srgbClr>
          </a:glow>
        </a:effectLst>
      </xdr:spPr>
    </xdr:pic>
    <xdr:clientData/>
  </xdr:twoCellAnchor>
  <xdr:oneCellAnchor>
    <xdr:from>
      <xdr:col>0</xdr:col>
      <xdr:colOff>19390</xdr:colOff>
      <xdr:row>18</xdr:row>
      <xdr:rowOff>116337</xdr:rowOff>
    </xdr:from>
    <xdr:ext cx="874150" cy="160178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19390" y="4316862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2</a:t>
          </a:r>
        </a:p>
      </xdr:txBody>
    </xdr:sp>
    <xdr:clientData/>
  </xdr:oneCellAnchor>
  <xdr:twoCellAnchor editAs="oneCell">
    <xdr:from>
      <xdr:col>0</xdr:col>
      <xdr:colOff>0</xdr:colOff>
      <xdr:row>9</xdr:row>
      <xdr:rowOff>163285</xdr:rowOff>
    </xdr:from>
    <xdr:to>
      <xdr:col>0</xdr:col>
      <xdr:colOff>2481381</xdr:colOff>
      <xdr:row>16</xdr:row>
      <xdr:rowOff>65972</xdr:rowOff>
    </xdr:to>
    <xdr:pic>
      <xdr:nvPicPr>
        <xdr:cNvPr id="6" name="Google Shape;25;p2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>
          <a:alphaModFix/>
        </a:blip>
        <a:stretch>
          <a:fillRect/>
        </a:stretch>
      </xdr:blipFill>
      <xdr:spPr>
        <a:xfrm>
          <a:off x="0" y="2211160"/>
          <a:ext cx="2481381" cy="156003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85175</xdr:colOff>
      <xdr:row>22</xdr:row>
      <xdr:rowOff>230081</xdr:rowOff>
    </xdr:from>
    <xdr:ext cx="874150" cy="160178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85175" y="5906981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3</a:t>
          </a:r>
        </a:p>
      </xdr:txBody>
    </xdr:sp>
    <xdr:clientData/>
  </xdr:oneCellAnchor>
  <xdr:twoCellAnchor editAs="oneCell">
    <xdr:from>
      <xdr:col>2</xdr:col>
      <xdr:colOff>105038</xdr:colOff>
      <xdr:row>25</xdr:row>
      <xdr:rowOff>75322</xdr:rowOff>
    </xdr:from>
    <xdr:to>
      <xdr:col>2</xdr:col>
      <xdr:colOff>334211</xdr:colOff>
      <xdr:row>25</xdr:row>
      <xdr:rowOff>312631</xdr:rowOff>
    </xdr:to>
    <xdr:pic>
      <xdr:nvPicPr>
        <xdr:cNvPr id="8" name="Рисунок 7" descr="Предупреждение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086613" y="6819022"/>
          <a:ext cx="229173" cy="237309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114204</xdr:colOff>
      <xdr:row>25</xdr:row>
      <xdr:rowOff>414755</xdr:rowOff>
    </xdr:from>
    <xdr:to>
      <xdr:col>2</xdr:col>
      <xdr:colOff>343377</xdr:colOff>
      <xdr:row>26</xdr:row>
      <xdr:rowOff>194892</xdr:rowOff>
    </xdr:to>
    <xdr:pic>
      <xdr:nvPicPr>
        <xdr:cNvPr id="9" name="Рисунок 8" descr="Предупреждение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095779" y="7158455"/>
          <a:ext cx="229173" cy="227812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twoCellAnchor>
    <xdr:from>
      <xdr:col>2</xdr:col>
      <xdr:colOff>1238250</xdr:colOff>
      <xdr:row>21</xdr:row>
      <xdr:rowOff>149677</xdr:rowOff>
    </xdr:from>
    <xdr:to>
      <xdr:col>3</xdr:col>
      <xdr:colOff>86866</xdr:colOff>
      <xdr:row>21</xdr:row>
      <xdr:rowOff>277554</xdr:rowOff>
    </xdr:to>
    <xdr:sp macro="" textlink="">
      <xdr:nvSpPr>
        <xdr:cNvPr id="10" name="Стрелка вправо 16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 rot="10800000">
          <a:off x="6219825" y="5397952"/>
          <a:ext cx="163066" cy="127877"/>
        </a:xfrm>
        <a:prstGeom prst="rightArrow">
          <a:avLst/>
        </a:prstGeom>
        <a:solidFill>
          <a:srgbClr val="919BDD"/>
        </a:solidFill>
        <a:ln>
          <a:noFill/>
        </a:ln>
        <a:effectLst>
          <a:glow rad="241300">
            <a:schemeClr val="accent1">
              <a:alpha val="11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ru-RU"/>
        </a:p>
      </xdr:txBody>
    </xdr:sp>
    <xdr:clientData/>
  </xdr:twoCellAnchor>
  <xdr:twoCellAnchor editAs="oneCell">
    <xdr:from>
      <xdr:col>2</xdr:col>
      <xdr:colOff>326572</xdr:colOff>
      <xdr:row>13</xdr:row>
      <xdr:rowOff>13607</xdr:rowOff>
    </xdr:from>
    <xdr:to>
      <xdr:col>2</xdr:col>
      <xdr:colOff>555745</xdr:colOff>
      <xdr:row>14</xdr:row>
      <xdr:rowOff>5215</xdr:rowOff>
    </xdr:to>
    <xdr:pic>
      <xdr:nvPicPr>
        <xdr:cNvPr id="11" name="Рисунок 10" descr="Значок &quot;Галочка1&quot; контур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308147" y="2975882"/>
          <a:ext cx="229173" cy="239258"/>
        </a:xfrm>
        <a:prstGeom prst="rect">
          <a:avLst/>
        </a:prstGeom>
      </xdr:spPr>
    </xdr:pic>
    <xdr:clientData/>
  </xdr:twoCellAnchor>
  <xdr:oneCellAnchor>
    <xdr:from>
      <xdr:col>2</xdr:col>
      <xdr:colOff>326572</xdr:colOff>
      <xdr:row>13</xdr:row>
      <xdr:rowOff>13607</xdr:rowOff>
    </xdr:from>
    <xdr:ext cx="229173" cy="236537"/>
    <xdr:pic>
      <xdr:nvPicPr>
        <xdr:cNvPr id="12" name="Рисунок 11" descr="Значок &quot;Галочка1&quot; контур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308147" y="2975882"/>
          <a:ext cx="229173" cy="23653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123992</xdr:colOff>
      <xdr:row>6</xdr:row>
      <xdr:rowOff>72457</xdr:rowOff>
    </xdr:from>
    <xdr:ext cx="874150" cy="160178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123992" y="1320232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1</a:t>
          </a:r>
        </a:p>
      </xdr:txBody>
    </xdr:sp>
    <xdr:clientData/>
  </xdr:oneCellAnchor>
  <xdr:twoCellAnchor editAs="oneCell">
    <xdr:from>
      <xdr:col>0</xdr:col>
      <xdr:colOff>36285</xdr:colOff>
      <xdr:row>0</xdr:row>
      <xdr:rowOff>46551</xdr:rowOff>
    </xdr:from>
    <xdr:to>
      <xdr:col>0</xdr:col>
      <xdr:colOff>1350605</xdr:colOff>
      <xdr:row>2</xdr:row>
      <xdr:rowOff>96792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96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85" y="46551"/>
          <a:ext cx="1314320" cy="650316"/>
        </a:xfrm>
        <a:prstGeom prst="rect">
          <a:avLst/>
        </a:prstGeom>
      </xdr:spPr>
    </xdr:pic>
    <xdr:clientData/>
  </xdr:twoCellAnchor>
  <xdr:twoCellAnchor editAs="oneCell">
    <xdr:from>
      <xdr:col>0</xdr:col>
      <xdr:colOff>247390</xdr:colOff>
      <xdr:row>12</xdr:row>
      <xdr:rowOff>239945</xdr:rowOff>
    </xdr:from>
    <xdr:to>
      <xdr:col>0</xdr:col>
      <xdr:colOff>782127</xdr:colOff>
      <xdr:row>15</xdr:row>
      <xdr:rowOff>32432</xdr:rowOff>
    </xdr:to>
    <xdr:pic>
      <xdr:nvPicPr>
        <xdr:cNvPr id="4" name="Рисунок 3" descr="Уход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7390" y="2964095"/>
          <a:ext cx="534737" cy="535436"/>
        </a:xfrm>
        <a:prstGeom prst="rect">
          <a:avLst/>
        </a:prstGeom>
        <a:effectLst>
          <a:glow rad="355600">
            <a:srgbClr val="F2E4EE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38487</xdr:colOff>
      <xdr:row>15</xdr:row>
      <xdr:rowOff>238868</xdr:rowOff>
    </xdr:from>
    <xdr:to>
      <xdr:col>2</xdr:col>
      <xdr:colOff>267660</xdr:colOff>
      <xdr:row>16</xdr:row>
      <xdr:rowOff>232557</xdr:rowOff>
    </xdr:to>
    <xdr:pic>
      <xdr:nvPicPr>
        <xdr:cNvPr id="5" name="Рисунок 4" descr="Предупреждение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20062" y="3705968"/>
          <a:ext cx="229173" cy="231815"/>
        </a:xfrm>
        <a:prstGeom prst="rect">
          <a:avLst/>
        </a:prstGeom>
        <a:effectLst>
          <a:glow rad="203200">
            <a:srgbClr val="F5CF83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297072</xdr:colOff>
      <xdr:row>15</xdr:row>
      <xdr:rowOff>9549</xdr:rowOff>
    </xdr:from>
    <xdr:to>
      <xdr:col>2</xdr:col>
      <xdr:colOff>526245</xdr:colOff>
      <xdr:row>16</xdr:row>
      <xdr:rowOff>1157</xdr:rowOff>
    </xdr:to>
    <xdr:pic>
      <xdr:nvPicPr>
        <xdr:cNvPr id="6" name="Рисунок 5" descr="Значок &quot;Галочка1&quot; контур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278647" y="3476649"/>
          <a:ext cx="229173" cy="229734"/>
        </a:xfrm>
        <a:prstGeom prst="rect">
          <a:avLst/>
        </a:prstGeom>
      </xdr:spPr>
    </xdr:pic>
    <xdr:clientData/>
  </xdr:twoCellAnchor>
  <xdr:oneCellAnchor>
    <xdr:from>
      <xdr:col>0</xdr:col>
      <xdr:colOff>19390</xdr:colOff>
      <xdr:row>23</xdr:row>
      <xdr:rowOff>116337</xdr:rowOff>
    </xdr:from>
    <xdr:ext cx="874150" cy="160178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19390" y="5593212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2</a:t>
          </a:r>
        </a:p>
      </xdr:txBody>
    </xdr:sp>
    <xdr:clientData/>
  </xdr:oneCellAnchor>
  <xdr:twoCellAnchor editAs="oneCell">
    <xdr:from>
      <xdr:col>0</xdr:col>
      <xdr:colOff>54428</xdr:colOff>
      <xdr:row>13</xdr:row>
      <xdr:rowOff>1645</xdr:rowOff>
    </xdr:from>
    <xdr:to>
      <xdr:col>1</xdr:col>
      <xdr:colOff>4880</xdr:colOff>
      <xdr:row>19</xdr:row>
      <xdr:rowOff>94831</xdr:rowOff>
    </xdr:to>
    <xdr:pic>
      <xdr:nvPicPr>
        <xdr:cNvPr id="8" name="Google Shape;25;p2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9">
          <a:alphaModFix/>
        </a:blip>
        <a:stretch>
          <a:fillRect/>
        </a:stretch>
      </xdr:blipFill>
      <xdr:spPr>
        <a:xfrm>
          <a:off x="54428" y="2963920"/>
          <a:ext cx="2484102" cy="156956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85175</xdr:colOff>
      <xdr:row>31</xdr:row>
      <xdr:rowOff>230081</xdr:rowOff>
    </xdr:from>
    <xdr:ext cx="874150" cy="160178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85175" y="8116781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3</a:t>
          </a:r>
        </a:p>
      </xdr:txBody>
    </xdr:sp>
    <xdr:clientData/>
  </xdr:oneCellAnchor>
  <xdr:twoCellAnchor editAs="oneCell">
    <xdr:from>
      <xdr:col>2</xdr:col>
      <xdr:colOff>105038</xdr:colOff>
      <xdr:row>34</xdr:row>
      <xdr:rowOff>34501</xdr:rowOff>
    </xdr:from>
    <xdr:to>
      <xdr:col>2</xdr:col>
      <xdr:colOff>334211</xdr:colOff>
      <xdr:row>34</xdr:row>
      <xdr:rowOff>271810</xdr:rowOff>
    </xdr:to>
    <xdr:pic>
      <xdr:nvPicPr>
        <xdr:cNvPr id="10" name="Рисунок 9" descr="Предупреждение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5086613" y="9054676"/>
          <a:ext cx="229173" cy="237309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114204</xdr:colOff>
      <xdr:row>35</xdr:row>
      <xdr:rowOff>47361</xdr:rowOff>
    </xdr:from>
    <xdr:to>
      <xdr:col>2</xdr:col>
      <xdr:colOff>343377</xdr:colOff>
      <xdr:row>36</xdr:row>
      <xdr:rowOff>4391</xdr:rowOff>
    </xdr:to>
    <xdr:pic>
      <xdr:nvPicPr>
        <xdr:cNvPr id="11" name="Рисунок 10" descr="Предупреждение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5095779" y="9467586"/>
          <a:ext cx="229173" cy="233255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oneCellAnchor>
    <xdr:from>
      <xdr:col>2</xdr:col>
      <xdr:colOff>1009711</xdr:colOff>
      <xdr:row>15</xdr:row>
      <xdr:rowOff>238868</xdr:rowOff>
    </xdr:from>
    <xdr:ext cx="229173" cy="238618"/>
    <xdr:pic>
      <xdr:nvPicPr>
        <xdr:cNvPr id="12" name="Рисунок 11" descr="Предупреждение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91286" y="3705968"/>
          <a:ext cx="229173" cy="238618"/>
        </a:xfrm>
        <a:prstGeom prst="rect">
          <a:avLst/>
        </a:prstGeom>
        <a:effectLst>
          <a:glow rad="203200">
            <a:srgbClr val="F5CF83">
              <a:alpha val="40000"/>
            </a:srgbClr>
          </a:glow>
        </a:effectLst>
      </xdr:spPr>
    </xdr:pic>
    <xdr:clientData/>
  </xdr:oneCellAnchor>
  <xdr:twoCellAnchor editAs="oneCell">
    <xdr:from>
      <xdr:col>0</xdr:col>
      <xdr:colOff>190499</xdr:colOff>
      <xdr:row>15</xdr:row>
      <xdr:rowOff>27214</xdr:rowOff>
    </xdr:from>
    <xdr:to>
      <xdr:col>0</xdr:col>
      <xdr:colOff>893688</xdr:colOff>
      <xdr:row>17</xdr:row>
      <xdr:rowOff>201819</xdr:rowOff>
    </xdr:to>
    <xdr:pic>
      <xdr:nvPicPr>
        <xdr:cNvPr id="13" name="Рисунок 12" descr="Волшебная палочка (авто) контур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rot="15899709">
          <a:off x="211904" y="3472909"/>
          <a:ext cx="660380" cy="703189"/>
        </a:xfrm>
        <a:prstGeom prst="rect">
          <a:avLst/>
        </a:prstGeom>
        <a:effectLst>
          <a:glow>
            <a:srgbClr val="C00149">
              <a:alpha val="25000"/>
            </a:srgbClr>
          </a:glow>
          <a:softEdge rad="0"/>
        </a:effectLst>
      </xdr:spPr>
    </xdr:pic>
    <xdr:clientData/>
  </xdr:twoCellAnchor>
  <xdr:twoCellAnchor editAs="oneCell">
    <xdr:from>
      <xdr:col>3</xdr:col>
      <xdr:colOff>299354</xdr:colOff>
      <xdr:row>15</xdr:row>
      <xdr:rowOff>13604</xdr:rowOff>
    </xdr:from>
    <xdr:to>
      <xdr:col>3</xdr:col>
      <xdr:colOff>518979</xdr:colOff>
      <xdr:row>15</xdr:row>
      <xdr:rowOff>228501</xdr:rowOff>
    </xdr:to>
    <xdr:pic>
      <xdr:nvPicPr>
        <xdr:cNvPr id="14" name="Рисунок 13" descr="Значок &quot;Крестик&quot; контур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6976379" y="3480704"/>
          <a:ext cx="219625" cy="214897"/>
        </a:xfrm>
        <a:prstGeom prst="rect">
          <a:avLst/>
        </a:prstGeom>
      </xdr:spPr>
    </xdr:pic>
    <xdr:clientData/>
  </xdr:twoCellAnchor>
  <xdr:twoCellAnchor>
    <xdr:from>
      <xdr:col>2</xdr:col>
      <xdr:colOff>1415141</xdr:colOff>
      <xdr:row>30</xdr:row>
      <xdr:rowOff>204107</xdr:rowOff>
    </xdr:from>
    <xdr:to>
      <xdr:col>3</xdr:col>
      <xdr:colOff>263757</xdr:colOff>
      <xdr:row>30</xdr:row>
      <xdr:rowOff>331984</xdr:rowOff>
    </xdr:to>
    <xdr:sp macro="" textlink="">
      <xdr:nvSpPr>
        <xdr:cNvPr id="15" name="Стрелка вправо 16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/>
      </xdr:nvSpPr>
      <xdr:spPr>
        <a:xfrm rot="10800000">
          <a:off x="6395355" y="7592786"/>
          <a:ext cx="549509" cy="127877"/>
        </a:xfrm>
        <a:prstGeom prst="rightArrow">
          <a:avLst/>
        </a:prstGeom>
        <a:solidFill>
          <a:srgbClr val="919BDD"/>
        </a:solidFill>
        <a:ln>
          <a:noFill/>
        </a:ln>
        <a:effectLst>
          <a:glow rad="241300">
            <a:schemeClr val="accent1">
              <a:alpha val="11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ru-RU"/>
        </a:p>
      </xdr:txBody>
    </xdr:sp>
    <xdr:clientData/>
  </xdr:twoCellAnchor>
  <xdr:twoCellAnchor>
    <xdr:from>
      <xdr:col>2</xdr:col>
      <xdr:colOff>1415141</xdr:colOff>
      <xdr:row>29</xdr:row>
      <xdr:rowOff>176891</xdr:rowOff>
    </xdr:from>
    <xdr:to>
      <xdr:col>3</xdr:col>
      <xdr:colOff>263757</xdr:colOff>
      <xdr:row>29</xdr:row>
      <xdr:rowOff>304768</xdr:rowOff>
    </xdr:to>
    <xdr:sp macro="" textlink="">
      <xdr:nvSpPr>
        <xdr:cNvPr id="16" name="Стрелка вправо 16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/>
      </xdr:nvSpPr>
      <xdr:spPr>
        <a:xfrm rot="10800000">
          <a:off x="6395355" y="7116534"/>
          <a:ext cx="549509" cy="127877"/>
        </a:xfrm>
        <a:prstGeom prst="rightArrow">
          <a:avLst/>
        </a:prstGeom>
        <a:solidFill>
          <a:srgbClr val="919BDD"/>
        </a:solidFill>
        <a:ln>
          <a:noFill/>
        </a:ln>
        <a:effectLst>
          <a:glow rad="241300">
            <a:schemeClr val="accent1">
              <a:alpha val="11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ru-RU"/>
        </a:p>
      </xdr:txBody>
    </xdr:sp>
    <xdr:clientData/>
  </xdr:twoCellAnchor>
  <xdr:twoCellAnchor editAs="oneCell">
    <xdr:from>
      <xdr:col>2</xdr:col>
      <xdr:colOff>326572</xdr:colOff>
      <xdr:row>13</xdr:row>
      <xdr:rowOff>13607</xdr:rowOff>
    </xdr:from>
    <xdr:to>
      <xdr:col>2</xdr:col>
      <xdr:colOff>555745</xdr:colOff>
      <xdr:row>14</xdr:row>
      <xdr:rowOff>5215</xdr:rowOff>
    </xdr:to>
    <xdr:pic>
      <xdr:nvPicPr>
        <xdr:cNvPr id="17" name="Рисунок 16" descr="Значок &quot;Галочка1&quot; контур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308147" y="2975882"/>
          <a:ext cx="229173" cy="239258"/>
        </a:xfrm>
        <a:prstGeom prst="rect">
          <a:avLst/>
        </a:prstGeom>
      </xdr:spPr>
    </xdr:pic>
    <xdr:clientData/>
  </xdr:twoCellAnchor>
  <xdr:oneCellAnchor>
    <xdr:from>
      <xdr:col>2</xdr:col>
      <xdr:colOff>326572</xdr:colOff>
      <xdr:row>13</xdr:row>
      <xdr:rowOff>13607</xdr:rowOff>
    </xdr:from>
    <xdr:ext cx="229173" cy="236537"/>
    <xdr:pic>
      <xdr:nvPicPr>
        <xdr:cNvPr id="18" name="Рисунок 17" descr="Значок &quot;Галочка1&quot; контур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308147" y="2975882"/>
          <a:ext cx="229173" cy="236537"/>
        </a:xfrm>
        <a:prstGeom prst="rect">
          <a:avLst/>
        </a:prstGeom>
      </xdr:spPr>
    </xdr:pic>
    <xdr:clientData/>
  </xdr:oneCellAnchor>
  <xdr:oneCellAnchor>
    <xdr:from>
      <xdr:col>2</xdr:col>
      <xdr:colOff>326572</xdr:colOff>
      <xdr:row>13</xdr:row>
      <xdr:rowOff>13607</xdr:rowOff>
    </xdr:from>
    <xdr:ext cx="229173" cy="236537"/>
    <xdr:pic>
      <xdr:nvPicPr>
        <xdr:cNvPr id="19" name="Рисунок 18" descr="Значок &quot;Галочка1&quot; контур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306786" y="2993571"/>
          <a:ext cx="229173" cy="236537"/>
        </a:xfrm>
        <a:prstGeom prst="rect">
          <a:avLst/>
        </a:prstGeom>
      </xdr:spPr>
    </xdr:pic>
    <xdr:clientData/>
  </xdr:oneCellAnchor>
  <xdr:oneCellAnchor>
    <xdr:from>
      <xdr:col>2</xdr:col>
      <xdr:colOff>326572</xdr:colOff>
      <xdr:row>13</xdr:row>
      <xdr:rowOff>13607</xdr:rowOff>
    </xdr:from>
    <xdr:ext cx="229173" cy="236537"/>
    <xdr:pic>
      <xdr:nvPicPr>
        <xdr:cNvPr id="20" name="Рисунок 19" descr="Значок &quot;Галочка1&quot; контур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306786" y="2993571"/>
          <a:ext cx="229173" cy="236537"/>
        </a:xfrm>
        <a:prstGeom prst="rect">
          <a:avLst/>
        </a:prstGeom>
      </xdr:spPr>
    </xdr:pic>
    <xdr:clientData/>
  </xdr:oneCellAnchor>
  <xdr:twoCellAnchor editAs="oneCell">
    <xdr:from>
      <xdr:col>2</xdr:col>
      <xdr:colOff>326572</xdr:colOff>
      <xdr:row>13</xdr:row>
      <xdr:rowOff>13607</xdr:rowOff>
    </xdr:from>
    <xdr:to>
      <xdr:col>2</xdr:col>
      <xdr:colOff>555745</xdr:colOff>
      <xdr:row>14</xdr:row>
      <xdr:rowOff>5215</xdr:rowOff>
    </xdr:to>
    <xdr:pic>
      <xdr:nvPicPr>
        <xdr:cNvPr id="21" name="Рисунок 20" descr="Значок &quot;Галочка1&quot; контур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308147" y="3318782"/>
          <a:ext cx="229173" cy="239258"/>
        </a:xfrm>
        <a:prstGeom prst="rect">
          <a:avLst/>
        </a:prstGeom>
      </xdr:spPr>
    </xdr:pic>
    <xdr:clientData/>
  </xdr:twoCellAnchor>
  <xdr:oneCellAnchor>
    <xdr:from>
      <xdr:col>2</xdr:col>
      <xdr:colOff>326572</xdr:colOff>
      <xdr:row>13</xdr:row>
      <xdr:rowOff>13607</xdr:rowOff>
    </xdr:from>
    <xdr:ext cx="229173" cy="236537"/>
    <xdr:pic>
      <xdr:nvPicPr>
        <xdr:cNvPr id="22" name="Рисунок 21" descr="Значок &quot;Галочка1&quot; контур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308147" y="3318782"/>
          <a:ext cx="229173" cy="23653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172658</xdr:colOff>
      <xdr:row>0</xdr:row>
      <xdr:rowOff>119776</xdr:rowOff>
    </xdr:from>
    <xdr:to>
      <xdr:col>0</xdr:col>
      <xdr:colOff>1486978</xdr:colOff>
      <xdr:row>1</xdr:row>
      <xdr:rowOff>384718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96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658" y="119776"/>
          <a:ext cx="1314320" cy="659549"/>
        </a:xfrm>
        <a:prstGeom prst="rect">
          <a:avLst/>
        </a:prstGeom>
      </xdr:spPr>
    </xdr:pic>
    <xdr:clientData/>
  </xdr:twoCellAnchor>
  <xdr:oneCellAnchor>
    <xdr:from>
      <xdr:col>0</xdr:col>
      <xdr:colOff>198120</xdr:colOff>
      <xdr:row>6</xdr:row>
      <xdr:rowOff>86360</xdr:rowOff>
    </xdr:from>
    <xdr:ext cx="874150" cy="160178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198120" y="1657985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1</a:t>
          </a:r>
        </a:p>
      </xdr:txBody>
    </xdr:sp>
    <xdr:clientData/>
  </xdr:oneCellAnchor>
  <xdr:twoCellAnchor editAs="oneCell">
    <xdr:from>
      <xdr:col>0</xdr:col>
      <xdr:colOff>160405</xdr:colOff>
      <xdr:row>14</xdr:row>
      <xdr:rowOff>11776</xdr:rowOff>
    </xdr:from>
    <xdr:to>
      <xdr:col>0</xdr:col>
      <xdr:colOff>695142</xdr:colOff>
      <xdr:row>15</xdr:row>
      <xdr:rowOff>270280</xdr:rowOff>
    </xdr:to>
    <xdr:pic>
      <xdr:nvPicPr>
        <xdr:cNvPr id="4" name="Рисунок 3" descr="Уход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0405" y="3507451"/>
          <a:ext cx="534737" cy="534729"/>
        </a:xfrm>
        <a:prstGeom prst="rect">
          <a:avLst/>
        </a:prstGeom>
        <a:effectLst>
          <a:glow rad="355600">
            <a:srgbClr val="7C84EA">
              <a:alpha val="40000"/>
            </a:srgbClr>
          </a:glow>
        </a:effectLst>
      </xdr:spPr>
    </xdr:pic>
    <xdr:clientData/>
  </xdr:twoCellAnchor>
  <xdr:twoCellAnchor editAs="oneCell">
    <xdr:from>
      <xdr:col>0</xdr:col>
      <xdr:colOff>372341</xdr:colOff>
      <xdr:row>13</xdr:row>
      <xdr:rowOff>182346</xdr:rowOff>
    </xdr:from>
    <xdr:to>
      <xdr:col>1</xdr:col>
      <xdr:colOff>293598</xdr:colOff>
      <xdr:row>16</xdr:row>
      <xdr:rowOff>81229</xdr:rowOff>
    </xdr:to>
    <xdr:pic>
      <xdr:nvPicPr>
        <xdr:cNvPr id="5" name="Google Shape;25;p2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5">
          <a:alphaModFix/>
        </a:blip>
        <a:stretch>
          <a:fillRect/>
        </a:stretch>
      </xdr:blipFill>
      <xdr:spPr>
        <a:xfrm>
          <a:off x="372341" y="3411321"/>
          <a:ext cx="2702557" cy="756133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210820</xdr:colOff>
      <xdr:row>22</xdr:row>
      <xdr:rowOff>162560</xdr:rowOff>
    </xdr:from>
    <xdr:ext cx="874150" cy="16017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>
          <a:off x="210820" y="4953635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2</a:t>
          </a:r>
        </a:p>
      </xdr:txBody>
    </xdr:sp>
    <xdr:clientData/>
  </xdr:oneCellAnchor>
  <xdr:oneCellAnchor>
    <xdr:from>
      <xdr:col>0</xdr:col>
      <xdr:colOff>90362</xdr:colOff>
      <xdr:row>34</xdr:row>
      <xdr:rowOff>501226</xdr:rowOff>
    </xdr:from>
    <xdr:ext cx="874150" cy="160178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 txBox="1"/>
      </xdr:nvSpPr>
      <xdr:spPr>
        <a:xfrm>
          <a:off x="90362" y="8597476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3</a:t>
          </a:r>
        </a:p>
      </xdr:txBody>
    </xdr:sp>
    <xdr:clientData/>
  </xdr:oneCellAnchor>
  <xdr:twoCellAnchor editAs="oneCell">
    <xdr:from>
      <xdr:col>1</xdr:col>
      <xdr:colOff>255920</xdr:colOff>
      <xdr:row>41</xdr:row>
      <xdr:rowOff>11986</xdr:rowOff>
    </xdr:from>
    <xdr:to>
      <xdr:col>1</xdr:col>
      <xdr:colOff>475545</xdr:colOff>
      <xdr:row>42</xdr:row>
      <xdr:rowOff>664</xdr:rowOff>
    </xdr:to>
    <xdr:pic>
      <xdr:nvPicPr>
        <xdr:cNvPr id="8" name="Рисунок 7" descr="Значок &quot;Крестик&quot; контур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031777" y="11428379"/>
          <a:ext cx="219625" cy="214897"/>
        </a:xfrm>
        <a:prstGeom prst="rect">
          <a:avLst/>
        </a:prstGeom>
      </xdr:spPr>
    </xdr:pic>
    <xdr:clientData/>
  </xdr:twoCellAnchor>
  <xdr:twoCellAnchor editAs="oneCell">
    <xdr:from>
      <xdr:col>1</xdr:col>
      <xdr:colOff>255920</xdr:colOff>
      <xdr:row>42</xdr:row>
      <xdr:rowOff>44642</xdr:rowOff>
    </xdr:from>
    <xdr:to>
      <xdr:col>1</xdr:col>
      <xdr:colOff>475545</xdr:colOff>
      <xdr:row>43</xdr:row>
      <xdr:rowOff>14610</xdr:rowOff>
    </xdr:to>
    <xdr:pic>
      <xdr:nvPicPr>
        <xdr:cNvPr id="9" name="Рисунок 8" descr="Значок &quot;Крестик&quot; контур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037220" y="11084117"/>
          <a:ext cx="219625" cy="214897"/>
        </a:xfrm>
        <a:prstGeom prst="rect">
          <a:avLst/>
        </a:prstGeom>
      </xdr:spPr>
    </xdr:pic>
    <xdr:clientData/>
  </xdr:twoCellAnchor>
  <xdr:twoCellAnchor editAs="oneCell">
    <xdr:from>
      <xdr:col>1</xdr:col>
      <xdr:colOff>256827</xdr:colOff>
      <xdr:row>43</xdr:row>
      <xdr:rowOff>29221</xdr:rowOff>
    </xdr:from>
    <xdr:to>
      <xdr:col>1</xdr:col>
      <xdr:colOff>476452</xdr:colOff>
      <xdr:row>43</xdr:row>
      <xdr:rowOff>244118</xdr:rowOff>
    </xdr:to>
    <xdr:pic>
      <xdr:nvPicPr>
        <xdr:cNvPr id="10" name="Рисунок 9" descr="Значок &quot;Крестик&quot; контур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032684" y="11921864"/>
          <a:ext cx="219625" cy="214897"/>
        </a:xfrm>
        <a:prstGeom prst="rect">
          <a:avLst/>
        </a:prstGeom>
      </xdr:spPr>
    </xdr:pic>
    <xdr:clientData/>
  </xdr:twoCellAnchor>
  <xdr:twoCellAnchor editAs="oneCell">
    <xdr:from>
      <xdr:col>2</xdr:col>
      <xdr:colOff>321761</xdr:colOff>
      <xdr:row>21</xdr:row>
      <xdr:rowOff>36836</xdr:rowOff>
    </xdr:from>
    <xdr:to>
      <xdr:col>2</xdr:col>
      <xdr:colOff>550934</xdr:colOff>
      <xdr:row>21</xdr:row>
      <xdr:rowOff>272892</xdr:rowOff>
    </xdr:to>
    <xdr:pic>
      <xdr:nvPicPr>
        <xdr:cNvPr id="11" name="Рисунок 10" descr="Предупреждение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274761" y="5806265"/>
          <a:ext cx="229173" cy="236056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250151</xdr:colOff>
      <xdr:row>37</xdr:row>
      <xdr:rowOff>9621</xdr:rowOff>
    </xdr:from>
    <xdr:to>
      <xdr:col>2</xdr:col>
      <xdr:colOff>479324</xdr:colOff>
      <xdr:row>37</xdr:row>
      <xdr:rowOff>242874</xdr:rowOff>
    </xdr:to>
    <xdr:pic>
      <xdr:nvPicPr>
        <xdr:cNvPr id="12" name="Рисунок 11" descr="Предупреждение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212676" y="9429846"/>
          <a:ext cx="229173" cy="233253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259317</xdr:colOff>
      <xdr:row>38</xdr:row>
      <xdr:rowOff>24126</xdr:rowOff>
    </xdr:from>
    <xdr:to>
      <xdr:col>2</xdr:col>
      <xdr:colOff>488490</xdr:colOff>
      <xdr:row>38</xdr:row>
      <xdr:rowOff>253299</xdr:rowOff>
    </xdr:to>
    <xdr:pic>
      <xdr:nvPicPr>
        <xdr:cNvPr id="13" name="Рисунок 12" descr="Предупреждение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221842" y="9730101"/>
          <a:ext cx="229173" cy="229173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twoCellAnchor editAs="oneCell">
    <xdr:from>
      <xdr:col>0</xdr:col>
      <xdr:colOff>32980</xdr:colOff>
      <xdr:row>15</xdr:row>
      <xdr:rowOff>214872</xdr:rowOff>
    </xdr:from>
    <xdr:to>
      <xdr:col>0</xdr:col>
      <xdr:colOff>689506</xdr:colOff>
      <xdr:row>17</xdr:row>
      <xdr:rowOff>359109</xdr:rowOff>
    </xdr:to>
    <xdr:pic>
      <xdr:nvPicPr>
        <xdr:cNvPr id="14" name="Рисунок 13" descr="Волшебная палочка (авто) контур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2980" y="4024872"/>
          <a:ext cx="656526" cy="783773"/>
        </a:xfrm>
        <a:prstGeom prst="rect">
          <a:avLst/>
        </a:prstGeom>
        <a:effectLst>
          <a:glow rad="228600">
            <a:srgbClr val="C00149">
              <a:alpha val="25000"/>
            </a:srgbClr>
          </a:glow>
          <a:softEdge rad="0"/>
        </a:effectLst>
      </xdr:spPr>
    </xdr:pic>
    <xdr:clientData/>
  </xdr:twoCellAnchor>
  <xdr:twoCellAnchor editAs="oneCell">
    <xdr:from>
      <xdr:col>2</xdr:col>
      <xdr:colOff>979715</xdr:colOff>
      <xdr:row>15</xdr:row>
      <xdr:rowOff>241349</xdr:rowOff>
    </xdr:from>
    <xdr:to>
      <xdr:col>2</xdr:col>
      <xdr:colOff>1573933</xdr:colOff>
      <xdr:row>18</xdr:row>
      <xdr:rowOff>17946</xdr:rowOff>
    </xdr:to>
    <xdr:pic>
      <xdr:nvPicPr>
        <xdr:cNvPr id="15" name="Рисунок 14" descr="Волшебная палочка (авто) контур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 rot="15899709">
          <a:off x="6035364" y="4071164"/>
          <a:ext cx="797133" cy="594218"/>
        </a:xfrm>
        <a:prstGeom prst="rect">
          <a:avLst/>
        </a:prstGeom>
        <a:effectLst>
          <a:glow rad="228600">
            <a:srgbClr val="C00149">
              <a:alpha val="25000"/>
            </a:srgbClr>
          </a:glow>
          <a:softEdge rad="0"/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123992</xdr:colOff>
      <xdr:row>6</xdr:row>
      <xdr:rowOff>72457</xdr:rowOff>
    </xdr:from>
    <xdr:ext cx="874150" cy="160178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123992" y="1320232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1</a:t>
          </a:r>
        </a:p>
      </xdr:txBody>
    </xdr:sp>
    <xdr:clientData/>
  </xdr:oneCellAnchor>
  <xdr:twoCellAnchor editAs="oneCell">
    <xdr:from>
      <xdr:col>0</xdr:col>
      <xdr:colOff>362857</xdr:colOff>
      <xdr:row>0</xdr:row>
      <xdr:rowOff>114587</xdr:rowOff>
    </xdr:from>
    <xdr:to>
      <xdr:col>0</xdr:col>
      <xdr:colOff>1677177</xdr:colOff>
      <xdr:row>2</xdr:row>
      <xdr:rowOff>164828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96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857" y="114587"/>
          <a:ext cx="1314320" cy="650316"/>
        </a:xfrm>
        <a:prstGeom prst="rect">
          <a:avLst/>
        </a:prstGeom>
      </xdr:spPr>
    </xdr:pic>
    <xdr:clientData/>
  </xdr:twoCellAnchor>
  <xdr:twoCellAnchor editAs="oneCell">
    <xdr:from>
      <xdr:col>0</xdr:col>
      <xdr:colOff>190977</xdr:colOff>
      <xdr:row>15</xdr:row>
      <xdr:rowOff>38198</xdr:rowOff>
    </xdr:from>
    <xdr:to>
      <xdr:col>0</xdr:col>
      <xdr:colOff>821202</xdr:colOff>
      <xdr:row>17</xdr:row>
      <xdr:rowOff>175118</xdr:rowOff>
    </xdr:to>
    <xdr:pic>
      <xdr:nvPicPr>
        <xdr:cNvPr id="4" name="Рисунок 3" descr="Корона контур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0977" y="3505298"/>
          <a:ext cx="630225" cy="622695"/>
        </a:xfrm>
        <a:prstGeom prst="rect">
          <a:avLst/>
        </a:prstGeom>
        <a:effectLst>
          <a:glow rad="355600">
            <a:srgbClr val="7C84EA">
              <a:alpha val="40000"/>
            </a:srgbClr>
          </a:glow>
        </a:effectLst>
      </xdr:spPr>
    </xdr:pic>
    <xdr:clientData/>
  </xdr:twoCellAnchor>
  <xdr:twoCellAnchor editAs="oneCell">
    <xdr:from>
      <xdr:col>0</xdr:col>
      <xdr:colOff>247390</xdr:colOff>
      <xdr:row>12</xdr:row>
      <xdr:rowOff>239945</xdr:rowOff>
    </xdr:from>
    <xdr:to>
      <xdr:col>0</xdr:col>
      <xdr:colOff>782127</xdr:colOff>
      <xdr:row>15</xdr:row>
      <xdr:rowOff>32431</xdr:rowOff>
    </xdr:to>
    <xdr:pic>
      <xdr:nvPicPr>
        <xdr:cNvPr id="5" name="Рисунок 4" descr="Уход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7390" y="2964095"/>
          <a:ext cx="534737" cy="535436"/>
        </a:xfrm>
        <a:prstGeom prst="rect">
          <a:avLst/>
        </a:prstGeom>
        <a:effectLst>
          <a:glow rad="355600">
            <a:srgbClr val="F2E4EE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38487</xdr:colOff>
      <xdr:row>15</xdr:row>
      <xdr:rowOff>238868</xdr:rowOff>
    </xdr:from>
    <xdr:to>
      <xdr:col>2</xdr:col>
      <xdr:colOff>267660</xdr:colOff>
      <xdr:row>16</xdr:row>
      <xdr:rowOff>232558</xdr:rowOff>
    </xdr:to>
    <xdr:pic>
      <xdr:nvPicPr>
        <xdr:cNvPr id="6" name="Рисунок 5" descr="Предупреждение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858137" y="3705968"/>
          <a:ext cx="229173" cy="231815"/>
        </a:xfrm>
        <a:prstGeom prst="rect">
          <a:avLst/>
        </a:prstGeom>
        <a:effectLst>
          <a:glow rad="203200">
            <a:srgbClr val="F5CF83">
              <a:alpha val="40000"/>
            </a:srgbClr>
          </a:glow>
        </a:effectLst>
      </xdr:spPr>
    </xdr:pic>
    <xdr:clientData/>
  </xdr:twoCellAnchor>
  <xdr:twoCellAnchor editAs="oneCell">
    <xdr:from>
      <xdr:col>3</xdr:col>
      <xdr:colOff>265809</xdr:colOff>
      <xdr:row>15</xdr:row>
      <xdr:rowOff>9548</xdr:rowOff>
    </xdr:from>
    <xdr:to>
      <xdr:col>3</xdr:col>
      <xdr:colOff>485434</xdr:colOff>
      <xdr:row>15</xdr:row>
      <xdr:rowOff>224445</xdr:rowOff>
    </xdr:to>
    <xdr:pic>
      <xdr:nvPicPr>
        <xdr:cNvPr id="7" name="Рисунок 6" descr="Значок &quot;Крестик&quot; контур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38702" y="3492977"/>
          <a:ext cx="219625" cy="214897"/>
        </a:xfrm>
        <a:prstGeom prst="rect">
          <a:avLst/>
        </a:prstGeom>
      </xdr:spPr>
    </xdr:pic>
    <xdr:clientData/>
  </xdr:twoCellAnchor>
  <xdr:twoCellAnchor editAs="oneCell">
    <xdr:from>
      <xdr:col>2</xdr:col>
      <xdr:colOff>297072</xdr:colOff>
      <xdr:row>15</xdr:row>
      <xdr:rowOff>9549</xdr:rowOff>
    </xdr:from>
    <xdr:to>
      <xdr:col>2</xdr:col>
      <xdr:colOff>526245</xdr:colOff>
      <xdr:row>16</xdr:row>
      <xdr:rowOff>1158</xdr:rowOff>
    </xdr:to>
    <xdr:pic>
      <xdr:nvPicPr>
        <xdr:cNvPr id="8" name="Рисунок 7" descr="Значок &quot;Галочка1&quot; контур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116722" y="3476649"/>
          <a:ext cx="229173" cy="229734"/>
        </a:xfrm>
        <a:prstGeom prst="rect">
          <a:avLst/>
        </a:prstGeom>
      </xdr:spPr>
    </xdr:pic>
    <xdr:clientData/>
  </xdr:twoCellAnchor>
  <xdr:twoCellAnchor editAs="oneCell">
    <xdr:from>
      <xdr:col>0</xdr:col>
      <xdr:colOff>551752</xdr:colOff>
      <xdr:row>33</xdr:row>
      <xdr:rowOff>29323</xdr:rowOff>
    </xdr:from>
    <xdr:to>
      <xdr:col>0</xdr:col>
      <xdr:colOff>1096038</xdr:colOff>
      <xdr:row>33</xdr:row>
      <xdr:rowOff>593726</xdr:rowOff>
    </xdr:to>
    <xdr:pic>
      <xdr:nvPicPr>
        <xdr:cNvPr id="9" name="Рисунок 8" descr="Деньги контур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51752" y="7962287"/>
          <a:ext cx="544286" cy="564403"/>
        </a:xfrm>
        <a:prstGeom prst="rect">
          <a:avLst/>
        </a:prstGeom>
        <a:effectLst>
          <a:glow rad="355600">
            <a:schemeClr val="accent1">
              <a:alpha val="40000"/>
            </a:schemeClr>
          </a:glow>
        </a:effectLst>
      </xdr:spPr>
    </xdr:pic>
    <xdr:clientData/>
  </xdr:twoCellAnchor>
  <xdr:oneCellAnchor>
    <xdr:from>
      <xdr:col>0</xdr:col>
      <xdr:colOff>19390</xdr:colOff>
      <xdr:row>23</xdr:row>
      <xdr:rowOff>116337</xdr:rowOff>
    </xdr:from>
    <xdr:ext cx="874150" cy="160178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9390" y="4974087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2</a:t>
          </a:r>
        </a:p>
      </xdr:txBody>
    </xdr:sp>
    <xdr:clientData/>
  </xdr:oneCellAnchor>
  <xdr:twoCellAnchor editAs="oneCell">
    <xdr:from>
      <xdr:col>0</xdr:col>
      <xdr:colOff>216692</xdr:colOff>
      <xdr:row>11</xdr:row>
      <xdr:rowOff>164928</xdr:rowOff>
    </xdr:from>
    <xdr:to>
      <xdr:col>1</xdr:col>
      <xdr:colOff>167144</xdr:colOff>
      <xdr:row>18</xdr:row>
      <xdr:rowOff>40400</xdr:rowOff>
    </xdr:to>
    <xdr:pic>
      <xdr:nvPicPr>
        <xdr:cNvPr id="11" name="Google Shape;25;p2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5">
          <a:alphaModFix/>
        </a:blip>
        <a:stretch>
          <a:fillRect/>
        </a:stretch>
      </xdr:blipFill>
      <xdr:spPr>
        <a:xfrm>
          <a:off x="216692" y="2704928"/>
          <a:ext cx="2842715" cy="157189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85175</xdr:colOff>
      <xdr:row>49</xdr:row>
      <xdr:rowOff>352544</xdr:rowOff>
    </xdr:from>
    <xdr:ext cx="874150" cy="160178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85175" y="8096369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3</a:t>
          </a:r>
        </a:p>
      </xdr:txBody>
    </xdr:sp>
    <xdr:clientData/>
  </xdr:oneCellAnchor>
  <xdr:twoCellAnchor editAs="oneCell">
    <xdr:from>
      <xdr:col>2</xdr:col>
      <xdr:colOff>105038</xdr:colOff>
      <xdr:row>52</xdr:row>
      <xdr:rowOff>34501</xdr:rowOff>
    </xdr:from>
    <xdr:to>
      <xdr:col>2</xdr:col>
      <xdr:colOff>334211</xdr:colOff>
      <xdr:row>52</xdr:row>
      <xdr:rowOff>271810</xdr:rowOff>
    </xdr:to>
    <xdr:pic>
      <xdr:nvPicPr>
        <xdr:cNvPr id="13" name="Рисунок 12" descr="Предупреждение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5787593" y="14356764"/>
          <a:ext cx="229173" cy="237309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114204</xdr:colOff>
      <xdr:row>53</xdr:row>
      <xdr:rowOff>47361</xdr:rowOff>
    </xdr:from>
    <xdr:to>
      <xdr:col>2</xdr:col>
      <xdr:colOff>343377</xdr:colOff>
      <xdr:row>53</xdr:row>
      <xdr:rowOff>276534</xdr:rowOff>
    </xdr:to>
    <xdr:pic>
      <xdr:nvPicPr>
        <xdr:cNvPr id="14" name="Рисунок 13" descr="Предупреждение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4933854" y="9200886"/>
          <a:ext cx="229173" cy="229173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twoCellAnchor>
    <xdr:from>
      <xdr:col>2</xdr:col>
      <xdr:colOff>1231221</xdr:colOff>
      <xdr:row>29</xdr:row>
      <xdr:rowOff>48473</xdr:rowOff>
    </xdr:from>
    <xdr:to>
      <xdr:col>3</xdr:col>
      <xdr:colOff>107051</xdr:colOff>
      <xdr:row>29</xdr:row>
      <xdr:rowOff>189050</xdr:rowOff>
    </xdr:to>
    <xdr:sp macro="" textlink="">
      <xdr:nvSpPr>
        <xdr:cNvPr id="15" name="Стрелка вправо 15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/>
      </xdr:nvSpPr>
      <xdr:spPr>
        <a:xfrm rot="10800000">
          <a:off x="6012771" y="6134948"/>
          <a:ext cx="104555" cy="140577"/>
        </a:xfrm>
        <a:prstGeom prst="rightArrow">
          <a:avLst/>
        </a:prstGeom>
        <a:solidFill>
          <a:srgbClr val="919BDD"/>
        </a:solidFill>
        <a:ln>
          <a:noFill/>
        </a:ln>
        <a:effectLst>
          <a:glow rad="241300">
            <a:schemeClr val="accent1">
              <a:alpha val="11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ru-RU"/>
        </a:p>
      </xdr:txBody>
    </xdr:sp>
    <xdr:clientData/>
  </xdr:twoCellAnchor>
  <xdr:twoCellAnchor>
    <xdr:from>
      <xdr:col>2</xdr:col>
      <xdr:colOff>1238201</xdr:colOff>
      <xdr:row>31</xdr:row>
      <xdr:rowOff>34311</xdr:rowOff>
    </xdr:from>
    <xdr:to>
      <xdr:col>3</xdr:col>
      <xdr:colOff>114031</xdr:colOff>
      <xdr:row>31</xdr:row>
      <xdr:rowOff>162188</xdr:rowOff>
    </xdr:to>
    <xdr:sp macro="" textlink="">
      <xdr:nvSpPr>
        <xdr:cNvPr id="16" name="Стрелка вправо 16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/>
      </xdr:nvSpPr>
      <xdr:spPr>
        <a:xfrm rot="10800000">
          <a:off x="6926180" y="7532715"/>
          <a:ext cx="348489" cy="127877"/>
        </a:xfrm>
        <a:prstGeom prst="rightArrow">
          <a:avLst/>
        </a:prstGeom>
        <a:solidFill>
          <a:srgbClr val="919BDD"/>
        </a:solidFill>
        <a:ln>
          <a:noFill/>
        </a:ln>
        <a:effectLst>
          <a:glow rad="241300">
            <a:schemeClr val="accent1">
              <a:alpha val="11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ru-RU"/>
        </a:p>
      </xdr:txBody>
    </xdr:sp>
    <xdr:clientData/>
  </xdr:twoCellAnchor>
  <xdr:twoCellAnchor editAs="oneCell">
    <xdr:from>
      <xdr:col>0</xdr:col>
      <xdr:colOff>2636314</xdr:colOff>
      <xdr:row>17</xdr:row>
      <xdr:rowOff>186896</xdr:rowOff>
    </xdr:from>
    <xdr:to>
      <xdr:col>1</xdr:col>
      <xdr:colOff>400577</xdr:colOff>
      <xdr:row>20</xdr:row>
      <xdr:rowOff>9143</xdr:rowOff>
    </xdr:to>
    <xdr:pic>
      <xdr:nvPicPr>
        <xdr:cNvPr id="17" name="Рисунок 16" descr="Волшебная палочка (авто) контур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636314" y="4173027"/>
          <a:ext cx="656526" cy="638014"/>
        </a:xfrm>
        <a:prstGeom prst="rect">
          <a:avLst/>
        </a:prstGeom>
        <a:effectLst>
          <a:glow rad="228600">
            <a:srgbClr val="C00149">
              <a:alpha val="25000"/>
            </a:srgbClr>
          </a:glow>
          <a:softEdge rad="0"/>
        </a:effectLst>
      </xdr:spPr>
    </xdr:pic>
    <xdr:clientData/>
  </xdr:twoCellAnchor>
  <xdr:twoCellAnchor editAs="oneCell">
    <xdr:from>
      <xdr:col>3</xdr:col>
      <xdr:colOff>68104</xdr:colOff>
      <xdr:row>17</xdr:row>
      <xdr:rowOff>135042</xdr:rowOff>
    </xdr:from>
    <xdr:to>
      <xdr:col>3</xdr:col>
      <xdr:colOff>771293</xdr:colOff>
      <xdr:row>19</xdr:row>
      <xdr:rowOff>185143</xdr:rowOff>
    </xdr:to>
    <xdr:pic>
      <xdr:nvPicPr>
        <xdr:cNvPr id="18" name="Рисунок 17" descr="Волшебная палочка (авто) контур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 rot="15899709">
          <a:off x="7249867" y="4095906"/>
          <a:ext cx="652656" cy="703189"/>
        </a:xfrm>
        <a:prstGeom prst="rect">
          <a:avLst/>
        </a:prstGeom>
        <a:effectLst>
          <a:glow rad="228600">
            <a:srgbClr val="C00149">
              <a:alpha val="25000"/>
            </a:srgbClr>
          </a:glow>
          <a:softEdge rad="0"/>
        </a:effectLst>
      </xdr:spPr>
    </xdr:pic>
    <xdr:clientData/>
  </xdr:twoCellAnchor>
  <xdr:oneCellAnchor>
    <xdr:from>
      <xdr:col>2</xdr:col>
      <xdr:colOff>288328</xdr:colOff>
      <xdr:row>35</xdr:row>
      <xdr:rowOff>28223</xdr:rowOff>
    </xdr:from>
    <xdr:ext cx="229173" cy="232630"/>
    <xdr:pic>
      <xdr:nvPicPr>
        <xdr:cNvPr id="19" name="Рисунок 18" descr="Значок &quot;Галочка1&quot; контур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268542" y="8451044"/>
          <a:ext cx="229173" cy="232630"/>
        </a:xfrm>
        <a:prstGeom prst="rect">
          <a:avLst/>
        </a:prstGeom>
      </xdr:spPr>
    </xdr:pic>
    <xdr:clientData/>
  </xdr:oneCellAnchor>
  <xdr:twoCellAnchor editAs="oneCell">
    <xdr:from>
      <xdr:col>0</xdr:col>
      <xdr:colOff>506049</xdr:colOff>
      <xdr:row>46</xdr:row>
      <xdr:rowOff>86512</xdr:rowOff>
    </xdr:from>
    <xdr:to>
      <xdr:col>0</xdr:col>
      <xdr:colOff>1026841</xdr:colOff>
      <xdr:row>46</xdr:row>
      <xdr:rowOff>606492</xdr:rowOff>
    </xdr:to>
    <xdr:pic>
      <xdr:nvPicPr>
        <xdr:cNvPr id="20" name="Рисунок 19" descr="Хозяйственная сумка контур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506049" y="12346548"/>
          <a:ext cx="520792" cy="519980"/>
        </a:xfrm>
        <a:prstGeom prst="rect">
          <a:avLst/>
        </a:prstGeom>
        <a:effectLst>
          <a:glow rad="355600">
            <a:schemeClr val="accent1">
              <a:alpha val="40000"/>
            </a:schemeClr>
          </a:glow>
        </a:effectLst>
      </xdr:spPr>
    </xdr:pic>
    <xdr:clientData/>
  </xdr:twoCellAnchor>
  <xdr:oneCellAnchor>
    <xdr:from>
      <xdr:col>2</xdr:col>
      <xdr:colOff>1009711</xdr:colOff>
      <xdr:row>15</xdr:row>
      <xdr:rowOff>238868</xdr:rowOff>
    </xdr:from>
    <xdr:ext cx="229173" cy="238618"/>
    <xdr:pic>
      <xdr:nvPicPr>
        <xdr:cNvPr id="21" name="Рисунок 20" descr="Предупреждение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989925" y="3722297"/>
          <a:ext cx="229173" cy="238618"/>
        </a:xfrm>
        <a:prstGeom prst="rect">
          <a:avLst/>
        </a:prstGeom>
        <a:effectLst>
          <a:glow rad="203200">
            <a:srgbClr val="F5CF83">
              <a:alpha val="40000"/>
            </a:srgbClr>
          </a:glow>
        </a:effectLst>
      </xdr:spPr>
    </xdr:pic>
    <xdr:clientData/>
  </xdr:oneCellAnchor>
  <xdr:oneCellAnchor>
    <xdr:from>
      <xdr:col>3</xdr:col>
      <xdr:colOff>293023</xdr:colOff>
      <xdr:row>20</xdr:row>
      <xdr:rowOff>132012</xdr:rowOff>
    </xdr:from>
    <xdr:ext cx="219625" cy="214897"/>
    <xdr:pic>
      <xdr:nvPicPr>
        <xdr:cNvPr id="22" name="Рисунок 21" descr="Значок &quot;Крестик&quot; контур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5916" y="5003369"/>
          <a:ext cx="219625" cy="214897"/>
        </a:xfrm>
        <a:prstGeom prst="rect">
          <a:avLst/>
        </a:prstGeom>
      </xdr:spPr>
    </xdr:pic>
    <xdr:clientData/>
  </xdr:oneCellAnchor>
  <xdr:oneCellAnchor>
    <xdr:from>
      <xdr:col>2</xdr:col>
      <xdr:colOff>310679</xdr:colOff>
      <xdr:row>20</xdr:row>
      <xdr:rowOff>104799</xdr:rowOff>
    </xdr:from>
    <xdr:ext cx="229173" cy="236537"/>
    <xdr:pic>
      <xdr:nvPicPr>
        <xdr:cNvPr id="23" name="Рисунок 22" descr="Значок &quot;Галочка1&quot; контур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290893" y="4976156"/>
          <a:ext cx="229173" cy="236537"/>
        </a:xfrm>
        <a:prstGeom prst="rect">
          <a:avLst/>
        </a:prstGeom>
      </xdr:spPr>
    </xdr:pic>
    <xdr:clientData/>
  </xdr:oneCellAnchor>
  <xdr:oneCellAnchor>
    <xdr:from>
      <xdr:col>0</xdr:col>
      <xdr:colOff>519659</xdr:colOff>
      <xdr:row>41</xdr:row>
      <xdr:rowOff>14141</xdr:rowOff>
    </xdr:from>
    <xdr:ext cx="520792" cy="519980"/>
    <xdr:pic>
      <xdr:nvPicPr>
        <xdr:cNvPr id="24" name="Рисунок 23" descr="Хозяйственная сумка контур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519659" y="10859034"/>
          <a:ext cx="520792" cy="519980"/>
        </a:xfrm>
        <a:prstGeom prst="rect">
          <a:avLst/>
        </a:prstGeom>
        <a:effectLst>
          <a:glow rad="355600">
            <a:schemeClr val="accent1">
              <a:alpha val="40000"/>
            </a:schemeClr>
          </a:glow>
        </a:effec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123992</xdr:colOff>
      <xdr:row>6</xdr:row>
      <xdr:rowOff>72457</xdr:rowOff>
    </xdr:from>
    <xdr:ext cx="874150" cy="160178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123992" y="1320232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1</a:t>
          </a:r>
        </a:p>
      </xdr:txBody>
    </xdr:sp>
    <xdr:clientData/>
  </xdr:oneCellAnchor>
  <xdr:twoCellAnchor editAs="oneCell">
    <xdr:from>
      <xdr:col>0</xdr:col>
      <xdr:colOff>36285</xdr:colOff>
      <xdr:row>0</xdr:row>
      <xdr:rowOff>46551</xdr:rowOff>
    </xdr:from>
    <xdr:to>
      <xdr:col>0</xdr:col>
      <xdr:colOff>1350605</xdr:colOff>
      <xdr:row>2</xdr:row>
      <xdr:rowOff>96792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96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85" y="46551"/>
          <a:ext cx="1314320" cy="648955"/>
        </a:xfrm>
        <a:prstGeom prst="rect">
          <a:avLst/>
        </a:prstGeom>
      </xdr:spPr>
    </xdr:pic>
    <xdr:clientData/>
  </xdr:twoCellAnchor>
  <xdr:twoCellAnchor editAs="oneCell">
    <xdr:from>
      <xdr:col>0</xdr:col>
      <xdr:colOff>190977</xdr:colOff>
      <xdr:row>15</xdr:row>
      <xdr:rowOff>38198</xdr:rowOff>
    </xdr:from>
    <xdr:to>
      <xdr:col>0</xdr:col>
      <xdr:colOff>821202</xdr:colOff>
      <xdr:row>17</xdr:row>
      <xdr:rowOff>175118</xdr:rowOff>
    </xdr:to>
    <xdr:pic>
      <xdr:nvPicPr>
        <xdr:cNvPr id="4" name="Рисунок 3" descr="Корона контур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0977" y="3505298"/>
          <a:ext cx="630225" cy="622695"/>
        </a:xfrm>
        <a:prstGeom prst="rect">
          <a:avLst/>
        </a:prstGeom>
        <a:effectLst>
          <a:glow rad="355600">
            <a:srgbClr val="7C84EA">
              <a:alpha val="40000"/>
            </a:srgbClr>
          </a:glow>
        </a:effectLst>
      </xdr:spPr>
    </xdr:pic>
    <xdr:clientData/>
  </xdr:twoCellAnchor>
  <xdr:twoCellAnchor editAs="oneCell">
    <xdr:from>
      <xdr:col>0</xdr:col>
      <xdr:colOff>247390</xdr:colOff>
      <xdr:row>12</xdr:row>
      <xdr:rowOff>239945</xdr:rowOff>
    </xdr:from>
    <xdr:to>
      <xdr:col>0</xdr:col>
      <xdr:colOff>782127</xdr:colOff>
      <xdr:row>15</xdr:row>
      <xdr:rowOff>32431</xdr:rowOff>
    </xdr:to>
    <xdr:pic>
      <xdr:nvPicPr>
        <xdr:cNvPr id="5" name="Рисунок 4" descr="Уход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7390" y="2964095"/>
          <a:ext cx="534737" cy="535436"/>
        </a:xfrm>
        <a:prstGeom prst="rect">
          <a:avLst/>
        </a:prstGeom>
        <a:effectLst>
          <a:glow rad="355600">
            <a:srgbClr val="F2E4EE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38487</xdr:colOff>
      <xdr:row>15</xdr:row>
      <xdr:rowOff>238868</xdr:rowOff>
    </xdr:from>
    <xdr:to>
      <xdr:col>2</xdr:col>
      <xdr:colOff>267660</xdr:colOff>
      <xdr:row>16</xdr:row>
      <xdr:rowOff>232558</xdr:rowOff>
    </xdr:to>
    <xdr:pic>
      <xdr:nvPicPr>
        <xdr:cNvPr id="6" name="Рисунок 5" descr="Предупреждение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020062" y="3705968"/>
          <a:ext cx="229173" cy="231815"/>
        </a:xfrm>
        <a:prstGeom prst="rect">
          <a:avLst/>
        </a:prstGeom>
        <a:effectLst>
          <a:glow rad="203200">
            <a:srgbClr val="F5CF83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297072</xdr:colOff>
      <xdr:row>15</xdr:row>
      <xdr:rowOff>9549</xdr:rowOff>
    </xdr:from>
    <xdr:to>
      <xdr:col>2</xdr:col>
      <xdr:colOff>526245</xdr:colOff>
      <xdr:row>16</xdr:row>
      <xdr:rowOff>1158</xdr:rowOff>
    </xdr:to>
    <xdr:pic>
      <xdr:nvPicPr>
        <xdr:cNvPr id="8" name="Рисунок 7" descr="Значок &quot;Галочка1&quot; контур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278647" y="3476649"/>
          <a:ext cx="229173" cy="229734"/>
        </a:xfrm>
        <a:prstGeom prst="rect">
          <a:avLst/>
        </a:prstGeom>
      </xdr:spPr>
    </xdr:pic>
    <xdr:clientData/>
  </xdr:twoCellAnchor>
  <xdr:twoCellAnchor editAs="oneCell">
    <xdr:from>
      <xdr:col>0</xdr:col>
      <xdr:colOff>551752</xdr:colOff>
      <xdr:row>32</xdr:row>
      <xdr:rowOff>29323</xdr:rowOff>
    </xdr:from>
    <xdr:to>
      <xdr:col>0</xdr:col>
      <xdr:colOff>1096038</xdr:colOff>
      <xdr:row>32</xdr:row>
      <xdr:rowOff>593726</xdr:rowOff>
    </xdr:to>
    <xdr:pic>
      <xdr:nvPicPr>
        <xdr:cNvPr id="9" name="Рисунок 8" descr="Деньги контур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51752" y="8754223"/>
          <a:ext cx="544286" cy="564403"/>
        </a:xfrm>
        <a:prstGeom prst="rect">
          <a:avLst/>
        </a:prstGeom>
        <a:effectLst>
          <a:glow rad="355600">
            <a:schemeClr val="accent1">
              <a:alpha val="40000"/>
            </a:schemeClr>
          </a:glow>
        </a:effectLst>
      </xdr:spPr>
    </xdr:pic>
    <xdr:clientData/>
  </xdr:twoCellAnchor>
  <xdr:oneCellAnchor>
    <xdr:from>
      <xdr:col>0</xdr:col>
      <xdr:colOff>19390</xdr:colOff>
      <xdr:row>22</xdr:row>
      <xdr:rowOff>116337</xdr:rowOff>
    </xdr:from>
    <xdr:ext cx="874150" cy="160178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9390" y="6031362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2</a:t>
          </a:r>
        </a:p>
      </xdr:txBody>
    </xdr:sp>
    <xdr:clientData/>
  </xdr:oneCellAnchor>
  <xdr:twoCellAnchor editAs="oneCell">
    <xdr:from>
      <xdr:col>0</xdr:col>
      <xdr:colOff>216692</xdr:colOff>
      <xdr:row>11</xdr:row>
      <xdr:rowOff>164928</xdr:rowOff>
    </xdr:from>
    <xdr:to>
      <xdr:col>1</xdr:col>
      <xdr:colOff>167144</xdr:colOff>
      <xdr:row>18</xdr:row>
      <xdr:rowOff>40400</xdr:rowOff>
    </xdr:to>
    <xdr:pic>
      <xdr:nvPicPr>
        <xdr:cNvPr id="11" name="Google Shape;25;p2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3">
          <a:alphaModFix/>
        </a:blip>
        <a:stretch>
          <a:fillRect/>
        </a:stretch>
      </xdr:blipFill>
      <xdr:spPr>
        <a:xfrm>
          <a:off x="216692" y="2670003"/>
          <a:ext cx="2484102" cy="157092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85175</xdr:colOff>
      <xdr:row>48</xdr:row>
      <xdr:rowOff>352544</xdr:rowOff>
    </xdr:from>
    <xdr:ext cx="874150" cy="160178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85175" y="14249519"/>
          <a:ext cx="874150" cy="1601785"/>
        </a:xfrm>
        <a:prstGeom prst="rect">
          <a:avLst/>
        </a:prstGeom>
        <a:noFill/>
        <a:effectLst>
          <a:glow rad="508000">
            <a:srgbClr val="161667">
              <a:alpha val="15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9600" b="1">
              <a:solidFill>
                <a:srgbClr val="DAE3FF"/>
              </a:solidFill>
              <a:latin typeface="Century Gothic" panose="020B0502020202020204" pitchFamily="34" charset="0"/>
            </a:rPr>
            <a:t>3</a:t>
          </a:r>
        </a:p>
      </xdr:txBody>
    </xdr:sp>
    <xdr:clientData/>
  </xdr:oneCellAnchor>
  <xdr:twoCellAnchor editAs="oneCell">
    <xdr:from>
      <xdr:col>2</xdr:col>
      <xdr:colOff>105038</xdr:colOff>
      <xdr:row>51</xdr:row>
      <xdr:rowOff>34501</xdr:rowOff>
    </xdr:from>
    <xdr:to>
      <xdr:col>2</xdr:col>
      <xdr:colOff>334211</xdr:colOff>
      <xdr:row>51</xdr:row>
      <xdr:rowOff>271810</xdr:rowOff>
    </xdr:to>
    <xdr:pic>
      <xdr:nvPicPr>
        <xdr:cNvPr id="13" name="Рисунок 12" descr="Предупреждение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5086613" y="15188776"/>
          <a:ext cx="229173" cy="237309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twoCellAnchor editAs="oneCell">
    <xdr:from>
      <xdr:col>2</xdr:col>
      <xdr:colOff>114204</xdr:colOff>
      <xdr:row>52</xdr:row>
      <xdr:rowOff>47361</xdr:rowOff>
    </xdr:from>
    <xdr:to>
      <xdr:col>2</xdr:col>
      <xdr:colOff>343377</xdr:colOff>
      <xdr:row>52</xdr:row>
      <xdr:rowOff>276534</xdr:rowOff>
    </xdr:to>
    <xdr:pic>
      <xdr:nvPicPr>
        <xdr:cNvPr id="14" name="Рисунок 13" descr="Предупреждение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5095779" y="15506436"/>
          <a:ext cx="229173" cy="229173"/>
        </a:xfrm>
        <a:prstGeom prst="rect">
          <a:avLst/>
        </a:prstGeom>
        <a:effectLst>
          <a:glow rad="203200">
            <a:srgbClr val="DAE3FF">
              <a:alpha val="40000"/>
            </a:srgbClr>
          </a:glow>
        </a:effectLst>
      </xdr:spPr>
    </xdr:pic>
    <xdr:clientData/>
  </xdr:twoCellAnchor>
  <xdr:oneCellAnchor>
    <xdr:from>
      <xdr:col>2</xdr:col>
      <xdr:colOff>288328</xdr:colOff>
      <xdr:row>34</xdr:row>
      <xdr:rowOff>28223</xdr:rowOff>
    </xdr:from>
    <xdr:ext cx="229173" cy="232630"/>
    <xdr:pic>
      <xdr:nvPicPr>
        <xdr:cNvPr id="19" name="Рисунок 18" descr="Значок &quot;Галочка1&quot; контур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269903" y="9657998"/>
          <a:ext cx="229173" cy="232630"/>
        </a:xfrm>
        <a:prstGeom prst="rect">
          <a:avLst/>
        </a:prstGeom>
      </xdr:spPr>
    </xdr:pic>
    <xdr:clientData/>
  </xdr:oneCellAnchor>
  <xdr:twoCellAnchor editAs="oneCell">
    <xdr:from>
      <xdr:col>0</xdr:col>
      <xdr:colOff>506049</xdr:colOff>
      <xdr:row>45</xdr:row>
      <xdr:rowOff>86512</xdr:rowOff>
    </xdr:from>
    <xdr:to>
      <xdr:col>0</xdr:col>
      <xdr:colOff>1026841</xdr:colOff>
      <xdr:row>46</xdr:row>
      <xdr:rowOff>81418</xdr:rowOff>
    </xdr:to>
    <xdr:pic>
      <xdr:nvPicPr>
        <xdr:cNvPr id="20" name="Рисунок 19" descr="Хозяйственная сумка контур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506049" y="12335662"/>
          <a:ext cx="520792" cy="519980"/>
        </a:xfrm>
        <a:prstGeom prst="rect">
          <a:avLst/>
        </a:prstGeom>
        <a:effectLst>
          <a:glow rad="355600">
            <a:schemeClr val="accent1">
              <a:alpha val="40000"/>
            </a:schemeClr>
          </a:glow>
        </a:effectLst>
      </xdr:spPr>
    </xdr:pic>
    <xdr:clientData/>
  </xdr:twoCellAnchor>
  <xdr:oneCellAnchor>
    <xdr:from>
      <xdr:col>2</xdr:col>
      <xdr:colOff>1009711</xdr:colOff>
      <xdr:row>15</xdr:row>
      <xdr:rowOff>238868</xdr:rowOff>
    </xdr:from>
    <xdr:ext cx="229173" cy="238618"/>
    <xdr:pic>
      <xdr:nvPicPr>
        <xdr:cNvPr id="21" name="Рисунок 20" descr="Предупреждение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991286" y="3705968"/>
          <a:ext cx="229173" cy="238618"/>
        </a:xfrm>
        <a:prstGeom prst="rect">
          <a:avLst/>
        </a:prstGeom>
        <a:effectLst>
          <a:glow rad="203200">
            <a:srgbClr val="F5CF83">
              <a:alpha val="40000"/>
            </a:srgbClr>
          </a:glow>
        </a:effectLst>
      </xdr:spPr>
    </xdr:pic>
    <xdr:clientData/>
  </xdr:oneCellAnchor>
  <xdr:oneCellAnchor>
    <xdr:from>
      <xdr:col>0</xdr:col>
      <xdr:colOff>519659</xdr:colOff>
      <xdr:row>40</xdr:row>
      <xdr:rowOff>14141</xdr:rowOff>
    </xdr:from>
    <xdr:ext cx="520792" cy="519980"/>
    <xdr:pic>
      <xdr:nvPicPr>
        <xdr:cNvPr id="24" name="Рисунок 23" descr="Хозяйственная сумка контур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519659" y="10844066"/>
          <a:ext cx="520792" cy="519980"/>
        </a:xfrm>
        <a:prstGeom prst="rect">
          <a:avLst/>
        </a:prstGeom>
        <a:effectLst>
          <a:glow rad="355600">
            <a:schemeClr val="accent1">
              <a:alpha val="40000"/>
            </a:schemeClr>
          </a:glow>
        </a:effec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haritonovis\Desktop\&#1055;&#1086;&#1083;&#1077;&#1079;&#1085;&#1086;&#1077;\&#1082;&#1072;&#1083;&#1100;&#1082;&#1091;&#1083;&#1103;&#1090;&#1086;&#1088;&#1099;\&#1050;&#1072;&#1083;&#1100;&#1082;&#1091;&#1083;&#1103;&#1090;&#1086;&#1088;%20CASH+&#1050;&#1050;+&#1044;&#1080;&#1042;!%20+&#1055;&#1041;&#1054;%2018.05.2023_&#1076;&#1083;&#1103;%20&#1087;&#1072;&#1088;&#1090;&#1085;&#1105;&#1088;&#1086;&#107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haritonovis\Desktop\&#1055;&#1086;&#1083;&#1077;&#1079;&#1085;&#1086;&#1077;\&#1082;&#1072;&#1083;&#1100;&#1082;&#1091;&#1083;&#1103;&#1090;&#1086;&#1088;&#1099;\&#1050;&#1072;&#1083;&#1100;&#1082;&#1091;&#1083;&#1103;&#1090;&#1086;&#1088;%20CASH+&#1050;&#1050;+&#1044;&#1080;&#1042;!%20+&#1055;&#1041;&#1054;%2018.05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финансирование"/>
      <sheetName val="КЭШ, Реф"/>
      <sheetName val="Суперсмарт"/>
      <sheetName val="Снижаем ставку"/>
      <sheetName val="Для снижаем ставку"/>
      <sheetName val="Прайм"/>
      <sheetName val="Перспектива"/>
      <sheetName val="Перспектива Лайт"/>
      <sheetName val="Для Перспективы"/>
      <sheetName val="Для Прайм"/>
      <sheetName val="Практичный"/>
      <sheetName val="Реф.-Перспектив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>
            <v>36</v>
          </cell>
          <cell r="C1">
            <v>48</v>
          </cell>
          <cell r="D1">
            <v>60</v>
          </cell>
          <cell r="E1">
            <v>72</v>
          </cell>
          <cell r="F1">
            <v>84</v>
          </cell>
        </row>
        <row r="2">
          <cell r="B2">
            <v>3000</v>
          </cell>
          <cell r="C2">
            <v>3000</v>
          </cell>
          <cell r="D2">
            <v>4000</v>
          </cell>
          <cell r="E2">
            <v>4000</v>
          </cell>
          <cell r="F2">
            <v>4000</v>
          </cell>
        </row>
        <row r="3">
          <cell r="B3">
            <v>194000</v>
          </cell>
          <cell r="C3">
            <v>152000</v>
          </cell>
          <cell r="D3">
            <v>128000</v>
          </cell>
          <cell r="E3">
            <v>111000</v>
          </cell>
          <cell r="F3">
            <v>128000</v>
          </cell>
        </row>
        <row r="6">
          <cell r="B6">
            <v>4000</v>
          </cell>
          <cell r="C6">
            <v>4000</v>
          </cell>
          <cell r="D6">
            <v>5500</v>
          </cell>
          <cell r="E6">
            <v>5800</v>
          </cell>
          <cell r="F6">
            <v>5500</v>
          </cell>
        </row>
        <row r="7">
          <cell r="B7">
            <v>200000</v>
          </cell>
          <cell r="C7">
            <v>158000</v>
          </cell>
          <cell r="D7">
            <v>134000</v>
          </cell>
          <cell r="E7">
            <v>117100</v>
          </cell>
          <cell r="F7">
            <v>118000</v>
          </cell>
        </row>
        <row r="8">
          <cell r="B8">
            <v>7000</v>
          </cell>
          <cell r="C8">
            <v>9000</v>
          </cell>
          <cell r="D8">
            <v>10000</v>
          </cell>
          <cell r="E8">
            <v>11000</v>
          </cell>
          <cell r="F8">
            <v>11500</v>
          </cell>
        </row>
        <row r="9">
          <cell r="B9">
            <v>202000</v>
          </cell>
          <cell r="C9">
            <v>160800</v>
          </cell>
          <cell r="D9">
            <v>136300</v>
          </cell>
          <cell r="E9">
            <v>120200</v>
          </cell>
          <cell r="F9">
            <v>108900</v>
          </cell>
        </row>
        <row r="10">
          <cell r="B10">
            <v>7000</v>
          </cell>
          <cell r="C10">
            <v>9000</v>
          </cell>
          <cell r="D10">
            <v>10000</v>
          </cell>
          <cell r="E10">
            <v>11000</v>
          </cell>
          <cell r="F10">
            <v>12000</v>
          </cell>
        </row>
        <row r="11">
          <cell r="B11">
            <v>204900</v>
          </cell>
          <cell r="C11">
            <v>163800</v>
          </cell>
          <cell r="D11">
            <v>139400</v>
          </cell>
          <cell r="E11">
            <v>123400</v>
          </cell>
          <cell r="F11">
            <v>112200</v>
          </cell>
        </row>
        <row r="12">
          <cell r="B12">
            <v>7000</v>
          </cell>
          <cell r="C12">
            <v>9000</v>
          </cell>
          <cell r="D12">
            <v>10000</v>
          </cell>
          <cell r="E12">
            <v>11000</v>
          </cell>
          <cell r="F12">
            <v>12000</v>
          </cell>
        </row>
        <row r="13">
          <cell r="B13">
            <v>207900</v>
          </cell>
          <cell r="C13">
            <v>166900</v>
          </cell>
          <cell r="D13">
            <v>142500</v>
          </cell>
          <cell r="E13">
            <v>126600</v>
          </cell>
          <cell r="F13">
            <v>115500</v>
          </cell>
        </row>
        <row r="14">
          <cell r="B14">
            <v>7000</v>
          </cell>
          <cell r="C14">
            <v>9000</v>
          </cell>
          <cell r="D14">
            <v>11000</v>
          </cell>
          <cell r="E14">
            <v>11500</v>
          </cell>
          <cell r="F14">
            <v>12500</v>
          </cell>
        </row>
        <row r="15">
          <cell r="B15">
            <v>211000</v>
          </cell>
          <cell r="C15">
            <v>170200</v>
          </cell>
          <cell r="D15">
            <v>145800</v>
          </cell>
          <cell r="E15">
            <v>129900</v>
          </cell>
          <cell r="F15">
            <v>118900</v>
          </cell>
        </row>
        <row r="16">
          <cell r="B16">
            <v>6500</v>
          </cell>
          <cell r="C16">
            <v>9500</v>
          </cell>
          <cell r="D16">
            <v>11000</v>
          </cell>
        </row>
        <row r="17">
          <cell r="B17">
            <v>213800</v>
          </cell>
          <cell r="C17">
            <v>173000</v>
          </cell>
          <cell r="D17">
            <v>148900</v>
          </cell>
        </row>
        <row r="18">
          <cell r="B18">
            <v>6100</v>
          </cell>
          <cell r="C18">
            <v>7400</v>
          </cell>
          <cell r="D18">
            <v>8000</v>
          </cell>
        </row>
        <row r="19">
          <cell r="B19">
            <v>216030</v>
          </cell>
          <cell r="C19">
            <v>175150</v>
          </cell>
          <cell r="D19">
            <v>151980</v>
          </cell>
        </row>
        <row r="20">
          <cell r="B20">
            <v>7000</v>
          </cell>
          <cell r="C20">
            <v>9500</v>
          </cell>
          <cell r="D20">
            <v>11000</v>
          </cell>
          <cell r="E20">
            <v>11000</v>
          </cell>
          <cell r="F20">
            <v>12000</v>
          </cell>
        </row>
        <row r="21">
          <cell r="B21">
            <v>216800</v>
          </cell>
          <cell r="C21">
            <v>176100</v>
          </cell>
          <cell r="D21">
            <v>152200</v>
          </cell>
        </row>
        <row r="22">
          <cell r="B22">
            <v>6500</v>
          </cell>
          <cell r="C22">
            <v>9500</v>
          </cell>
          <cell r="D22">
            <v>11000</v>
          </cell>
        </row>
        <row r="23">
          <cell r="B23">
            <v>222900</v>
          </cell>
          <cell r="C23">
            <v>182500</v>
          </cell>
          <cell r="D23">
            <v>158700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финансирование"/>
      <sheetName val="КЭШ, Реф"/>
      <sheetName val="Стабильный"/>
      <sheetName val="Суперсмарт"/>
      <sheetName val="Снижаем ставку"/>
      <sheetName val="Для снижаем ставку"/>
      <sheetName val="Прайм"/>
      <sheetName val="Перспектива"/>
      <sheetName val="Перспектива Лайт"/>
      <sheetName val="Для Перспективы"/>
      <sheetName val="Для Прайм"/>
      <sheetName val="Практичный"/>
      <sheetName val="Реф.-Перспектива"/>
      <sheetName val="Расчет даты для переноса"/>
      <sheetName val="ДиВ!_График МЕП"/>
      <sheetName val="ДиВ!_График по сроку"/>
      <sheetName val="Сумма первого МЕП по КК"/>
      <sheetName val="Образователь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>
            <v>36</v>
          </cell>
          <cell r="C1">
            <v>48</v>
          </cell>
          <cell r="D1">
            <v>60</v>
          </cell>
          <cell r="E1">
            <v>72</v>
          </cell>
          <cell r="F1">
            <v>84</v>
          </cell>
        </row>
        <row r="2">
          <cell r="B2">
            <v>3000</v>
          </cell>
          <cell r="C2">
            <v>3000</v>
          </cell>
          <cell r="D2">
            <v>4000</v>
          </cell>
          <cell r="E2">
            <v>4000</v>
          </cell>
          <cell r="F2">
            <v>4000</v>
          </cell>
        </row>
        <row r="3">
          <cell r="B3">
            <v>194000</v>
          </cell>
          <cell r="C3">
            <v>152000</v>
          </cell>
          <cell r="D3">
            <v>128000</v>
          </cell>
          <cell r="E3">
            <v>111000</v>
          </cell>
          <cell r="F3">
            <v>128000</v>
          </cell>
        </row>
        <row r="6">
          <cell r="B6">
            <v>4000</v>
          </cell>
          <cell r="C6">
            <v>4000</v>
          </cell>
          <cell r="D6">
            <v>5500</v>
          </cell>
          <cell r="E6">
            <v>5800</v>
          </cell>
          <cell r="F6">
            <v>5500</v>
          </cell>
        </row>
        <row r="7">
          <cell r="B7">
            <v>200000</v>
          </cell>
          <cell r="C7">
            <v>158000</v>
          </cell>
          <cell r="D7">
            <v>134000</v>
          </cell>
          <cell r="E7">
            <v>117100</v>
          </cell>
          <cell r="F7">
            <v>118000</v>
          </cell>
        </row>
        <row r="8">
          <cell r="B8">
            <v>7000</v>
          </cell>
          <cell r="C8">
            <v>9000</v>
          </cell>
          <cell r="D8">
            <v>10000</v>
          </cell>
          <cell r="E8">
            <v>11000</v>
          </cell>
          <cell r="F8">
            <v>11500</v>
          </cell>
        </row>
        <row r="9">
          <cell r="B9">
            <v>202000</v>
          </cell>
          <cell r="C9">
            <v>160800</v>
          </cell>
          <cell r="D9">
            <v>136300</v>
          </cell>
          <cell r="E9">
            <v>120200</v>
          </cell>
          <cell r="F9">
            <v>108900</v>
          </cell>
        </row>
        <row r="10">
          <cell r="B10">
            <v>7000</v>
          </cell>
          <cell r="C10">
            <v>9000</v>
          </cell>
          <cell r="D10">
            <v>10000</v>
          </cell>
          <cell r="E10">
            <v>11000</v>
          </cell>
          <cell r="F10">
            <v>12000</v>
          </cell>
        </row>
        <row r="11">
          <cell r="B11">
            <v>204900</v>
          </cell>
          <cell r="C11">
            <v>163800</v>
          </cell>
          <cell r="D11">
            <v>139400</v>
          </cell>
          <cell r="E11">
            <v>123400</v>
          </cell>
          <cell r="F11">
            <v>112200</v>
          </cell>
        </row>
        <row r="12">
          <cell r="B12">
            <v>7000</v>
          </cell>
          <cell r="C12">
            <v>9000</v>
          </cell>
          <cell r="D12">
            <v>10000</v>
          </cell>
          <cell r="E12">
            <v>11000</v>
          </cell>
          <cell r="F12">
            <v>12000</v>
          </cell>
        </row>
        <row r="13">
          <cell r="B13">
            <v>207900</v>
          </cell>
          <cell r="C13">
            <v>166900</v>
          </cell>
          <cell r="D13">
            <v>142500</v>
          </cell>
          <cell r="E13">
            <v>126600</v>
          </cell>
          <cell r="F13">
            <v>115500</v>
          </cell>
        </row>
        <row r="14">
          <cell r="B14">
            <v>7000</v>
          </cell>
          <cell r="C14">
            <v>9000</v>
          </cell>
          <cell r="D14">
            <v>11000</v>
          </cell>
          <cell r="E14">
            <v>11500</v>
          </cell>
          <cell r="F14">
            <v>12500</v>
          </cell>
        </row>
        <row r="15">
          <cell r="B15">
            <v>211000</v>
          </cell>
          <cell r="C15">
            <v>170200</v>
          </cell>
          <cell r="D15">
            <v>145800</v>
          </cell>
          <cell r="E15">
            <v>129900</v>
          </cell>
          <cell r="F15">
            <v>118900</v>
          </cell>
        </row>
        <row r="16">
          <cell r="B16">
            <v>6500</v>
          </cell>
          <cell r="C16">
            <v>9500</v>
          </cell>
          <cell r="D16">
            <v>11000</v>
          </cell>
        </row>
        <row r="17">
          <cell r="B17">
            <v>213800</v>
          </cell>
          <cell r="C17">
            <v>173000</v>
          </cell>
          <cell r="D17">
            <v>148900</v>
          </cell>
        </row>
        <row r="18">
          <cell r="B18">
            <v>6100</v>
          </cell>
          <cell r="C18">
            <v>7400</v>
          </cell>
          <cell r="D18">
            <v>8000</v>
          </cell>
        </row>
        <row r="19">
          <cell r="B19">
            <v>216030</v>
          </cell>
          <cell r="C19">
            <v>175150</v>
          </cell>
          <cell r="D19">
            <v>151980</v>
          </cell>
        </row>
        <row r="20">
          <cell r="B20">
            <v>7000</v>
          </cell>
          <cell r="C20">
            <v>9500</v>
          </cell>
          <cell r="D20">
            <v>11000</v>
          </cell>
          <cell r="E20">
            <v>11000</v>
          </cell>
          <cell r="F20">
            <v>12000</v>
          </cell>
        </row>
        <row r="21">
          <cell r="B21">
            <v>216800</v>
          </cell>
          <cell r="C21">
            <v>176100</v>
          </cell>
          <cell r="D21">
            <v>152200</v>
          </cell>
        </row>
        <row r="22">
          <cell r="B22">
            <v>6500</v>
          </cell>
          <cell r="C22">
            <v>9500</v>
          </cell>
          <cell r="D22">
            <v>11000</v>
          </cell>
        </row>
        <row r="23">
          <cell r="B23">
            <v>222900</v>
          </cell>
          <cell r="C23">
            <v>182500</v>
          </cell>
          <cell r="D23">
            <v>158700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Y117"/>
  <sheetViews>
    <sheetView workbookViewId="0">
      <selection activeCell="R1" sqref="R1:AT1048576"/>
    </sheetView>
  </sheetViews>
  <sheetFormatPr defaultColWidth="8.6640625" defaultRowHeight="13.2" x14ac:dyDescent="0.25"/>
  <cols>
    <col min="1" max="1" width="40.44140625" style="2" customWidth="1"/>
    <col min="2" max="2" width="12.44140625" style="2" customWidth="1"/>
    <col min="3" max="3" width="15.44140625" style="1" customWidth="1"/>
    <col min="4" max="4" width="29.6640625" style="1" customWidth="1"/>
    <col min="5" max="5" width="1.6640625" style="1" customWidth="1"/>
    <col min="6" max="6" width="5.6640625" style="1" customWidth="1"/>
    <col min="7" max="7" width="10.6640625" style="1" customWidth="1"/>
    <col min="8" max="8" width="15.44140625" style="1" customWidth="1"/>
    <col min="9" max="9" width="15.44140625" style="2" customWidth="1"/>
    <col min="10" max="10" width="15.44140625" style="1" customWidth="1"/>
    <col min="11" max="15" width="15" style="3" customWidth="1"/>
    <col min="16" max="16" width="15.44140625" style="2" customWidth="1"/>
    <col min="17" max="17" width="11.109375" style="2" customWidth="1"/>
    <col min="18" max="18" width="11.44140625" style="44" customWidth="1"/>
    <col min="19" max="19" width="17.44140625" style="2" hidden="1" customWidth="1"/>
    <col min="20" max="20" width="16.6640625" style="2" hidden="1" customWidth="1"/>
    <col min="21" max="21" width="18.109375" style="2" hidden="1" customWidth="1"/>
    <col min="22" max="22" width="20" style="2" hidden="1" customWidth="1"/>
    <col min="23" max="24" width="18.33203125" style="2" hidden="1" customWidth="1"/>
    <col min="25" max="25" width="17.33203125" style="2" hidden="1" customWidth="1"/>
    <col min="26" max="26" width="19" style="2" hidden="1" customWidth="1"/>
    <col min="27" max="27" width="27.6640625" style="3" hidden="1" customWidth="1"/>
    <col min="28" max="30" width="14.44140625" style="3" hidden="1" customWidth="1"/>
    <col min="31" max="32" width="14.44140625" style="2" hidden="1" customWidth="1"/>
    <col min="33" max="33" width="14.44140625" style="57" hidden="1" customWidth="1"/>
    <col min="34" max="40" width="14.44140625" style="2" hidden="1" customWidth="1"/>
    <col min="41" max="41" width="13.109375" style="2" hidden="1" customWidth="1"/>
    <col min="42" max="42" width="13.6640625" style="2" hidden="1" customWidth="1"/>
    <col min="43" max="43" width="8.6640625" style="2" hidden="1" customWidth="1"/>
    <col min="44" max="44" width="13.6640625" style="2" hidden="1" customWidth="1"/>
    <col min="45" max="45" width="13.6640625" style="2" customWidth="1"/>
    <col min="46" max="53" width="8.6640625" style="2" customWidth="1"/>
    <col min="54" max="16384" width="8.6640625" style="2"/>
  </cols>
  <sheetData>
    <row r="1" spans="1:51" ht="12.75" customHeight="1" x14ac:dyDescent="0.2">
      <c r="A1" s="818" t="s">
        <v>41</v>
      </c>
      <c r="B1" s="818"/>
      <c r="C1" s="818"/>
      <c r="D1" s="818"/>
      <c r="E1" s="2"/>
      <c r="F1" s="2"/>
      <c r="G1" s="2"/>
      <c r="H1" s="2"/>
      <c r="J1" s="2"/>
      <c r="K1" s="2"/>
      <c r="L1" s="2"/>
      <c r="M1" s="2"/>
      <c r="N1" s="2"/>
      <c r="O1" s="2"/>
      <c r="R1" s="2"/>
      <c r="AA1" s="2"/>
      <c r="AB1" s="2"/>
      <c r="AC1" s="2"/>
      <c r="AD1" s="2"/>
      <c r="AG1" s="62"/>
      <c r="AN1" s="2" t="s">
        <v>52</v>
      </c>
      <c r="AO1" s="86" t="str">
        <f>IF($C$10=$X$3,$X$4,IF($C$10=$AA$3,$AA$4,IF($C$10=$AB$3,$AB$4,IF($C$10=$AC$3,$AC$4,IF($C$10=$AD$3,$AD$4,IF($C$10=$AE$3,$AE$4,IF($C$10=$AF$3,$AF$4,IF($C$10=$AG$3,$AG$4,IF($C$10=$AH$3,$AH$4,IF($C$10=$AI$3,$AI$4,IF($C$10=$AJ$3,$AJ$4,IF($C$10=$AK$3,$AK$4,IF($C$10=$AL$3,$AL$4,IF($C$10=$AM$3,$AM$4,IF($C$10=$AN$3,$AN$4,"")))))))))))))))</f>
        <v/>
      </c>
      <c r="AQ1" s="65">
        <f>IF(IF($C$10=$S$3,OR($C$16=$S$4,$C$16=$S$5,$C$16=$S$7,$C$16=$S$8,$C$16=$S$9,$C$16=$S$10,$C$16=$S$11,$C$16=$S$15),IF($C$10=$T$3,OR($C$16=$T$4,$C$16=$T$5,$C$16=$T$6,$C$16=$T$7,$C$16=$T$8,$C$16=$T$9),IF($C$10=$U$3,OR($C$16=$U$4,$C$16=$U$5,$C$16=$U$6),IF($C$10=$V$3,OR($C$16=$V$4,$C$16=$V$5,$C$16=$V$6),IF($C$10=$W$3,OR($C$16=$W$4,$C$16=$W$5,$C$16=$W$6),IF($C$10=$X$3,OR($C$16=$X$4,$C$16=$X$5,$C$16=$X$6),IF($C$10=$Y$3,OR($C$16=$Y$4,$C$16=$Y$5,$C$16=$Y$6),IF($C$10=$Z$3,OR($C$16=$Z$4,$C$16=$Z$5,$C$16=$Z$6),IF($C$10=$AA$3,OR($C$16=$AA$4,$C$16=$AA$5,$C$16=$AA$6),IF($C$10=$AB$3,OR($C$16=$AB$4,$C$16=$AB$5,$C$16=$AB$6),IF($C$10=$AC$3,OR($C$16=$AC$4,$C$16=$AC$5,$C$16=$AC$6),IF($C$10=$AD$3,OR($C$16=$AD$4,$C$16=$AD$5,$C$16=$AD$6),IF($C$10=$AE$3,OR($C$16=$AE$4,$C$16=$AE$5,$C$16=$AE$6),IF($C$10=$AF$3,OR($C$16=$AF$4,$C$16=$AF$5,$C$16=$AF$6),IF($C$10=$AG$3,OR($C$16=$AG$4,$C$16=$AG$5,$C$16=$AG$6),IF($C$10=$AH$3,OR($C$16=$AH$4,$C$16=$AH$5,$C$16=$AH$6),IF($C$10=$AI$3,OR($C$16=$AI$4,$C$16=$AI$5,$C$16=$AI$6),IF($C$10=$AJ$3,OR($C$16=$AJ$4,$C$16=$AJ$5,$C$16=$AJ$6),IF($C$10=$AK$3,OR($C$16=$AK$4,$C$16=$AK$5,$C$16=$AK$6),IF($C$10=$AL$3,OR($C$16=$AL$4,$C$16=$AL$5,$C$16=$AL$6),IF($C$10=$AM$3,OR($C$16=$AM$4,$C$16=$AM$5,$C$16=$AM$6),IF($C$10=$AN$3,OR($C$16=$AN$4,$C$16=$AN$5,$C$16=$AN$6),"")))))))))))))))))))))),1,0)</f>
        <v>1</v>
      </c>
    </row>
    <row r="2" spans="1:51" ht="34.5" customHeight="1" x14ac:dyDescent="0.2">
      <c r="A2" s="818"/>
      <c r="B2" s="818"/>
      <c r="C2" s="818"/>
      <c r="D2" s="818"/>
      <c r="E2" s="2"/>
      <c r="F2" s="2"/>
      <c r="G2" s="2"/>
      <c r="H2" s="2"/>
      <c r="J2" s="2"/>
      <c r="K2" s="2"/>
      <c r="L2" s="2"/>
      <c r="M2" s="2"/>
      <c r="N2" s="2"/>
      <c r="O2" s="2"/>
      <c r="R2" s="2"/>
      <c r="AA2" s="2"/>
      <c r="AB2" s="2"/>
      <c r="AC2" s="2"/>
      <c r="AD2" s="2"/>
    </row>
    <row r="3" spans="1:51" ht="24.6" x14ac:dyDescent="0.2">
      <c r="A3" s="819" t="s">
        <v>27</v>
      </c>
      <c r="B3" s="819"/>
      <c r="C3" s="819"/>
      <c r="D3" s="819"/>
      <c r="E3" s="2"/>
      <c r="F3" s="819" t="s">
        <v>28</v>
      </c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49"/>
      <c r="S3" s="55" t="s">
        <v>53</v>
      </c>
      <c r="T3" s="55"/>
      <c r="U3" s="55"/>
      <c r="V3" s="55"/>
      <c r="W3" s="55"/>
      <c r="X3" s="85"/>
      <c r="Y3" s="85"/>
      <c r="Z3" s="5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63"/>
      <c r="AP3" s="63"/>
      <c r="AS3" s="6"/>
      <c r="AT3" s="57"/>
    </row>
    <row r="4" spans="1:51" ht="12" customHeight="1" x14ac:dyDescent="0.2">
      <c r="A4" s="819"/>
      <c r="B4" s="819"/>
      <c r="C4" s="819"/>
      <c r="D4" s="819"/>
      <c r="E4" s="2"/>
      <c r="F4" s="819"/>
      <c r="G4" s="819"/>
      <c r="H4" s="819"/>
      <c r="I4" s="819"/>
      <c r="J4" s="819"/>
      <c r="K4" s="819"/>
      <c r="L4" s="819"/>
      <c r="M4" s="819"/>
      <c r="N4" s="819"/>
      <c r="O4" s="819"/>
      <c r="P4" s="819"/>
      <c r="Q4" s="819"/>
      <c r="R4" s="49"/>
      <c r="S4" s="15">
        <v>0.11899999999999999</v>
      </c>
      <c r="T4" s="15"/>
      <c r="U4" s="15"/>
      <c r="V4" s="15"/>
      <c r="W4" s="15"/>
      <c r="X4" s="84"/>
      <c r="Y4" s="84"/>
      <c r="Z4" s="15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15"/>
      <c r="AP4" s="15"/>
      <c r="AS4" s="11"/>
      <c r="AT4" s="57"/>
      <c r="AY4" s="57"/>
    </row>
    <row r="5" spans="1:51" ht="25.5" customHeight="1" x14ac:dyDescent="0.25">
      <c r="A5" s="820" t="s">
        <v>46</v>
      </c>
      <c r="B5" s="821"/>
      <c r="C5" s="822">
        <v>350000</v>
      </c>
      <c r="D5" s="822"/>
      <c r="F5" s="43" t="s">
        <v>3</v>
      </c>
      <c r="G5" s="19" t="s">
        <v>4</v>
      </c>
      <c r="H5" s="19" t="s">
        <v>5</v>
      </c>
      <c r="I5" s="20" t="s">
        <v>12</v>
      </c>
      <c r="J5" s="20" t="s">
        <v>26</v>
      </c>
      <c r="K5" s="20" t="s">
        <v>36</v>
      </c>
      <c r="L5" s="20" t="s">
        <v>39</v>
      </c>
      <c r="M5" s="20" t="s">
        <v>38</v>
      </c>
      <c r="N5" s="20" t="s">
        <v>37</v>
      </c>
      <c r="O5" s="20" t="s">
        <v>40</v>
      </c>
      <c r="P5" s="19" t="s">
        <v>6</v>
      </c>
      <c r="Q5" s="45" t="s">
        <v>32</v>
      </c>
      <c r="R5" s="50" t="s">
        <v>31</v>
      </c>
      <c r="S5" s="15">
        <v>0.129</v>
      </c>
      <c r="T5" s="15"/>
      <c r="U5" s="15"/>
      <c r="V5" s="15"/>
      <c r="W5" s="15"/>
      <c r="X5" s="84"/>
      <c r="Y5" s="84"/>
      <c r="Z5" s="15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15"/>
      <c r="AP5" s="15"/>
      <c r="AS5" s="3"/>
      <c r="AT5" s="57"/>
      <c r="AY5" s="61"/>
    </row>
    <row r="6" spans="1:51" ht="13.5" customHeight="1" x14ac:dyDescent="0.25">
      <c r="A6" s="810" t="s">
        <v>16</v>
      </c>
      <c r="B6" s="811"/>
      <c r="C6" s="817" t="s">
        <v>70</v>
      </c>
      <c r="D6" s="817"/>
      <c r="F6" s="21"/>
      <c r="G6" s="22">
        <f ca="1">C7</f>
        <v>45330</v>
      </c>
      <c r="H6" s="23">
        <f>-C13</f>
        <v>-434000</v>
      </c>
      <c r="I6" s="24"/>
      <c r="J6" s="25"/>
      <c r="K6" s="25"/>
      <c r="L6" s="25"/>
      <c r="M6" s="25"/>
      <c r="N6" s="25"/>
      <c r="O6" s="25"/>
      <c r="P6" s="56">
        <f>C13</f>
        <v>434000</v>
      </c>
      <c r="Q6" s="25"/>
      <c r="R6" s="36"/>
      <c r="S6" s="15">
        <v>0.13900000000000001</v>
      </c>
      <c r="T6" s="15"/>
      <c r="U6" s="15"/>
      <c r="V6" s="15"/>
      <c r="W6" s="15"/>
      <c r="X6" s="84"/>
      <c r="Y6" s="84"/>
      <c r="Z6" s="15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15"/>
      <c r="AP6" s="15"/>
      <c r="AS6" s="3"/>
      <c r="AT6" s="57"/>
      <c r="AX6" s="57"/>
    </row>
    <row r="7" spans="1:51" ht="12.75" customHeight="1" x14ac:dyDescent="0.25">
      <c r="A7" s="810" t="s">
        <v>25</v>
      </c>
      <c r="B7" s="811"/>
      <c r="C7" s="815">
        <f ca="1">TODAY()</f>
        <v>45330</v>
      </c>
      <c r="D7" s="815"/>
      <c r="F7" s="26">
        <f>1</f>
        <v>1</v>
      </c>
      <c r="G7" s="27">
        <f t="shared" ref="G7:G38" ca="1" si="0">IF((OR(DAY($Z$43)=29,DAY($Z$43)=30,DAY($Z$43)=31)),(EDATE($C$7-3,F7)),(IF((OR(DAY($Z$43)=1,DAY($Z$43)=2,DAY($Z$43)=3)),(EDATE($C$7,F7)+3),EDATE($C$7,F7))))</f>
        <v>45359</v>
      </c>
      <c r="H7" s="24">
        <f ca="1">IF(AND(P6+K7+I7&gt;H6,H6&lt;&gt;0),$D$15,IF(P6=0,0,P6+K7+I7+I8))</f>
        <v>9635</v>
      </c>
      <c r="I7" s="24">
        <f ca="1">IF($C$7&gt;$AB$40,ROUND(P6*$C$16/(DATEVALUE(CONCATENATE("01/01/",YEAR(G7)+1))-DATEVALUE(CONCATENATE("01/01/",YEAR(G7))))*(G7-G6),2),0)</f>
        <v>4092.17</v>
      </c>
      <c r="J7" s="24">
        <f ca="1">IF(Q7=0,0,IF(Q7=1,P6,IF(P6+K7+I7&gt;H6,H7-I7-K7,P6)))</f>
        <v>5542.83</v>
      </c>
      <c r="K7" s="24">
        <f ca="1">IF(M7&gt;$D$15,$D$15-I7,IF(R7=0,0,O7)+AE40)</f>
        <v>0</v>
      </c>
      <c r="L7" s="24"/>
      <c r="M7" s="24">
        <f ca="1">I7+N7</f>
        <v>4092.17</v>
      </c>
      <c r="N7" s="24">
        <f ca="1">IF(R7=0,0,$D$17)+AE40</f>
        <v>0</v>
      </c>
      <c r="O7" s="24">
        <f t="shared" ref="O7:O70" ca="1" si="1">IF(R7=0,0,$D$17)</f>
        <v>0</v>
      </c>
      <c r="P7" s="24">
        <f ca="1">IF(OR(Q7=1,P6=0),0,P6-J7)</f>
        <v>428457.17</v>
      </c>
      <c r="Q7" s="36">
        <f>D14</f>
        <v>60</v>
      </c>
      <c r="R7" s="36">
        <f t="shared" ref="R7:R38" ca="1" si="2">IF(ISERR(CEILING(FLOOR(NPER($C$16/12,-$Z$44,P6),0.1),1))=TRUE,0,CEILING(FLOOR(NPER($C$16/12,-$Z$44,P6),0.1),1))</f>
        <v>60</v>
      </c>
      <c r="S7" s="15">
        <v>0.14899999999999999</v>
      </c>
      <c r="T7" s="15"/>
      <c r="U7" s="15"/>
      <c r="V7" s="15"/>
      <c r="W7" s="15"/>
      <c r="X7" s="84"/>
      <c r="Y7" s="84"/>
      <c r="Z7" s="15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15"/>
      <c r="AP7" s="15"/>
    </row>
    <row r="8" spans="1:51" ht="12.75" customHeight="1" x14ac:dyDescent="0.25">
      <c r="A8" s="810" t="s">
        <v>18</v>
      </c>
      <c r="B8" s="811"/>
      <c r="C8" s="816"/>
      <c r="D8" s="816"/>
      <c r="F8" s="26">
        <f>F7+1</f>
        <v>2</v>
      </c>
      <c r="G8" s="27">
        <f t="shared" ca="1" si="0"/>
        <v>45390</v>
      </c>
      <c r="H8" s="24">
        <f t="shared" ref="H8:H45" ca="1" si="3">IF(Q8=1,K8+I8+J8,IF(P7+K8+I8&gt;H7,$D$15,IF(P7=0,0,P7+K8+I8+I9)))</f>
        <v>9635</v>
      </c>
      <c r="I8" s="24">
        <f t="shared" ref="I8:I39" ca="1" si="4">IF($C$7&gt;$AB$40,ROUND(P7*$C$16/(DATEVALUE(CONCATENATE("01/01/",YEAR(G8)+1))-DATEVALUE(CONCATENATE("01/01/",YEAR(G8))))*(G8-G7),2),ROUND(P6*$C$16/(DATEVALUE(CONCATENATE("01/01/",YEAR(G7)+1))-DATEVALUE(CONCATENATE("01/01/",YEAR(G7))))*(G7-G6),2))</f>
        <v>4318.5200000000004</v>
      </c>
      <c r="J8" s="24">
        <f t="shared" ref="J8:J71" ca="1" si="5">IF(Q8=0,0,IF(Q8=1,P7,IF(P7+K8+I8&gt;H7,H8-I8-K8,P7)))</f>
        <v>5316.48</v>
      </c>
      <c r="K8" s="24">
        <f t="shared" ref="K8:K71" ca="1" si="6">IF(M8&gt;$D$15,$D$15-I8,IF(R8=0,0,N8))</f>
        <v>0</v>
      </c>
      <c r="L8" s="24">
        <f ca="1">N7-K7</f>
        <v>0</v>
      </c>
      <c r="M8" s="24">
        <f t="shared" ref="M8:M85" ca="1" si="7">I8+N8</f>
        <v>4318.5200000000004</v>
      </c>
      <c r="N8" s="24">
        <f ca="1">IF(R8=0,0,$D$17)+L8</f>
        <v>0</v>
      </c>
      <c r="O8" s="24">
        <f t="shared" ca="1" si="1"/>
        <v>0</v>
      </c>
      <c r="P8" s="24">
        <f t="shared" ref="P8:P71" ca="1" si="8">IF(OR(Q8=1,P7=0),0,P7-J8)</f>
        <v>423140.69</v>
      </c>
      <c r="Q8" s="36">
        <f>IF((Q7-1)&lt;0,0,Q7-1)</f>
        <v>59</v>
      </c>
      <c r="R8" s="36">
        <f t="shared" ca="1" si="2"/>
        <v>59</v>
      </c>
      <c r="S8" s="15">
        <v>0.159</v>
      </c>
      <c r="T8" s="15"/>
      <c r="U8" s="15"/>
      <c r="V8" s="15"/>
      <c r="W8" s="15"/>
      <c r="X8" s="84"/>
      <c r="Y8" s="84"/>
      <c r="Z8" s="15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15"/>
      <c r="AP8" s="15"/>
    </row>
    <row r="9" spans="1:51" ht="12" customHeight="1" x14ac:dyDescent="0.25">
      <c r="A9" s="810" t="s">
        <v>1</v>
      </c>
      <c r="B9" s="811"/>
      <c r="C9" s="813">
        <v>60</v>
      </c>
      <c r="D9" s="813"/>
      <c r="F9" s="26">
        <f t="shared" ref="F9:F72" si="9">F8+1</f>
        <v>3</v>
      </c>
      <c r="G9" s="27">
        <f t="shared" ca="1" si="0"/>
        <v>45420</v>
      </c>
      <c r="H9" s="24">
        <f t="shared" ca="1" si="3"/>
        <v>9635</v>
      </c>
      <c r="I9" s="24">
        <f t="shared" ca="1" si="4"/>
        <v>4127.3599999999997</v>
      </c>
      <c r="J9" s="24">
        <f t="shared" ca="1" si="5"/>
        <v>5507.64</v>
      </c>
      <c r="K9" s="24">
        <f t="shared" ca="1" si="6"/>
        <v>0</v>
      </c>
      <c r="L9" s="24">
        <f t="shared" ref="L9:L85" ca="1" si="10">N8-K8</f>
        <v>0</v>
      </c>
      <c r="M9" s="24">
        <f t="shared" ca="1" si="7"/>
        <v>4127.3599999999997</v>
      </c>
      <c r="N9" s="24">
        <f ca="1">IF(R9=0,0,$D$17)+L9</f>
        <v>0</v>
      </c>
      <c r="O9" s="24">
        <f t="shared" ca="1" si="1"/>
        <v>0</v>
      </c>
      <c r="P9" s="24">
        <f t="shared" ca="1" si="8"/>
        <v>417633.05</v>
      </c>
      <c r="Q9" s="36">
        <f t="shared" ref="Q9:Q72" si="11">IF((Q8-1)&lt;0,0,Q8-1)</f>
        <v>58</v>
      </c>
      <c r="R9" s="36">
        <f t="shared" ca="1" si="2"/>
        <v>58</v>
      </c>
      <c r="S9" s="15">
        <v>0.16900000000000001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3"/>
      <c r="AP9" s="3"/>
    </row>
    <row r="10" spans="1:51" ht="12" customHeight="1" x14ac:dyDescent="0.25">
      <c r="A10" s="808" t="s">
        <v>34</v>
      </c>
      <c r="B10" s="809"/>
      <c r="C10" s="812" t="s">
        <v>53</v>
      </c>
      <c r="D10" s="812"/>
      <c r="F10" s="26">
        <f t="shared" si="9"/>
        <v>4</v>
      </c>
      <c r="G10" s="27">
        <f t="shared" ca="1" si="0"/>
        <v>45451</v>
      </c>
      <c r="H10" s="24">
        <f t="shared" ca="1" si="3"/>
        <v>9635</v>
      </c>
      <c r="I10" s="24">
        <f t="shared" ca="1" si="4"/>
        <v>4209.42</v>
      </c>
      <c r="J10" s="24">
        <f t="shared" ca="1" si="5"/>
        <v>5425.58</v>
      </c>
      <c r="K10" s="24">
        <f t="shared" ca="1" si="6"/>
        <v>0</v>
      </c>
      <c r="L10" s="24">
        <f t="shared" ca="1" si="10"/>
        <v>0</v>
      </c>
      <c r="M10" s="24">
        <f t="shared" ca="1" si="7"/>
        <v>4209.42</v>
      </c>
      <c r="N10" s="24">
        <f ca="1">IF(R10=0,0,$D$17)+L10</f>
        <v>0</v>
      </c>
      <c r="O10" s="24">
        <f t="shared" ca="1" si="1"/>
        <v>0</v>
      </c>
      <c r="P10" s="24">
        <f t="shared" ca="1" si="8"/>
        <v>412207.47</v>
      </c>
      <c r="Q10" s="36">
        <f t="shared" si="11"/>
        <v>57</v>
      </c>
      <c r="R10" s="36">
        <f t="shared" ca="1" si="2"/>
        <v>57</v>
      </c>
      <c r="S10" s="15">
        <v>0.17899999999999999</v>
      </c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</row>
    <row r="11" spans="1:51" ht="12" customHeight="1" x14ac:dyDescent="0.25">
      <c r="A11" s="810" t="s">
        <v>30</v>
      </c>
      <c r="B11" s="811"/>
      <c r="C11" s="813" t="s">
        <v>35</v>
      </c>
      <c r="D11" s="813"/>
      <c r="F11" s="26">
        <f>F10+1</f>
        <v>5</v>
      </c>
      <c r="G11" s="27">
        <f t="shared" ca="1" si="0"/>
        <v>45481</v>
      </c>
      <c r="H11" s="24">
        <f t="shared" ca="1" si="3"/>
        <v>9635</v>
      </c>
      <c r="I11" s="24">
        <f t="shared" ca="1" si="4"/>
        <v>4020.71</v>
      </c>
      <c r="J11" s="24">
        <f t="shared" ca="1" si="5"/>
        <v>5614.29</v>
      </c>
      <c r="K11" s="24">
        <f t="shared" ca="1" si="6"/>
        <v>0</v>
      </c>
      <c r="L11" s="24">
        <f t="shared" ca="1" si="10"/>
        <v>0</v>
      </c>
      <c r="M11" s="24">
        <f t="shared" ca="1" si="7"/>
        <v>4020.71</v>
      </c>
      <c r="N11" s="24">
        <f ca="1">IF(R11=0,0,$D$17)+L11</f>
        <v>0</v>
      </c>
      <c r="O11" s="24">
        <f t="shared" ca="1" si="1"/>
        <v>0</v>
      </c>
      <c r="P11" s="24">
        <f t="shared" ca="1" si="8"/>
        <v>406593.18</v>
      </c>
      <c r="Q11" s="36">
        <f>IF((Q10-1)&lt;0,0,Q10-1)</f>
        <v>56</v>
      </c>
      <c r="R11" s="36">
        <f t="shared" ca="1" si="2"/>
        <v>56</v>
      </c>
      <c r="S11" s="15">
        <v>0.189</v>
      </c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46">
        <v>42186</v>
      </c>
    </row>
    <row r="12" spans="1:51" ht="12" x14ac:dyDescent="0.25">
      <c r="A12" s="810" t="s">
        <v>19</v>
      </c>
      <c r="B12" s="811"/>
      <c r="C12" s="68"/>
      <c r="D12" s="68"/>
      <c r="F12" s="26">
        <f>F11+1</f>
        <v>6</v>
      </c>
      <c r="G12" s="27">
        <f t="shared" ca="1" si="0"/>
        <v>45512</v>
      </c>
      <c r="H12" s="24">
        <f t="shared" ca="1" si="3"/>
        <v>9635</v>
      </c>
      <c r="I12" s="24">
        <f t="shared" ca="1" si="4"/>
        <v>4098.1499999999996</v>
      </c>
      <c r="J12" s="24">
        <f ca="1">IF(Q12=0,0,IF(Q12=1,P11,IF(P11+K12+I12&gt;H11,H12-I12-K12,P11)))</f>
        <v>5536.85</v>
      </c>
      <c r="K12" s="24">
        <f t="shared" ca="1" si="6"/>
        <v>0</v>
      </c>
      <c r="L12" s="24">
        <f ca="1">N11-K11</f>
        <v>0</v>
      </c>
      <c r="M12" s="24">
        <f t="shared" ca="1" si="7"/>
        <v>4098.1499999999996</v>
      </c>
      <c r="N12" s="24">
        <f ca="1">IF(R12=0,0,$D$17)</f>
        <v>0</v>
      </c>
      <c r="O12" s="24">
        <f t="shared" ca="1" si="1"/>
        <v>0</v>
      </c>
      <c r="P12" s="24">
        <f ca="1">IF(OR(Q12=1,P11=0),0,P11-J12)</f>
        <v>401056.33</v>
      </c>
      <c r="Q12" s="36">
        <f>IF((Q11-1)&lt;0,0,Q11-1)</f>
        <v>55</v>
      </c>
      <c r="R12" s="36">
        <f t="shared" ca="1" si="2"/>
        <v>55</v>
      </c>
      <c r="S12" s="15">
        <v>0.19500000000000001</v>
      </c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</row>
    <row r="13" spans="1:51" x14ac:dyDescent="0.25">
      <c r="A13" s="810" t="s">
        <v>9</v>
      </c>
      <c r="B13" s="811"/>
      <c r="C13" s="814">
        <f>$C$5+$X$41*$C$5*$C$9+$D$24</f>
        <v>434000</v>
      </c>
      <c r="D13" s="814"/>
      <c r="F13" s="26">
        <f t="shared" si="9"/>
        <v>7</v>
      </c>
      <c r="G13" s="27">
        <f t="shared" ca="1" si="0"/>
        <v>45543</v>
      </c>
      <c r="H13" s="24">
        <f t="shared" ca="1" si="3"/>
        <v>9635</v>
      </c>
      <c r="I13" s="24">
        <f t="shared" ca="1" si="4"/>
        <v>4042.34</v>
      </c>
      <c r="J13" s="24">
        <f t="shared" ca="1" si="5"/>
        <v>5592.66</v>
      </c>
      <c r="K13" s="24">
        <f t="shared" ca="1" si="6"/>
        <v>0</v>
      </c>
      <c r="L13" s="24">
        <f t="shared" ca="1" si="10"/>
        <v>0</v>
      </c>
      <c r="M13" s="24">
        <f t="shared" ca="1" si="7"/>
        <v>4042.34</v>
      </c>
      <c r="N13" s="24">
        <f ca="1">IF(R13=0,0,$D$17)</f>
        <v>0</v>
      </c>
      <c r="O13" s="24">
        <f t="shared" ca="1" si="1"/>
        <v>0</v>
      </c>
      <c r="P13" s="24">
        <f t="shared" ca="1" si="8"/>
        <v>395463.67000000004</v>
      </c>
      <c r="Q13" s="36">
        <f t="shared" si="11"/>
        <v>54</v>
      </c>
      <c r="R13" s="36">
        <f t="shared" ca="1" si="2"/>
        <v>54</v>
      </c>
      <c r="S13" s="15">
        <v>0.20899999999999999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</row>
    <row r="14" spans="1:51" ht="12" x14ac:dyDescent="0.25">
      <c r="A14" s="810" t="s">
        <v>1</v>
      </c>
      <c r="B14" s="811"/>
      <c r="C14" s="69"/>
      <c r="D14" s="70">
        <f>C9</f>
        <v>60</v>
      </c>
      <c r="F14" s="26">
        <f t="shared" si="9"/>
        <v>8</v>
      </c>
      <c r="G14" s="27">
        <f t="shared" ca="1" si="0"/>
        <v>45573</v>
      </c>
      <c r="H14" s="24">
        <f t="shared" ca="1" si="3"/>
        <v>9635</v>
      </c>
      <c r="I14" s="24">
        <f t="shared" ca="1" si="4"/>
        <v>3857.39</v>
      </c>
      <c r="J14" s="24">
        <f t="shared" ca="1" si="5"/>
        <v>5777.6100000000006</v>
      </c>
      <c r="K14" s="24">
        <f t="shared" ca="1" si="6"/>
        <v>0</v>
      </c>
      <c r="L14" s="24">
        <f t="shared" ca="1" si="10"/>
        <v>0</v>
      </c>
      <c r="M14" s="24">
        <f t="shared" ca="1" si="7"/>
        <v>3857.39</v>
      </c>
      <c r="N14" s="24">
        <f ca="1">IF(R14=0,0,$D$17)</f>
        <v>0</v>
      </c>
      <c r="O14" s="24">
        <f t="shared" ca="1" si="1"/>
        <v>0</v>
      </c>
      <c r="P14" s="24">
        <f t="shared" ca="1" si="8"/>
        <v>389686.06000000006</v>
      </c>
      <c r="Q14" s="36">
        <f t="shared" si="11"/>
        <v>53</v>
      </c>
      <c r="R14" s="36">
        <f t="shared" ca="1" si="2"/>
        <v>53</v>
      </c>
      <c r="S14" s="15">
        <v>0.22900000000000001</v>
      </c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</row>
    <row r="15" spans="1:51" ht="12" x14ac:dyDescent="0.25">
      <c r="A15" s="810" t="s">
        <v>14</v>
      </c>
      <c r="B15" s="811"/>
      <c r="C15" s="71"/>
      <c r="D15" s="72">
        <f ca="1">ROUNDUP(($Z$44+$D$17)/AC36,0)*AC36</f>
        <v>9635</v>
      </c>
      <c r="F15" s="26">
        <f t="shared" si="9"/>
        <v>9</v>
      </c>
      <c r="G15" s="27">
        <f t="shared" ca="1" si="0"/>
        <v>45604</v>
      </c>
      <c r="H15" s="24">
        <f t="shared" ca="1" si="3"/>
        <v>9635</v>
      </c>
      <c r="I15" s="24">
        <f t="shared" ca="1" si="4"/>
        <v>3927.74</v>
      </c>
      <c r="J15" s="24">
        <f t="shared" ca="1" si="5"/>
        <v>5707.26</v>
      </c>
      <c r="K15" s="24">
        <f t="shared" ca="1" si="6"/>
        <v>0</v>
      </c>
      <c r="L15" s="24">
        <f t="shared" ca="1" si="10"/>
        <v>0</v>
      </c>
      <c r="M15" s="24">
        <f t="shared" ca="1" si="7"/>
        <v>3927.74</v>
      </c>
      <c r="N15" s="24">
        <f ca="1">IF(R15=0,0,$D$17)</f>
        <v>0</v>
      </c>
      <c r="O15" s="24">
        <f t="shared" ca="1" si="1"/>
        <v>0</v>
      </c>
      <c r="P15" s="24">
        <f t="shared" ca="1" si="8"/>
        <v>383978.80000000005</v>
      </c>
      <c r="Q15" s="36">
        <f t="shared" si="11"/>
        <v>52</v>
      </c>
      <c r="R15" s="36">
        <f t="shared" ca="1" si="2"/>
        <v>52</v>
      </c>
      <c r="S15" s="15">
        <v>0.23899999999999999</v>
      </c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</row>
    <row r="16" spans="1:51" ht="12" x14ac:dyDescent="0.25">
      <c r="A16" s="808" t="s">
        <v>2</v>
      </c>
      <c r="B16" s="809"/>
      <c r="C16" s="83">
        <v>0.11899999999999999</v>
      </c>
      <c r="D16" s="71"/>
      <c r="F16" s="26">
        <f t="shared" si="9"/>
        <v>10</v>
      </c>
      <c r="G16" s="27">
        <f t="shared" ca="1" si="0"/>
        <v>45634</v>
      </c>
      <c r="H16" s="24">
        <f t="shared" ca="1" si="3"/>
        <v>9635</v>
      </c>
      <c r="I16" s="24">
        <f t="shared" ca="1" si="4"/>
        <v>3745.37</v>
      </c>
      <c r="J16" s="24">
        <f t="shared" ca="1" si="5"/>
        <v>5889.63</v>
      </c>
      <c r="K16" s="24">
        <f t="shared" ca="1" si="6"/>
        <v>0</v>
      </c>
      <c r="L16" s="24">
        <f t="shared" ca="1" si="10"/>
        <v>0</v>
      </c>
      <c r="M16" s="24">
        <f t="shared" ca="1" si="7"/>
        <v>3745.37</v>
      </c>
      <c r="N16" s="24">
        <f ca="1">IF(R16=0,0,$D$17)</f>
        <v>0</v>
      </c>
      <c r="O16" s="24">
        <f t="shared" ca="1" si="1"/>
        <v>0</v>
      </c>
      <c r="P16" s="24">
        <f t="shared" ca="1" si="8"/>
        <v>378089.17000000004</v>
      </c>
      <c r="Q16" s="36">
        <f t="shared" si="11"/>
        <v>51</v>
      </c>
      <c r="R16" s="36">
        <f t="shared" ca="1" si="2"/>
        <v>51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</row>
    <row r="17" spans="1:40" x14ac:dyDescent="0.25">
      <c r="A17" s="810" t="s">
        <v>45</v>
      </c>
      <c r="B17" s="811"/>
      <c r="C17" s="73">
        <f>IF(C6=V48,V54/2,IF(C6=W48,W54/2,IF(C6=Y48,Y54/2,IF(C6=Z48,Z54/2,IF(C6=X48,X54/2,IF(C6=AA48,AA54/2,IF(C6=AB48,AB54/2,S17)))))))</f>
        <v>2E-3</v>
      </c>
      <c r="D17" s="74"/>
      <c r="F17" s="26">
        <f t="shared" si="9"/>
        <v>11</v>
      </c>
      <c r="G17" s="27">
        <f t="shared" ca="1" si="0"/>
        <v>45665</v>
      </c>
      <c r="H17" s="24">
        <f t="shared" ca="1" si="3"/>
        <v>9635</v>
      </c>
      <c r="I17" s="24">
        <f t="shared" ca="1" si="4"/>
        <v>3821.29</v>
      </c>
      <c r="J17" s="24">
        <f t="shared" ca="1" si="5"/>
        <v>5813.71</v>
      </c>
      <c r="K17" s="24">
        <f t="shared" ca="1" si="6"/>
        <v>0</v>
      </c>
      <c r="L17" s="24">
        <f t="shared" ca="1" si="10"/>
        <v>0</v>
      </c>
      <c r="M17" s="24">
        <f t="shared" ca="1" si="7"/>
        <v>3821.29</v>
      </c>
      <c r="N17" s="24">
        <f t="shared" ref="N17:N80" ca="1" si="12">IF(R17=0,0,$D$17)</f>
        <v>0</v>
      </c>
      <c r="O17" s="24">
        <f t="shared" ca="1" si="1"/>
        <v>0</v>
      </c>
      <c r="P17" s="24">
        <f t="shared" ca="1" si="8"/>
        <v>372275.46</v>
      </c>
      <c r="Q17" s="36">
        <f t="shared" si="11"/>
        <v>50</v>
      </c>
      <c r="R17" s="36">
        <f t="shared" ca="1" si="2"/>
        <v>50</v>
      </c>
      <c r="S17" s="2">
        <v>1</v>
      </c>
      <c r="T17" s="3">
        <v>1</v>
      </c>
      <c r="U17" s="2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</row>
    <row r="18" spans="1:40" x14ac:dyDescent="0.25">
      <c r="A18" s="810" t="s">
        <v>44</v>
      </c>
      <c r="B18" s="811"/>
      <c r="C18" s="73"/>
      <c r="D18" s="74">
        <f>$X$41*$C$5*$C$9</f>
        <v>84000</v>
      </c>
      <c r="F18" s="26">
        <f>F17+1</f>
        <v>12</v>
      </c>
      <c r="G18" s="27">
        <f t="shared" ca="1" si="0"/>
        <v>45696</v>
      </c>
      <c r="H18" s="24">
        <f t="shared" ca="1" si="3"/>
        <v>9635</v>
      </c>
      <c r="I18" s="24">
        <f t="shared" ca="1" si="4"/>
        <v>3762.53</v>
      </c>
      <c r="J18" s="24">
        <f ca="1">IF(Q18=0,0,IF(Q18=1,P17,IF(P17+K18+I18&gt;H17,H18-I18-K18,P17)))</f>
        <v>5872.4699999999993</v>
      </c>
      <c r="K18" s="24">
        <f t="shared" ca="1" si="6"/>
        <v>0</v>
      </c>
      <c r="L18" s="24">
        <f ca="1">N17-K17</f>
        <v>0</v>
      </c>
      <c r="M18" s="24">
        <f t="shared" ca="1" si="7"/>
        <v>3762.53</v>
      </c>
      <c r="N18" s="24">
        <f t="shared" ca="1" si="12"/>
        <v>0</v>
      </c>
      <c r="O18" s="24">
        <f t="shared" ca="1" si="1"/>
        <v>0</v>
      </c>
      <c r="P18" s="24">
        <f ca="1">IF(OR(Q18=1,P17=0),0,P17-J18)</f>
        <v>366402.99000000005</v>
      </c>
      <c r="Q18" s="36">
        <f>IF((Q17-1)&lt;0,0,Q17-1)</f>
        <v>49</v>
      </c>
      <c r="R18" s="36">
        <f t="shared" ca="1" si="2"/>
        <v>49</v>
      </c>
      <c r="S18" s="15"/>
      <c r="AA18" s="2"/>
      <c r="AB18" s="2"/>
      <c r="AC18" s="2"/>
      <c r="AD18" s="2"/>
      <c r="AE18" s="3"/>
      <c r="AF18" s="3"/>
      <c r="AG18" s="3"/>
      <c r="AH18" s="3"/>
      <c r="AJ18" s="57"/>
    </row>
    <row r="19" spans="1:40" ht="12" x14ac:dyDescent="0.25">
      <c r="A19" s="810" t="s">
        <v>13</v>
      </c>
      <c r="B19" s="811"/>
      <c r="C19" s="73">
        <f ca="1">AD39</f>
        <v>0.11884313821792607</v>
      </c>
      <c r="D19" s="74">
        <f ca="1">H86</f>
        <v>577590.14</v>
      </c>
      <c r="F19" s="26">
        <f t="shared" si="9"/>
        <v>13</v>
      </c>
      <c r="G19" s="27">
        <f t="shared" ca="1" si="0"/>
        <v>45724</v>
      </c>
      <c r="H19" s="24">
        <f t="shared" ca="1" si="3"/>
        <v>9635</v>
      </c>
      <c r="I19" s="24">
        <f t="shared" ca="1" si="4"/>
        <v>3344.81</v>
      </c>
      <c r="J19" s="24">
        <f t="shared" ca="1" si="5"/>
        <v>6290.1900000000005</v>
      </c>
      <c r="K19" s="24">
        <f t="shared" ca="1" si="6"/>
        <v>0</v>
      </c>
      <c r="L19" s="24">
        <f t="shared" ca="1" si="10"/>
        <v>0</v>
      </c>
      <c r="M19" s="24">
        <f t="shared" ca="1" si="7"/>
        <v>3344.81</v>
      </c>
      <c r="N19" s="24">
        <f t="shared" ca="1" si="12"/>
        <v>0</v>
      </c>
      <c r="O19" s="24">
        <f t="shared" ca="1" si="1"/>
        <v>0</v>
      </c>
      <c r="P19" s="24">
        <f t="shared" ca="1" si="8"/>
        <v>360112.80000000005</v>
      </c>
      <c r="Q19" s="36">
        <f t="shared" si="11"/>
        <v>48</v>
      </c>
      <c r="R19" s="36">
        <f t="shared" ca="1" si="2"/>
        <v>48</v>
      </c>
      <c r="S19" s="15"/>
      <c r="X19" s="13"/>
      <c r="Y19" s="2" t="s">
        <v>35</v>
      </c>
      <c r="Z19" s="2" t="s">
        <v>35</v>
      </c>
      <c r="AA19" s="2"/>
      <c r="AB19" s="2" t="s">
        <v>35</v>
      </c>
      <c r="AC19" s="2" t="s">
        <v>35</v>
      </c>
      <c r="AD19" s="2" t="s">
        <v>35</v>
      </c>
      <c r="AG19" s="2"/>
      <c r="AK19" s="57"/>
      <c r="AL19" s="57"/>
      <c r="AM19" s="57"/>
      <c r="AN19" s="57"/>
    </row>
    <row r="20" spans="1:40" ht="12" x14ac:dyDescent="0.25">
      <c r="A20" s="810" t="s">
        <v>21</v>
      </c>
      <c r="B20" s="811"/>
      <c r="C20" s="69"/>
      <c r="D20" s="74">
        <f ca="1">Y45</f>
        <v>7056</v>
      </c>
      <c r="F20" s="26">
        <f t="shared" si="9"/>
        <v>14</v>
      </c>
      <c r="G20" s="27">
        <f t="shared" ca="1" si="0"/>
        <v>45755</v>
      </c>
      <c r="H20" s="24">
        <f t="shared" ca="1" si="3"/>
        <v>9635</v>
      </c>
      <c r="I20" s="24">
        <f t="shared" ca="1" si="4"/>
        <v>3639.61</v>
      </c>
      <c r="J20" s="24">
        <f t="shared" ca="1" si="5"/>
        <v>5995.3899999999994</v>
      </c>
      <c r="K20" s="24">
        <f t="shared" ca="1" si="6"/>
        <v>0</v>
      </c>
      <c r="L20" s="24">
        <f t="shared" ca="1" si="10"/>
        <v>0</v>
      </c>
      <c r="M20" s="24">
        <f t="shared" ca="1" si="7"/>
        <v>3639.61</v>
      </c>
      <c r="N20" s="24">
        <f t="shared" ca="1" si="12"/>
        <v>0</v>
      </c>
      <c r="O20" s="24">
        <f t="shared" ca="1" si="1"/>
        <v>0</v>
      </c>
      <c r="P20" s="24">
        <f t="shared" ca="1" si="8"/>
        <v>354117.41000000003</v>
      </c>
      <c r="Q20" s="36">
        <f t="shared" si="11"/>
        <v>47</v>
      </c>
      <c r="R20" s="36">
        <f t="shared" ca="1" si="2"/>
        <v>47</v>
      </c>
      <c r="X20" s="13"/>
      <c r="Y20" s="2">
        <v>0</v>
      </c>
      <c r="Z20" s="2">
        <v>0</v>
      </c>
      <c r="AA20" s="2"/>
      <c r="AB20" s="2">
        <v>0</v>
      </c>
      <c r="AC20" s="2">
        <v>0</v>
      </c>
      <c r="AD20" s="2"/>
      <c r="AG20" s="2"/>
      <c r="AJ20" s="57"/>
    </row>
    <row r="21" spans="1:40" ht="12" x14ac:dyDescent="0.25">
      <c r="A21" s="810" t="s">
        <v>23</v>
      </c>
      <c r="B21" s="811"/>
      <c r="C21" s="69"/>
      <c r="D21" s="75">
        <f ca="1">D14+Z46</f>
        <v>96</v>
      </c>
      <c r="F21" s="26">
        <f t="shared" si="9"/>
        <v>15</v>
      </c>
      <c r="G21" s="27">
        <f t="shared" ca="1" si="0"/>
        <v>45785</v>
      </c>
      <c r="H21" s="24">
        <f t="shared" ca="1" si="3"/>
        <v>9635</v>
      </c>
      <c r="I21" s="24">
        <f t="shared" ca="1" si="4"/>
        <v>3463.56</v>
      </c>
      <c r="J21" s="24">
        <f t="shared" ca="1" si="5"/>
        <v>6171.4400000000005</v>
      </c>
      <c r="K21" s="24">
        <f t="shared" ca="1" si="6"/>
        <v>0</v>
      </c>
      <c r="L21" s="24">
        <f t="shared" ca="1" si="10"/>
        <v>0</v>
      </c>
      <c r="M21" s="24">
        <f t="shared" ca="1" si="7"/>
        <v>3463.56</v>
      </c>
      <c r="N21" s="24">
        <f t="shared" ca="1" si="12"/>
        <v>0</v>
      </c>
      <c r="O21" s="24">
        <f t="shared" ca="1" si="1"/>
        <v>0</v>
      </c>
      <c r="P21" s="24">
        <f t="shared" ca="1" si="8"/>
        <v>347945.97000000003</v>
      </c>
      <c r="Q21" s="36">
        <f t="shared" si="11"/>
        <v>46</v>
      </c>
      <c r="R21" s="36">
        <f t="shared" ca="1" si="2"/>
        <v>46</v>
      </c>
      <c r="T21" s="16"/>
      <c r="U21" s="57"/>
      <c r="AA21" s="15"/>
      <c r="AB21" s="2"/>
      <c r="AC21" s="2"/>
      <c r="AD21" s="2"/>
      <c r="AG21" s="2"/>
    </row>
    <row r="22" spans="1:40" x14ac:dyDescent="0.25">
      <c r="A22" s="810" t="s">
        <v>24</v>
      </c>
      <c r="B22" s="811"/>
      <c r="C22" s="69"/>
      <c r="D22" s="76">
        <f ca="1">Y46</f>
        <v>0.11899999999999999</v>
      </c>
      <c r="E22" s="16"/>
      <c r="F22" s="26">
        <f t="shared" si="9"/>
        <v>16</v>
      </c>
      <c r="G22" s="27">
        <f t="shared" ca="1" si="0"/>
        <v>45816</v>
      </c>
      <c r="H22" s="24">
        <f t="shared" ca="1" si="3"/>
        <v>9635</v>
      </c>
      <c r="I22" s="24">
        <f t="shared" ca="1" si="4"/>
        <v>3516.64</v>
      </c>
      <c r="J22" s="24">
        <f t="shared" ca="1" si="5"/>
        <v>6118.3600000000006</v>
      </c>
      <c r="K22" s="24">
        <f t="shared" ca="1" si="6"/>
        <v>0</v>
      </c>
      <c r="L22" s="24">
        <f t="shared" ca="1" si="10"/>
        <v>0</v>
      </c>
      <c r="M22" s="24">
        <f t="shared" ca="1" si="7"/>
        <v>3516.64</v>
      </c>
      <c r="N22" s="24">
        <f t="shared" ca="1" si="12"/>
        <v>0</v>
      </c>
      <c r="O22" s="24">
        <f t="shared" ca="1" si="1"/>
        <v>0</v>
      </c>
      <c r="P22" s="24">
        <f t="shared" ca="1" si="8"/>
        <v>341827.61000000004</v>
      </c>
      <c r="Q22" s="36">
        <f t="shared" si="11"/>
        <v>45</v>
      </c>
      <c r="R22" s="36">
        <f t="shared" ca="1" si="2"/>
        <v>45</v>
      </c>
      <c r="AA22" s="15"/>
    </row>
    <row r="23" spans="1:40" x14ac:dyDescent="0.25">
      <c r="A23" s="808" t="s">
        <v>48</v>
      </c>
      <c r="B23" s="809"/>
      <c r="C23" s="79">
        <v>0</v>
      </c>
      <c r="D23" s="77">
        <f>IF(C11="Да",I86-S116,0)</f>
        <v>0</v>
      </c>
      <c r="E23" s="16"/>
      <c r="F23" s="26">
        <f t="shared" si="9"/>
        <v>17</v>
      </c>
      <c r="G23" s="27">
        <f t="shared" ca="1" si="0"/>
        <v>45846</v>
      </c>
      <c r="H23" s="24">
        <f t="shared" ca="1" si="3"/>
        <v>9635</v>
      </c>
      <c r="I23" s="24">
        <f t="shared" ca="1" si="4"/>
        <v>3343.35</v>
      </c>
      <c r="J23" s="24">
        <f t="shared" ca="1" si="5"/>
        <v>6291.65</v>
      </c>
      <c r="K23" s="24">
        <f t="shared" ca="1" si="6"/>
        <v>0</v>
      </c>
      <c r="L23" s="24">
        <f t="shared" ca="1" si="10"/>
        <v>0</v>
      </c>
      <c r="M23" s="24">
        <f t="shared" ca="1" si="7"/>
        <v>3343.35</v>
      </c>
      <c r="N23" s="24">
        <f t="shared" ca="1" si="12"/>
        <v>0</v>
      </c>
      <c r="O23" s="24">
        <f t="shared" ca="1" si="1"/>
        <v>0</v>
      </c>
      <c r="P23" s="24">
        <f t="shared" ca="1" si="8"/>
        <v>335535.96000000002</v>
      </c>
      <c r="Q23" s="36">
        <f t="shared" si="11"/>
        <v>44</v>
      </c>
      <c r="R23" s="36">
        <f t="shared" ca="1" si="2"/>
        <v>44</v>
      </c>
      <c r="V23" s="15"/>
      <c r="AA23" s="2"/>
    </row>
    <row r="24" spans="1:40" x14ac:dyDescent="0.25">
      <c r="A24" s="808" t="s">
        <v>49</v>
      </c>
      <c r="B24" s="809"/>
      <c r="C24" s="83">
        <f>IF(C11=Y19,Y20,Z20)</f>
        <v>0</v>
      </c>
      <c r="D24" s="77">
        <f>$C$5*$C$24</f>
        <v>0</v>
      </c>
      <c r="E24" s="16"/>
      <c r="F24" s="26">
        <f t="shared" si="9"/>
        <v>18</v>
      </c>
      <c r="G24" s="27">
        <f t="shared" ca="1" si="0"/>
        <v>45877</v>
      </c>
      <c r="H24" s="24">
        <f t="shared" ca="1" si="3"/>
        <v>9635</v>
      </c>
      <c r="I24" s="24">
        <f t="shared" ca="1" si="4"/>
        <v>3391.21</v>
      </c>
      <c r="J24" s="24">
        <f t="shared" ca="1" si="5"/>
        <v>6243.79</v>
      </c>
      <c r="K24" s="24">
        <f t="shared" ca="1" si="6"/>
        <v>0</v>
      </c>
      <c r="L24" s="24">
        <f t="shared" ca="1" si="10"/>
        <v>0</v>
      </c>
      <c r="M24" s="24">
        <f t="shared" ca="1" si="7"/>
        <v>3391.21</v>
      </c>
      <c r="N24" s="24">
        <f t="shared" ca="1" si="12"/>
        <v>0</v>
      </c>
      <c r="O24" s="24">
        <f t="shared" ca="1" si="1"/>
        <v>0</v>
      </c>
      <c r="P24" s="24">
        <f t="shared" ca="1" si="8"/>
        <v>329292.17000000004</v>
      </c>
      <c r="Q24" s="36">
        <f t="shared" si="11"/>
        <v>43</v>
      </c>
      <c r="R24" s="36">
        <f t="shared" ca="1" si="2"/>
        <v>43</v>
      </c>
      <c r="T24" s="65" t="s">
        <v>51</v>
      </c>
      <c r="U24" s="2" t="s">
        <v>35</v>
      </c>
      <c r="V24" s="15"/>
      <c r="AA24" s="15"/>
    </row>
    <row r="25" spans="1:40" x14ac:dyDescent="0.25">
      <c r="A25" s="67" t="s">
        <v>50</v>
      </c>
      <c r="B25" s="78">
        <f>D23/C5</f>
        <v>0</v>
      </c>
      <c r="C25" s="67" t="s">
        <v>43</v>
      </c>
      <c r="D25" s="67"/>
      <c r="E25" s="16"/>
      <c r="F25" s="26">
        <f t="shared" si="9"/>
        <v>19</v>
      </c>
      <c r="G25" s="27">
        <f t="shared" ca="1" si="0"/>
        <v>45908</v>
      </c>
      <c r="H25" s="24">
        <f t="shared" ca="1" si="3"/>
        <v>9635</v>
      </c>
      <c r="I25" s="24">
        <f t="shared" ca="1" si="4"/>
        <v>3328.11</v>
      </c>
      <c r="J25" s="24">
        <f t="shared" ca="1" si="5"/>
        <v>6306.8899999999994</v>
      </c>
      <c r="K25" s="24">
        <f t="shared" ca="1" si="6"/>
        <v>0</v>
      </c>
      <c r="L25" s="24">
        <f t="shared" ca="1" si="10"/>
        <v>0</v>
      </c>
      <c r="M25" s="24">
        <f t="shared" ca="1" si="7"/>
        <v>3328.11</v>
      </c>
      <c r="N25" s="24">
        <f t="shared" ca="1" si="12"/>
        <v>0</v>
      </c>
      <c r="O25" s="24">
        <f t="shared" ca="1" si="1"/>
        <v>0</v>
      </c>
      <c r="P25" s="24">
        <f t="shared" ca="1" si="8"/>
        <v>322985.28000000003</v>
      </c>
      <c r="Q25" s="36">
        <f t="shared" si="11"/>
        <v>42</v>
      </c>
      <c r="R25" s="36">
        <f t="shared" ca="1" si="2"/>
        <v>42</v>
      </c>
      <c r="S25" s="15"/>
      <c r="T25" s="66">
        <v>1.65E-3</v>
      </c>
      <c r="U25" s="15">
        <v>0</v>
      </c>
      <c r="V25" s="15"/>
      <c r="AA25" s="15"/>
    </row>
    <row r="26" spans="1:40" x14ac:dyDescent="0.25">
      <c r="C26" s="2"/>
      <c r="D26" s="64"/>
      <c r="E26" s="16"/>
      <c r="F26" s="26">
        <f t="shared" si="9"/>
        <v>20</v>
      </c>
      <c r="G26" s="27">
        <f t="shared" ca="1" si="0"/>
        <v>45938</v>
      </c>
      <c r="H26" s="24">
        <f t="shared" ca="1" si="3"/>
        <v>9635</v>
      </c>
      <c r="I26" s="24">
        <f t="shared" ca="1" si="4"/>
        <v>3159.06</v>
      </c>
      <c r="J26" s="24">
        <f t="shared" ca="1" si="5"/>
        <v>6475.9400000000005</v>
      </c>
      <c r="K26" s="24">
        <f t="shared" ca="1" si="6"/>
        <v>0</v>
      </c>
      <c r="L26" s="24">
        <f t="shared" ca="1" si="10"/>
        <v>0</v>
      </c>
      <c r="M26" s="24">
        <f t="shared" ca="1" si="7"/>
        <v>3159.06</v>
      </c>
      <c r="N26" s="24">
        <f t="shared" ca="1" si="12"/>
        <v>0</v>
      </c>
      <c r="O26" s="24">
        <f t="shared" ca="1" si="1"/>
        <v>0</v>
      </c>
      <c r="P26" s="24">
        <f t="shared" ca="1" si="8"/>
        <v>316509.34000000003</v>
      </c>
      <c r="Q26" s="36">
        <f t="shared" si="11"/>
        <v>41</v>
      </c>
      <c r="R26" s="36">
        <f t="shared" ca="1" si="2"/>
        <v>41</v>
      </c>
      <c r="V26" s="15"/>
      <c r="AA26" s="15"/>
      <c r="AE26" s="15"/>
      <c r="AI26" s="3"/>
      <c r="AJ26" s="3"/>
      <c r="AK26" s="15"/>
      <c r="AL26" s="15"/>
      <c r="AM26" s="15"/>
      <c r="AN26" s="15"/>
    </row>
    <row r="27" spans="1:40" x14ac:dyDescent="0.25">
      <c r="C27" s="13"/>
      <c r="D27" s="64"/>
      <c r="E27" s="16"/>
      <c r="F27" s="26">
        <f t="shared" si="9"/>
        <v>21</v>
      </c>
      <c r="G27" s="27">
        <f t="shared" ca="1" si="0"/>
        <v>45969</v>
      </c>
      <c r="H27" s="24">
        <f t="shared" ca="1" si="3"/>
        <v>9635</v>
      </c>
      <c r="I27" s="24">
        <f t="shared" ca="1" si="4"/>
        <v>3198.91</v>
      </c>
      <c r="J27" s="24">
        <f t="shared" ca="1" si="5"/>
        <v>6436.09</v>
      </c>
      <c r="K27" s="24">
        <f t="shared" ca="1" si="6"/>
        <v>0</v>
      </c>
      <c r="L27" s="24">
        <f t="shared" ca="1" si="10"/>
        <v>0</v>
      </c>
      <c r="M27" s="24">
        <f t="shared" ca="1" si="7"/>
        <v>3198.91</v>
      </c>
      <c r="N27" s="24">
        <f t="shared" ca="1" si="12"/>
        <v>0</v>
      </c>
      <c r="O27" s="24">
        <f t="shared" ca="1" si="1"/>
        <v>0</v>
      </c>
      <c r="P27" s="24">
        <f t="shared" ca="1" si="8"/>
        <v>310073.25</v>
      </c>
      <c r="Q27" s="36">
        <f t="shared" si="11"/>
        <v>40</v>
      </c>
      <c r="R27" s="36">
        <f t="shared" ca="1" si="2"/>
        <v>40</v>
      </c>
      <c r="V27" s="15"/>
      <c r="AE27" s="15"/>
      <c r="AI27" s="3"/>
      <c r="AJ27" s="3"/>
      <c r="AK27" s="15"/>
      <c r="AL27" s="15"/>
      <c r="AM27" s="15"/>
      <c r="AN27" s="15"/>
    </row>
    <row r="28" spans="1:40" s="16" customFormat="1" x14ac:dyDescent="0.25">
      <c r="A28" s="2"/>
      <c r="B28" s="2"/>
      <c r="C28" s="18"/>
      <c r="D28" s="13"/>
      <c r="F28" s="26">
        <f t="shared" si="9"/>
        <v>22</v>
      </c>
      <c r="G28" s="27">
        <f t="shared" ca="1" si="0"/>
        <v>45999</v>
      </c>
      <c r="H28" s="24">
        <f t="shared" ca="1" si="3"/>
        <v>9635</v>
      </c>
      <c r="I28" s="24">
        <f t="shared" ca="1" si="4"/>
        <v>3032.77</v>
      </c>
      <c r="J28" s="24">
        <f t="shared" ca="1" si="5"/>
        <v>6602.23</v>
      </c>
      <c r="K28" s="24">
        <f t="shared" ca="1" si="6"/>
        <v>0</v>
      </c>
      <c r="L28" s="24">
        <f t="shared" ca="1" si="10"/>
        <v>0</v>
      </c>
      <c r="M28" s="24">
        <f t="shared" ca="1" si="7"/>
        <v>3032.77</v>
      </c>
      <c r="N28" s="24">
        <f t="shared" ca="1" si="12"/>
        <v>0</v>
      </c>
      <c r="O28" s="24">
        <f t="shared" ca="1" si="1"/>
        <v>0</v>
      </c>
      <c r="P28" s="24">
        <f t="shared" ca="1" si="8"/>
        <v>303471.02</v>
      </c>
      <c r="Q28" s="36">
        <f t="shared" si="11"/>
        <v>39</v>
      </c>
      <c r="R28" s="36">
        <f t="shared" ca="1" si="2"/>
        <v>39</v>
      </c>
      <c r="S28" s="2"/>
      <c r="T28" s="2"/>
      <c r="U28" s="2"/>
      <c r="V28" s="2"/>
      <c r="W28" s="2"/>
      <c r="X28" s="2"/>
      <c r="Y28" s="2"/>
      <c r="Z28" s="2"/>
      <c r="AA28" s="3"/>
      <c r="AB28" s="3"/>
      <c r="AC28" s="3"/>
      <c r="AD28" s="3"/>
      <c r="AE28" s="15"/>
      <c r="AF28" s="2"/>
      <c r="AG28" s="57"/>
      <c r="AH28" s="2"/>
      <c r="AI28" s="2"/>
      <c r="AJ28" s="2"/>
      <c r="AK28" s="2"/>
      <c r="AL28" s="2"/>
      <c r="AM28" s="2"/>
      <c r="AN28" s="2"/>
    </row>
    <row r="29" spans="1:40" s="16" customFormat="1" x14ac:dyDescent="0.25">
      <c r="A29" s="2"/>
      <c r="B29" s="2"/>
      <c r="C29" s="2"/>
      <c r="D29" s="2"/>
      <c r="E29" s="2"/>
      <c r="F29" s="26">
        <f t="shared" si="9"/>
        <v>23</v>
      </c>
      <c r="G29" s="27">
        <f t="shared" ca="1" si="0"/>
        <v>46030</v>
      </c>
      <c r="H29" s="24">
        <f t="shared" ca="1" si="3"/>
        <v>9635</v>
      </c>
      <c r="I29" s="24">
        <f t="shared" ca="1" si="4"/>
        <v>3067.14</v>
      </c>
      <c r="J29" s="24">
        <f t="shared" ca="1" si="5"/>
        <v>6567.8600000000006</v>
      </c>
      <c r="K29" s="24">
        <f t="shared" ca="1" si="6"/>
        <v>0</v>
      </c>
      <c r="L29" s="24">
        <f t="shared" ca="1" si="10"/>
        <v>0</v>
      </c>
      <c r="M29" s="24">
        <f t="shared" ca="1" si="7"/>
        <v>3067.14</v>
      </c>
      <c r="N29" s="24">
        <f t="shared" ca="1" si="12"/>
        <v>0</v>
      </c>
      <c r="O29" s="24">
        <f t="shared" ca="1" si="1"/>
        <v>0</v>
      </c>
      <c r="P29" s="24">
        <f t="shared" ca="1" si="8"/>
        <v>296903.16000000003</v>
      </c>
      <c r="Q29" s="36">
        <f t="shared" si="11"/>
        <v>38</v>
      </c>
      <c r="R29" s="36">
        <f t="shared" ca="1" si="2"/>
        <v>38</v>
      </c>
      <c r="S29" s="2"/>
      <c r="T29" s="2"/>
      <c r="U29" s="2"/>
      <c r="V29" s="2"/>
      <c r="W29" s="2"/>
      <c r="X29" s="2"/>
      <c r="Y29" s="2"/>
      <c r="Z29" s="2"/>
      <c r="AA29" s="3"/>
      <c r="AB29" s="3"/>
      <c r="AC29" s="3"/>
      <c r="AD29" s="3"/>
      <c r="AE29" s="15"/>
      <c r="AF29" s="2"/>
      <c r="AG29" s="57"/>
      <c r="AH29" s="2"/>
      <c r="AI29" s="2"/>
      <c r="AJ29" s="2"/>
      <c r="AK29" s="2"/>
      <c r="AL29" s="2"/>
      <c r="AM29" s="2"/>
      <c r="AN29" s="2"/>
    </row>
    <row r="30" spans="1:40" s="16" customFormat="1" x14ac:dyDescent="0.25">
      <c r="A30" s="2"/>
      <c r="B30" s="2"/>
      <c r="C30" s="2"/>
      <c r="D30" s="2"/>
      <c r="E30" s="2"/>
      <c r="F30" s="26">
        <f t="shared" si="9"/>
        <v>24</v>
      </c>
      <c r="G30" s="27">
        <f t="shared" ca="1" si="0"/>
        <v>46061</v>
      </c>
      <c r="H30" s="24">
        <f t="shared" ca="1" si="3"/>
        <v>9635</v>
      </c>
      <c r="I30" s="24">
        <f t="shared" ca="1" si="4"/>
        <v>3000.76</v>
      </c>
      <c r="J30" s="24">
        <f t="shared" ca="1" si="5"/>
        <v>6634.24</v>
      </c>
      <c r="K30" s="24">
        <f t="shared" ca="1" si="6"/>
        <v>0</v>
      </c>
      <c r="L30" s="24">
        <f t="shared" ca="1" si="10"/>
        <v>0</v>
      </c>
      <c r="M30" s="24">
        <f t="shared" ca="1" si="7"/>
        <v>3000.76</v>
      </c>
      <c r="N30" s="24">
        <f t="shared" ca="1" si="12"/>
        <v>0</v>
      </c>
      <c r="O30" s="24">
        <f t="shared" ca="1" si="1"/>
        <v>0</v>
      </c>
      <c r="P30" s="24">
        <f t="shared" ca="1" si="8"/>
        <v>290268.92000000004</v>
      </c>
      <c r="Q30" s="36">
        <f t="shared" si="11"/>
        <v>37</v>
      </c>
      <c r="R30" s="36">
        <f t="shared" ca="1" si="2"/>
        <v>37</v>
      </c>
      <c r="S30" s="2"/>
      <c r="T30" s="2"/>
      <c r="U30" s="2"/>
      <c r="V30" s="2"/>
      <c r="W30" s="2"/>
      <c r="X30" s="2"/>
      <c r="Y30" s="2"/>
      <c r="Z30" s="2"/>
      <c r="AA30" s="3"/>
      <c r="AB30" s="3"/>
      <c r="AC30" s="3"/>
      <c r="AD30" s="3"/>
      <c r="AE30" s="15"/>
      <c r="AF30" s="2"/>
      <c r="AG30" s="57"/>
      <c r="AH30" s="2"/>
      <c r="AI30" s="2"/>
      <c r="AJ30" s="2"/>
      <c r="AK30" s="2"/>
      <c r="AL30" s="2"/>
      <c r="AM30" s="2"/>
      <c r="AN30" s="2"/>
    </row>
    <row r="31" spans="1:40" s="16" customFormat="1" ht="12" x14ac:dyDescent="0.25">
      <c r="A31" s="2"/>
      <c r="B31" s="2"/>
      <c r="C31" s="2"/>
      <c r="D31" s="2"/>
      <c r="E31" s="2"/>
      <c r="F31" s="26">
        <f t="shared" si="9"/>
        <v>25</v>
      </c>
      <c r="G31" s="27">
        <f t="shared" ca="1" si="0"/>
        <v>46089</v>
      </c>
      <c r="H31" s="24">
        <f t="shared" ca="1" si="3"/>
        <v>9635</v>
      </c>
      <c r="I31" s="24">
        <f t="shared" ca="1" si="4"/>
        <v>2649.8</v>
      </c>
      <c r="J31" s="24">
        <f t="shared" ca="1" si="5"/>
        <v>6985.2</v>
      </c>
      <c r="K31" s="24">
        <f t="shared" ca="1" si="6"/>
        <v>0</v>
      </c>
      <c r="L31" s="24">
        <f t="shared" ca="1" si="10"/>
        <v>0</v>
      </c>
      <c r="M31" s="24">
        <f t="shared" ca="1" si="7"/>
        <v>2649.8</v>
      </c>
      <c r="N31" s="24">
        <f t="shared" ca="1" si="12"/>
        <v>0</v>
      </c>
      <c r="O31" s="24">
        <f t="shared" ca="1" si="1"/>
        <v>0</v>
      </c>
      <c r="P31" s="24">
        <f t="shared" ca="1" si="8"/>
        <v>283283.72000000003</v>
      </c>
      <c r="Q31" s="36">
        <f t="shared" si="11"/>
        <v>36</v>
      </c>
      <c r="R31" s="36">
        <f t="shared" ca="1" si="2"/>
        <v>36</v>
      </c>
      <c r="S31" s="2"/>
      <c r="T31" s="2"/>
      <c r="U31" s="2"/>
      <c r="V31" s="2"/>
      <c r="W31" s="2"/>
      <c r="X31" s="2"/>
      <c r="Y31" s="13"/>
      <c r="Z31" s="2"/>
      <c r="AA31" s="2"/>
      <c r="AB31" s="2"/>
      <c r="AC31" s="2"/>
      <c r="AD31" s="2"/>
      <c r="AE31" s="15"/>
      <c r="AF31" s="2"/>
      <c r="AG31" s="57"/>
      <c r="AH31" s="2"/>
      <c r="AI31" s="2"/>
      <c r="AJ31" s="2"/>
      <c r="AK31" s="2"/>
      <c r="AL31" s="2"/>
      <c r="AM31" s="2"/>
      <c r="AN31" s="2"/>
    </row>
    <row r="32" spans="1:40" s="16" customFormat="1" ht="12" customHeight="1" x14ac:dyDescent="0.25">
      <c r="A32" s="2"/>
      <c r="B32" s="2"/>
      <c r="C32" s="2"/>
      <c r="D32" s="2"/>
      <c r="E32" s="2"/>
      <c r="F32" s="26">
        <f t="shared" si="9"/>
        <v>26</v>
      </c>
      <c r="G32" s="27">
        <f t="shared" ca="1" si="0"/>
        <v>46120</v>
      </c>
      <c r="H32" s="24">
        <f t="shared" ca="1" si="3"/>
        <v>9635</v>
      </c>
      <c r="I32" s="24">
        <f t="shared" ca="1" si="4"/>
        <v>2863.11</v>
      </c>
      <c r="J32" s="24">
        <f t="shared" ca="1" si="5"/>
        <v>6771.8899999999994</v>
      </c>
      <c r="K32" s="24">
        <f t="shared" ca="1" si="6"/>
        <v>0</v>
      </c>
      <c r="L32" s="24">
        <f t="shared" ca="1" si="10"/>
        <v>0</v>
      </c>
      <c r="M32" s="24">
        <f t="shared" ca="1" si="7"/>
        <v>2863.11</v>
      </c>
      <c r="N32" s="24">
        <f t="shared" ca="1" si="12"/>
        <v>0</v>
      </c>
      <c r="O32" s="24">
        <f t="shared" ca="1" si="1"/>
        <v>0</v>
      </c>
      <c r="P32" s="24">
        <f t="shared" ca="1" si="8"/>
        <v>276511.83</v>
      </c>
      <c r="Q32" s="36">
        <f t="shared" si="11"/>
        <v>35</v>
      </c>
      <c r="R32" s="36">
        <f t="shared" ca="1" si="2"/>
        <v>35</v>
      </c>
      <c r="S32" s="2"/>
      <c r="T32" s="2"/>
      <c r="U32" s="2"/>
      <c r="V32" s="2"/>
      <c r="W32" s="2"/>
      <c r="X32" s="2"/>
      <c r="Y32" s="13"/>
      <c r="Z32" s="2"/>
      <c r="AA32" s="2"/>
      <c r="AB32" s="2"/>
      <c r="AC32" s="2"/>
      <c r="AD32" s="2"/>
      <c r="AE32" s="15"/>
      <c r="AF32" s="2"/>
      <c r="AG32" s="57"/>
      <c r="AH32" s="2"/>
      <c r="AI32" s="2"/>
      <c r="AJ32" s="2"/>
      <c r="AK32" s="2"/>
      <c r="AL32" s="2"/>
      <c r="AM32" s="2"/>
      <c r="AN32" s="2"/>
    </row>
    <row r="33" spans="1:45" s="16" customFormat="1" x14ac:dyDescent="0.25">
      <c r="A33" s="2"/>
      <c r="B33" s="2"/>
      <c r="C33" s="2"/>
      <c r="D33" s="2"/>
      <c r="E33" s="2"/>
      <c r="F33" s="26">
        <f t="shared" si="9"/>
        <v>27</v>
      </c>
      <c r="G33" s="27">
        <f t="shared" ca="1" si="0"/>
        <v>46150</v>
      </c>
      <c r="H33" s="24">
        <f t="shared" ca="1" si="3"/>
        <v>9635</v>
      </c>
      <c r="I33" s="24">
        <f t="shared" ca="1" si="4"/>
        <v>2704.51</v>
      </c>
      <c r="J33" s="24">
        <f t="shared" ca="1" si="5"/>
        <v>6930.49</v>
      </c>
      <c r="K33" s="24">
        <f t="shared" ca="1" si="6"/>
        <v>0</v>
      </c>
      <c r="L33" s="24">
        <f t="shared" ca="1" si="10"/>
        <v>0</v>
      </c>
      <c r="M33" s="24">
        <f t="shared" ca="1" si="7"/>
        <v>2704.51</v>
      </c>
      <c r="N33" s="24">
        <f t="shared" ca="1" si="12"/>
        <v>0</v>
      </c>
      <c r="O33" s="24">
        <f t="shared" ca="1" si="1"/>
        <v>0</v>
      </c>
      <c r="P33" s="24">
        <f t="shared" ca="1" si="8"/>
        <v>269581.34000000003</v>
      </c>
      <c r="Q33" s="36">
        <f t="shared" si="11"/>
        <v>34</v>
      </c>
      <c r="R33" s="36">
        <f t="shared" ca="1" si="2"/>
        <v>34</v>
      </c>
      <c r="S33" s="2"/>
      <c r="T33" s="2"/>
      <c r="U33" s="2"/>
      <c r="V33" s="2"/>
      <c r="W33" s="2"/>
      <c r="X33" s="2"/>
      <c r="Y33" s="2"/>
      <c r="Z33" s="2"/>
      <c r="AA33" s="3"/>
      <c r="AB33" s="3"/>
      <c r="AC33" s="3"/>
      <c r="AD33" s="3"/>
      <c r="AE33" s="2"/>
      <c r="AF33" s="2"/>
      <c r="AG33" s="57"/>
      <c r="AH33" s="2"/>
      <c r="AI33" s="2"/>
      <c r="AJ33" s="2"/>
      <c r="AK33" s="2"/>
      <c r="AL33" s="2"/>
      <c r="AM33" s="2"/>
      <c r="AN33" s="2"/>
    </row>
    <row r="34" spans="1:45" s="16" customFormat="1" x14ac:dyDescent="0.25">
      <c r="A34" s="2"/>
      <c r="B34" s="2"/>
      <c r="C34" s="2"/>
      <c r="D34" s="2"/>
      <c r="E34" s="2"/>
      <c r="F34" s="26">
        <f t="shared" si="9"/>
        <v>28</v>
      </c>
      <c r="G34" s="27">
        <f t="shared" ca="1" si="0"/>
        <v>46181</v>
      </c>
      <c r="H34" s="24">
        <f t="shared" ca="1" si="3"/>
        <v>9635</v>
      </c>
      <c r="I34" s="24">
        <f t="shared" ca="1" si="4"/>
        <v>2724.62</v>
      </c>
      <c r="J34" s="24">
        <f t="shared" ca="1" si="5"/>
        <v>6910.38</v>
      </c>
      <c r="K34" s="24">
        <f t="shared" ca="1" si="6"/>
        <v>0</v>
      </c>
      <c r="L34" s="24">
        <f t="shared" ca="1" si="10"/>
        <v>0</v>
      </c>
      <c r="M34" s="24">
        <f t="shared" ca="1" si="7"/>
        <v>2724.62</v>
      </c>
      <c r="N34" s="24">
        <f t="shared" ca="1" si="12"/>
        <v>0</v>
      </c>
      <c r="O34" s="24">
        <f t="shared" ca="1" si="1"/>
        <v>0</v>
      </c>
      <c r="P34" s="24">
        <f t="shared" ca="1" si="8"/>
        <v>262670.96000000002</v>
      </c>
      <c r="Q34" s="36">
        <f t="shared" si="11"/>
        <v>33</v>
      </c>
      <c r="R34" s="36">
        <f t="shared" ca="1" si="2"/>
        <v>33</v>
      </c>
      <c r="S34" s="2"/>
      <c r="T34" s="2"/>
      <c r="U34" s="2"/>
      <c r="V34" s="2"/>
      <c r="W34" s="2"/>
      <c r="X34" s="2"/>
      <c r="Y34" s="2"/>
      <c r="Z34" s="2"/>
      <c r="AA34" s="3"/>
      <c r="AB34" s="3"/>
      <c r="AC34" s="3"/>
      <c r="AD34" s="3"/>
      <c r="AE34" s="2"/>
      <c r="AF34" s="2"/>
      <c r="AG34" s="57"/>
      <c r="AH34" s="2"/>
      <c r="AI34" s="2"/>
      <c r="AJ34" s="2"/>
      <c r="AK34" s="2"/>
      <c r="AL34" s="2"/>
      <c r="AM34" s="2"/>
      <c r="AN34" s="2"/>
    </row>
    <row r="35" spans="1:45" s="16" customFormat="1" x14ac:dyDescent="0.25">
      <c r="A35" s="2"/>
      <c r="B35" s="2"/>
      <c r="C35" s="2"/>
      <c r="D35" s="2"/>
      <c r="E35" s="2"/>
      <c r="F35" s="26">
        <f t="shared" si="9"/>
        <v>29</v>
      </c>
      <c r="G35" s="27">
        <f t="shared" ca="1" si="0"/>
        <v>46211</v>
      </c>
      <c r="H35" s="24">
        <f t="shared" ca="1" si="3"/>
        <v>9635</v>
      </c>
      <c r="I35" s="24">
        <f t="shared" ca="1" si="4"/>
        <v>2569.14</v>
      </c>
      <c r="J35" s="24">
        <f t="shared" ca="1" si="5"/>
        <v>7065.8600000000006</v>
      </c>
      <c r="K35" s="24">
        <f t="shared" ca="1" si="6"/>
        <v>0</v>
      </c>
      <c r="L35" s="24">
        <f t="shared" ca="1" si="10"/>
        <v>0</v>
      </c>
      <c r="M35" s="24">
        <f t="shared" ca="1" si="7"/>
        <v>2569.14</v>
      </c>
      <c r="N35" s="24">
        <f t="shared" ca="1" si="12"/>
        <v>0</v>
      </c>
      <c r="O35" s="24">
        <f t="shared" ca="1" si="1"/>
        <v>0</v>
      </c>
      <c r="P35" s="24">
        <f t="shared" ca="1" si="8"/>
        <v>255605.10000000003</v>
      </c>
      <c r="Q35" s="36">
        <f t="shared" si="11"/>
        <v>32</v>
      </c>
      <c r="R35" s="36">
        <f t="shared" ca="1" si="2"/>
        <v>32</v>
      </c>
      <c r="S35" s="2"/>
      <c r="T35" s="2"/>
      <c r="U35" s="2"/>
      <c r="V35" s="2"/>
      <c r="W35" s="2"/>
      <c r="X35" s="2"/>
      <c r="Y35" s="2"/>
      <c r="Z35" s="2"/>
      <c r="AA35" s="3"/>
      <c r="AB35" s="3"/>
      <c r="AC35" s="3"/>
      <c r="AD35" s="3"/>
      <c r="AE35" s="2"/>
      <c r="AF35" s="2"/>
      <c r="AG35" s="57"/>
      <c r="AH35" s="2"/>
      <c r="AI35" s="2"/>
      <c r="AJ35" s="2"/>
      <c r="AK35" s="2"/>
      <c r="AL35" s="2"/>
      <c r="AM35" s="2"/>
      <c r="AN35" s="2"/>
    </row>
    <row r="36" spans="1:45" s="16" customFormat="1" ht="12" x14ac:dyDescent="0.25">
      <c r="A36" s="2"/>
      <c r="B36" s="2"/>
      <c r="C36" s="2"/>
      <c r="D36" s="2"/>
      <c r="E36" s="2"/>
      <c r="F36" s="26">
        <f t="shared" si="9"/>
        <v>30</v>
      </c>
      <c r="G36" s="27">
        <f t="shared" ca="1" si="0"/>
        <v>46242</v>
      </c>
      <c r="H36" s="24">
        <f t="shared" ca="1" si="3"/>
        <v>9635</v>
      </c>
      <c r="I36" s="24">
        <f t="shared" ca="1" si="4"/>
        <v>2583.36</v>
      </c>
      <c r="J36" s="24">
        <f t="shared" ca="1" si="5"/>
        <v>7051.6399999999994</v>
      </c>
      <c r="K36" s="24">
        <f t="shared" ca="1" si="6"/>
        <v>0</v>
      </c>
      <c r="L36" s="24">
        <f t="shared" ca="1" si="10"/>
        <v>0</v>
      </c>
      <c r="M36" s="24">
        <f t="shared" ca="1" si="7"/>
        <v>2583.36</v>
      </c>
      <c r="N36" s="24">
        <f t="shared" ca="1" si="12"/>
        <v>0</v>
      </c>
      <c r="O36" s="24">
        <f t="shared" ca="1" si="1"/>
        <v>0</v>
      </c>
      <c r="P36" s="24">
        <f t="shared" ca="1" si="8"/>
        <v>248553.46000000002</v>
      </c>
      <c r="Q36" s="36">
        <f t="shared" si="11"/>
        <v>31</v>
      </c>
      <c r="R36" s="36">
        <f t="shared" ca="1" si="2"/>
        <v>31</v>
      </c>
      <c r="T36" s="34">
        <f>H6-K6</f>
        <v>-434000</v>
      </c>
      <c r="U36" s="57">
        <f ca="1">G6</f>
        <v>45330</v>
      </c>
      <c r="V36" s="5" t="s">
        <v>11</v>
      </c>
      <c r="W36" s="4"/>
      <c r="X36" s="37"/>
      <c r="Y36" s="38">
        <v>0</v>
      </c>
      <c r="Z36" s="1" t="s">
        <v>20</v>
      </c>
      <c r="AA36" s="6" t="s">
        <v>15</v>
      </c>
      <c r="AB36" s="6"/>
      <c r="AC36" s="6">
        <f>IF(C10=S3,S17,IF(C10=T3,T17,IF(C10=U3,U17,IF(C10=V3,V17,IF(C10=W3,W17,IF(C10=AA3,AA17,IF(C10=AB3,AB17,IF(C10=AC3,AC17,IF(C10=AD3,AD17,IF(C10=AE3,AE17,IF(C10=AF3,AF17,IF(C10=AG3,AG17,IF(C10=AH3,AH17,IF(C10=AI3,AI17,IF(C10=AJ3,AJ17,IF(C10=AK3,AK17,IF(C10=AL3,AL17,IF(C10=AM3,AM17,IF(C10=AP3,AP9,IF(C10=X3,X17,IF(C10=Y3,Y17,IF(C10=Z3,Z17,IF(C10=AN3,AN17,IF(C10=AO3,AO9,W17))))))))))))))))))))))))</f>
        <v>1</v>
      </c>
      <c r="AD36" s="27">
        <v>41274</v>
      </c>
      <c r="AE36" s="2">
        <v>6</v>
      </c>
      <c r="AF36" s="2"/>
      <c r="AG36" s="2"/>
      <c r="AH36" s="2"/>
      <c r="AI36" s="2"/>
      <c r="AJ36" s="2"/>
      <c r="AK36" s="2"/>
      <c r="AL36" s="2"/>
      <c r="AM36" s="2"/>
      <c r="AN36" s="2"/>
      <c r="AO36" s="63"/>
      <c r="AP36" s="63"/>
      <c r="AQ36" s="63"/>
      <c r="AR36" s="63"/>
      <c r="AS36" s="63"/>
    </row>
    <row r="37" spans="1:45" s="16" customFormat="1" ht="12" x14ac:dyDescent="0.25">
      <c r="A37" s="2"/>
      <c r="B37" s="2"/>
      <c r="C37" s="13"/>
      <c r="D37" s="13"/>
      <c r="E37" s="2"/>
      <c r="F37" s="26">
        <f t="shared" si="9"/>
        <v>31</v>
      </c>
      <c r="G37" s="27">
        <f t="shared" ca="1" si="0"/>
        <v>46273</v>
      </c>
      <c r="H37" s="24">
        <f t="shared" ca="1" si="3"/>
        <v>9635</v>
      </c>
      <c r="I37" s="24">
        <f t="shared" ca="1" si="4"/>
        <v>2512.09</v>
      </c>
      <c r="J37" s="24">
        <f t="shared" ca="1" si="5"/>
        <v>7122.91</v>
      </c>
      <c r="K37" s="24">
        <f t="shared" ca="1" si="6"/>
        <v>0</v>
      </c>
      <c r="L37" s="24">
        <f t="shared" ca="1" si="10"/>
        <v>0</v>
      </c>
      <c r="M37" s="24">
        <f t="shared" ca="1" si="7"/>
        <v>2512.09</v>
      </c>
      <c r="N37" s="24">
        <f t="shared" ca="1" si="12"/>
        <v>0</v>
      </c>
      <c r="O37" s="24">
        <f t="shared" ca="1" si="1"/>
        <v>0</v>
      </c>
      <c r="P37" s="24">
        <f t="shared" ca="1" si="8"/>
        <v>241430.55000000002</v>
      </c>
      <c r="Q37" s="36">
        <f t="shared" si="11"/>
        <v>30</v>
      </c>
      <c r="R37" s="36">
        <f t="shared" ca="1" si="2"/>
        <v>30</v>
      </c>
      <c r="S37" s="2">
        <f t="shared" ref="S37:S68" ca="1" si="13">IF($C$7&gt;$AB$40,ROUND(P6*$C$23/(DATEVALUE(CONCATENATE("01/01/",YEAR(G7)+1))-DATEVALUE(CONCATENATE("01/01/",YEAR(G7))))*(G7-G6),2),0)</f>
        <v>0</v>
      </c>
      <c r="T37" s="34">
        <f t="shared" ref="T37:T68" ca="1" si="14">I7+J7+K7-O7</f>
        <v>9635</v>
      </c>
      <c r="U37" s="57">
        <f ca="1">U36+365</f>
        <v>45695</v>
      </c>
      <c r="V37" s="8" t="s">
        <v>10</v>
      </c>
      <c r="W37" s="8"/>
      <c r="X37" s="37"/>
      <c r="Y37" s="39">
        <f>C5*(1-Y36)</f>
        <v>350000</v>
      </c>
      <c r="Z37" s="9" t="s">
        <v>29</v>
      </c>
      <c r="AA37" s="2" t="s">
        <v>17</v>
      </c>
      <c r="AB37" s="2"/>
      <c r="AC37" s="2">
        <v>7.4000000000000003E-3</v>
      </c>
      <c r="AD37" s="59">
        <v>41750</v>
      </c>
      <c r="AE37" s="2">
        <v>72</v>
      </c>
      <c r="AF37" s="2"/>
      <c r="AG37" s="2"/>
      <c r="AH37" s="2"/>
      <c r="AI37" s="2"/>
      <c r="AJ37" s="2"/>
      <c r="AK37" s="2"/>
      <c r="AL37" s="2"/>
      <c r="AM37" s="2"/>
      <c r="AN37" s="2"/>
      <c r="AO37" s="15"/>
      <c r="AP37" s="15"/>
      <c r="AQ37" s="15"/>
      <c r="AR37" s="15"/>
      <c r="AS37" s="15"/>
    </row>
    <row r="38" spans="1:45" s="16" customFormat="1" ht="12" x14ac:dyDescent="0.25">
      <c r="A38" s="2"/>
      <c r="B38" s="2"/>
      <c r="C38" s="2"/>
      <c r="D38" s="13"/>
      <c r="E38" s="2"/>
      <c r="F38" s="26">
        <f t="shared" si="9"/>
        <v>32</v>
      </c>
      <c r="G38" s="27">
        <f t="shared" ca="1" si="0"/>
        <v>46303</v>
      </c>
      <c r="H38" s="24">
        <f t="shared" ca="1" si="3"/>
        <v>9635</v>
      </c>
      <c r="I38" s="24">
        <f t="shared" ca="1" si="4"/>
        <v>2361.39</v>
      </c>
      <c r="J38" s="24">
        <f t="shared" ca="1" si="5"/>
        <v>7273.6100000000006</v>
      </c>
      <c r="K38" s="24">
        <f t="shared" ca="1" si="6"/>
        <v>0</v>
      </c>
      <c r="L38" s="24">
        <f t="shared" ca="1" si="10"/>
        <v>0</v>
      </c>
      <c r="M38" s="24">
        <f t="shared" ca="1" si="7"/>
        <v>2361.39</v>
      </c>
      <c r="N38" s="24">
        <f t="shared" ca="1" si="12"/>
        <v>0</v>
      </c>
      <c r="O38" s="24">
        <f t="shared" ca="1" si="1"/>
        <v>0</v>
      </c>
      <c r="P38" s="24">
        <f t="shared" ca="1" si="8"/>
        <v>234156.94</v>
      </c>
      <c r="Q38" s="36">
        <f t="shared" si="11"/>
        <v>29</v>
      </c>
      <c r="R38" s="36">
        <f t="shared" ca="1" si="2"/>
        <v>29</v>
      </c>
      <c r="S38" s="2">
        <f t="shared" ca="1" si="13"/>
        <v>0</v>
      </c>
      <c r="T38" s="34">
        <f t="shared" ca="1" si="14"/>
        <v>9635</v>
      </c>
      <c r="U38" s="57">
        <f t="shared" ref="U38:U101" ca="1" si="15">U37+365</f>
        <v>46060</v>
      </c>
      <c r="V38" s="8" t="s">
        <v>8</v>
      </c>
      <c r="W38" s="8"/>
      <c r="X38" s="37"/>
      <c r="Y38" s="41">
        <f>ROUNDUP(C5*Z38,0)</f>
        <v>0</v>
      </c>
      <c r="Z38" s="12">
        <v>0</v>
      </c>
      <c r="AA38" s="1">
        <v>15000</v>
      </c>
      <c r="AB38" s="53">
        <v>41365</v>
      </c>
      <c r="AC38" s="1">
        <v>500</v>
      </c>
      <c r="AD38" s="2">
        <f ca="1">ROUNDUP(($Z$44)/AC36,0)*AC36</f>
        <v>9635</v>
      </c>
      <c r="AE38" s="2"/>
      <c r="AF38" s="2"/>
      <c r="AG38" s="2"/>
      <c r="AH38" s="2"/>
      <c r="AO38" s="15"/>
      <c r="AP38" s="15"/>
      <c r="AQ38" s="15"/>
      <c r="AR38" s="15"/>
      <c r="AS38" s="15"/>
    </row>
    <row r="39" spans="1:45" s="16" customFormat="1" ht="12.6" thickBot="1" x14ac:dyDescent="0.3">
      <c r="A39" s="2"/>
      <c r="B39" s="2"/>
      <c r="C39" s="2"/>
      <c r="D39" s="2"/>
      <c r="E39" s="2"/>
      <c r="F39" s="26">
        <f t="shared" si="9"/>
        <v>33</v>
      </c>
      <c r="G39" s="27">
        <f t="shared" ref="G39:G70" ca="1" si="16">IF((OR(DAY($Z$43)=29,DAY($Z$43)=30,DAY($Z$43)=31)),(EDATE($C$7-3,F39)),(IF((OR(DAY($Z$43)=1,DAY($Z$43)=2,DAY($Z$43)=3)),(EDATE($C$7,F39)+3),EDATE($C$7,F39))))</f>
        <v>46334</v>
      </c>
      <c r="H39" s="24">
        <f t="shared" ca="1" si="3"/>
        <v>9635</v>
      </c>
      <c r="I39" s="24">
        <f t="shared" ca="1" si="4"/>
        <v>2366.59</v>
      </c>
      <c r="J39" s="24">
        <f t="shared" ca="1" si="5"/>
        <v>7268.41</v>
      </c>
      <c r="K39" s="24">
        <f t="shared" ca="1" si="6"/>
        <v>0</v>
      </c>
      <c r="L39" s="24">
        <f t="shared" ca="1" si="10"/>
        <v>0</v>
      </c>
      <c r="M39" s="24">
        <f t="shared" ca="1" si="7"/>
        <v>2366.59</v>
      </c>
      <c r="N39" s="24">
        <f t="shared" ca="1" si="12"/>
        <v>0</v>
      </c>
      <c r="O39" s="24">
        <f t="shared" ca="1" si="1"/>
        <v>0</v>
      </c>
      <c r="P39" s="24">
        <f t="shared" ca="1" si="8"/>
        <v>226888.53</v>
      </c>
      <c r="Q39" s="36">
        <f t="shared" si="11"/>
        <v>28</v>
      </c>
      <c r="R39" s="36">
        <f t="shared" ref="R39:R70" ca="1" si="17">IF(ISERR(CEILING(FLOOR(NPER($C$16/12,-$Z$44,P38),0.1),1))=TRUE,0,CEILING(FLOOR(NPER($C$16/12,-$Z$44,P38),0.1),1))</f>
        <v>28</v>
      </c>
      <c r="S39" s="2">
        <f t="shared" ca="1" si="13"/>
        <v>0</v>
      </c>
      <c r="T39" s="34">
        <f t="shared" ca="1" si="14"/>
        <v>9635</v>
      </c>
      <c r="U39" s="57">
        <f t="shared" ca="1" si="15"/>
        <v>46425</v>
      </c>
      <c r="V39" s="5" t="s">
        <v>1</v>
      </c>
      <c r="W39" s="8"/>
      <c r="X39" s="40"/>
      <c r="Y39" s="42">
        <v>24</v>
      </c>
      <c r="Z39" s="14"/>
      <c r="AA39" s="1">
        <f ca="1">IF(C7&lt;AB38,300000,1000000)</f>
        <v>1000000</v>
      </c>
      <c r="AB39" s="53">
        <v>41501</v>
      </c>
      <c r="AC39" s="53">
        <v>41882</v>
      </c>
      <c r="AD39" s="2">
        <f ca="1">IF(C7&gt;AC39,XIRR(T36:T115,U36:U115)*12,XIRR(T36:T114,G6:G84))</f>
        <v>0.11884313821792607</v>
      </c>
      <c r="AE39" s="2"/>
      <c r="AF39" s="2"/>
      <c r="AG39" s="2"/>
      <c r="AH39" s="2"/>
      <c r="AO39" s="15"/>
      <c r="AP39" s="15"/>
      <c r="AQ39" s="15"/>
      <c r="AR39" s="15"/>
      <c r="AS39" s="15"/>
    </row>
    <row r="40" spans="1:45" s="16" customFormat="1" x14ac:dyDescent="0.25">
      <c r="A40" s="2"/>
      <c r="B40" s="2"/>
      <c r="C40" s="2"/>
      <c r="D40" s="2"/>
      <c r="E40" s="2"/>
      <c r="F40" s="26">
        <f t="shared" si="9"/>
        <v>34</v>
      </c>
      <c r="G40" s="27">
        <f t="shared" ca="1" si="16"/>
        <v>46364</v>
      </c>
      <c r="H40" s="24">
        <f t="shared" ca="1" si="3"/>
        <v>9635</v>
      </c>
      <c r="I40" s="24">
        <f t="shared" ref="I40:I71" ca="1" si="18">IF($C$7&gt;$AB$40,ROUND(P39*$C$16/(DATEVALUE(CONCATENATE("01/01/",YEAR(G40)+1))-DATEVALUE(CONCATENATE("01/01/",YEAR(G40))))*(G40-G39),2),ROUND(P38*$C$16/(DATEVALUE(CONCATENATE("01/01/",YEAR(G39)+1))-DATEVALUE(CONCATENATE("01/01/",YEAR(G39))))*(G39-G38),2))</f>
        <v>2219.16</v>
      </c>
      <c r="J40" s="24">
        <f t="shared" ca="1" si="5"/>
        <v>7415.84</v>
      </c>
      <c r="K40" s="24">
        <f t="shared" ca="1" si="6"/>
        <v>0</v>
      </c>
      <c r="L40" s="24">
        <f t="shared" ca="1" si="10"/>
        <v>0</v>
      </c>
      <c r="M40" s="24">
        <f t="shared" ca="1" si="7"/>
        <v>2219.16</v>
      </c>
      <c r="N40" s="24">
        <f t="shared" ca="1" si="12"/>
        <v>0</v>
      </c>
      <c r="O40" s="24">
        <f t="shared" ca="1" si="1"/>
        <v>0</v>
      </c>
      <c r="P40" s="24">
        <f t="shared" ca="1" si="8"/>
        <v>219472.69</v>
      </c>
      <c r="Q40" s="36">
        <f t="shared" si="11"/>
        <v>27</v>
      </c>
      <c r="R40" s="36">
        <f t="shared" ca="1" si="17"/>
        <v>27</v>
      </c>
      <c r="S40" s="2">
        <f t="shared" ca="1" si="13"/>
        <v>0</v>
      </c>
      <c r="T40" s="34">
        <f t="shared" ca="1" si="14"/>
        <v>9635</v>
      </c>
      <c r="U40" s="57">
        <f t="shared" ca="1" si="15"/>
        <v>46790</v>
      </c>
      <c r="V40" s="5" t="s">
        <v>42</v>
      </c>
      <c r="W40" s="8"/>
      <c r="X40" s="17">
        <f ca="1">Y40/C5</f>
        <v>0.65025754285714288</v>
      </c>
      <c r="Y40" s="42">
        <f ca="1">(D19-C5)</f>
        <v>227590.14</v>
      </c>
      <c r="Z40" s="58"/>
      <c r="AA40" s="53">
        <v>41632</v>
      </c>
      <c r="AB40" s="53">
        <v>41820</v>
      </c>
      <c r="AC40" s="53">
        <v>41857</v>
      </c>
      <c r="AD40" s="46">
        <v>41991</v>
      </c>
      <c r="AE40" s="18">
        <v>0</v>
      </c>
      <c r="AF40" s="3"/>
      <c r="AG40" s="3"/>
      <c r="AH40" s="3"/>
      <c r="AO40" s="15"/>
      <c r="AP40" s="15"/>
      <c r="AQ40" s="15"/>
      <c r="AR40" s="15"/>
      <c r="AS40" s="15"/>
    </row>
    <row r="41" spans="1:45" s="16" customFormat="1" x14ac:dyDescent="0.25">
      <c r="A41" s="2"/>
      <c r="B41" s="2"/>
      <c r="C41" s="2"/>
      <c r="D41" s="2"/>
      <c r="E41" s="2"/>
      <c r="F41" s="26">
        <f t="shared" si="9"/>
        <v>35</v>
      </c>
      <c r="G41" s="27">
        <f t="shared" ca="1" si="16"/>
        <v>46395</v>
      </c>
      <c r="H41" s="24">
        <f t="shared" ca="1" si="3"/>
        <v>9635</v>
      </c>
      <c r="I41" s="24">
        <f t="shared" ca="1" si="18"/>
        <v>2218.1799999999998</v>
      </c>
      <c r="J41" s="24">
        <f t="shared" ca="1" si="5"/>
        <v>7416.82</v>
      </c>
      <c r="K41" s="24">
        <f t="shared" ca="1" si="6"/>
        <v>0</v>
      </c>
      <c r="L41" s="24">
        <f t="shared" ca="1" si="10"/>
        <v>0</v>
      </c>
      <c r="M41" s="24">
        <f t="shared" ca="1" si="7"/>
        <v>2218.1799999999998</v>
      </c>
      <c r="N41" s="24">
        <f t="shared" ca="1" si="12"/>
        <v>0</v>
      </c>
      <c r="O41" s="24">
        <f t="shared" ca="1" si="1"/>
        <v>0</v>
      </c>
      <c r="P41" s="24">
        <f t="shared" ca="1" si="8"/>
        <v>212055.87</v>
      </c>
      <c r="Q41" s="36">
        <f t="shared" si="11"/>
        <v>26</v>
      </c>
      <c r="R41" s="36">
        <f t="shared" ca="1" si="17"/>
        <v>26</v>
      </c>
      <c r="S41" s="2">
        <f t="shared" ca="1" si="13"/>
        <v>0</v>
      </c>
      <c r="T41" s="34">
        <f t="shared" ca="1" si="14"/>
        <v>9635</v>
      </c>
      <c r="U41" s="57">
        <f t="shared" ca="1" si="15"/>
        <v>47155</v>
      </c>
      <c r="V41" s="5"/>
      <c r="W41" s="8"/>
      <c r="X41" s="17">
        <f>IF(C6=V48,V54,IF(C6=W48,W54,IF(C6=Y48,Y54,IF(C6=Z48,Z54,IF(C6=X48,X54,IF(C6=AA48,AA54,IF(C6=AB48,AB54,U17)))))))</f>
        <v>4.0000000000000001E-3</v>
      </c>
      <c r="Y41" s="42"/>
      <c r="Z41" s="58"/>
      <c r="AA41" s="53">
        <v>42124</v>
      </c>
      <c r="AB41" s="53"/>
      <c r="AC41" s="53"/>
      <c r="AD41" s="46"/>
      <c r="AE41" s="2"/>
      <c r="AF41" s="3"/>
      <c r="AG41" s="3"/>
      <c r="AH41" s="3"/>
      <c r="AO41" s="15"/>
      <c r="AP41" s="15"/>
      <c r="AQ41" s="15"/>
      <c r="AR41" s="15"/>
      <c r="AS41" s="15"/>
    </row>
    <row r="42" spans="1:45" s="16" customFormat="1" x14ac:dyDescent="0.25">
      <c r="A42" s="2"/>
      <c r="B42" s="2"/>
      <c r="C42" s="2"/>
      <c r="D42" s="2"/>
      <c r="E42" s="2"/>
      <c r="F42" s="26">
        <f t="shared" si="9"/>
        <v>36</v>
      </c>
      <c r="G42" s="27">
        <f t="shared" ca="1" si="16"/>
        <v>46426</v>
      </c>
      <c r="H42" s="24">
        <f t="shared" ca="1" si="3"/>
        <v>9635</v>
      </c>
      <c r="I42" s="24">
        <f t="shared" ca="1" si="18"/>
        <v>2143.2199999999998</v>
      </c>
      <c r="J42" s="24">
        <f t="shared" ca="1" si="5"/>
        <v>7491.7800000000007</v>
      </c>
      <c r="K42" s="24">
        <f t="shared" ca="1" si="6"/>
        <v>0</v>
      </c>
      <c r="L42" s="24">
        <f t="shared" ca="1" si="10"/>
        <v>0</v>
      </c>
      <c r="M42" s="24">
        <f t="shared" ca="1" si="7"/>
        <v>2143.2199999999998</v>
      </c>
      <c r="N42" s="24">
        <f t="shared" ca="1" si="12"/>
        <v>0</v>
      </c>
      <c r="O42" s="24">
        <f t="shared" ca="1" si="1"/>
        <v>0</v>
      </c>
      <c r="P42" s="24">
        <f t="shared" ca="1" si="8"/>
        <v>204564.09</v>
      </c>
      <c r="Q42" s="36">
        <f t="shared" si="11"/>
        <v>25</v>
      </c>
      <c r="R42" s="36">
        <f t="shared" ca="1" si="17"/>
        <v>25</v>
      </c>
      <c r="S42" s="2">
        <f t="shared" ca="1" si="13"/>
        <v>0</v>
      </c>
      <c r="T42" s="34">
        <f t="shared" ca="1" si="14"/>
        <v>9635</v>
      </c>
      <c r="U42" s="57">
        <f t="shared" ca="1" si="15"/>
        <v>47520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O42" s="3"/>
      <c r="AP42" s="3"/>
      <c r="AQ42" s="3"/>
      <c r="AR42" s="3"/>
      <c r="AS42" s="3"/>
    </row>
    <row r="43" spans="1:45" s="16" customFormat="1" ht="12" x14ac:dyDescent="0.25">
      <c r="A43" s="2"/>
      <c r="B43" s="2"/>
      <c r="C43" s="2"/>
      <c r="D43" s="2"/>
      <c r="E43" s="2"/>
      <c r="F43" s="26">
        <f t="shared" si="9"/>
        <v>37</v>
      </c>
      <c r="G43" s="27">
        <f t="shared" ca="1" si="16"/>
        <v>46454</v>
      </c>
      <c r="H43" s="24">
        <f t="shared" ca="1" si="3"/>
        <v>9635</v>
      </c>
      <c r="I43" s="24">
        <f t="shared" ca="1" si="18"/>
        <v>1867.42</v>
      </c>
      <c r="J43" s="24">
        <f t="shared" ca="1" si="5"/>
        <v>7767.58</v>
      </c>
      <c r="K43" s="24">
        <f t="shared" ca="1" si="6"/>
        <v>0</v>
      </c>
      <c r="L43" s="24">
        <f t="shared" ca="1" si="10"/>
        <v>0</v>
      </c>
      <c r="M43" s="24">
        <f t="shared" ca="1" si="7"/>
        <v>1867.42</v>
      </c>
      <c r="N43" s="24">
        <f t="shared" ca="1" si="12"/>
        <v>0</v>
      </c>
      <c r="O43" s="24">
        <f t="shared" ca="1" si="1"/>
        <v>0</v>
      </c>
      <c r="P43" s="24">
        <f t="shared" ca="1" si="8"/>
        <v>196796.51</v>
      </c>
      <c r="Q43" s="36">
        <f t="shared" si="11"/>
        <v>24</v>
      </c>
      <c r="R43" s="36">
        <f t="shared" ca="1" si="17"/>
        <v>24</v>
      </c>
      <c r="S43" s="2">
        <f t="shared" ca="1" si="13"/>
        <v>0</v>
      </c>
      <c r="T43" s="34">
        <f t="shared" ca="1" si="14"/>
        <v>9635</v>
      </c>
      <c r="U43" s="57">
        <f t="shared" ca="1" si="15"/>
        <v>47885</v>
      </c>
      <c r="V43" s="6" t="s">
        <v>0</v>
      </c>
      <c r="W43" s="6"/>
      <c r="X43" s="6"/>
      <c r="Y43" s="1"/>
      <c r="Z43" s="7">
        <f ca="1">G6</f>
        <v>45330</v>
      </c>
      <c r="AA43" s="47">
        <f>(C13+AE40)*C16/12*(1+C16/12)^(D14)/((1+C16/12)^(D14)-1)+C13/10000*IF(D14&lt;11,20,IF(D14&lt;20,2.5,IF(D14&lt;37,1.5,IF(D14&lt;60,0.7,0.5))))*IF(C16&lt;0.3,C16/0.2,C16/0.1)</f>
        <v>9645.0846789989027</v>
      </c>
      <c r="AB43" s="2"/>
      <c r="AC43" s="2"/>
      <c r="AD43" s="2"/>
      <c r="AE43" s="2"/>
      <c r="AF43" s="2"/>
      <c r="AG43" s="2"/>
      <c r="AH43" s="2"/>
    </row>
    <row r="44" spans="1:45" s="16" customFormat="1" ht="12" x14ac:dyDescent="0.25">
      <c r="A44" s="2"/>
      <c r="B44" s="2"/>
      <c r="D44" s="46"/>
      <c r="E44" s="2"/>
      <c r="F44" s="26">
        <f t="shared" si="9"/>
        <v>38</v>
      </c>
      <c r="G44" s="27">
        <f t="shared" ca="1" si="16"/>
        <v>46485</v>
      </c>
      <c r="H44" s="24">
        <f t="shared" ca="1" si="3"/>
        <v>9635</v>
      </c>
      <c r="I44" s="24">
        <f t="shared" ca="1" si="18"/>
        <v>1988.99</v>
      </c>
      <c r="J44" s="24">
        <f t="shared" ca="1" si="5"/>
        <v>7646.01</v>
      </c>
      <c r="K44" s="24">
        <f t="shared" ca="1" si="6"/>
        <v>0</v>
      </c>
      <c r="L44" s="24">
        <f t="shared" ca="1" si="10"/>
        <v>0</v>
      </c>
      <c r="M44" s="24">
        <f t="shared" ca="1" si="7"/>
        <v>1988.99</v>
      </c>
      <c r="N44" s="24">
        <f t="shared" ca="1" si="12"/>
        <v>0</v>
      </c>
      <c r="O44" s="24">
        <f t="shared" ca="1" si="1"/>
        <v>0</v>
      </c>
      <c r="P44" s="24">
        <f t="shared" ca="1" si="8"/>
        <v>189150.5</v>
      </c>
      <c r="Q44" s="36">
        <f t="shared" si="11"/>
        <v>23</v>
      </c>
      <c r="R44" s="36">
        <f t="shared" ca="1" si="17"/>
        <v>23</v>
      </c>
      <c r="S44" s="2">
        <f t="shared" ca="1" si="13"/>
        <v>0</v>
      </c>
      <c r="T44" s="34">
        <f t="shared" ca="1" si="14"/>
        <v>9635</v>
      </c>
      <c r="U44" s="57">
        <f t="shared" ca="1" si="15"/>
        <v>48250</v>
      </c>
      <c r="V44" s="11" t="s">
        <v>18</v>
      </c>
      <c r="W44" s="11"/>
      <c r="X44" s="11"/>
      <c r="Y44" s="10"/>
      <c r="Z44" s="13">
        <f ca="1">IF(DAY(C7)&lt;4,AA43,IF(DAY(C7)&gt;28,AA45,AA44))</f>
        <v>9634.7554789989026</v>
      </c>
      <c r="AA44" s="48">
        <f>(C13+AE40)*C16/12*(1+C16/12)^(D14)/((1+C16/12)^(D14)-1)+C13/10000*IF(D14&lt;11,20,IF(D14&lt;34,0.7,IF(D14&lt;58,0.3,0.1)))*IF(C16&lt;0.3,C16/0.2,C16/0.1)</f>
        <v>9634.7554789989026</v>
      </c>
      <c r="AB44" s="2"/>
      <c r="AC44" s="2"/>
      <c r="AD44" s="2"/>
      <c r="AE44" s="2"/>
      <c r="AF44" s="2"/>
      <c r="AG44" s="2"/>
      <c r="AH44" s="2"/>
      <c r="AI44" s="63"/>
      <c r="AJ44" s="63"/>
      <c r="AK44" s="63"/>
      <c r="AL44" s="63"/>
      <c r="AM44" s="63"/>
      <c r="AN44" s="63"/>
    </row>
    <row r="45" spans="1:45" s="16" customFormat="1" x14ac:dyDescent="0.25">
      <c r="A45" s="2"/>
      <c r="B45" s="2"/>
      <c r="C45" s="13"/>
      <c r="D45" s="13"/>
      <c r="E45" s="2"/>
      <c r="F45" s="26">
        <f t="shared" si="9"/>
        <v>39</v>
      </c>
      <c r="G45" s="27">
        <f t="shared" ca="1" si="16"/>
        <v>46515</v>
      </c>
      <c r="H45" s="24">
        <f t="shared" ca="1" si="3"/>
        <v>9635</v>
      </c>
      <c r="I45" s="24">
        <f t="shared" ca="1" si="18"/>
        <v>1850.05</v>
      </c>
      <c r="J45" s="24">
        <f t="shared" ca="1" si="5"/>
        <v>7784.95</v>
      </c>
      <c r="K45" s="24">
        <f t="shared" ca="1" si="6"/>
        <v>0</v>
      </c>
      <c r="L45" s="24">
        <f t="shared" ca="1" si="10"/>
        <v>0</v>
      </c>
      <c r="M45" s="24">
        <f t="shared" ca="1" si="7"/>
        <v>1850.05</v>
      </c>
      <c r="N45" s="24">
        <f t="shared" ca="1" si="12"/>
        <v>0</v>
      </c>
      <c r="O45" s="24">
        <f t="shared" ca="1" si="1"/>
        <v>0</v>
      </c>
      <c r="P45" s="24">
        <f t="shared" ca="1" si="8"/>
        <v>181365.55</v>
      </c>
      <c r="Q45" s="36">
        <f t="shared" si="11"/>
        <v>22</v>
      </c>
      <c r="R45" s="36">
        <f t="shared" ca="1" si="17"/>
        <v>22</v>
      </c>
      <c r="S45" s="2">
        <f t="shared" ca="1" si="13"/>
        <v>0</v>
      </c>
      <c r="T45" s="34">
        <f t="shared" ca="1" si="14"/>
        <v>9635</v>
      </c>
      <c r="U45" s="57">
        <f t="shared" ca="1" si="15"/>
        <v>48615</v>
      </c>
      <c r="V45" s="3" t="s">
        <v>22</v>
      </c>
      <c r="W45" s="3"/>
      <c r="X45" s="3"/>
      <c r="Y45" s="2">
        <f ca="1">ROUNDUP((Z45+D17)/AC36,0)*AC36</f>
        <v>7056</v>
      </c>
      <c r="Z45" s="13">
        <f ca="1">(C13+AE40)*Y46/12*(1+Y46/12)^(D14+Z46)/((1+Y46/12)^(D14+Z46)-1)+10*C13/100000*IF(D14+Z46&lt;24,4,IF(D14+Z46&lt;36,3,IF(D14+Z46&lt;48,2,IF(D14+Z46&lt;60,1.5,1))))*Y46/0.2</f>
        <v>7055.7321241736636</v>
      </c>
      <c r="AA45" s="44">
        <f>(C13+AE40)*C16/12*(1+C16/12)^(D14)/((1+C16/12)^(D14)-1)+C13/10000*IF(D14&lt;11,20,IF(D14&lt;34,0.7,IF(D14&lt;48,0.3,0)))*IF(C16&lt;0.3,C16/0.2,C16/0.1)</f>
        <v>9632.1731789989026</v>
      </c>
      <c r="AB45" s="2"/>
      <c r="AC45" s="2"/>
      <c r="AD45" s="2"/>
      <c r="AE45" s="2"/>
      <c r="AF45" s="2"/>
      <c r="AG45" s="2"/>
      <c r="AH45" s="2"/>
      <c r="AI45" s="15"/>
      <c r="AJ45" s="15"/>
      <c r="AK45" s="15"/>
      <c r="AL45" s="15"/>
      <c r="AM45" s="15"/>
      <c r="AN45" s="15"/>
    </row>
    <row r="46" spans="1:45" s="16" customFormat="1" x14ac:dyDescent="0.25">
      <c r="A46" s="2"/>
      <c r="B46" s="2"/>
      <c r="C46" s="2"/>
      <c r="D46" s="13"/>
      <c r="E46" s="2"/>
      <c r="F46" s="26">
        <f t="shared" si="9"/>
        <v>40</v>
      </c>
      <c r="G46" s="27">
        <f t="shared" ca="1" si="16"/>
        <v>46546</v>
      </c>
      <c r="H46" s="24">
        <f ca="1">IF(Q46=1,K46+I46+J46,IF(P45+K46+I46&gt;H45,$D$15,IF(P45=0,0,P45+K46+I46+I77)))</f>
        <v>9635</v>
      </c>
      <c r="I46" s="24">
        <f t="shared" ca="1" si="18"/>
        <v>1833.03</v>
      </c>
      <c r="J46" s="24">
        <f t="shared" ca="1" si="5"/>
        <v>7801.97</v>
      </c>
      <c r="K46" s="24">
        <f t="shared" ca="1" si="6"/>
        <v>0</v>
      </c>
      <c r="L46" s="24">
        <f t="shared" ca="1" si="10"/>
        <v>0</v>
      </c>
      <c r="M46" s="24">
        <f t="shared" ca="1" si="7"/>
        <v>1833.03</v>
      </c>
      <c r="N46" s="24">
        <f t="shared" ca="1" si="12"/>
        <v>0</v>
      </c>
      <c r="O46" s="24">
        <f t="shared" ca="1" si="1"/>
        <v>0</v>
      </c>
      <c r="P46" s="24">
        <f t="shared" ca="1" si="8"/>
        <v>173563.58</v>
      </c>
      <c r="Q46" s="36">
        <f t="shared" si="11"/>
        <v>21</v>
      </c>
      <c r="R46" s="36">
        <f t="shared" ca="1" si="17"/>
        <v>21</v>
      </c>
      <c r="S46" s="2">
        <f t="shared" ca="1" si="13"/>
        <v>0</v>
      </c>
      <c r="T46" s="34">
        <f t="shared" ca="1" si="14"/>
        <v>9635</v>
      </c>
      <c r="U46" s="57">
        <f t="shared" ca="1" si="15"/>
        <v>48980</v>
      </c>
      <c r="V46" s="3"/>
      <c r="W46" s="3"/>
      <c r="X46" s="3"/>
      <c r="Y46" s="15">
        <f ca="1">IF(C7&gt;AD37,C16,C16+0.05)</f>
        <v>0.11899999999999999</v>
      </c>
      <c r="Z46" s="2">
        <f ca="1" xml:space="preserve"> IF(C7&gt;AD37,36,24)</f>
        <v>36</v>
      </c>
      <c r="AA46" s="44">
        <f>(C13+AE40)*C16/12*(1+C16/12)^(D14)/((1+C16/12)^(D14)-1)</f>
        <v>9632.1731789989026</v>
      </c>
      <c r="AB46" s="2"/>
      <c r="AC46" s="2"/>
      <c r="AD46" s="2"/>
      <c r="AE46" s="2"/>
      <c r="AF46" s="2"/>
      <c r="AG46" s="2"/>
      <c r="AH46" s="2"/>
      <c r="AI46" s="15"/>
      <c r="AJ46" s="15"/>
      <c r="AK46" s="15"/>
      <c r="AL46" s="15"/>
      <c r="AM46" s="15"/>
      <c r="AN46" s="15"/>
    </row>
    <row r="47" spans="1:45" s="16" customFormat="1" ht="12" x14ac:dyDescent="0.25">
      <c r="A47" s="2"/>
      <c r="B47" s="2"/>
      <c r="C47" s="13"/>
      <c r="D47" s="13"/>
      <c r="F47" s="26">
        <f t="shared" si="9"/>
        <v>41</v>
      </c>
      <c r="G47" s="27">
        <f t="shared" ca="1" si="16"/>
        <v>46576</v>
      </c>
      <c r="H47" s="24">
        <f t="shared" ref="H47:H65" ca="1" si="19">IF(Q47=1,K47+I47+J47,IF(P46+K47+I47&gt;H46,$D$15,IF(P46=0,0,P46+K47+I47+I48)))</f>
        <v>9635</v>
      </c>
      <c r="I47" s="24">
        <f t="shared" ca="1" si="18"/>
        <v>1697.59</v>
      </c>
      <c r="J47" s="24">
        <f t="shared" ca="1" si="5"/>
        <v>7937.41</v>
      </c>
      <c r="K47" s="24">
        <f t="shared" ca="1" si="6"/>
        <v>0</v>
      </c>
      <c r="L47" s="24">
        <f t="shared" ca="1" si="10"/>
        <v>0</v>
      </c>
      <c r="M47" s="24">
        <f t="shared" ca="1" si="7"/>
        <v>1697.59</v>
      </c>
      <c r="N47" s="24">
        <f t="shared" ca="1" si="12"/>
        <v>0</v>
      </c>
      <c r="O47" s="24">
        <f t="shared" ca="1" si="1"/>
        <v>0</v>
      </c>
      <c r="P47" s="24">
        <f t="shared" ca="1" si="8"/>
        <v>165626.16999999998</v>
      </c>
      <c r="Q47" s="36">
        <f t="shared" si="11"/>
        <v>20</v>
      </c>
      <c r="R47" s="36">
        <f t="shared" ca="1" si="17"/>
        <v>20</v>
      </c>
      <c r="S47" s="2">
        <f t="shared" ca="1" si="13"/>
        <v>0</v>
      </c>
      <c r="T47" s="34">
        <f t="shared" ca="1" si="14"/>
        <v>9635</v>
      </c>
      <c r="U47" s="57">
        <f t="shared" ca="1" si="15"/>
        <v>49345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15"/>
      <c r="AJ47" s="15"/>
      <c r="AK47" s="15"/>
      <c r="AL47" s="15"/>
      <c r="AM47" s="15"/>
      <c r="AN47" s="15"/>
    </row>
    <row r="48" spans="1:45" s="16" customFormat="1" ht="12" x14ac:dyDescent="0.25">
      <c r="A48" s="2"/>
      <c r="B48" s="2"/>
      <c r="C48" s="2"/>
      <c r="D48" s="13"/>
      <c r="F48" s="26">
        <f t="shared" si="9"/>
        <v>42</v>
      </c>
      <c r="G48" s="27">
        <f t="shared" ca="1" si="16"/>
        <v>46607</v>
      </c>
      <c r="H48" s="24">
        <f t="shared" ca="1" si="19"/>
        <v>9635</v>
      </c>
      <c r="I48" s="24">
        <f t="shared" ca="1" si="18"/>
        <v>1673.96</v>
      </c>
      <c r="J48" s="24">
        <f t="shared" ca="1" si="5"/>
        <v>7961.04</v>
      </c>
      <c r="K48" s="24">
        <f t="shared" ca="1" si="6"/>
        <v>0</v>
      </c>
      <c r="L48" s="24">
        <f t="shared" ca="1" si="10"/>
        <v>0</v>
      </c>
      <c r="M48" s="24">
        <f t="shared" ca="1" si="7"/>
        <v>1673.96</v>
      </c>
      <c r="N48" s="24">
        <f t="shared" ca="1" si="12"/>
        <v>0</v>
      </c>
      <c r="O48" s="24">
        <f t="shared" ca="1" si="1"/>
        <v>0</v>
      </c>
      <c r="P48" s="24">
        <f t="shared" ca="1" si="8"/>
        <v>157665.12999999998</v>
      </c>
      <c r="Q48" s="36">
        <f t="shared" si="11"/>
        <v>19</v>
      </c>
      <c r="R48" s="36">
        <f t="shared" ca="1" si="17"/>
        <v>19</v>
      </c>
      <c r="S48" s="2">
        <f t="shared" ca="1" si="13"/>
        <v>0</v>
      </c>
      <c r="T48" s="34">
        <f t="shared" ca="1" si="14"/>
        <v>9635</v>
      </c>
      <c r="U48" s="57">
        <f t="shared" ca="1" si="15"/>
        <v>49710</v>
      </c>
      <c r="V48" s="1" t="s">
        <v>69</v>
      </c>
      <c r="W48" s="1" t="s">
        <v>70</v>
      </c>
      <c r="X48" s="1" t="s">
        <v>51</v>
      </c>
      <c r="Y48" s="1" t="s">
        <v>35</v>
      </c>
      <c r="Z48" s="1"/>
      <c r="AA48" s="1"/>
      <c r="AB48" s="1"/>
      <c r="AC48" s="2"/>
      <c r="AD48" s="2"/>
      <c r="AE48" s="2"/>
      <c r="AF48" s="2"/>
      <c r="AG48" s="2"/>
      <c r="AH48" s="2"/>
      <c r="AI48" s="15"/>
      <c r="AJ48" s="15"/>
      <c r="AK48" s="15"/>
      <c r="AL48" s="15"/>
      <c r="AM48" s="15"/>
      <c r="AN48" s="15"/>
    </row>
    <row r="49" spans="1:40" s="16" customFormat="1" ht="12" x14ac:dyDescent="0.25">
      <c r="A49" s="2"/>
      <c r="B49" s="2"/>
      <c r="C49" s="2"/>
      <c r="D49" s="2"/>
      <c r="E49" s="2"/>
      <c r="F49" s="26">
        <f t="shared" si="9"/>
        <v>43</v>
      </c>
      <c r="G49" s="27">
        <f t="shared" ca="1" si="16"/>
        <v>46638</v>
      </c>
      <c r="H49" s="24">
        <f t="shared" ca="1" si="19"/>
        <v>9635</v>
      </c>
      <c r="I49" s="24">
        <f t="shared" ca="1" si="18"/>
        <v>1593.5</v>
      </c>
      <c r="J49" s="24">
        <f t="shared" ca="1" si="5"/>
        <v>8041.5</v>
      </c>
      <c r="K49" s="24">
        <f t="shared" ca="1" si="6"/>
        <v>0</v>
      </c>
      <c r="L49" s="24">
        <f t="shared" ca="1" si="10"/>
        <v>0</v>
      </c>
      <c r="M49" s="24">
        <f t="shared" ca="1" si="7"/>
        <v>1593.5</v>
      </c>
      <c r="N49" s="24">
        <f t="shared" ca="1" si="12"/>
        <v>0</v>
      </c>
      <c r="O49" s="24">
        <f t="shared" ca="1" si="1"/>
        <v>0</v>
      </c>
      <c r="P49" s="24">
        <f t="shared" ca="1" si="8"/>
        <v>149623.62999999998</v>
      </c>
      <c r="Q49" s="36">
        <f t="shared" si="11"/>
        <v>18</v>
      </c>
      <c r="R49" s="36">
        <f t="shared" ca="1" si="17"/>
        <v>18</v>
      </c>
      <c r="S49" s="2">
        <f t="shared" ca="1" si="13"/>
        <v>0</v>
      </c>
      <c r="T49" s="34">
        <f t="shared" ca="1" si="14"/>
        <v>9635</v>
      </c>
      <c r="U49" s="57">
        <f t="shared" ca="1" si="15"/>
        <v>50075</v>
      </c>
      <c r="V49" s="15">
        <v>1.5E-3</v>
      </c>
      <c r="W49" s="15">
        <v>2E-3</v>
      </c>
      <c r="X49" s="15">
        <v>1.6000000000000001E-3</v>
      </c>
      <c r="Y49" s="15">
        <v>0</v>
      </c>
      <c r="Z49" s="15">
        <v>0</v>
      </c>
      <c r="AA49" s="15">
        <v>0</v>
      </c>
      <c r="AB49" s="15"/>
      <c r="AC49" s="2"/>
      <c r="AD49" s="2"/>
      <c r="AE49" s="2"/>
      <c r="AF49" s="2"/>
      <c r="AG49" s="2"/>
      <c r="AH49" s="2"/>
      <c r="AI49" s="15"/>
      <c r="AJ49" s="15"/>
      <c r="AK49" s="15"/>
      <c r="AL49" s="15"/>
      <c r="AM49" s="15"/>
      <c r="AN49" s="15"/>
    </row>
    <row r="50" spans="1:40" s="16" customFormat="1" x14ac:dyDescent="0.25">
      <c r="A50" s="2"/>
      <c r="B50" s="2"/>
      <c r="C50" s="2"/>
      <c r="D50" s="2"/>
      <c r="E50" s="2"/>
      <c r="F50" s="26">
        <f t="shared" si="9"/>
        <v>44</v>
      </c>
      <c r="G50" s="27">
        <f t="shared" ca="1" si="16"/>
        <v>46668</v>
      </c>
      <c r="H50" s="24">
        <f t="shared" ca="1" si="19"/>
        <v>9635</v>
      </c>
      <c r="I50" s="24">
        <f t="shared" ca="1" si="18"/>
        <v>1463.44</v>
      </c>
      <c r="J50" s="24">
        <f t="shared" ca="1" si="5"/>
        <v>8171.5599999999995</v>
      </c>
      <c r="K50" s="24">
        <f t="shared" ca="1" si="6"/>
        <v>0</v>
      </c>
      <c r="L50" s="24">
        <f t="shared" ca="1" si="10"/>
        <v>0</v>
      </c>
      <c r="M50" s="24">
        <f t="shared" ca="1" si="7"/>
        <v>1463.44</v>
      </c>
      <c r="N50" s="24">
        <f t="shared" ca="1" si="12"/>
        <v>0</v>
      </c>
      <c r="O50" s="24">
        <f t="shared" ca="1" si="1"/>
        <v>0</v>
      </c>
      <c r="P50" s="24">
        <f t="shared" ca="1" si="8"/>
        <v>141452.06999999998</v>
      </c>
      <c r="Q50" s="36">
        <f t="shared" si="11"/>
        <v>17</v>
      </c>
      <c r="R50" s="36">
        <f t="shared" ca="1" si="17"/>
        <v>17</v>
      </c>
      <c r="S50" s="2">
        <f t="shared" ca="1" si="13"/>
        <v>0</v>
      </c>
      <c r="T50" s="34">
        <f t="shared" ca="1" si="14"/>
        <v>9635</v>
      </c>
      <c r="U50" s="57">
        <f t="shared" ca="1" si="15"/>
        <v>50440</v>
      </c>
      <c r="V50" s="15">
        <v>1.5E-3</v>
      </c>
      <c r="W50" s="15">
        <v>2E-3</v>
      </c>
      <c r="X50" s="15">
        <v>1.6000000000000001E-3</v>
      </c>
      <c r="Y50" s="15">
        <v>0</v>
      </c>
      <c r="Z50" s="15">
        <v>0</v>
      </c>
      <c r="AA50" s="15">
        <v>0</v>
      </c>
      <c r="AB50" s="15"/>
      <c r="AC50" s="2"/>
      <c r="AD50" s="2"/>
      <c r="AE50" s="2"/>
      <c r="AF50" s="2"/>
      <c r="AG50" s="2"/>
      <c r="AH50" s="2"/>
      <c r="AI50" s="3"/>
      <c r="AJ50" s="3"/>
      <c r="AK50" s="3"/>
      <c r="AL50" s="3"/>
      <c r="AM50" s="3"/>
      <c r="AN50" s="3"/>
    </row>
    <row r="51" spans="1:40" s="16" customFormat="1" ht="12" x14ac:dyDescent="0.25">
      <c r="A51" s="2"/>
      <c r="B51" s="2"/>
      <c r="C51" s="2"/>
      <c r="D51" s="2"/>
      <c r="E51" s="2"/>
      <c r="F51" s="26">
        <f t="shared" si="9"/>
        <v>45</v>
      </c>
      <c r="G51" s="27">
        <f t="shared" ca="1" si="16"/>
        <v>46699</v>
      </c>
      <c r="H51" s="24">
        <f t="shared" ca="1" si="19"/>
        <v>9635</v>
      </c>
      <c r="I51" s="24">
        <f t="shared" ca="1" si="18"/>
        <v>1429.63</v>
      </c>
      <c r="J51" s="24">
        <f t="shared" ca="1" si="5"/>
        <v>8205.369999999999</v>
      </c>
      <c r="K51" s="24">
        <f t="shared" ca="1" si="6"/>
        <v>0</v>
      </c>
      <c r="L51" s="24">
        <f t="shared" ca="1" si="10"/>
        <v>0</v>
      </c>
      <c r="M51" s="24">
        <f t="shared" ca="1" si="7"/>
        <v>1429.63</v>
      </c>
      <c r="N51" s="24">
        <f t="shared" ca="1" si="12"/>
        <v>0</v>
      </c>
      <c r="O51" s="24">
        <f t="shared" ca="1" si="1"/>
        <v>0</v>
      </c>
      <c r="P51" s="24">
        <f t="shared" ca="1" si="8"/>
        <v>133246.69999999998</v>
      </c>
      <c r="Q51" s="36">
        <f t="shared" si="11"/>
        <v>16</v>
      </c>
      <c r="R51" s="36">
        <f t="shared" ca="1" si="17"/>
        <v>16</v>
      </c>
      <c r="S51" s="2">
        <f t="shared" ca="1" si="13"/>
        <v>0</v>
      </c>
      <c r="T51" s="34">
        <f t="shared" ca="1" si="14"/>
        <v>9635</v>
      </c>
      <c r="U51" s="57">
        <f t="shared" ca="1" si="15"/>
        <v>50805</v>
      </c>
      <c r="V51" s="15">
        <v>1.5E-3</v>
      </c>
      <c r="W51" s="15">
        <v>2E-3</v>
      </c>
      <c r="X51" s="15">
        <v>1.6000000000000001E-3</v>
      </c>
      <c r="Y51" s="15">
        <v>0</v>
      </c>
      <c r="Z51" s="15">
        <v>0</v>
      </c>
      <c r="AA51" s="15">
        <v>0</v>
      </c>
      <c r="AB51" s="15"/>
      <c r="AC51" s="2"/>
      <c r="AD51" s="2"/>
      <c r="AE51" s="2"/>
      <c r="AF51" s="2"/>
      <c r="AG51" s="2"/>
      <c r="AH51" s="2"/>
    </row>
    <row r="52" spans="1:40" s="16" customFormat="1" ht="12" x14ac:dyDescent="0.25">
      <c r="A52" s="2"/>
      <c r="B52" s="2"/>
      <c r="C52" s="2"/>
      <c r="D52" s="2"/>
      <c r="E52" s="2"/>
      <c r="F52" s="26">
        <f t="shared" si="9"/>
        <v>46</v>
      </c>
      <c r="G52" s="27">
        <f t="shared" ca="1" si="16"/>
        <v>46729</v>
      </c>
      <c r="H52" s="24">
        <f t="shared" ca="1" si="19"/>
        <v>9635</v>
      </c>
      <c r="I52" s="24">
        <f t="shared" ca="1" si="18"/>
        <v>1303.26</v>
      </c>
      <c r="J52" s="24">
        <f t="shared" ca="1" si="5"/>
        <v>8331.74</v>
      </c>
      <c r="K52" s="24">
        <f t="shared" ca="1" si="6"/>
        <v>0</v>
      </c>
      <c r="L52" s="24">
        <f t="shared" ca="1" si="10"/>
        <v>0</v>
      </c>
      <c r="M52" s="24">
        <f t="shared" ca="1" si="7"/>
        <v>1303.26</v>
      </c>
      <c r="N52" s="24">
        <f t="shared" ca="1" si="12"/>
        <v>0</v>
      </c>
      <c r="O52" s="24">
        <f t="shared" ca="1" si="1"/>
        <v>0</v>
      </c>
      <c r="P52" s="24">
        <f t="shared" ca="1" si="8"/>
        <v>124914.95999999998</v>
      </c>
      <c r="Q52" s="36">
        <f t="shared" si="11"/>
        <v>15</v>
      </c>
      <c r="R52" s="36">
        <f t="shared" ca="1" si="17"/>
        <v>15</v>
      </c>
      <c r="S52" s="2">
        <f t="shared" ca="1" si="13"/>
        <v>0</v>
      </c>
      <c r="T52" s="34">
        <f t="shared" ca="1" si="14"/>
        <v>9635</v>
      </c>
      <c r="U52" s="57">
        <f t="shared" ca="1" si="15"/>
        <v>51170</v>
      </c>
      <c r="V52" s="15">
        <v>1.5E-3</v>
      </c>
      <c r="W52" s="15">
        <v>2E-3</v>
      </c>
      <c r="AB52" s="15"/>
    </row>
    <row r="53" spans="1:40" s="16" customFormat="1" ht="12" x14ac:dyDescent="0.25">
      <c r="A53" s="2"/>
      <c r="B53" s="2"/>
      <c r="C53" s="2"/>
      <c r="D53" s="2"/>
      <c r="E53" s="2"/>
      <c r="F53" s="26">
        <f t="shared" si="9"/>
        <v>47</v>
      </c>
      <c r="G53" s="27">
        <f t="shared" ca="1" si="16"/>
        <v>46760</v>
      </c>
      <c r="H53" s="24">
        <f t="shared" ca="1" si="19"/>
        <v>9635</v>
      </c>
      <c r="I53" s="24">
        <f t="shared" ca="1" si="18"/>
        <v>1259.05</v>
      </c>
      <c r="J53" s="24">
        <f t="shared" ca="1" si="5"/>
        <v>8375.9500000000007</v>
      </c>
      <c r="K53" s="24">
        <f t="shared" ca="1" si="6"/>
        <v>0</v>
      </c>
      <c r="L53" s="24">
        <f t="shared" ca="1" si="10"/>
        <v>0</v>
      </c>
      <c r="M53" s="24">
        <f t="shared" ca="1" si="7"/>
        <v>1259.05</v>
      </c>
      <c r="N53" s="24">
        <f t="shared" ca="1" si="12"/>
        <v>0</v>
      </c>
      <c r="O53" s="24">
        <f t="shared" ca="1" si="1"/>
        <v>0</v>
      </c>
      <c r="P53" s="24">
        <f t="shared" ca="1" si="8"/>
        <v>116539.00999999998</v>
      </c>
      <c r="Q53" s="36">
        <f t="shared" si="11"/>
        <v>14</v>
      </c>
      <c r="R53" s="36">
        <f t="shared" ca="1" si="17"/>
        <v>14</v>
      </c>
      <c r="S53" s="2">
        <f t="shared" ca="1" si="13"/>
        <v>0</v>
      </c>
      <c r="T53" s="34">
        <f t="shared" ca="1" si="14"/>
        <v>9635</v>
      </c>
      <c r="U53" s="57">
        <f t="shared" ca="1" si="15"/>
        <v>51535</v>
      </c>
      <c r="AB53" s="15"/>
    </row>
    <row r="54" spans="1:40" s="16" customFormat="1" ht="12" x14ac:dyDescent="0.25">
      <c r="A54" s="2"/>
      <c r="B54" s="2"/>
      <c r="C54" s="2"/>
      <c r="D54" s="2"/>
      <c r="E54" s="2"/>
      <c r="F54" s="26">
        <f t="shared" si="9"/>
        <v>48</v>
      </c>
      <c r="G54" s="27">
        <f t="shared" ca="1" si="16"/>
        <v>46791</v>
      </c>
      <c r="H54" s="24">
        <f ca="1">IF(Q54=1,K54+I54+J54,IF(P53+K54+I54&gt;H53,$D$15,IF(P53=0,0,P53+K54+I54+I55)))</f>
        <v>9635</v>
      </c>
      <c r="I54" s="24">
        <f t="shared" ca="1" si="18"/>
        <v>1174.6199999999999</v>
      </c>
      <c r="J54" s="24">
        <f t="shared" ca="1" si="5"/>
        <v>8460.380000000001</v>
      </c>
      <c r="K54" s="24">
        <f t="shared" ca="1" si="6"/>
        <v>0</v>
      </c>
      <c r="L54" s="24">
        <f t="shared" ca="1" si="10"/>
        <v>0</v>
      </c>
      <c r="M54" s="24">
        <f t="shared" ca="1" si="7"/>
        <v>1174.6199999999999</v>
      </c>
      <c r="N54" s="24">
        <f t="shared" ca="1" si="12"/>
        <v>0</v>
      </c>
      <c r="O54" s="24">
        <f t="shared" ca="1" si="1"/>
        <v>0</v>
      </c>
      <c r="P54" s="24">
        <f t="shared" ca="1" si="8"/>
        <v>108078.62999999998</v>
      </c>
      <c r="Q54" s="36">
        <f t="shared" si="11"/>
        <v>13</v>
      </c>
      <c r="R54" s="36">
        <f t="shared" ca="1" si="17"/>
        <v>13</v>
      </c>
      <c r="S54" s="2">
        <f t="shared" ca="1" si="13"/>
        <v>0</v>
      </c>
      <c r="T54" s="34">
        <f t="shared" ca="1" si="14"/>
        <v>9635</v>
      </c>
      <c r="U54" s="57">
        <f t="shared" ca="1" si="15"/>
        <v>51900</v>
      </c>
      <c r="V54" s="15">
        <f>IF($C$5&gt;500000,V52,IF($C$5&gt;300000,V51,IF($C$5&gt;100000,V50,V49)))*2</f>
        <v>3.0000000000000001E-3</v>
      </c>
      <c r="W54" s="15">
        <f>IF($C$5&gt;500000,W52,IF($C$5&gt;300000,W51,IF($C$5&gt;100000,W50,W49)))*2</f>
        <v>4.0000000000000001E-3</v>
      </c>
      <c r="X54" s="15">
        <f>IF($C$5&gt;300000,X51,IF($C$5&gt;100000,X50,X49))*2</f>
        <v>3.2000000000000002E-3</v>
      </c>
      <c r="Y54" s="15">
        <f>IF($C$5&gt;300000,Y51,IF($C$5&gt;100000,Y50,Y49))</f>
        <v>0</v>
      </c>
      <c r="Z54" s="15">
        <f>IF($C$5&gt;300000,Z51,IF($C$5&gt;100000,Z50,Z49))</f>
        <v>0</v>
      </c>
      <c r="AA54" s="15">
        <f>IF($C$5&gt;300000,AA51,IF($C$5&gt;100000,AA50,AA49))</f>
        <v>0</v>
      </c>
      <c r="AB54" s="15">
        <v>0</v>
      </c>
    </row>
    <row r="55" spans="1:40" s="16" customFormat="1" ht="12" x14ac:dyDescent="0.25">
      <c r="A55" s="2"/>
      <c r="B55" s="2"/>
      <c r="C55" s="2"/>
      <c r="D55" s="2"/>
      <c r="E55" s="2"/>
      <c r="F55" s="26">
        <f t="shared" si="9"/>
        <v>49</v>
      </c>
      <c r="G55" s="27">
        <f t="shared" ca="1" si="16"/>
        <v>46820</v>
      </c>
      <c r="H55" s="24">
        <f t="shared" ca="1" si="19"/>
        <v>9635</v>
      </c>
      <c r="I55" s="24">
        <f t="shared" ca="1" si="18"/>
        <v>1019.07</v>
      </c>
      <c r="J55" s="24">
        <f t="shared" ca="1" si="5"/>
        <v>8615.93</v>
      </c>
      <c r="K55" s="24">
        <f t="shared" ca="1" si="6"/>
        <v>0</v>
      </c>
      <c r="L55" s="24">
        <f t="shared" ca="1" si="10"/>
        <v>0</v>
      </c>
      <c r="M55" s="24">
        <f t="shared" ca="1" si="7"/>
        <v>1019.07</v>
      </c>
      <c r="N55" s="24">
        <f t="shared" ca="1" si="12"/>
        <v>0</v>
      </c>
      <c r="O55" s="24">
        <f t="shared" ca="1" si="1"/>
        <v>0</v>
      </c>
      <c r="P55" s="24">
        <f t="shared" ca="1" si="8"/>
        <v>99462.699999999983</v>
      </c>
      <c r="Q55" s="36">
        <f t="shared" si="11"/>
        <v>12</v>
      </c>
      <c r="R55" s="36">
        <f t="shared" ca="1" si="17"/>
        <v>12</v>
      </c>
      <c r="S55" s="2">
        <f t="shared" ca="1" si="13"/>
        <v>0</v>
      </c>
      <c r="T55" s="34">
        <f t="shared" ca="1" si="14"/>
        <v>9635</v>
      </c>
      <c r="U55" s="57">
        <f t="shared" ca="1" si="15"/>
        <v>52265</v>
      </c>
    </row>
    <row r="56" spans="1:40" s="16" customFormat="1" ht="12" x14ac:dyDescent="0.25">
      <c r="A56" s="2"/>
      <c r="B56" s="2"/>
      <c r="C56" s="2"/>
      <c r="D56" s="2"/>
      <c r="E56" s="2"/>
      <c r="F56" s="26">
        <f t="shared" si="9"/>
        <v>50</v>
      </c>
      <c r="G56" s="27">
        <f t="shared" ca="1" si="16"/>
        <v>46851</v>
      </c>
      <c r="H56" s="24">
        <f t="shared" ca="1" si="19"/>
        <v>9635</v>
      </c>
      <c r="I56" s="24">
        <f t="shared" ca="1" si="18"/>
        <v>1002.51</v>
      </c>
      <c r="J56" s="24">
        <f t="shared" ca="1" si="5"/>
        <v>8632.49</v>
      </c>
      <c r="K56" s="24">
        <f t="shared" ca="1" si="6"/>
        <v>0</v>
      </c>
      <c r="L56" s="24">
        <f t="shared" ca="1" si="10"/>
        <v>0</v>
      </c>
      <c r="M56" s="24">
        <f t="shared" ca="1" si="7"/>
        <v>1002.51</v>
      </c>
      <c r="N56" s="24">
        <f t="shared" ca="1" si="12"/>
        <v>0</v>
      </c>
      <c r="O56" s="24">
        <f t="shared" ca="1" si="1"/>
        <v>0</v>
      </c>
      <c r="P56" s="24">
        <f t="shared" ca="1" si="8"/>
        <v>90830.209999999977</v>
      </c>
      <c r="Q56" s="36">
        <f t="shared" si="11"/>
        <v>11</v>
      </c>
      <c r="R56" s="36">
        <f t="shared" ca="1" si="17"/>
        <v>11</v>
      </c>
      <c r="S56" s="2">
        <f t="shared" ca="1" si="13"/>
        <v>0</v>
      </c>
      <c r="T56" s="34">
        <f t="shared" ca="1" si="14"/>
        <v>9635</v>
      </c>
      <c r="U56" s="57">
        <f t="shared" ca="1" si="15"/>
        <v>52630</v>
      </c>
    </row>
    <row r="57" spans="1:40" s="16" customFormat="1" ht="12" x14ac:dyDescent="0.25">
      <c r="A57" s="2"/>
      <c r="B57" s="2"/>
      <c r="C57" s="13"/>
      <c r="D57" s="13"/>
      <c r="E57" s="2"/>
      <c r="F57" s="26">
        <f t="shared" si="9"/>
        <v>51</v>
      </c>
      <c r="G57" s="27">
        <f t="shared" ca="1" si="16"/>
        <v>46881</v>
      </c>
      <c r="H57" s="24">
        <f t="shared" ca="1" si="19"/>
        <v>9635</v>
      </c>
      <c r="I57" s="24">
        <f t="shared" ca="1" si="18"/>
        <v>885.97</v>
      </c>
      <c r="J57" s="24">
        <f t="shared" ca="1" si="5"/>
        <v>8749.0300000000007</v>
      </c>
      <c r="K57" s="24">
        <f t="shared" ca="1" si="6"/>
        <v>0</v>
      </c>
      <c r="L57" s="24">
        <f t="shared" ca="1" si="10"/>
        <v>0</v>
      </c>
      <c r="M57" s="24">
        <f t="shared" ca="1" si="7"/>
        <v>885.97</v>
      </c>
      <c r="N57" s="24">
        <f t="shared" ca="1" si="12"/>
        <v>0</v>
      </c>
      <c r="O57" s="24">
        <f t="shared" ca="1" si="1"/>
        <v>0</v>
      </c>
      <c r="P57" s="24">
        <f t="shared" ca="1" si="8"/>
        <v>82081.179999999978</v>
      </c>
      <c r="Q57" s="36">
        <f t="shared" si="11"/>
        <v>10</v>
      </c>
      <c r="R57" s="36">
        <f t="shared" ca="1" si="17"/>
        <v>10</v>
      </c>
      <c r="S57" s="2">
        <f t="shared" ca="1" si="13"/>
        <v>0</v>
      </c>
      <c r="T57" s="34">
        <f t="shared" ca="1" si="14"/>
        <v>9635</v>
      </c>
      <c r="U57" s="57">
        <f t="shared" ca="1" si="15"/>
        <v>52995</v>
      </c>
    </row>
    <row r="58" spans="1:40" s="16" customFormat="1" ht="12" x14ac:dyDescent="0.25">
      <c r="A58" s="2"/>
      <c r="B58" s="2"/>
      <c r="C58" s="2"/>
      <c r="D58" s="13"/>
      <c r="E58" s="2"/>
      <c r="F58" s="26">
        <f t="shared" si="9"/>
        <v>52</v>
      </c>
      <c r="G58" s="27">
        <f t="shared" ca="1" si="16"/>
        <v>46912</v>
      </c>
      <c r="H58" s="24">
        <f t="shared" ca="1" si="19"/>
        <v>9635</v>
      </c>
      <c r="I58" s="24">
        <f t="shared" ca="1" si="18"/>
        <v>827.32</v>
      </c>
      <c r="J58" s="24">
        <f t="shared" ca="1" si="5"/>
        <v>8807.68</v>
      </c>
      <c r="K58" s="24">
        <f t="shared" ca="1" si="6"/>
        <v>0</v>
      </c>
      <c r="L58" s="24">
        <f t="shared" ca="1" si="10"/>
        <v>0</v>
      </c>
      <c r="M58" s="24">
        <f t="shared" ca="1" si="7"/>
        <v>827.32</v>
      </c>
      <c r="N58" s="24">
        <f t="shared" ca="1" si="12"/>
        <v>0</v>
      </c>
      <c r="O58" s="24">
        <f t="shared" ca="1" si="1"/>
        <v>0</v>
      </c>
      <c r="P58" s="24">
        <f t="shared" ca="1" si="8"/>
        <v>73273.499999999971</v>
      </c>
      <c r="Q58" s="36">
        <f t="shared" si="11"/>
        <v>9</v>
      </c>
      <c r="R58" s="36">
        <f t="shared" ca="1" si="17"/>
        <v>9</v>
      </c>
      <c r="S58" s="2">
        <f t="shared" ca="1" si="13"/>
        <v>0</v>
      </c>
      <c r="T58" s="34">
        <f t="shared" ca="1" si="14"/>
        <v>9635</v>
      </c>
      <c r="U58" s="57">
        <f t="shared" ca="1" si="15"/>
        <v>53360</v>
      </c>
      <c r="W58" s="2"/>
      <c r="X58" s="2"/>
      <c r="Y58" s="2"/>
      <c r="Z58" s="2"/>
      <c r="AA58" s="2"/>
      <c r="AB58" s="2"/>
      <c r="AC58" s="2"/>
      <c r="AD58" s="2"/>
      <c r="AE58" s="63"/>
      <c r="AF58" s="63"/>
      <c r="AG58" s="63"/>
      <c r="AH58" s="63"/>
    </row>
    <row r="59" spans="1:40" s="16" customFormat="1" ht="12" x14ac:dyDescent="0.25">
      <c r="A59" s="2"/>
      <c r="B59" s="2"/>
      <c r="C59" s="2"/>
      <c r="D59" s="2"/>
      <c r="E59" s="2"/>
      <c r="F59" s="26">
        <f t="shared" si="9"/>
        <v>53</v>
      </c>
      <c r="G59" s="27">
        <f t="shared" ca="1" si="16"/>
        <v>46942</v>
      </c>
      <c r="H59" s="24">
        <f t="shared" ca="1" si="19"/>
        <v>9635</v>
      </c>
      <c r="I59" s="24">
        <f t="shared" ca="1" si="18"/>
        <v>714.72</v>
      </c>
      <c r="J59" s="24">
        <f t="shared" ca="1" si="5"/>
        <v>8920.2800000000007</v>
      </c>
      <c r="K59" s="24">
        <f t="shared" ca="1" si="6"/>
        <v>0</v>
      </c>
      <c r="L59" s="24">
        <f t="shared" ca="1" si="10"/>
        <v>0</v>
      </c>
      <c r="M59" s="24">
        <f t="shared" ca="1" si="7"/>
        <v>714.72</v>
      </c>
      <c r="N59" s="24">
        <f t="shared" ca="1" si="12"/>
        <v>0</v>
      </c>
      <c r="O59" s="24">
        <f t="shared" ca="1" si="1"/>
        <v>0</v>
      </c>
      <c r="P59" s="24">
        <f t="shared" ca="1" si="8"/>
        <v>64353.219999999972</v>
      </c>
      <c r="Q59" s="36">
        <f t="shared" si="11"/>
        <v>8</v>
      </c>
      <c r="R59" s="36">
        <f t="shared" ca="1" si="17"/>
        <v>8</v>
      </c>
      <c r="S59" s="2">
        <f t="shared" ca="1" si="13"/>
        <v>0</v>
      </c>
      <c r="T59" s="34">
        <f t="shared" ca="1" si="14"/>
        <v>9635</v>
      </c>
      <c r="U59" s="57">
        <f t="shared" ca="1" si="15"/>
        <v>53725</v>
      </c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 spans="1:40" s="16" customFormat="1" ht="12" x14ac:dyDescent="0.25">
      <c r="A60" s="2"/>
      <c r="B60" s="2"/>
      <c r="C60" s="2"/>
      <c r="D60" s="2"/>
      <c r="E60" s="2"/>
      <c r="F60" s="26">
        <f t="shared" si="9"/>
        <v>54</v>
      </c>
      <c r="G60" s="27">
        <f t="shared" ca="1" si="16"/>
        <v>46973</v>
      </c>
      <c r="H60" s="24">
        <f t="shared" ca="1" si="19"/>
        <v>9635</v>
      </c>
      <c r="I60" s="24">
        <f t="shared" ca="1" si="18"/>
        <v>648.63</v>
      </c>
      <c r="J60" s="24">
        <f t="shared" ca="1" si="5"/>
        <v>8986.3700000000008</v>
      </c>
      <c r="K60" s="24">
        <f t="shared" ca="1" si="6"/>
        <v>0</v>
      </c>
      <c r="L60" s="24">
        <f t="shared" ca="1" si="10"/>
        <v>0</v>
      </c>
      <c r="M60" s="24">
        <f t="shared" ca="1" si="7"/>
        <v>648.63</v>
      </c>
      <c r="N60" s="24">
        <f t="shared" ca="1" si="12"/>
        <v>0</v>
      </c>
      <c r="O60" s="24">
        <f t="shared" ca="1" si="1"/>
        <v>0</v>
      </c>
      <c r="P60" s="24">
        <f t="shared" ca="1" si="8"/>
        <v>55366.849999999969</v>
      </c>
      <c r="Q60" s="36">
        <f t="shared" si="11"/>
        <v>7</v>
      </c>
      <c r="R60" s="36">
        <f t="shared" ca="1" si="17"/>
        <v>7</v>
      </c>
      <c r="S60" s="2">
        <f t="shared" ca="1" si="13"/>
        <v>0</v>
      </c>
      <c r="T60" s="34">
        <f t="shared" ca="1" si="14"/>
        <v>9635</v>
      </c>
      <c r="U60" s="57">
        <f t="shared" ca="1" si="15"/>
        <v>54090</v>
      </c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40" s="16" customFormat="1" ht="12" x14ac:dyDescent="0.25">
      <c r="A61" s="2"/>
      <c r="B61" s="2"/>
      <c r="C61" s="2"/>
      <c r="D61" s="2"/>
      <c r="E61" s="2"/>
      <c r="F61" s="26">
        <f t="shared" si="9"/>
        <v>55</v>
      </c>
      <c r="G61" s="27">
        <f t="shared" ca="1" si="16"/>
        <v>47004</v>
      </c>
      <c r="H61" s="24">
        <f t="shared" ca="1" si="19"/>
        <v>9635</v>
      </c>
      <c r="I61" s="24">
        <f t="shared" ca="1" si="18"/>
        <v>558.05999999999995</v>
      </c>
      <c r="J61" s="24">
        <f t="shared" ca="1" si="5"/>
        <v>9076.94</v>
      </c>
      <c r="K61" s="24">
        <f t="shared" ca="1" si="6"/>
        <v>0</v>
      </c>
      <c r="L61" s="24">
        <f t="shared" ca="1" si="10"/>
        <v>0</v>
      </c>
      <c r="M61" s="24">
        <f t="shared" ca="1" si="7"/>
        <v>558.05999999999995</v>
      </c>
      <c r="N61" s="24">
        <f t="shared" ca="1" si="12"/>
        <v>0</v>
      </c>
      <c r="O61" s="24">
        <f t="shared" ca="1" si="1"/>
        <v>0</v>
      </c>
      <c r="P61" s="24">
        <f t="shared" ca="1" si="8"/>
        <v>46289.909999999967</v>
      </c>
      <c r="Q61" s="36">
        <f t="shared" si="11"/>
        <v>6</v>
      </c>
      <c r="R61" s="36">
        <f t="shared" ca="1" si="17"/>
        <v>6</v>
      </c>
      <c r="S61" s="2">
        <f t="shared" ca="1" si="13"/>
        <v>0</v>
      </c>
      <c r="T61" s="34">
        <f t="shared" ca="1" si="14"/>
        <v>9635</v>
      </c>
      <c r="U61" s="57">
        <f t="shared" ca="1" si="15"/>
        <v>54455</v>
      </c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:40" s="16" customFormat="1" ht="12" x14ac:dyDescent="0.25">
      <c r="A62" s="2"/>
      <c r="B62" s="2"/>
      <c r="C62" s="2"/>
      <c r="D62" s="2"/>
      <c r="E62" s="2"/>
      <c r="F62" s="26">
        <f t="shared" si="9"/>
        <v>56</v>
      </c>
      <c r="G62" s="27">
        <f t="shared" ca="1" si="16"/>
        <v>47034</v>
      </c>
      <c r="H62" s="24">
        <f t="shared" ca="1" si="19"/>
        <v>9635</v>
      </c>
      <c r="I62" s="24">
        <f t="shared" ca="1" si="18"/>
        <v>451.52</v>
      </c>
      <c r="J62" s="24">
        <f t="shared" ca="1" si="5"/>
        <v>9183.48</v>
      </c>
      <c r="K62" s="24">
        <f t="shared" ca="1" si="6"/>
        <v>0</v>
      </c>
      <c r="L62" s="24">
        <f t="shared" ca="1" si="10"/>
        <v>0</v>
      </c>
      <c r="M62" s="24">
        <f t="shared" ca="1" si="7"/>
        <v>451.52</v>
      </c>
      <c r="N62" s="24">
        <f t="shared" ca="1" si="12"/>
        <v>0</v>
      </c>
      <c r="O62" s="24">
        <f t="shared" ca="1" si="1"/>
        <v>0</v>
      </c>
      <c r="P62" s="24">
        <f t="shared" ca="1" si="8"/>
        <v>37106.429999999964</v>
      </c>
      <c r="Q62" s="36">
        <f t="shared" si="11"/>
        <v>5</v>
      </c>
      <c r="R62" s="36">
        <f t="shared" ca="1" si="17"/>
        <v>5</v>
      </c>
      <c r="S62" s="2">
        <f t="shared" ca="1" si="13"/>
        <v>0</v>
      </c>
      <c r="T62" s="34">
        <f t="shared" ca="1" si="14"/>
        <v>9635</v>
      </c>
      <c r="U62" s="57">
        <f t="shared" ca="1" si="15"/>
        <v>54820</v>
      </c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40" s="16" customFormat="1" ht="12" x14ac:dyDescent="0.25">
      <c r="A63" s="2"/>
      <c r="B63" s="2"/>
      <c r="C63" s="2"/>
      <c r="D63" s="2"/>
      <c r="E63" s="2"/>
      <c r="F63" s="26">
        <f t="shared" si="9"/>
        <v>57</v>
      </c>
      <c r="G63" s="27">
        <f t="shared" ca="1" si="16"/>
        <v>47065</v>
      </c>
      <c r="H63" s="24">
        <f t="shared" ca="1" si="19"/>
        <v>9635</v>
      </c>
      <c r="I63" s="24">
        <f t="shared" ca="1" si="18"/>
        <v>374</v>
      </c>
      <c r="J63" s="24">
        <f t="shared" ca="1" si="5"/>
        <v>9261</v>
      </c>
      <c r="K63" s="24">
        <f t="shared" ca="1" si="6"/>
        <v>0</v>
      </c>
      <c r="L63" s="24">
        <f t="shared" ca="1" si="10"/>
        <v>0</v>
      </c>
      <c r="M63" s="24">
        <f t="shared" ca="1" si="7"/>
        <v>374</v>
      </c>
      <c r="N63" s="24">
        <f t="shared" ca="1" si="12"/>
        <v>0</v>
      </c>
      <c r="O63" s="24">
        <f t="shared" ca="1" si="1"/>
        <v>0</v>
      </c>
      <c r="P63" s="24">
        <f t="shared" ca="1" si="8"/>
        <v>27845.429999999964</v>
      </c>
      <c r="Q63" s="36">
        <f t="shared" si="11"/>
        <v>4</v>
      </c>
      <c r="R63" s="36">
        <f t="shared" ca="1" si="17"/>
        <v>4</v>
      </c>
      <c r="S63" s="2">
        <f t="shared" ca="1" si="13"/>
        <v>0</v>
      </c>
      <c r="T63" s="34">
        <f t="shared" ca="1" si="14"/>
        <v>9635</v>
      </c>
      <c r="U63" s="57">
        <f t="shared" ca="1" si="15"/>
        <v>55185</v>
      </c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 spans="1:40" s="16" customFormat="1" x14ac:dyDescent="0.25">
      <c r="A64" s="2"/>
      <c r="B64" s="2"/>
      <c r="C64" s="2"/>
      <c r="D64" s="2"/>
      <c r="E64" s="2"/>
      <c r="F64" s="26">
        <f t="shared" si="9"/>
        <v>58</v>
      </c>
      <c r="G64" s="27">
        <f t="shared" ca="1" si="16"/>
        <v>47095</v>
      </c>
      <c r="H64" s="24">
        <f t="shared" ca="1" si="19"/>
        <v>9635</v>
      </c>
      <c r="I64" s="24">
        <f t="shared" ca="1" si="18"/>
        <v>271.61</v>
      </c>
      <c r="J64" s="24">
        <f t="shared" ca="1" si="5"/>
        <v>9363.39</v>
      </c>
      <c r="K64" s="24">
        <f t="shared" ca="1" si="6"/>
        <v>0</v>
      </c>
      <c r="L64" s="24">
        <f t="shared" ca="1" si="10"/>
        <v>0</v>
      </c>
      <c r="M64" s="24">
        <f t="shared" ca="1" si="7"/>
        <v>271.61</v>
      </c>
      <c r="N64" s="24">
        <f t="shared" ca="1" si="12"/>
        <v>0</v>
      </c>
      <c r="O64" s="24">
        <f t="shared" ca="1" si="1"/>
        <v>0</v>
      </c>
      <c r="P64" s="24">
        <f t="shared" ca="1" si="8"/>
        <v>18482.039999999964</v>
      </c>
      <c r="Q64" s="36">
        <f t="shared" si="11"/>
        <v>3</v>
      </c>
      <c r="R64" s="36">
        <f t="shared" ca="1" si="17"/>
        <v>3</v>
      </c>
      <c r="S64" s="2">
        <f t="shared" ca="1" si="13"/>
        <v>0</v>
      </c>
      <c r="T64" s="34">
        <f t="shared" ca="1" si="14"/>
        <v>9635</v>
      </c>
      <c r="U64" s="57">
        <f t="shared" ca="1" si="15"/>
        <v>55550</v>
      </c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3"/>
    </row>
    <row r="65" spans="1:21" s="16" customFormat="1" ht="12" x14ac:dyDescent="0.25">
      <c r="A65" s="2"/>
      <c r="B65" s="2"/>
      <c r="C65" s="2"/>
      <c r="D65" s="2"/>
      <c r="E65" s="2"/>
      <c r="F65" s="26">
        <f t="shared" si="9"/>
        <v>59</v>
      </c>
      <c r="G65" s="27">
        <f t="shared" ca="1" si="16"/>
        <v>47126</v>
      </c>
      <c r="H65" s="24">
        <f t="shared" ca="1" si="19"/>
        <v>9635</v>
      </c>
      <c r="I65" s="24">
        <f t="shared" ca="1" si="18"/>
        <v>186.8</v>
      </c>
      <c r="J65" s="24">
        <f t="shared" ca="1" si="5"/>
        <v>9448.2000000000007</v>
      </c>
      <c r="K65" s="24">
        <f t="shared" ca="1" si="6"/>
        <v>0</v>
      </c>
      <c r="L65" s="24">
        <f t="shared" ca="1" si="10"/>
        <v>0</v>
      </c>
      <c r="M65" s="24">
        <f t="shared" ca="1" si="7"/>
        <v>186.8</v>
      </c>
      <c r="N65" s="24">
        <f t="shared" ca="1" si="12"/>
        <v>0</v>
      </c>
      <c r="O65" s="24">
        <f t="shared" ca="1" si="1"/>
        <v>0</v>
      </c>
      <c r="P65" s="24">
        <f t="shared" ca="1" si="8"/>
        <v>9033.8399999999638</v>
      </c>
      <c r="Q65" s="36">
        <f t="shared" si="11"/>
        <v>2</v>
      </c>
      <c r="R65" s="36">
        <f t="shared" ca="1" si="17"/>
        <v>2</v>
      </c>
      <c r="S65" s="2">
        <f t="shared" ca="1" si="13"/>
        <v>0</v>
      </c>
      <c r="T65" s="34">
        <f t="shared" ca="1" si="14"/>
        <v>9635</v>
      </c>
      <c r="U65" s="57">
        <f t="shared" ca="1" si="15"/>
        <v>55915</v>
      </c>
    </row>
    <row r="66" spans="1:21" s="16" customFormat="1" ht="12" x14ac:dyDescent="0.25">
      <c r="A66" s="2"/>
      <c r="B66" s="2"/>
      <c r="C66" s="2"/>
      <c r="D66" s="2"/>
      <c r="E66" s="2"/>
      <c r="F66" s="26">
        <f t="shared" si="9"/>
        <v>60</v>
      </c>
      <c r="G66" s="27">
        <f t="shared" ca="1" si="16"/>
        <v>47157</v>
      </c>
      <c r="H66" s="24">
        <f ca="1">IF(Q66=1,K66+I66+J66,IF(P65+K66+I66&gt;H65,$D$15,IF(P65=0,0,P65+K66+I66+I97)))</f>
        <v>9125.139999999963</v>
      </c>
      <c r="I66" s="24">
        <f t="shared" ca="1" si="18"/>
        <v>91.3</v>
      </c>
      <c r="J66" s="24">
        <f t="shared" ca="1" si="5"/>
        <v>9033.8399999999638</v>
      </c>
      <c r="K66" s="24">
        <f t="shared" ca="1" si="6"/>
        <v>0</v>
      </c>
      <c r="L66" s="24">
        <f t="shared" ca="1" si="10"/>
        <v>0</v>
      </c>
      <c r="M66" s="24">
        <f t="shared" ca="1" si="7"/>
        <v>91.3</v>
      </c>
      <c r="N66" s="24">
        <f t="shared" ca="1" si="12"/>
        <v>0</v>
      </c>
      <c r="O66" s="24">
        <f t="shared" ca="1" si="1"/>
        <v>0</v>
      </c>
      <c r="P66" s="24">
        <f t="shared" ca="1" si="8"/>
        <v>0</v>
      </c>
      <c r="Q66" s="36">
        <f t="shared" si="11"/>
        <v>1</v>
      </c>
      <c r="R66" s="36">
        <f t="shared" ca="1" si="17"/>
        <v>1</v>
      </c>
      <c r="S66" s="2">
        <f t="shared" ca="1" si="13"/>
        <v>0</v>
      </c>
      <c r="T66" s="34">
        <f t="shared" ca="1" si="14"/>
        <v>9635</v>
      </c>
      <c r="U66" s="57">
        <f t="shared" ca="1" si="15"/>
        <v>56280</v>
      </c>
    </row>
    <row r="67" spans="1:21" s="16" customFormat="1" ht="12" x14ac:dyDescent="0.25">
      <c r="A67" s="2"/>
      <c r="B67" s="2"/>
      <c r="C67" s="13"/>
      <c r="D67" s="13"/>
      <c r="E67" s="2"/>
      <c r="F67" s="26">
        <f t="shared" si="9"/>
        <v>61</v>
      </c>
      <c r="G67" s="27">
        <f t="shared" ca="1" si="16"/>
        <v>47185</v>
      </c>
      <c r="H67" s="24">
        <f t="shared" ref="H67:H75" ca="1" si="20">IF(Q67=1,K67+I67+J67,IF(P66+K67+I67&gt;H66,$D$15,IF(P66=0,0,P66+K67+I67+I68)))</f>
        <v>0</v>
      </c>
      <c r="I67" s="24">
        <f t="shared" ca="1" si="18"/>
        <v>0</v>
      </c>
      <c r="J67" s="24">
        <f t="shared" si="5"/>
        <v>0</v>
      </c>
      <c r="K67" s="24">
        <f t="shared" ca="1" si="6"/>
        <v>0</v>
      </c>
      <c r="L67" s="24">
        <f t="shared" ca="1" si="10"/>
        <v>0</v>
      </c>
      <c r="M67" s="24">
        <f t="shared" ca="1" si="7"/>
        <v>0</v>
      </c>
      <c r="N67" s="24">
        <f t="shared" ca="1" si="12"/>
        <v>0</v>
      </c>
      <c r="O67" s="24">
        <f t="shared" ca="1" si="1"/>
        <v>0</v>
      </c>
      <c r="P67" s="24">
        <f t="shared" ca="1" si="8"/>
        <v>0</v>
      </c>
      <c r="Q67" s="36">
        <f t="shared" si="11"/>
        <v>0</v>
      </c>
      <c r="R67" s="36">
        <f t="shared" ca="1" si="17"/>
        <v>0</v>
      </c>
      <c r="S67" s="2">
        <f t="shared" ca="1" si="13"/>
        <v>0</v>
      </c>
      <c r="T67" s="34">
        <f t="shared" ca="1" si="14"/>
        <v>9635</v>
      </c>
      <c r="U67" s="57">
        <f t="shared" ca="1" si="15"/>
        <v>56645</v>
      </c>
    </row>
    <row r="68" spans="1:21" s="16" customFormat="1" ht="12" x14ac:dyDescent="0.25">
      <c r="A68" s="2"/>
      <c r="B68" s="2"/>
      <c r="C68" s="2"/>
      <c r="D68" s="13"/>
      <c r="E68" s="2"/>
      <c r="F68" s="26">
        <f t="shared" si="9"/>
        <v>62</v>
      </c>
      <c r="G68" s="27">
        <f t="shared" ca="1" si="16"/>
        <v>47216</v>
      </c>
      <c r="H68" s="24">
        <f t="shared" ca="1" si="20"/>
        <v>0</v>
      </c>
      <c r="I68" s="24">
        <f t="shared" ca="1" si="18"/>
        <v>0</v>
      </c>
      <c r="J68" s="24">
        <f t="shared" si="5"/>
        <v>0</v>
      </c>
      <c r="K68" s="24">
        <f t="shared" ca="1" si="6"/>
        <v>0</v>
      </c>
      <c r="L68" s="24">
        <f t="shared" ca="1" si="10"/>
        <v>0</v>
      </c>
      <c r="M68" s="24">
        <f t="shared" ca="1" si="7"/>
        <v>0</v>
      </c>
      <c r="N68" s="24">
        <f t="shared" ca="1" si="12"/>
        <v>0</v>
      </c>
      <c r="O68" s="24">
        <f t="shared" ca="1" si="1"/>
        <v>0</v>
      </c>
      <c r="P68" s="24">
        <f t="shared" ca="1" si="8"/>
        <v>0</v>
      </c>
      <c r="Q68" s="36">
        <f t="shared" si="11"/>
        <v>0</v>
      </c>
      <c r="R68" s="36">
        <f t="shared" ca="1" si="17"/>
        <v>0</v>
      </c>
      <c r="S68" s="2">
        <f t="shared" ca="1" si="13"/>
        <v>0</v>
      </c>
      <c r="T68" s="34">
        <f t="shared" ca="1" si="14"/>
        <v>9635</v>
      </c>
      <c r="U68" s="57">
        <f t="shared" ca="1" si="15"/>
        <v>57010</v>
      </c>
    </row>
    <row r="69" spans="1:21" s="16" customFormat="1" ht="12" x14ac:dyDescent="0.25">
      <c r="A69" s="2"/>
      <c r="B69" s="2"/>
      <c r="C69" s="2"/>
      <c r="D69" s="2"/>
      <c r="E69" s="2"/>
      <c r="F69" s="26">
        <f t="shared" si="9"/>
        <v>63</v>
      </c>
      <c r="G69" s="27">
        <f t="shared" ca="1" si="16"/>
        <v>47246</v>
      </c>
      <c r="H69" s="24">
        <f t="shared" ca="1" si="20"/>
        <v>0</v>
      </c>
      <c r="I69" s="24">
        <f t="shared" ca="1" si="18"/>
        <v>0</v>
      </c>
      <c r="J69" s="24">
        <f t="shared" si="5"/>
        <v>0</v>
      </c>
      <c r="K69" s="24">
        <f t="shared" ca="1" si="6"/>
        <v>0</v>
      </c>
      <c r="L69" s="24">
        <f t="shared" ca="1" si="10"/>
        <v>0</v>
      </c>
      <c r="M69" s="24">
        <f t="shared" ca="1" si="7"/>
        <v>0</v>
      </c>
      <c r="N69" s="24">
        <f t="shared" ca="1" si="12"/>
        <v>0</v>
      </c>
      <c r="O69" s="24">
        <f t="shared" ca="1" si="1"/>
        <v>0</v>
      </c>
      <c r="P69" s="24">
        <f t="shared" ca="1" si="8"/>
        <v>0</v>
      </c>
      <c r="Q69" s="36">
        <f t="shared" si="11"/>
        <v>0</v>
      </c>
      <c r="R69" s="36">
        <f t="shared" ca="1" si="17"/>
        <v>0</v>
      </c>
      <c r="S69" s="2">
        <f t="shared" ref="S69:S100" ca="1" si="21">IF($C$7&gt;$AB$40,ROUND(P38*$C$23/(DATEVALUE(CONCATENATE("01/01/",YEAR(G39)+1))-DATEVALUE(CONCATENATE("01/01/",YEAR(G39))))*(G39-G38),2),0)</f>
        <v>0</v>
      </c>
      <c r="T69" s="34">
        <f t="shared" ref="T69:T100" ca="1" si="22">I39+J39+K39-O39</f>
        <v>9635</v>
      </c>
      <c r="U69" s="57">
        <f t="shared" ca="1" si="15"/>
        <v>57375</v>
      </c>
    </row>
    <row r="70" spans="1:21" s="16" customFormat="1" ht="12" x14ac:dyDescent="0.25">
      <c r="A70" s="2"/>
      <c r="B70" s="2"/>
      <c r="C70" s="2"/>
      <c r="D70" s="2"/>
      <c r="E70" s="2"/>
      <c r="F70" s="26">
        <f t="shared" si="9"/>
        <v>64</v>
      </c>
      <c r="G70" s="27">
        <f t="shared" ca="1" si="16"/>
        <v>47277</v>
      </c>
      <c r="H70" s="24">
        <f t="shared" ca="1" si="20"/>
        <v>0</v>
      </c>
      <c r="I70" s="24">
        <f t="shared" ca="1" si="18"/>
        <v>0</v>
      </c>
      <c r="J70" s="24">
        <f t="shared" si="5"/>
        <v>0</v>
      </c>
      <c r="K70" s="24">
        <f t="shared" ca="1" si="6"/>
        <v>0</v>
      </c>
      <c r="L70" s="24">
        <f t="shared" ca="1" si="10"/>
        <v>0</v>
      </c>
      <c r="M70" s="24">
        <f t="shared" ca="1" si="7"/>
        <v>0</v>
      </c>
      <c r="N70" s="24">
        <f t="shared" ca="1" si="12"/>
        <v>0</v>
      </c>
      <c r="O70" s="24">
        <f t="shared" ca="1" si="1"/>
        <v>0</v>
      </c>
      <c r="P70" s="24">
        <f t="shared" ca="1" si="8"/>
        <v>0</v>
      </c>
      <c r="Q70" s="36">
        <f t="shared" si="11"/>
        <v>0</v>
      </c>
      <c r="R70" s="36">
        <f t="shared" ca="1" si="17"/>
        <v>0</v>
      </c>
      <c r="S70" s="2">
        <f t="shared" ca="1" si="21"/>
        <v>0</v>
      </c>
      <c r="T70" s="34">
        <f t="shared" ca="1" si="22"/>
        <v>9635</v>
      </c>
      <c r="U70" s="57">
        <f t="shared" ca="1" si="15"/>
        <v>57740</v>
      </c>
    </row>
    <row r="71" spans="1:21" s="16" customFormat="1" ht="12" x14ac:dyDescent="0.25">
      <c r="A71" s="2"/>
      <c r="B71" s="2"/>
      <c r="C71" s="2"/>
      <c r="D71" s="2"/>
      <c r="E71" s="2"/>
      <c r="F71" s="26">
        <f t="shared" si="9"/>
        <v>65</v>
      </c>
      <c r="G71" s="27">
        <f t="shared" ref="G71:G85" ca="1" si="23">IF((OR(DAY($Z$43)=29,DAY($Z$43)=30,DAY($Z$43)=31)),(EDATE($C$7-3,F71)),(IF((OR(DAY($Z$43)=1,DAY($Z$43)=2,DAY($Z$43)=3)),(EDATE($C$7,F71)+3),EDATE($C$7,F71))))</f>
        <v>47307</v>
      </c>
      <c r="H71" s="24">
        <f t="shared" ca="1" si="20"/>
        <v>0</v>
      </c>
      <c r="I71" s="24">
        <f t="shared" ca="1" si="18"/>
        <v>0</v>
      </c>
      <c r="J71" s="24">
        <f t="shared" si="5"/>
        <v>0</v>
      </c>
      <c r="K71" s="24">
        <f t="shared" ca="1" si="6"/>
        <v>0</v>
      </c>
      <c r="L71" s="24">
        <f t="shared" ca="1" si="10"/>
        <v>0</v>
      </c>
      <c r="M71" s="24">
        <f t="shared" ca="1" si="7"/>
        <v>0</v>
      </c>
      <c r="N71" s="24">
        <f t="shared" ca="1" si="12"/>
        <v>0</v>
      </c>
      <c r="O71" s="24">
        <f t="shared" ref="O71:O85" ca="1" si="24">IF(R71=0,0,$D$17)</f>
        <v>0</v>
      </c>
      <c r="P71" s="24">
        <f t="shared" ca="1" si="8"/>
        <v>0</v>
      </c>
      <c r="Q71" s="36">
        <f t="shared" si="11"/>
        <v>0</v>
      </c>
      <c r="R71" s="36">
        <f t="shared" ref="R71:R85" ca="1" si="25">IF(ISERR(CEILING(FLOOR(NPER($C$16/12,-$Z$44,P70),0.1),1))=TRUE,0,CEILING(FLOOR(NPER($C$16/12,-$Z$44,P70),0.1),1))</f>
        <v>0</v>
      </c>
      <c r="S71" s="2">
        <f t="shared" ca="1" si="21"/>
        <v>0</v>
      </c>
      <c r="T71" s="34">
        <f t="shared" ca="1" si="22"/>
        <v>9635</v>
      </c>
      <c r="U71" s="57">
        <f t="shared" ca="1" si="15"/>
        <v>58105</v>
      </c>
    </row>
    <row r="72" spans="1:21" s="16" customFormat="1" ht="12" x14ac:dyDescent="0.25">
      <c r="A72" s="2"/>
      <c r="B72" s="2"/>
      <c r="C72" s="2"/>
      <c r="D72" s="2"/>
      <c r="E72" s="2"/>
      <c r="F72" s="26">
        <f t="shared" si="9"/>
        <v>66</v>
      </c>
      <c r="G72" s="27">
        <f t="shared" ca="1" si="23"/>
        <v>47338</v>
      </c>
      <c r="H72" s="24">
        <f t="shared" ca="1" si="20"/>
        <v>0</v>
      </c>
      <c r="I72" s="24">
        <f t="shared" ref="I72:I85" ca="1" si="26">IF($C$7&gt;$AB$40,ROUND(P71*$C$16/(DATEVALUE(CONCATENATE("01/01/",YEAR(G72)+1))-DATEVALUE(CONCATENATE("01/01/",YEAR(G72))))*(G72-G71),2),ROUND(P70*$C$16/(DATEVALUE(CONCATENATE("01/01/",YEAR(G71)+1))-DATEVALUE(CONCATENATE("01/01/",YEAR(G71))))*(G71-G70),2))</f>
        <v>0</v>
      </c>
      <c r="J72" s="24">
        <f t="shared" ref="J72:J84" si="27">IF(Q72=0,0,IF(Q72=1,P71,IF(P71+K72+I72&gt;H71,H72-I72-K72,P71)))</f>
        <v>0</v>
      </c>
      <c r="K72" s="24">
        <f t="shared" ref="K72:K85" ca="1" si="28">IF(M72&gt;$D$15,$D$15-I72,IF(R72=0,0,N72))</f>
        <v>0</v>
      </c>
      <c r="L72" s="24">
        <f t="shared" ca="1" si="10"/>
        <v>0</v>
      </c>
      <c r="M72" s="24">
        <f t="shared" ca="1" si="7"/>
        <v>0</v>
      </c>
      <c r="N72" s="24">
        <f t="shared" ca="1" si="12"/>
        <v>0</v>
      </c>
      <c r="O72" s="24">
        <f t="shared" ca="1" si="24"/>
        <v>0</v>
      </c>
      <c r="P72" s="24">
        <f t="shared" ref="P72:P84" ca="1" si="29">IF(OR(Q72=1,P71=0),0,P71-J72)</f>
        <v>0</v>
      </c>
      <c r="Q72" s="36">
        <f t="shared" si="11"/>
        <v>0</v>
      </c>
      <c r="R72" s="36">
        <f t="shared" ca="1" si="25"/>
        <v>0</v>
      </c>
      <c r="S72" s="2">
        <f t="shared" ca="1" si="21"/>
        <v>0</v>
      </c>
      <c r="T72" s="34">
        <f t="shared" ca="1" si="22"/>
        <v>9635</v>
      </c>
      <c r="U72" s="57">
        <f t="shared" ca="1" si="15"/>
        <v>58470</v>
      </c>
    </row>
    <row r="73" spans="1:21" s="16" customFormat="1" ht="12" x14ac:dyDescent="0.25">
      <c r="A73" s="2"/>
      <c r="B73" s="2"/>
      <c r="C73" s="2"/>
      <c r="D73" s="2"/>
      <c r="E73" s="2"/>
      <c r="F73" s="26">
        <f t="shared" ref="F73:F85" si="30">F72+1</f>
        <v>67</v>
      </c>
      <c r="G73" s="27">
        <f t="shared" ca="1" si="23"/>
        <v>47369</v>
      </c>
      <c r="H73" s="24">
        <f t="shared" ca="1" si="20"/>
        <v>0</v>
      </c>
      <c r="I73" s="24">
        <f t="shared" ca="1" si="26"/>
        <v>0</v>
      </c>
      <c r="J73" s="24">
        <f t="shared" si="27"/>
        <v>0</v>
      </c>
      <c r="K73" s="24">
        <f t="shared" ca="1" si="28"/>
        <v>0</v>
      </c>
      <c r="L73" s="24">
        <f t="shared" ca="1" si="10"/>
        <v>0</v>
      </c>
      <c r="M73" s="24">
        <f t="shared" ca="1" si="7"/>
        <v>0</v>
      </c>
      <c r="N73" s="24">
        <f t="shared" ca="1" si="12"/>
        <v>0</v>
      </c>
      <c r="O73" s="24">
        <f t="shared" ca="1" si="24"/>
        <v>0</v>
      </c>
      <c r="P73" s="24">
        <f t="shared" ca="1" si="29"/>
        <v>0</v>
      </c>
      <c r="Q73" s="36">
        <f t="shared" ref="Q73:Q85" si="31">IF((Q72-1)&lt;0,0,Q72-1)</f>
        <v>0</v>
      </c>
      <c r="R73" s="36">
        <f t="shared" ca="1" si="25"/>
        <v>0</v>
      </c>
      <c r="S73" s="2">
        <f t="shared" ca="1" si="21"/>
        <v>0</v>
      </c>
      <c r="T73" s="34">
        <f t="shared" ca="1" si="22"/>
        <v>9635</v>
      </c>
      <c r="U73" s="57">
        <f t="shared" ca="1" si="15"/>
        <v>58835</v>
      </c>
    </row>
    <row r="74" spans="1:21" s="16" customFormat="1" ht="12" x14ac:dyDescent="0.25">
      <c r="A74" s="2"/>
      <c r="B74" s="2"/>
      <c r="C74" s="2"/>
      <c r="D74" s="2"/>
      <c r="E74" s="2"/>
      <c r="F74" s="26">
        <f t="shared" si="30"/>
        <v>68</v>
      </c>
      <c r="G74" s="27">
        <f t="shared" ca="1" si="23"/>
        <v>47399</v>
      </c>
      <c r="H74" s="24">
        <f t="shared" ca="1" si="20"/>
        <v>0</v>
      </c>
      <c r="I74" s="24">
        <f t="shared" ca="1" si="26"/>
        <v>0</v>
      </c>
      <c r="J74" s="24">
        <f t="shared" si="27"/>
        <v>0</v>
      </c>
      <c r="K74" s="24">
        <f t="shared" ca="1" si="28"/>
        <v>0</v>
      </c>
      <c r="L74" s="24">
        <f t="shared" ca="1" si="10"/>
        <v>0</v>
      </c>
      <c r="M74" s="24">
        <f t="shared" ca="1" si="7"/>
        <v>0</v>
      </c>
      <c r="N74" s="24">
        <f t="shared" ca="1" si="12"/>
        <v>0</v>
      </c>
      <c r="O74" s="24">
        <f t="shared" ca="1" si="24"/>
        <v>0</v>
      </c>
      <c r="P74" s="24">
        <f t="shared" ca="1" si="29"/>
        <v>0</v>
      </c>
      <c r="Q74" s="36">
        <f t="shared" si="31"/>
        <v>0</v>
      </c>
      <c r="R74" s="36">
        <f t="shared" ca="1" si="25"/>
        <v>0</v>
      </c>
      <c r="S74" s="2">
        <f t="shared" ca="1" si="21"/>
        <v>0</v>
      </c>
      <c r="T74" s="34">
        <f t="shared" ca="1" si="22"/>
        <v>9635</v>
      </c>
      <c r="U74" s="57">
        <f t="shared" ca="1" si="15"/>
        <v>59200</v>
      </c>
    </row>
    <row r="75" spans="1:21" s="16" customFormat="1" ht="12" x14ac:dyDescent="0.25">
      <c r="A75" s="2"/>
      <c r="B75" s="2"/>
      <c r="C75" s="2"/>
      <c r="D75" s="2"/>
      <c r="E75" s="2"/>
      <c r="F75" s="26">
        <f t="shared" si="30"/>
        <v>69</v>
      </c>
      <c r="G75" s="27">
        <f t="shared" ca="1" si="23"/>
        <v>47430</v>
      </c>
      <c r="H75" s="24">
        <f t="shared" ca="1" si="20"/>
        <v>0</v>
      </c>
      <c r="I75" s="24">
        <f t="shared" ca="1" si="26"/>
        <v>0</v>
      </c>
      <c r="J75" s="24">
        <f t="shared" si="27"/>
        <v>0</v>
      </c>
      <c r="K75" s="24">
        <f t="shared" ca="1" si="28"/>
        <v>0</v>
      </c>
      <c r="L75" s="24">
        <f t="shared" ca="1" si="10"/>
        <v>0</v>
      </c>
      <c r="M75" s="24">
        <f t="shared" ca="1" si="7"/>
        <v>0</v>
      </c>
      <c r="N75" s="24">
        <f t="shared" ca="1" si="12"/>
        <v>0</v>
      </c>
      <c r="O75" s="24">
        <f t="shared" ca="1" si="24"/>
        <v>0</v>
      </c>
      <c r="P75" s="24">
        <f t="shared" ca="1" si="29"/>
        <v>0</v>
      </c>
      <c r="Q75" s="36">
        <f t="shared" si="31"/>
        <v>0</v>
      </c>
      <c r="R75" s="36">
        <f t="shared" ca="1" si="25"/>
        <v>0</v>
      </c>
      <c r="S75" s="2">
        <f t="shared" ca="1" si="21"/>
        <v>0</v>
      </c>
      <c r="T75" s="34">
        <f t="shared" ca="1" si="22"/>
        <v>9635</v>
      </c>
      <c r="U75" s="57">
        <f t="shared" ca="1" si="15"/>
        <v>59565</v>
      </c>
    </row>
    <row r="76" spans="1:21" s="16" customFormat="1" ht="12" x14ac:dyDescent="0.25">
      <c r="A76" s="2"/>
      <c r="B76" s="2"/>
      <c r="C76" s="2"/>
      <c r="D76" s="2"/>
      <c r="E76" s="2"/>
      <c r="F76" s="26">
        <f t="shared" si="30"/>
        <v>70</v>
      </c>
      <c r="G76" s="27">
        <f t="shared" ca="1" si="23"/>
        <v>47460</v>
      </c>
      <c r="H76" s="24">
        <f t="shared" ref="H76:H84" ca="1" si="32">IF(Q76=1,K76+I76+J76,IF(P75+K76+I76&gt;H75,$D$15,IF(P75=0,0,P75+K76+I76+I107)))</f>
        <v>0</v>
      </c>
      <c r="I76" s="24">
        <f t="shared" ca="1" si="26"/>
        <v>0</v>
      </c>
      <c r="J76" s="24">
        <f t="shared" si="27"/>
        <v>0</v>
      </c>
      <c r="K76" s="24">
        <f t="shared" ca="1" si="28"/>
        <v>0</v>
      </c>
      <c r="L76" s="24">
        <f t="shared" ca="1" si="10"/>
        <v>0</v>
      </c>
      <c r="M76" s="24">
        <f t="shared" ca="1" si="7"/>
        <v>0</v>
      </c>
      <c r="N76" s="24">
        <f t="shared" ca="1" si="12"/>
        <v>0</v>
      </c>
      <c r="O76" s="24">
        <f t="shared" ca="1" si="24"/>
        <v>0</v>
      </c>
      <c r="P76" s="24">
        <f t="shared" ca="1" si="29"/>
        <v>0</v>
      </c>
      <c r="Q76" s="36">
        <f t="shared" si="31"/>
        <v>0</v>
      </c>
      <c r="R76" s="36">
        <f t="shared" ca="1" si="25"/>
        <v>0</v>
      </c>
      <c r="S76" s="2">
        <f t="shared" ca="1" si="21"/>
        <v>0</v>
      </c>
      <c r="T76" s="34">
        <f t="shared" ca="1" si="22"/>
        <v>9635</v>
      </c>
      <c r="U76" s="57">
        <f t="shared" ca="1" si="15"/>
        <v>59930</v>
      </c>
    </row>
    <row r="77" spans="1:21" s="16" customFormat="1" ht="12" x14ac:dyDescent="0.25">
      <c r="A77" s="2"/>
      <c r="B77" s="2"/>
      <c r="C77" s="2"/>
      <c r="D77" s="2"/>
      <c r="E77" s="2"/>
      <c r="F77" s="26">
        <f t="shared" si="30"/>
        <v>71</v>
      </c>
      <c r="G77" s="27">
        <f t="shared" ca="1" si="23"/>
        <v>47491</v>
      </c>
      <c r="H77" s="24">
        <f t="shared" ca="1" si="32"/>
        <v>0</v>
      </c>
      <c r="I77" s="24">
        <f t="shared" ca="1" si="26"/>
        <v>0</v>
      </c>
      <c r="J77" s="24">
        <f t="shared" si="27"/>
        <v>0</v>
      </c>
      <c r="K77" s="24">
        <f t="shared" ca="1" si="28"/>
        <v>0</v>
      </c>
      <c r="L77" s="24">
        <f t="shared" ca="1" si="10"/>
        <v>0</v>
      </c>
      <c r="M77" s="24">
        <f t="shared" ca="1" si="7"/>
        <v>0</v>
      </c>
      <c r="N77" s="24">
        <f t="shared" ca="1" si="12"/>
        <v>0</v>
      </c>
      <c r="O77" s="24">
        <f t="shared" ca="1" si="24"/>
        <v>0</v>
      </c>
      <c r="P77" s="24">
        <f t="shared" ca="1" si="29"/>
        <v>0</v>
      </c>
      <c r="Q77" s="36">
        <f t="shared" si="31"/>
        <v>0</v>
      </c>
      <c r="R77" s="36">
        <f t="shared" ca="1" si="25"/>
        <v>0</v>
      </c>
      <c r="S77" s="2">
        <f t="shared" ca="1" si="21"/>
        <v>0</v>
      </c>
      <c r="T77" s="34">
        <f t="shared" ca="1" si="22"/>
        <v>9635</v>
      </c>
      <c r="U77" s="57">
        <f t="shared" ca="1" si="15"/>
        <v>60295</v>
      </c>
    </row>
    <row r="78" spans="1:21" s="16" customFormat="1" ht="12" x14ac:dyDescent="0.25">
      <c r="A78" s="2"/>
      <c r="B78" s="2"/>
      <c r="C78" s="2"/>
      <c r="D78" s="2"/>
      <c r="E78" s="2"/>
      <c r="F78" s="26">
        <f t="shared" si="30"/>
        <v>72</v>
      </c>
      <c r="G78" s="27">
        <f t="shared" ca="1" si="23"/>
        <v>47522</v>
      </c>
      <c r="H78" s="24">
        <f t="shared" ca="1" si="32"/>
        <v>0</v>
      </c>
      <c r="I78" s="24">
        <f t="shared" ca="1" si="26"/>
        <v>0</v>
      </c>
      <c r="J78" s="24">
        <f t="shared" si="27"/>
        <v>0</v>
      </c>
      <c r="K78" s="24">
        <f t="shared" ca="1" si="28"/>
        <v>0</v>
      </c>
      <c r="L78" s="24">
        <f t="shared" ca="1" si="10"/>
        <v>0</v>
      </c>
      <c r="M78" s="24">
        <f t="shared" ca="1" si="7"/>
        <v>0</v>
      </c>
      <c r="N78" s="24">
        <f t="shared" ca="1" si="12"/>
        <v>0</v>
      </c>
      <c r="O78" s="24">
        <f t="shared" ca="1" si="24"/>
        <v>0</v>
      </c>
      <c r="P78" s="24">
        <f t="shared" ca="1" si="29"/>
        <v>0</v>
      </c>
      <c r="Q78" s="36">
        <f t="shared" si="31"/>
        <v>0</v>
      </c>
      <c r="R78" s="36">
        <f t="shared" ca="1" si="25"/>
        <v>0</v>
      </c>
      <c r="S78" s="2">
        <f t="shared" ca="1" si="21"/>
        <v>0</v>
      </c>
      <c r="T78" s="34">
        <f t="shared" ca="1" si="22"/>
        <v>9635</v>
      </c>
      <c r="U78" s="57">
        <f t="shared" ca="1" si="15"/>
        <v>60660</v>
      </c>
    </row>
    <row r="79" spans="1:21" s="16" customFormat="1" ht="12" x14ac:dyDescent="0.25">
      <c r="A79" s="53"/>
      <c r="C79" s="2"/>
      <c r="D79" s="13"/>
      <c r="E79" s="2"/>
      <c r="F79" s="26">
        <f t="shared" si="30"/>
        <v>73</v>
      </c>
      <c r="G79" s="27">
        <f t="shared" ca="1" si="23"/>
        <v>47550</v>
      </c>
      <c r="H79" s="24">
        <f t="shared" ca="1" si="32"/>
        <v>0</v>
      </c>
      <c r="I79" s="24">
        <f t="shared" ca="1" si="26"/>
        <v>0</v>
      </c>
      <c r="J79" s="24">
        <f t="shared" si="27"/>
        <v>0</v>
      </c>
      <c r="K79" s="24">
        <f t="shared" ca="1" si="28"/>
        <v>0</v>
      </c>
      <c r="L79" s="24">
        <f t="shared" ca="1" si="10"/>
        <v>0</v>
      </c>
      <c r="M79" s="24">
        <f t="shared" ca="1" si="7"/>
        <v>0</v>
      </c>
      <c r="N79" s="24">
        <f t="shared" ca="1" si="12"/>
        <v>0</v>
      </c>
      <c r="O79" s="24">
        <f t="shared" ca="1" si="24"/>
        <v>0</v>
      </c>
      <c r="P79" s="24">
        <f t="shared" ca="1" si="29"/>
        <v>0</v>
      </c>
      <c r="Q79" s="36">
        <f t="shared" si="31"/>
        <v>0</v>
      </c>
      <c r="R79" s="36">
        <f t="shared" ca="1" si="25"/>
        <v>0</v>
      </c>
      <c r="S79" s="2">
        <f t="shared" ca="1" si="21"/>
        <v>0</v>
      </c>
      <c r="T79" s="34">
        <f t="shared" ca="1" si="22"/>
        <v>9635</v>
      </c>
      <c r="U79" s="57">
        <f t="shared" ca="1" si="15"/>
        <v>61025</v>
      </c>
    </row>
    <row r="80" spans="1:21" s="16" customFormat="1" ht="12" x14ac:dyDescent="0.25">
      <c r="A80" s="53"/>
      <c r="B80" s="2"/>
      <c r="C80" s="2"/>
      <c r="D80" s="2"/>
      <c r="E80" s="2"/>
      <c r="F80" s="26">
        <f t="shared" si="30"/>
        <v>74</v>
      </c>
      <c r="G80" s="27">
        <f t="shared" ca="1" si="23"/>
        <v>47581</v>
      </c>
      <c r="H80" s="24">
        <f t="shared" ca="1" si="32"/>
        <v>0</v>
      </c>
      <c r="I80" s="24">
        <f t="shared" ca="1" si="26"/>
        <v>0</v>
      </c>
      <c r="J80" s="24">
        <f t="shared" si="27"/>
        <v>0</v>
      </c>
      <c r="K80" s="24">
        <f t="shared" ca="1" si="28"/>
        <v>0</v>
      </c>
      <c r="L80" s="24">
        <f t="shared" ca="1" si="10"/>
        <v>0</v>
      </c>
      <c r="M80" s="24">
        <f t="shared" ca="1" si="7"/>
        <v>0</v>
      </c>
      <c r="N80" s="24">
        <f t="shared" ca="1" si="12"/>
        <v>0</v>
      </c>
      <c r="O80" s="24">
        <f t="shared" ca="1" si="24"/>
        <v>0</v>
      </c>
      <c r="P80" s="24">
        <f t="shared" ca="1" si="29"/>
        <v>0</v>
      </c>
      <c r="Q80" s="36">
        <f t="shared" si="31"/>
        <v>0</v>
      </c>
      <c r="R80" s="36">
        <f t="shared" ca="1" si="25"/>
        <v>0</v>
      </c>
      <c r="S80" s="2">
        <f t="shared" ca="1" si="21"/>
        <v>0</v>
      </c>
      <c r="T80" s="34">
        <f t="shared" ca="1" si="22"/>
        <v>9635</v>
      </c>
      <c r="U80" s="57">
        <f t="shared" ca="1" si="15"/>
        <v>61390</v>
      </c>
    </row>
    <row r="81" spans="1:40" s="16" customFormat="1" ht="12" x14ac:dyDescent="0.25">
      <c r="A81" s="2"/>
      <c r="B81" s="2"/>
      <c r="C81" s="1"/>
      <c r="D81" s="1"/>
      <c r="E81" s="2"/>
      <c r="F81" s="26">
        <f t="shared" si="30"/>
        <v>75</v>
      </c>
      <c r="G81" s="27">
        <f t="shared" ca="1" si="23"/>
        <v>47611</v>
      </c>
      <c r="H81" s="24">
        <f t="shared" ca="1" si="32"/>
        <v>0</v>
      </c>
      <c r="I81" s="24">
        <f t="shared" ca="1" si="26"/>
        <v>0</v>
      </c>
      <c r="J81" s="24">
        <f t="shared" si="27"/>
        <v>0</v>
      </c>
      <c r="K81" s="24">
        <f t="shared" ca="1" si="28"/>
        <v>0</v>
      </c>
      <c r="L81" s="24">
        <f t="shared" ca="1" si="10"/>
        <v>0</v>
      </c>
      <c r="M81" s="24">
        <f t="shared" ca="1" si="7"/>
        <v>0</v>
      </c>
      <c r="N81" s="24">
        <f t="shared" ref="N81:N85" ca="1" si="33">IF(R81=0,0,$D$17)</f>
        <v>0</v>
      </c>
      <c r="O81" s="24">
        <f t="shared" ca="1" si="24"/>
        <v>0</v>
      </c>
      <c r="P81" s="24">
        <f t="shared" ca="1" si="29"/>
        <v>0</v>
      </c>
      <c r="Q81" s="36">
        <f t="shared" si="31"/>
        <v>0</v>
      </c>
      <c r="R81" s="36">
        <f t="shared" ca="1" si="25"/>
        <v>0</v>
      </c>
      <c r="S81" s="2">
        <f t="shared" ca="1" si="21"/>
        <v>0</v>
      </c>
      <c r="T81" s="34">
        <f t="shared" ca="1" si="22"/>
        <v>9635</v>
      </c>
      <c r="U81" s="57">
        <f t="shared" ca="1" si="15"/>
        <v>61755</v>
      </c>
    </row>
    <row r="82" spans="1:40" s="16" customFormat="1" ht="12" x14ac:dyDescent="0.25">
      <c r="A82" s="2"/>
      <c r="B82" s="2"/>
      <c r="C82" s="1"/>
      <c r="D82" s="1"/>
      <c r="E82" s="2"/>
      <c r="F82" s="26">
        <f t="shared" si="30"/>
        <v>76</v>
      </c>
      <c r="G82" s="27">
        <f t="shared" ca="1" si="23"/>
        <v>47642</v>
      </c>
      <c r="H82" s="24">
        <f t="shared" ca="1" si="32"/>
        <v>0</v>
      </c>
      <c r="I82" s="24">
        <f t="shared" ca="1" si="26"/>
        <v>0</v>
      </c>
      <c r="J82" s="24">
        <f t="shared" si="27"/>
        <v>0</v>
      </c>
      <c r="K82" s="24">
        <f t="shared" ca="1" si="28"/>
        <v>0</v>
      </c>
      <c r="L82" s="24">
        <f t="shared" ca="1" si="10"/>
        <v>0</v>
      </c>
      <c r="M82" s="24">
        <f t="shared" ca="1" si="7"/>
        <v>0</v>
      </c>
      <c r="N82" s="24">
        <f t="shared" ca="1" si="33"/>
        <v>0</v>
      </c>
      <c r="O82" s="24">
        <f t="shared" ca="1" si="24"/>
        <v>0</v>
      </c>
      <c r="P82" s="24">
        <f t="shared" ca="1" si="29"/>
        <v>0</v>
      </c>
      <c r="Q82" s="36">
        <f t="shared" si="31"/>
        <v>0</v>
      </c>
      <c r="R82" s="36">
        <f t="shared" ca="1" si="25"/>
        <v>0</v>
      </c>
      <c r="S82" s="2">
        <f t="shared" ca="1" si="21"/>
        <v>0</v>
      </c>
      <c r="T82" s="34">
        <f t="shared" ca="1" si="22"/>
        <v>9635</v>
      </c>
      <c r="U82" s="57">
        <f t="shared" ca="1" si="15"/>
        <v>62120</v>
      </c>
    </row>
    <row r="83" spans="1:40" s="16" customFormat="1" ht="12" x14ac:dyDescent="0.25">
      <c r="A83" s="2"/>
      <c r="B83" s="2"/>
      <c r="C83" s="1"/>
      <c r="D83" s="1"/>
      <c r="E83" s="2"/>
      <c r="F83" s="26">
        <f t="shared" si="30"/>
        <v>77</v>
      </c>
      <c r="G83" s="27">
        <f t="shared" ca="1" si="23"/>
        <v>47672</v>
      </c>
      <c r="H83" s="24">
        <f t="shared" ca="1" si="32"/>
        <v>0</v>
      </c>
      <c r="I83" s="24">
        <f t="shared" ca="1" si="26"/>
        <v>0</v>
      </c>
      <c r="J83" s="24">
        <f t="shared" si="27"/>
        <v>0</v>
      </c>
      <c r="K83" s="24">
        <f t="shared" ca="1" si="28"/>
        <v>0</v>
      </c>
      <c r="L83" s="24">
        <f t="shared" ca="1" si="10"/>
        <v>0</v>
      </c>
      <c r="M83" s="24">
        <f t="shared" ca="1" si="7"/>
        <v>0</v>
      </c>
      <c r="N83" s="24">
        <f t="shared" ca="1" si="33"/>
        <v>0</v>
      </c>
      <c r="O83" s="24">
        <f t="shared" ca="1" si="24"/>
        <v>0</v>
      </c>
      <c r="P83" s="24">
        <f t="shared" ca="1" si="29"/>
        <v>0</v>
      </c>
      <c r="Q83" s="36">
        <f t="shared" si="31"/>
        <v>0</v>
      </c>
      <c r="R83" s="36">
        <f t="shared" ca="1" si="25"/>
        <v>0</v>
      </c>
      <c r="S83" s="2">
        <f t="shared" ca="1" si="21"/>
        <v>0</v>
      </c>
      <c r="T83" s="34">
        <f t="shared" ca="1" si="22"/>
        <v>9635</v>
      </c>
      <c r="U83" s="57">
        <f t="shared" ca="1" si="15"/>
        <v>62485</v>
      </c>
    </row>
    <row r="84" spans="1:40" s="16" customFormat="1" ht="12" x14ac:dyDescent="0.25">
      <c r="A84" s="2"/>
      <c r="B84" s="2"/>
      <c r="C84" s="1"/>
      <c r="D84" s="1"/>
      <c r="E84" s="2"/>
      <c r="F84" s="26">
        <f t="shared" si="30"/>
        <v>78</v>
      </c>
      <c r="G84" s="27">
        <f t="shared" ca="1" si="23"/>
        <v>47703</v>
      </c>
      <c r="H84" s="24">
        <f t="shared" ca="1" si="32"/>
        <v>0</v>
      </c>
      <c r="I84" s="24">
        <f t="shared" ca="1" si="26"/>
        <v>0</v>
      </c>
      <c r="J84" s="24">
        <f t="shared" si="27"/>
        <v>0</v>
      </c>
      <c r="K84" s="24">
        <f t="shared" ca="1" si="28"/>
        <v>0</v>
      </c>
      <c r="L84" s="24">
        <f t="shared" ca="1" si="10"/>
        <v>0</v>
      </c>
      <c r="M84" s="24">
        <f t="shared" ca="1" si="7"/>
        <v>0</v>
      </c>
      <c r="N84" s="24">
        <f t="shared" ca="1" si="33"/>
        <v>0</v>
      </c>
      <c r="O84" s="24">
        <f t="shared" ca="1" si="24"/>
        <v>0</v>
      </c>
      <c r="P84" s="24">
        <f t="shared" ca="1" si="29"/>
        <v>0</v>
      </c>
      <c r="Q84" s="36">
        <f t="shared" si="31"/>
        <v>0</v>
      </c>
      <c r="R84" s="36">
        <f t="shared" ca="1" si="25"/>
        <v>0</v>
      </c>
      <c r="S84" s="2">
        <f t="shared" ca="1" si="21"/>
        <v>0</v>
      </c>
      <c r="T84" s="34">
        <f t="shared" ca="1" si="22"/>
        <v>9635</v>
      </c>
      <c r="U84" s="57">
        <f t="shared" ca="1" si="15"/>
        <v>62850</v>
      </c>
    </row>
    <row r="85" spans="1:40" s="16" customFormat="1" ht="12" x14ac:dyDescent="0.25">
      <c r="A85" s="2"/>
      <c r="B85" s="2"/>
      <c r="C85" s="1"/>
      <c r="D85" s="1"/>
      <c r="E85" s="2"/>
      <c r="F85" s="26">
        <f t="shared" si="30"/>
        <v>79</v>
      </c>
      <c r="G85" s="27">
        <f t="shared" ca="1" si="23"/>
        <v>47734</v>
      </c>
      <c r="H85" s="24">
        <f ca="1">IF(Q85=1,K85+I85+J85,IF(P84+K85+I85&gt;H84,$D$15,IF(P84=0,0,P84+K85+I85+I86)))</f>
        <v>0</v>
      </c>
      <c r="I85" s="24">
        <f t="shared" ca="1" si="26"/>
        <v>0</v>
      </c>
      <c r="J85" s="24">
        <f ca="1">IF(OR(P84=0),0,IF(P84+K85+I85&gt;H84,H85-I85-K85,P84))</f>
        <v>0</v>
      </c>
      <c r="K85" s="24">
        <f t="shared" ca="1" si="28"/>
        <v>0</v>
      </c>
      <c r="L85" s="24">
        <f t="shared" ca="1" si="10"/>
        <v>0</v>
      </c>
      <c r="M85" s="24">
        <f t="shared" ca="1" si="7"/>
        <v>0</v>
      </c>
      <c r="N85" s="24">
        <f t="shared" ca="1" si="33"/>
        <v>0</v>
      </c>
      <c r="O85" s="24">
        <f t="shared" ca="1" si="24"/>
        <v>0</v>
      </c>
      <c r="P85" s="24">
        <f ca="1">IF(OR(Q85=1,P84=0),0,P84-J85)</f>
        <v>0</v>
      </c>
      <c r="Q85" s="36">
        <f t="shared" si="31"/>
        <v>0</v>
      </c>
      <c r="R85" s="36">
        <f t="shared" ca="1" si="25"/>
        <v>0</v>
      </c>
      <c r="S85" s="2">
        <f t="shared" ca="1" si="21"/>
        <v>0</v>
      </c>
      <c r="T85" s="34">
        <f t="shared" ca="1" si="22"/>
        <v>9635</v>
      </c>
      <c r="U85" s="57">
        <f t="shared" ca="1" si="15"/>
        <v>63215</v>
      </c>
    </row>
    <row r="86" spans="1:40" s="16" customFormat="1" ht="12" x14ac:dyDescent="0.25">
      <c r="A86" s="2"/>
      <c r="B86" s="2"/>
      <c r="C86" s="1"/>
      <c r="D86" s="1"/>
      <c r="E86" s="2"/>
      <c r="F86" s="28"/>
      <c r="G86" s="29" t="s">
        <v>7</v>
      </c>
      <c r="H86" s="30">
        <f ca="1">(SUM(H7:H85)-IF(CODE(C10)=209,AE40,0))</f>
        <v>577590.14</v>
      </c>
      <c r="I86" s="31">
        <f ca="1">SUM(I7:I85)</f>
        <v>143590.13999999996</v>
      </c>
      <c r="J86" s="30">
        <f ca="1">SUM(J7:J85)</f>
        <v>434000</v>
      </c>
      <c r="K86" s="31">
        <f ca="1">SUM(K7:K85)</f>
        <v>0</v>
      </c>
      <c r="L86" s="31"/>
      <c r="M86" s="31"/>
      <c r="N86" s="31"/>
      <c r="O86" s="31"/>
      <c r="P86" s="31"/>
      <c r="Q86" s="31"/>
      <c r="R86" s="51"/>
      <c r="S86" s="2">
        <f t="shared" ca="1" si="21"/>
        <v>0</v>
      </c>
      <c r="T86" s="34">
        <f t="shared" ca="1" si="22"/>
        <v>9635</v>
      </c>
      <c r="U86" s="57">
        <f t="shared" ca="1" si="15"/>
        <v>63580</v>
      </c>
    </row>
    <row r="87" spans="1:40" s="16" customFormat="1" ht="12" x14ac:dyDescent="0.25">
      <c r="A87" s="2"/>
      <c r="B87" s="2"/>
      <c r="C87" s="1"/>
      <c r="D87" s="1"/>
      <c r="E87" s="2"/>
      <c r="F87" s="32"/>
      <c r="H87" s="2"/>
      <c r="J87" s="1"/>
      <c r="K87" s="33"/>
      <c r="L87" s="33"/>
      <c r="M87" s="33"/>
      <c r="N87" s="33"/>
      <c r="O87" s="33"/>
      <c r="P87" s="33"/>
      <c r="Q87" s="33"/>
      <c r="R87" s="52"/>
      <c r="S87" s="2">
        <f t="shared" ca="1" si="21"/>
        <v>0</v>
      </c>
      <c r="T87" s="34">
        <f t="shared" ca="1" si="22"/>
        <v>9635</v>
      </c>
      <c r="U87" s="57">
        <f t="shared" ca="1" si="15"/>
        <v>63945</v>
      </c>
    </row>
    <row r="88" spans="1:40" s="16" customFormat="1" x14ac:dyDescent="0.25">
      <c r="A88" s="2"/>
      <c r="B88" s="2"/>
      <c r="C88" s="1"/>
      <c r="D88" s="1"/>
      <c r="E88" s="1"/>
      <c r="F88" s="1"/>
      <c r="G88" s="53"/>
      <c r="H88" s="1"/>
      <c r="I88" s="54"/>
      <c r="J88" s="1"/>
      <c r="K88" s="3"/>
      <c r="L88" s="3"/>
      <c r="M88" s="3"/>
      <c r="N88" s="3"/>
      <c r="O88" s="3"/>
      <c r="P88" s="2"/>
      <c r="Q88" s="2"/>
      <c r="R88" s="44"/>
      <c r="S88" s="2">
        <f t="shared" ca="1" si="21"/>
        <v>0</v>
      </c>
      <c r="T88" s="34">
        <f t="shared" ca="1" si="22"/>
        <v>9635</v>
      </c>
      <c r="U88" s="57">
        <f t="shared" ca="1" si="15"/>
        <v>64310</v>
      </c>
    </row>
    <row r="89" spans="1:40" s="16" customFormat="1" ht="12" x14ac:dyDescent="0.25">
      <c r="A89" s="2"/>
      <c r="B89" s="2"/>
      <c r="C89" s="1"/>
      <c r="D89" s="1"/>
      <c r="E89" s="1"/>
      <c r="F89" s="1"/>
      <c r="G89" s="1"/>
      <c r="H89" s="1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2">
        <f t="shared" ca="1" si="21"/>
        <v>0</v>
      </c>
      <c r="T89" s="34">
        <f t="shared" ca="1" si="22"/>
        <v>9635</v>
      </c>
      <c r="U89" s="57">
        <f t="shared" ca="1" si="15"/>
        <v>64675</v>
      </c>
    </row>
    <row r="90" spans="1:40" s="16" customFormat="1" x14ac:dyDescent="0.25">
      <c r="A90" s="2"/>
      <c r="B90" s="2"/>
      <c r="C90" s="1"/>
      <c r="D90" s="1"/>
      <c r="E90" s="1"/>
      <c r="F90" s="1"/>
      <c r="G90" s="1"/>
      <c r="H90" s="1"/>
      <c r="I90" s="2"/>
      <c r="J90" s="1"/>
      <c r="K90" s="3"/>
      <c r="L90" s="3"/>
      <c r="M90" s="3"/>
      <c r="N90" s="3"/>
      <c r="O90" s="3"/>
      <c r="P90" s="2"/>
      <c r="Q90" s="2"/>
      <c r="R90" s="44"/>
      <c r="S90" s="2">
        <f t="shared" ca="1" si="21"/>
        <v>0</v>
      </c>
      <c r="T90" s="34">
        <f t="shared" ca="1" si="22"/>
        <v>9635</v>
      </c>
      <c r="U90" s="57">
        <f t="shared" ca="1" si="15"/>
        <v>65040</v>
      </c>
    </row>
    <row r="91" spans="1:40" s="16" customFormat="1" x14ac:dyDescent="0.25">
      <c r="A91" s="2"/>
      <c r="B91" s="2"/>
      <c r="C91" s="1"/>
      <c r="D91" s="1"/>
      <c r="E91" s="1"/>
      <c r="F91" s="1"/>
      <c r="G91" s="1"/>
      <c r="H91" s="1"/>
      <c r="I91" s="2"/>
      <c r="J91" s="1"/>
      <c r="K91" s="3"/>
      <c r="L91" s="3"/>
      <c r="M91" s="3"/>
      <c r="N91" s="3"/>
      <c r="O91" s="3"/>
      <c r="P91" s="2"/>
      <c r="Q91" s="2"/>
      <c r="R91" s="44"/>
      <c r="S91" s="2">
        <f t="shared" ca="1" si="21"/>
        <v>0</v>
      </c>
      <c r="T91" s="34">
        <f t="shared" ca="1" si="22"/>
        <v>9635</v>
      </c>
      <c r="U91" s="57">
        <f t="shared" ca="1" si="15"/>
        <v>65405</v>
      </c>
    </row>
    <row r="92" spans="1:40" s="16" customFormat="1" x14ac:dyDescent="0.25">
      <c r="A92" s="2"/>
      <c r="B92" s="2"/>
      <c r="C92" s="1"/>
      <c r="D92" s="1"/>
      <c r="E92" s="1"/>
      <c r="F92" s="1"/>
      <c r="G92" s="1"/>
      <c r="H92" s="1"/>
      <c r="I92" s="2"/>
      <c r="J92" s="1"/>
      <c r="K92" s="3"/>
      <c r="L92" s="3"/>
      <c r="M92" s="3"/>
      <c r="N92" s="3"/>
      <c r="O92" s="3"/>
      <c r="P92" s="2"/>
      <c r="Q92" s="2"/>
      <c r="R92" s="44"/>
      <c r="S92" s="2">
        <f t="shared" ca="1" si="21"/>
        <v>0</v>
      </c>
      <c r="T92" s="34">
        <f t="shared" ca="1" si="22"/>
        <v>9635</v>
      </c>
      <c r="U92" s="57">
        <f t="shared" ca="1" si="15"/>
        <v>65770</v>
      </c>
    </row>
    <row r="93" spans="1:40" s="16" customFormat="1" x14ac:dyDescent="0.25">
      <c r="A93" s="2"/>
      <c r="B93" s="2"/>
      <c r="C93" s="1"/>
      <c r="D93" s="1"/>
      <c r="E93" s="1"/>
      <c r="F93" s="1"/>
      <c r="G93" s="1"/>
      <c r="H93" s="1"/>
      <c r="I93" s="2"/>
      <c r="J93" s="1"/>
      <c r="K93" s="3"/>
      <c r="L93" s="3"/>
      <c r="M93" s="3"/>
      <c r="N93" s="3"/>
      <c r="O93" s="3"/>
      <c r="P93" s="2"/>
      <c r="Q93" s="2"/>
      <c r="R93" s="44"/>
      <c r="S93" s="2">
        <f t="shared" ca="1" si="21"/>
        <v>0</v>
      </c>
      <c r="T93" s="34">
        <f t="shared" ca="1" si="22"/>
        <v>9635</v>
      </c>
      <c r="U93" s="57">
        <f t="shared" ca="1" si="15"/>
        <v>66135</v>
      </c>
    </row>
    <row r="94" spans="1:40" x14ac:dyDescent="0.25">
      <c r="S94" s="2">
        <f t="shared" ca="1" si="21"/>
        <v>0</v>
      </c>
      <c r="T94" s="34">
        <f t="shared" ca="1" si="22"/>
        <v>9635</v>
      </c>
      <c r="U94" s="57">
        <f t="shared" ca="1" si="15"/>
        <v>66500</v>
      </c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</row>
    <row r="95" spans="1:40" x14ac:dyDescent="0.25">
      <c r="S95" s="2">
        <f t="shared" ca="1" si="21"/>
        <v>0</v>
      </c>
      <c r="T95" s="34">
        <f t="shared" ca="1" si="22"/>
        <v>9635</v>
      </c>
      <c r="U95" s="57">
        <f t="shared" ca="1" si="15"/>
        <v>66865</v>
      </c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</row>
    <row r="96" spans="1:40" x14ac:dyDescent="0.25">
      <c r="S96" s="2">
        <f t="shared" ca="1" si="21"/>
        <v>0</v>
      </c>
      <c r="T96" s="34">
        <f t="shared" ca="1" si="22"/>
        <v>9125.139999999963</v>
      </c>
      <c r="U96" s="57">
        <f t="shared" ca="1" si="15"/>
        <v>67230</v>
      </c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</row>
    <row r="97" spans="19:40" x14ac:dyDescent="0.25">
      <c r="S97" s="2">
        <f t="shared" ca="1" si="21"/>
        <v>0</v>
      </c>
      <c r="T97" s="34">
        <f t="shared" ca="1" si="22"/>
        <v>0</v>
      </c>
      <c r="U97" s="57">
        <f t="shared" ca="1" si="15"/>
        <v>67595</v>
      </c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</row>
    <row r="98" spans="19:40" x14ac:dyDescent="0.25">
      <c r="S98" s="2">
        <f t="shared" ca="1" si="21"/>
        <v>0</v>
      </c>
      <c r="T98" s="34">
        <f t="shared" ca="1" si="22"/>
        <v>0</v>
      </c>
      <c r="U98" s="57">
        <f t="shared" ca="1" si="15"/>
        <v>67960</v>
      </c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</row>
    <row r="99" spans="19:40" x14ac:dyDescent="0.25">
      <c r="S99" s="2">
        <f t="shared" ca="1" si="21"/>
        <v>0</v>
      </c>
      <c r="T99" s="34">
        <f t="shared" ca="1" si="22"/>
        <v>0</v>
      </c>
      <c r="U99" s="57">
        <f t="shared" ca="1" si="15"/>
        <v>68325</v>
      </c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</row>
    <row r="100" spans="19:40" x14ac:dyDescent="0.25">
      <c r="S100" s="2">
        <f t="shared" ca="1" si="21"/>
        <v>0</v>
      </c>
      <c r="T100" s="34">
        <f t="shared" ca="1" si="22"/>
        <v>0</v>
      </c>
      <c r="U100" s="57">
        <f t="shared" ca="1" si="15"/>
        <v>68690</v>
      </c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</row>
    <row r="101" spans="19:40" x14ac:dyDescent="0.25">
      <c r="S101" s="2">
        <f t="shared" ref="S101:S115" ca="1" si="34">IF($C$7&gt;$AB$40,ROUND(P70*$C$23/(DATEVALUE(CONCATENATE("01/01/",YEAR(G71)+1))-DATEVALUE(CONCATENATE("01/01/",YEAR(G71))))*(G71-G70),2),0)</f>
        <v>0</v>
      </c>
      <c r="T101" s="34">
        <f t="shared" ref="T101:T105" ca="1" si="35">I71+J71+K71-O71</f>
        <v>0</v>
      </c>
      <c r="U101" s="57">
        <f t="shared" ca="1" si="15"/>
        <v>69055</v>
      </c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</row>
    <row r="102" spans="19:40" x14ac:dyDescent="0.25">
      <c r="S102" s="2">
        <f t="shared" ca="1" si="34"/>
        <v>0</v>
      </c>
      <c r="T102" s="34">
        <f t="shared" ca="1" si="35"/>
        <v>0</v>
      </c>
      <c r="U102" s="57">
        <f t="shared" ref="U102:U115" ca="1" si="36">U101+365</f>
        <v>69420</v>
      </c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</row>
    <row r="103" spans="19:40" x14ac:dyDescent="0.25">
      <c r="S103" s="2">
        <f t="shared" ca="1" si="34"/>
        <v>0</v>
      </c>
      <c r="T103" s="34">
        <f t="shared" ca="1" si="35"/>
        <v>0</v>
      </c>
      <c r="U103" s="57">
        <f t="shared" ca="1" si="36"/>
        <v>69785</v>
      </c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</row>
    <row r="104" spans="19:40" x14ac:dyDescent="0.25">
      <c r="S104" s="2">
        <f t="shared" ca="1" si="34"/>
        <v>0</v>
      </c>
      <c r="T104" s="34">
        <f t="shared" ca="1" si="35"/>
        <v>0</v>
      </c>
      <c r="U104" s="57">
        <f t="shared" ca="1" si="36"/>
        <v>70150</v>
      </c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</row>
    <row r="105" spans="19:40" x14ac:dyDescent="0.25">
      <c r="S105" s="2">
        <f t="shared" ca="1" si="34"/>
        <v>0</v>
      </c>
      <c r="T105" s="34">
        <f t="shared" ca="1" si="35"/>
        <v>0</v>
      </c>
      <c r="U105" s="57">
        <f t="shared" ca="1" si="36"/>
        <v>70515</v>
      </c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</row>
    <row r="106" spans="19:40" x14ac:dyDescent="0.25">
      <c r="S106" s="2">
        <f t="shared" ca="1" si="34"/>
        <v>0</v>
      </c>
      <c r="T106" s="34">
        <f t="shared" ref="T106:T115" ca="1" si="37">I76+J76+K76-O76</f>
        <v>0</v>
      </c>
      <c r="U106" s="57">
        <f t="shared" ca="1" si="36"/>
        <v>70880</v>
      </c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</row>
    <row r="107" spans="19:40" x14ac:dyDescent="0.25">
      <c r="S107" s="2">
        <f t="shared" ca="1" si="34"/>
        <v>0</v>
      </c>
      <c r="T107" s="34">
        <f t="shared" ca="1" si="37"/>
        <v>0</v>
      </c>
      <c r="U107" s="57">
        <f ca="1">U76+365</f>
        <v>60295</v>
      </c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</row>
    <row r="108" spans="19:40" x14ac:dyDescent="0.25">
      <c r="S108" s="2">
        <f t="shared" ca="1" si="34"/>
        <v>0</v>
      </c>
      <c r="T108" s="34">
        <f t="shared" ca="1" si="37"/>
        <v>0</v>
      </c>
      <c r="U108" s="57">
        <f t="shared" ca="1" si="36"/>
        <v>60660</v>
      </c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</row>
    <row r="109" spans="19:40" x14ac:dyDescent="0.25">
      <c r="S109" s="2">
        <f t="shared" ca="1" si="34"/>
        <v>0</v>
      </c>
      <c r="T109" s="34">
        <f t="shared" ca="1" si="37"/>
        <v>0</v>
      </c>
      <c r="U109" s="57">
        <f t="shared" ca="1" si="36"/>
        <v>61025</v>
      </c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</row>
    <row r="110" spans="19:40" x14ac:dyDescent="0.25">
      <c r="S110" s="2">
        <f t="shared" ca="1" si="34"/>
        <v>0</v>
      </c>
      <c r="T110" s="34">
        <f t="shared" ca="1" si="37"/>
        <v>0</v>
      </c>
      <c r="U110" s="57">
        <f t="shared" ca="1" si="36"/>
        <v>61390</v>
      </c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</row>
    <row r="111" spans="19:40" x14ac:dyDescent="0.25">
      <c r="S111" s="2">
        <f t="shared" ca="1" si="34"/>
        <v>0</v>
      </c>
      <c r="T111" s="34">
        <f t="shared" ca="1" si="37"/>
        <v>0</v>
      </c>
      <c r="U111" s="57">
        <f t="shared" ca="1" si="36"/>
        <v>61755</v>
      </c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</row>
    <row r="112" spans="19:40" x14ac:dyDescent="0.25">
      <c r="S112" s="2">
        <f t="shared" ca="1" si="34"/>
        <v>0</v>
      </c>
      <c r="T112" s="34">
        <f t="shared" ca="1" si="37"/>
        <v>0</v>
      </c>
      <c r="U112" s="57">
        <f t="shared" ca="1" si="36"/>
        <v>62120</v>
      </c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</row>
    <row r="113" spans="19:34" x14ac:dyDescent="0.25">
      <c r="S113" s="2">
        <f t="shared" ca="1" si="34"/>
        <v>0</v>
      </c>
      <c r="T113" s="34">
        <f t="shared" ca="1" si="37"/>
        <v>0</v>
      </c>
      <c r="U113" s="57">
        <f t="shared" ca="1" si="36"/>
        <v>62485</v>
      </c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</row>
    <row r="114" spans="19:34" x14ac:dyDescent="0.25">
      <c r="S114" s="2">
        <f t="shared" ca="1" si="34"/>
        <v>0</v>
      </c>
      <c r="T114" s="34">
        <f t="shared" ca="1" si="37"/>
        <v>0</v>
      </c>
      <c r="U114" s="57">
        <f t="shared" ca="1" si="36"/>
        <v>62850</v>
      </c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</row>
    <row r="115" spans="19:34" x14ac:dyDescent="0.25">
      <c r="S115" s="2">
        <f t="shared" ca="1" si="34"/>
        <v>0</v>
      </c>
      <c r="T115" s="34">
        <f t="shared" ca="1" si="37"/>
        <v>0</v>
      </c>
      <c r="U115" s="57">
        <f t="shared" ca="1" si="36"/>
        <v>63215</v>
      </c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</row>
    <row r="116" spans="19:34" x14ac:dyDescent="0.25">
      <c r="S116" s="35">
        <f ca="1">SUM(S37:S115)</f>
        <v>0</v>
      </c>
      <c r="T116" s="35">
        <f ca="1">SUM(T37:T115)</f>
        <v>577590.14</v>
      </c>
      <c r="U116" s="60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</row>
    <row r="117" spans="19:34" x14ac:dyDescent="0.25">
      <c r="U117" s="16"/>
      <c r="V117" s="16"/>
      <c r="W117" s="16"/>
      <c r="X117" s="16"/>
      <c r="Y117" s="16"/>
      <c r="Z117" s="16"/>
      <c r="AA117" s="33"/>
      <c r="AB117" s="33"/>
      <c r="AC117" s="33"/>
      <c r="AD117" s="33"/>
      <c r="AE117" s="16"/>
      <c r="AF117" s="16"/>
      <c r="AG117" s="60"/>
      <c r="AH117" s="16"/>
    </row>
  </sheetData>
  <mergeCells count="31">
    <mergeCell ref="A6:B6"/>
    <mergeCell ref="C6:D6"/>
    <mergeCell ref="A1:D2"/>
    <mergeCell ref="A3:D4"/>
    <mergeCell ref="F3:Q4"/>
    <mergeCell ref="A5:B5"/>
    <mergeCell ref="C5:D5"/>
    <mergeCell ref="A7:B7"/>
    <mergeCell ref="C7:D7"/>
    <mergeCell ref="A8:B8"/>
    <mergeCell ref="C8:D8"/>
    <mergeCell ref="A9:B9"/>
    <mergeCell ref="C9:D9"/>
    <mergeCell ref="A17:B17"/>
    <mergeCell ref="A10:B10"/>
    <mergeCell ref="C10:D10"/>
    <mergeCell ref="A11:B11"/>
    <mergeCell ref="C11:D11"/>
    <mergeCell ref="A12:B12"/>
    <mergeCell ref="A13:B13"/>
    <mergeCell ref="C13:D13"/>
    <mergeCell ref="A14:B14"/>
    <mergeCell ref="A15:B15"/>
    <mergeCell ref="A16:B16"/>
    <mergeCell ref="A24:B24"/>
    <mergeCell ref="A18:B18"/>
    <mergeCell ref="A19:B19"/>
    <mergeCell ref="A20:B20"/>
    <mergeCell ref="A21:B21"/>
    <mergeCell ref="A22:B22"/>
    <mergeCell ref="A23:B23"/>
  </mergeCells>
  <dataValidations count="4">
    <dataValidation type="list" allowBlank="1" showInputMessage="1" showErrorMessage="1" sqref="C10:D10" xr:uid="{00000000-0002-0000-0000-000000000000}">
      <formula1>$S$3:$AN$3</formula1>
    </dataValidation>
    <dataValidation type="list" allowBlank="1" showInputMessage="1" showErrorMessage="1" sqref="C6:D6" xr:uid="{00000000-0002-0000-0000-000001000000}">
      <formula1>$V$48:$AB$48</formula1>
    </dataValidation>
    <dataValidation type="list" allowBlank="1" showInputMessage="1" showErrorMessage="1" sqref="C11:D11" xr:uid="{00000000-0002-0000-0000-000002000000}">
      <formula1>$Y$19:$Z$19</formula1>
    </dataValidation>
    <dataValidation type="list" allowBlank="1" showInputMessage="1" showErrorMessage="1" sqref="C16" xr:uid="{00000000-0002-0000-0000-000003000000}">
      <formula1>IF($C$10=$S$3,$S$4:$S$15,IF($C$10=$T$3,$T$4:$T$9,IF($C$10=$U$3,$U$4:$U$6,IF($C$10=$V$3,$V$4:$V$6,IF($C$10=$W$3,$W$4:$W$6,IF($C$10=$Y$3,$Y$4:$Y$6,IF($C$10=$Z$3,$Z$4:$Z$6,$AO$1)))))))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TK185"/>
  <sheetViews>
    <sheetView topLeftCell="C1" workbookViewId="0">
      <selection activeCell="U7" sqref="U7"/>
    </sheetView>
  </sheetViews>
  <sheetFormatPr defaultColWidth="8.88671875" defaultRowHeight="13.2" x14ac:dyDescent="0.25"/>
  <cols>
    <col min="1" max="1" width="24.6640625" style="2" customWidth="1"/>
    <col min="2" max="2" width="46.109375" style="2" bestFit="1" customWidth="1"/>
    <col min="3" max="3" width="36.5546875" style="1" bestFit="1" customWidth="1"/>
    <col min="4" max="4" width="31.44140625" style="1" customWidth="1"/>
    <col min="5" max="5" width="7.109375" style="1" customWidth="1"/>
    <col min="6" max="6" width="10.6640625" style="1" customWidth="1"/>
    <col min="7" max="7" width="15.5546875" style="1" customWidth="1"/>
    <col min="8" max="8" width="15.5546875" style="2" customWidth="1"/>
    <col min="9" max="10" width="15.5546875" style="2" hidden="1" customWidth="1"/>
    <col min="11" max="11" width="15.5546875" style="1" customWidth="1"/>
    <col min="12" max="16" width="15" style="3" hidden="1" customWidth="1"/>
    <col min="17" max="17" width="14" style="2" customWidth="1"/>
    <col min="18" max="18" width="11.109375" style="2" customWidth="1"/>
    <col min="19" max="19" width="11.44140625" style="44" customWidth="1"/>
    <col min="20" max="20" width="14.88671875" style="2" customWidth="1"/>
    <col min="21" max="21" width="18.33203125" style="2" customWidth="1"/>
    <col min="22" max="22" width="13.109375" style="2" customWidth="1"/>
    <col min="23" max="23" width="20" style="2" customWidth="1"/>
    <col min="24" max="24" width="19.88671875" style="2" customWidth="1"/>
    <col min="25" max="25" width="17.5546875" style="2" customWidth="1"/>
    <col min="26" max="26" width="33.88671875" style="2" customWidth="1"/>
    <col min="27" max="27" width="19" style="2" customWidth="1"/>
    <col min="28" max="30" width="22.5546875" style="3" customWidth="1"/>
    <col min="31" max="31" width="20.5546875" style="3" customWidth="1"/>
    <col min="32" max="32" width="21" style="2" customWidth="1"/>
    <col min="33" max="33" width="20.6640625" style="2" customWidth="1"/>
    <col min="34" max="34" width="14.44140625" style="57" customWidth="1"/>
    <col min="35" max="37" width="14.44140625" style="2" customWidth="1"/>
    <col min="38" max="38" width="14.44140625" style="2" hidden="1" customWidth="1"/>
    <col min="39" max="39" width="6.33203125" style="2" hidden="1" customWidth="1"/>
    <col min="40" max="40" width="11.5546875" style="2" hidden="1" customWidth="1"/>
    <col min="41" max="41" width="14.44140625" style="2" hidden="1" customWidth="1"/>
    <col min="42" max="42" width="13.109375" style="2" hidden="1" customWidth="1"/>
    <col min="43" max="43" width="13.88671875" style="2" hidden="1" customWidth="1"/>
    <col min="44" max="44" width="12" style="2" hidden="1" customWidth="1"/>
    <col min="45" max="46" width="13.6640625" style="2" hidden="1" customWidth="1"/>
    <col min="47" max="48" width="8.88671875" style="2" hidden="1" customWidth="1"/>
    <col min="49" max="49" width="14" style="2" hidden="1" customWidth="1"/>
    <col min="50" max="51" width="8.88671875" style="2" hidden="1" customWidth="1"/>
    <col min="52" max="52" width="9.88671875" style="1" hidden="1" customWidth="1"/>
    <col min="53" max="53" width="11.44140625" style="2" hidden="1" customWidth="1"/>
    <col min="54" max="54" width="10.33203125" style="2" hidden="1" customWidth="1"/>
    <col min="55" max="55" width="12.44140625" style="2" hidden="1" customWidth="1"/>
    <col min="56" max="56" width="24.109375" style="2" hidden="1" customWidth="1"/>
    <col min="57" max="57" width="34.33203125" style="2" hidden="1" customWidth="1"/>
    <col min="58" max="58" width="41.5546875" style="2" hidden="1" customWidth="1"/>
    <col min="59" max="59" width="4.5546875" style="2" hidden="1" customWidth="1"/>
    <col min="60" max="60" width="18" style="2" hidden="1" customWidth="1"/>
    <col min="61" max="61" width="11.33203125" style="2" hidden="1" customWidth="1"/>
    <col min="62" max="62" width="7.88671875" style="2" hidden="1" customWidth="1"/>
    <col min="63" max="63" width="8.88671875" style="2" hidden="1" customWidth="1"/>
    <col min="64" max="64" width="11.33203125" style="2" hidden="1" customWidth="1"/>
    <col min="65" max="67" width="8.88671875" style="2" hidden="1" customWidth="1"/>
    <col min="68" max="16384" width="8.88671875" style="2"/>
  </cols>
  <sheetData>
    <row r="1" spans="1:67" ht="12.75" customHeight="1" x14ac:dyDescent="0.2">
      <c r="A1" s="933" t="s">
        <v>41</v>
      </c>
      <c r="B1" s="933"/>
      <c r="C1" s="933"/>
      <c r="D1" s="933"/>
      <c r="E1" s="2"/>
      <c r="F1" s="2"/>
      <c r="G1" s="2"/>
      <c r="K1" s="2"/>
      <c r="L1" s="2"/>
      <c r="M1" s="2"/>
      <c r="N1" s="2"/>
      <c r="O1" s="2"/>
      <c r="P1" s="2"/>
      <c r="S1" s="2"/>
      <c r="AB1" s="2"/>
      <c r="AC1" s="2"/>
      <c r="AD1" s="2"/>
      <c r="AE1" s="2"/>
      <c r="AH1" s="62" t="s">
        <v>52</v>
      </c>
      <c r="AI1" s="86" t="str">
        <f>IF($C$18=$AD$3,$AD$4,IF($C$18=$AE$3,$AE$4,IF($C$18=$AF$3,$AF$4,IF($C$18=$AG$3,$AG$4,IF($C$18=$AH$3,$AH$4,IF($C$18=$AI$3,$AI$4,""))))))</f>
        <v/>
      </c>
      <c r="AK1" s="65"/>
      <c r="AZ1" s="2"/>
    </row>
    <row r="2" spans="1:67" ht="16.5" customHeight="1" x14ac:dyDescent="0.2">
      <c r="A2" s="933"/>
      <c r="B2" s="933"/>
      <c r="C2" s="933"/>
      <c r="D2" s="933"/>
      <c r="E2" s="2"/>
      <c r="F2" s="607">
        <f>AB81</f>
        <v>300000</v>
      </c>
      <c r="G2" s="607">
        <f>AD81</f>
        <v>300000</v>
      </c>
      <c r="H2" s="57">
        <f>DATE(YEAR($F$8),MONTH($F$8),1)</f>
        <v>45292</v>
      </c>
      <c r="I2" s="57"/>
      <c r="J2" s="57"/>
      <c r="K2" s="2"/>
      <c r="L2" s="2"/>
      <c r="M2" s="2"/>
      <c r="N2" s="2"/>
      <c r="O2" s="2"/>
      <c r="P2" s="2"/>
      <c r="S2" s="2"/>
      <c r="T2" s="742"/>
      <c r="U2" s="742"/>
      <c r="AB2" s="2"/>
      <c r="AC2" s="2"/>
      <c r="AD2" s="2"/>
      <c r="AE2" s="2"/>
      <c r="AZ2" s="2"/>
    </row>
    <row r="3" spans="1:67" ht="17.25" customHeight="1" x14ac:dyDescent="0.3">
      <c r="A3" s="934" t="s">
        <v>412</v>
      </c>
      <c r="B3" s="934"/>
      <c r="C3" s="934"/>
      <c r="D3" s="934"/>
      <c r="E3" s="928" t="str">
        <f>"График платежей - Максимум + ГС "</f>
        <v xml:space="preserve">График платежей - Максимум + ГС </v>
      </c>
      <c r="F3" s="928"/>
      <c r="G3" s="928"/>
      <c r="H3" s="928"/>
      <c r="I3" s="928"/>
      <c r="J3" s="928"/>
      <c r="K3" s="928"/>
      <c r="L3" s="928"/>
      <c r="M3" s="928"/>
      <c r="N3" s="928"/>
      <c r="O3" s="928"/>
      <c r="P3" s="928"/>
      <c r="Q3" s="928"/>
      <c r="R3" s="928"/>
      <c r="S3" s="146"/>
      <c r="T3" s="63" t="s">
        <v>33</v>
      </c>
      <c r="U3" s="63" t="s">
        <v>484</v>
      </c>
      <c r="V3" s="63" t="s">
        <v>485</v>
      </c>
      <c r="W3" s="63" t="s">
        <v>73</v>
      </c>
      <c r="X3" s="63" t="s">
        <v>74</v>
      </c>
      <c r="Y3" s="63" t="s">
        <v>129</v>
      </c>
      <c r="Z3" s="63" t="s">
        <v>71</v>
      </c>
      <c r="AA3" s="63"/>
      <c r="AB3" s="63"/>
      <c r="AC3" s="743"/>
      <c r="AD3" s="87"/>
      <c r="AE3" s="87"/>
      <c r="AF3" s="87"/>
      <c r="AG3" s="87"/>
      <c r="AH3" s="87"/>
      <c r="AI3" s="87"/>
      <c r="AJ3" s="63"/>
      <c r="AK3" s="63"/>
      <c r="AL3" s="63"/>
      <c r="AM3" s="902" t="str">
        <f>"График платежей - Оптимум"</f>
        <v>График платежей - Оптимум</v>
      </c>
      <c r="AN3" s="902"/>
      <c r="AO3" s="902"/>
      <c r="AP3" s="902"/>
      <c r="AQ3" s="902"/>
      <c r="AR3" s="902"/>
      <c r="AS3" s="902"/>
      <c r="AT3" s="902"/>
      <c r="AU3" s="902"/>
      <c r="AV3" s="902"/>
      <c r="AW3" s="902"/>
      <c r="AX3" s="902"/>
      <c r="AY3" s="102"/>
      <c r="AZ3" s="102"/>
      <c r="BA3" s="102"/>
      <c r="BD3" s="826" t="s">
        <v>94</v>
      </c>
      <c r="BE3" s="826"/>
      <c r="BF3" s="826"/>
      <c r="BG3" s="826"/>
      <c r="BH3" s="826"/>
      <c r="BI3" s="826"/>
      <c r="BJ3" s="826"/>
    </row>
    <row r="4" spans="1:67" ht="13.5" customHeight="1" x14ac:dyDescent="0.2">
      <c r="A4" s="311"/>
      <c r="B4" s="311"/>
      <c r="C4" s="311"/>
      <c r="D4" s="311"/>
      <c r="E4" s="928"/>
      <c r="F4" s="928"/>
      <c r="G4" s="928"/>
      <c r="H4" s="928"/>
      <c r="I4" s="928"/>
      <c r="J4" s="928"/>
      <c r="K4" s="928"/>
      <c r="L4" s="928"/>
      <c r="M4" s="928"/>
      <c r="N4" s="928"/>
      <c r="O4" s="928"/>
      <c r="P4" s="928"/>
      <c r="Q4" s="928"/>
      <c r="R4" s="928"/>
      <c r="S4" s="146"/>
      <c r="T4" s="147">
        <v>0.08</v>
      </c>
      <c r="U4" s="147">
        <v>9.9000000000000005E-2</v>
      </c>
      <c r="V4" s="147">
        <v>9.9000000000000005E-2</v>
      </c>
      <c r="W4" s="147">
        <v>9.9000000000000005E-2</v>
      </c>
      <c r="X4" s="147">
        <v>9.9000000000000005E-2</v>
      </c>
      <c r="Y4" s="147"/>
      <c r="Z4" s="63" t="s">
        <v>72</v>
      </c>
      <c r="AA4" s="147">
        <f>IF(OR(C$8="Гарантия стандарт",C$8="Гарантия пакет"),$Y$4,$T$4)</f>
        <v>0.08</v>
      </c>
      <c r="AB4" s="147">
        <f t="shared" ref="AB4:AB12" si="0">IF(OR($D$8="Гарантия стандарт",$D$8="Гарантия пакет"),Y4,T4)</f>
        <v>0.08</v>
      </c>
      <c r="AC4" s="744"/>
      <c r="AD4" s="148"/>
      <c r="AE4" s="148"/>
      <c r="AF4" s="148"/>
      <c r="AG4" s="148"/>
      <c r="AH4" s="148"/>
      <c r="AI4" s="148"/>
      <c r="AJ4" s="147"/>
      <c r="AK4" s="147"/>
      <c r="AL4" s="147"/>
      <c r="AM4" s="902"/>
      <c r="AN4" s="902"/>
      <c r="AO4" s="902"/>
      <c r="AP4" s="902"/>
      <c r="AQ4" s="902"/>
      <c r="AR4" s="902"/>
      <c r="AS4" s="902"/>
      <c r="AT4" s="902"/>
      <c r="AU4" s="902"/>
      <c r="AV4" s="902"/>
      <c r="AW4" s="902"/>
      <c r="AX4" s="902"/>
      <c r="AY4" s="102"/>
      <c r="AZ4" s="102"/>
      <c r="BA4" s="102"/>
      <c r="BB4" s="57"/>
    </row>
    <row r="5" spans="1:67" ht="11.25" customHeight="1" thickBot="1" x14ac:dyDescent="0.25">
      <c r="A5" s="931"/>
      <c r="B5" s="931"/>
      <c r="C5" s="932"/>
      <c r="D5" s="932"/>
      <c r="E5" s="736"/>
      <c r="F5" s="736"/>
      <c r="G5" s="736"/>
      <c r="H5" s="736"/>
      <c r="I5" s="736"/>
      <c r="J5" s="736"/>
      <c r="K5" s="736"/>
      <c r="L5" s="736"/>
      <c r="M5" s="736"/>
      <c r="N5" s="736"/>
      <c r="O5" s="736"/>
      <c r="P5" s="736"/>
      <c r="Q5" s="736"/>
      <c r="R5" s="736"/>
      <c r="S5" s="49"/>
      <c r="T5" s="15">
        <v>9.9000000000000005E-2</v>
      </c>
      <c r="U5" s="15">
        <f>$T5-2%</f>
        <v>7.9000000000000001E-2</v>
      </c>
      <c r="V5" s="15">
        <f t="shared" ref="V5:X11" si="1">$T5-2%</f>
        <v>7.9000000000000001E-2</v>
      </c>
      <c r="W5" s="15">
        <f t="shared" si="1"/>
        <v>7.9000000000000001E-2</v>
      </c>
      <c r="X5" s="15">
        <f t="shared" si="1"/>
        <v>7.9000000000000001E-2</v>
      </c>
      <c r="Y5" s="15">
        <v>5.8999999999999997E-2</v>
      </c>
      <c r="Z5" s="63" t="s">
        <v>73</v>
      </c>
      <c r="AA5" s="147">
        <f>IF(OR($C$8="Гарантия стандарт",$C$8="Гарантия пакет"),Y5,T5)</f>
        <v>9.9000000000000005E-2</v>
      </c>
      <c r="AB5" s="147">
        <f t="shared" si="0"/>
        <v>9.9000000000000005E-2</v>
      </c>
      <c r="AC5" s="745"/>
      <c r="AD5" s="15"/>
      <c r="AE5" s="15"/>
      <c r="AF5" s="15"/>
      <c r="AG5" s="15"/>
      <c r="AH5" s="15"/>
      <c r="AI5" s="15"/>
      <c r="AJ5" s="15"/>
      <c r="AK5" s="15"/>
      <c r="AL5" s="15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2"/>
      <c r="AZ5" s="736"/>
      <c r="BA5" s="102"/>
      <c r="BB5" s="57"/>
    </row>
    <row r="6" spans="1:67" ht="16.5" customHeight="1" thickBot="1" x14ac:dyDescent="0.3">
      <c r="A6" s="922" t="s">
        <v>413</v>
      </c>
      <c r="B6" s="923"/>
      <c r="C6" s="608" t="s">
        <v>414</v>
      </c>
      <c r="D6" s="608" t="s">
        <v>415</v>
      </c>
      <c r="E6" s="736"/>
      <c r="F6" s="736"/>
      <c r="G6" s="736"/>
      <c r="H6" s="736"/>
      <c r="I6" s="736"/>
      <c r="J6" s="736"/>
      <c r="K6" s="736"/>
      <c r="L6" s="736"/>
      <c r="M6" s="736"/>
      <c r="N6" s="736"/>
      <c r="O6" s="736"/>
      <c r="P6" s="736"/>
      <c r="Q6" s="736"/>
      <c r="R6" s="736"/>
      <c r="S6" s="49"/>
      <c r="T6" s="15">
        <v>0.129</v>
      </c>
      <c r="U6" s="15">
        <f>$T6-2%</f>
        <v>0.109</v>
      </c>
      <c r="V6" s="15">
        <f t="shared" si="1"/>
        <v>0.109</v>
      </c>
      <c r="W6" s="15">
        <f t="shared" si="1"/>
        <v>0.109</v>
      </c>
      <c r="X6" s="15">
        <f t="shared" si="1"/>
        <v>0.109</v>
      </c>
      <c r="Y6" s="15"/>
      <c r="Z6" s="63" t="s">
        <v>74</v>
      </c>
      <c r="AA6" s="147">
        <f t="shared" ref="AA6:AA11" si="2">IF(OR($C$8="Гарантия стандарт",$C$8="Гарантия пакет"),Y6,T6)</f>
        <v>0.129</v>
      </c>
      <c r="AB6" s="147">
        <f t="shared" si="0"/>
        <v>0.129</v>
      </c>
      <c r="AC6" s="745"/>
      <c r="AD6" s="15"/>
      <c r="AE6" s="15"/>
      <c r="AF6" s="15"/>
      <c r="AG6" s="15"/>
      <c r="AH6" s="15"/>
      <c r="AI6" s="15"/>
      <c r="AJ6" s="15"/>
      <c r="AK6" s="15"/>
      <c r="AL6" s="15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2"/>
      <c r="AZ6" s="736"/>
      <c r="BA6" s="102"/>
      <c r="BB6" s="57"/>
      <c r="BD6" s="827" t="s">
        <v>95</v>
      </c>
      <c r="BE6" s="827"/>
      <c r="BF6" s="827"/>
      <c r="BG6" s="827"/>
      <c r="BH6" s="827"/>
      <c r="BI6" s="827"/>
      <c r="BJ6" s="827"/>
      <c r="BM6" s="924" t="s">
        <v>416</v>
      </c>
      <c r="BN6" s="925"/>
      <c r="BO6" s="926"/>
    </row>
    <row r="7" spans="1:67" ht="37.5" customHeight="1" thickBot="1" x14ac:dyDescent="0.65">
      <c r="A7" s="909" t="s">
        <v>417</v>
      </c>
      <c r="B7" s="911"/>
      <c r="C7" s="610">
        <f>'Автомобильный (с залогом ТС)'!C7</f>
        <v>300000</v>
      </c>
      <c r="D7" s="610">
        <f>C7</f>
        <v>300000</v>
      </c>
      <c r="E7" s="746" t="s">
        <v>3</v>
      </c>
      <c r="F7" s="747" t="s">
        <v>4</v>
      </c>
      <c r="G7" s="747" t="s">
        <v>5</v>
      </c>
      <c r="H7" s="748" t="s">
        <v>12</v>
      </c>
      <c r="I7" s="748"/>
      <c r="J7" s="748"/>
      <c r="K7" s="748" t="s">
        <v>26</v>
      </c>
      <c r="L7" s="748" t="s">
        <v>36</v>
      </c>
      <c r="M7" s="748" t="s">
        <v>39</v>
      </c>
      <c r="N7" s="748" t="s">
        <v>38</v>
      </c>
      <c r="O7" s="748" t="s">
        <v>37</v>
      </c>
      <c r="P7" s="748" t="s">
        <v>40</v>
      </c>
      <c r="Q7" s="747" t="s">
        <v>6</v>
      </c>
      <c r="R7" s="749" t="s">
        <v>32</v>
      </c>
      <c r="S7" s="150" t="s">
        <v>31</v>
      </c>
      <c r="T7" s="15">
        <v>0.48</v>
      </c>
      <c r="U7" s="15">
        <v>0.43</v>
      </c>
      <c r="V7" s="15">
        <f>U7-6%</f>
        <v>0.37</v>
      </c>
      <c r="W7" s="101">
        <f t="shared" si="1"/>
        <v>0.45999999999999996</v>
      </c>
      <c r="X7" s="101">
        <f t="shared" si="1"/>
        <v>0.45999999999999996</v>
      </c>
      <c r="Y7" s="101">
        <v>7.9000000000000001E-2</v>
      </c>
      <c r="Z7" s="101"/>
      <c r="AA7" s="147">
        <f t="shared" si="2"/>
        <v>0.48</v>
      </c>
      <c r="AB7" s="147">
        <f t="shared" si="0"/>
        <v>0.48</v>
      </c>
      <c r="AC7" s="101"/>
      <c r="AD7" s="101"/>
      <c r="AE7" s="101"/>
      <c r="AF7" s="101"/>
      <c r="AG7" s="101"/>
      <c r="AH7" s="101"/>
      <c r="AI7" s="101"/>
      <c r="AJ7" s="101"/>
      <c r="AK7" s="101"/>
      <c r="AL7" s="151">
        <f>SUM(AL9:AL109)</f>
        <v>36</v>
      </c>
      <c r="AM7" s="750" t="s">
        <v>3</v>
      </c>
      <c r="AN7" s="751" t="s">
        <v>4</v>
      </c>
      <c r="AO7" s="751" t="s">
        <v>5</v>
      </c>
      <c r="AP7" s="752" t="s">
        <v>12</v>
      </c>
      <c r="AQ7" s="752" t="s">
        <v>26</v>
      </c>
      <c r="AR7" s="752" t="s">
        <v>36</v>
      </c>
      <c r="AS7" s="752" t="s">
        <v>39</v>
      </c>
      <c r="AT7" s="752" t="s">
        <v>38</v>
      </c>
      <c r="AU7" s="752" t="s">
        <v>37</v>
      </c>
      <c r="AV7" s="752" t="s">
        <v>40</v>
      </c>
      <c r="AW7" s="751" t="s">
        <v>6</v>
      </c>
      <c r="AX7" s="753" t="s">
        <v>32</v>
      </c>
      <c r="AY7" s="104" t="s">
        <v>31</v>
      </c>
      <c r="AZ7" s="754">
        <f>AZ8</f>
        <v>45315</v>
      </c>
      <c r="BA7" s="108">
        <f>G8</f>
        <v>-351979</v>
      </c>
      <c r="BB7" s="755"/>
      <c r="BD7" s="830" t="s">
        <v>84</v>
      </c>
      <c r="BE7" s="828" t="s">
        <v>85</v>
      </c>
      <c r="BF7" s="127" t="s">
        <v>86</v>
      </c>
      <c r="BG7" s="124" t="s">
        <v>88</v>
      </c>
      <c r="BH7" s="834" t="s">
        <v>9</v>
      </c>
      <c r="BI7" s="836" t="s">
        <v>89</v>
      </c>
      <c r="BJ7" s="832">
        <v>1</v>
      </c>
      <c r="BM7" s="756" t="s">
        <v>418</v>
      </c>
      <c r="BN7" s="757" t="s">
        <v>419</v>
      </c>
      <c r="BO7" s="757" t="s">
        <v>420</v>
      </c>
    </row>
    <row r="8" spans="1:67" ht="16.5" customHeight="1" thickBot="1" x14ac:dyDescent="0.65">
      <c r="A8" s="909" t="s">
        <v>421</v>
      </c>
      <c r="B8" s="911"/>
      <c r="C8" s="610" t="str">
        <f>'Автомобильный (с залогом ТС)'!C8</f>
        <v>ОПТИ_ПакетБВ+ГС_48</v>
      </c>
      <c r="D8" s="617" t="str">
        <f>IF(C10&lt;48,Z60,AA60)</f>
        <v>ОПТИ_ПакетБВ_36</v>
      </c>
      <c r="E8" s="758"/>
      <c r="F8" s="759">
        <f>C9</f>
        <v>45315</v>
      </c>
      <c r="G8" s="760">
        <f>-C28</f>
        <v>-351979</v>
      </c>
      <c r="H8" s="24"/>
      <c r="I8" s="24"/>
      <c r="J8" s="24"/>
      <c r="K8" s="761"/>
      <c r="L8" s="761"/>
      <c r="M8" s="761"/>
      <c r="N8" s="761"/>
      <c r="O8" s="761"/>
      <c r="P8" s="761"/>
      <c r="Q8" s="56">
        <f>C28</f>
        <v>351979</v>
      </c>
      <c r="R8" s="761"/>
      <c r="S8" s="36"/>
      <c r="T8" s="15">
        <v>0.20899999999999999</v>
      </c>
      <c r="U8" s="15">
        <v>0.159</v>
      </c>
      <c r="V8" s="15">
        <f>U8-6%</f>
        <v>9.9000000000000005E-2</v>
      </c>
      <c r="W8" s="15">
        <f t="shared" si="1"/>
        <v>0.189</v>
      </c>
      <c r="X8" s="15">
        <f t="shared" si="1"/>
        <v>0.189</v>
      </c>
      <c r="Y8" s="15">
        <v>8.8999999999999996E-2</v>
      </c>
      <c r="Z8" s="15"/>
      <c r="AA8" s="147">
        <f t="shared" si="2"/>
        <v>0.20899999999999999</v>
      </c>
      <c r="AB8" s="147">
        <f t="shared" si="0"/>
        <v>0.20899999999999999</v>
      </c>
      <c r="AC8" s="745"/>
      <c r="AD8" s="15"/>
      <c r="AE8" s="15"/>
      <c r="AF8" s="15"/>
      <c r="AG8" s="15"/>
      <c r="AH8" s="15"/>
      <c r="AI8" s="15"/>
      <c r="AJ8" s="15"/>
      <c r="AK8" s="15"/>
      <c r="AL8" s="15"/>
      <c r="AM8" s="762"/>
      <c r="AN8" s="763">
        <f>C9</f>
        <v>45315</v>
      </c>
      <c r="AO8" s="760">
        <f>-D28</f>
        <v>-336979</v>
      </c>
      <c r="AP8" s="105"/>
      <c r="AQ8" s="764"/>
      <c r="AR8" s="764"/>
      <c r="AS8" s="764"/>
      <c r="AT8" s="764"/>
      <c r="AU8" s="764"/>
      <c r="AV8" s="764"/>
      <c r="AW8" s="107">
        <f>D28</f>
        <v>336979</v>
      </c>
      <c r="AX8" s="764"/>
      <c r="AY8" s="108"/>
      <c r="AZ8" s="759">
        <f t="shared" ref="AZ8:BA39" si="3">F8</f>
        <v>45315</v>
      </c>
      <c r="BA8" s="104">
        <f>$C$32</f>
        <v>33479.999999999993</v>
      </c>
      <c r="BC8" s="118" t="e">
        <f t="shared" ref="BC8:BC20" si="4">AW7+AR8+AP8</f>
        <v>#VALUE!</v>
      </c>
      <c r="BD8" s="831"/>
      <c r="BE8" s="829"/>
      <c r="BF8" s="738" t="s">
        <v>87</v>
      </c>
      <c r="BG8" s="126" t="s">
        <v>88</v>
      </c>
      <c r="BH8" s="835"/>
      <c r="BI8" s="837"/>
      <c r="BJ8" s="833"/>
      <c r="BM8" s="765" t="s">
        <v>360</v>
      </c>
      <c r="BN8" s="766" t="s">
        <v>422</v>
      </c>
      <c r="BO8" s="766" t="s">
        <v>423</v>
      </c>
    </row>
    <row r="9" spans="1:67" ht="16.5" customHeight="1" thickBot="1" x14ac:dyDescent="0.3">
      <c r="A9" s="909" t="s">
        <v>25</v>
      </c>
      <c r="B9" s="911"/>
      <c r="C9" s="617">
        <f>'Автомобильный (с залогом ТС)'!C9</f>
        <v>45315</v>
      </c>
      <c r="D9" s="617">
        <f>C9</f>
        <v>45315</v>
      </c>
      <c r="E9" s="767">
        <f>1</f>
        <v>1</v>
      </c>
      <c r="F9" s="768">
        <f t="shared" ref="F9:F72" si="5">IF(DAY($AA$55)=29,DATE(YEAR($F$8),MONTH($F$8)+E9+1,1),IF(DAY($AA$55)=30,DATE(YEAR($F$8),MONTH($F$8)+E9+1,2),IF(DAY($AA$55)=31,DATE(YEAR($F$8),MONTH($F$8)+E9+1,3),DATE(YEAR($F$8),MONTH($F$8)+E9,DAY($F$8)))))</f>
        <v>45346</v>
      </c>
      <c r="G9" s="24">
        <f t="shared" ref="G9:G67" si="6">IF(AND(E9&gt;=$T$14,E9&lt;=$T$14+5),$T$15,IF(AND(Q8+L9+H9&gt;G8,G8&lt;&gt;0),$C$29,IF(Q8=0,0,Q8+L9+H9+H10)))+IF(AND(E9=$C$10,$C$22&lt;&gt;"Нет"),MIN((I9-I9/$C$19*$C$23),Q8+H9-G8),0)</f>
        <v>13038</v>
      </c>
      <c r="H9" s="24">
        <f t="shared" ref="H9:H72" si="7">IF(AND(E9&gt;=$T$14,E9&lt;=$T$14+5),0,IF($C$9&gt;$AC$52,ROUND(Q8*$C$19*((F9-DATE(YEAR(F9),MONTH(F9),1)+1)/(DATE(YEAR(F9)+1,1,1)-DATE(YEAR(F9),1,1))+(EOMONTH(F8,0)-F8)/(DATE(YEAR(F8)+1,1,1)-DATE(YEAR(F8),1,1))),2),0))</f>
        <v>6528.92</v>
      </c>
      <c r="I9" s="24">
        <f>H9</f>
        <v>6528.92</v>
      </c>
      <c r="J9" s="24"/>
      <c r="K9" s="24">
        <f t="shared" ref="K9:K72" si="8">IF(S9=0,0,IF(S9=1,Q8,IF(Q8+L9+H9&gt;G8,G9-H9-L9,Q8)))</f>
        <v>6509.08</v>
      </c>
      <c r="L9" s="24">
        <f>IF(N9&gt;$C$29,$C$29-H9,IF(S9=0,0,P9)+AF52)</f>
        <v>0</v>
      </c>
      <c r="M9" s="24">
        <f>O8-L8</f>
        <v>0</v>
      </c>
      <c r="N9" s="24">
        <f>H9+O9</f>
        <v>6528.92</v>
      </c>
      <c r="O9" s="24">
        <f>IF(S9=0,0,0)</f>
        <v>0</v>
      </c>
      <c r="P9" s="24">
        <f>IF(S9=0,0,0)</f>
        <v>0</v>
      </c>
      <c r="Q9" s="24">
        <f t="shared" ref="Q9:Q72" si="9">IF(OR(S9=1,Q8=0),0,Q8-K9)</f>
        <v>345469.92</v>
      </c>
      <c r="R9" s="36">
        <f>C10</f>
        <v>36</v>
      </c>
      <c r="S9" s="36">
        <f t="shared" ref="S9:S72" si="10">IF(ISERR(CEILING(FLOOR(NPER($C$19/12,-$AA$56,Q8),0.1),1))=TRUE,0,CEILING(FLOOR(NPER($C$19/12,-$AA$56,Q8),0.1),1))</f>
        <v>36</v>
      </c>
      <c r="T9" s="15">
        <v>0.219</v>
      </c>
      <c r="U9" s="15">
        <v>0.16900000000000001</v>
      </c>
      <c r="V9" s="15">
        <f t="shared" ref="V9:V13" si="11">U9-6%</f>
        <v>0.10900000000000001</v>
      </c>
      <c r="W9" s="15">
        <f t="shared" si="1"/>
        <v>0.19900000000000001</v>
      </c>
      <c r="X9" s="15">
        <f t="shared" si="1"/>
        <v>0.19900000000000001</v>
      </c>
      <c r="Y9" s="15">
        <v>9.9000000000000005E-2</v>
      </c>
      <c r="Z9" s="132"/>
      <c r="AA9" s="147">
        <f t="shared" si="2"/>
        <v>0.219</v>
      </c>
      <c r="AB9" s="147">
        <f t="shared" si="0"/>
        <v>0.219</v>
      </c>
      <c r="AC9" s="745"/>
      <c r="AD9" s="15"/>
      <c r="AE9" s="15"/>
      <c r="AF9" s="15"/>
      <c r="AG9" s="15"/>
      <c r="AH9" s="15"/>
      <c r="AI9" s="15"/>
      <c r="AJ9" s="15"/>
      <c r="AK9" s="15"/>
      <c r="AL9" s="130">
        <f>IF(OR(AO9="",AO9=0),0,1)</f>
        <v>1</v>
      </c>
      <c r="AM9" s="769">
        <f>1</f>
        <v>1</v>
      </c>
      <c r="AN9" s="770">
        <f t="shared" ref="AN9:AN72" si="12">IF((OR(DAY($AA$55)=29,DAY($AA$55)=30,DAY($AA$55)=31)),(EDATE($C$9-3,AM9)),(IF((OR(DAY($AA$55)=1,DAY($AA$55)=2,DAY($AA$55)=3)),(EDATE($C$9,AM9)+3),EDATE($C$9,AM9))))</f>
        <v>45346</v>
      </c>
      <c r="AO9" s="105">
        <f>IF(AND(E9&gt;=$T$14,E9&lt;=$T$14+5),$T$15,IF(AND(AW8+AR9+AP9&gt;AO8,AO8&lt;&gt;0),$D$29,IF(AW8=0,0,AW8+AR9+AP9+AP10)))</f>
        <v>13038</v>
      </c>
      <c r="AP9" s="105">
        <f t="shared" ref="AP9:AP72" si="13">IF(AND(E9&gt;=$T$14,E9&lt;=$T$14+5),0,IF($C$9&gt;$AC$52,ROUND(AW8*$D$19*((AN9-DATE(YEAR(AN9),MONTH(AN9),1)+1)/(DATE(YEAR(AN9)+1,1,1)-DATE(YEAR(AN9),1,1))+(EOMONTH(AN8,0)-AN8)/(DATE(YEAR(AN8)+1,1,1)-DATE(YEAR(AN8),1,1))),2),0))</f>
        <v>6536.1</v>
      </c>
      <c r="AQ9" s="105">
        <f t="shared" ref="AQ9:AQ46" si="14">IF(AY9=0,0,IF(AY9=1,AW8,IF(AW8+AR9+AP9&gt;AO8,AO9-AP9-AR9,AW8)))</f>
        <v>6501.9</v>
      </c>
      <c r="AR9" s="105">
        <f>IF(AT9&gt;$D$29,$D$29-AP9,IF(AY9=0,0,AV9)+BN58)</f>
        <v>0</v>
      </c>
      <c r="AS9" s="105"/>
      <c r="AT9" s="105">
        <f>AP9+AU9</f>
        <v>6536.1</v>
      </c>
      <c r="AU9" s="105">
        <f>IF(AY9=0,0,0)</f>
        <v>0</v>
      </c>
      <c r="AV9" s="105">
        <f>IF(AY9=0,0,0)</f>
        <v>0</v>
      </c>
      <c r="AW9" s="105">
        <f t="shared" ref="AW9:AW46" si="15">IF(OR(AY9=1,AW8=0),0,AW8-AQ9)</f>
        <v>330477.09999999998</v>
      </c>
      <c r="AX9" s="108">
        <f>C10</f>
        <v>36</v>
      </c>
      <c r="AY9" s="108">
        <f t="shared" ref="AY9:AY72" si="16">IF(ISERR(CEILING(FLOOR(NPER($D$19/12,-$AC$56,AW8),0.1),1))=TRUE,0,CEILING(FLOOR(NPER($D$19/12,-$AC$56,AW8),0.1),1))</f>
        <v>36</v>
      </c>
      <c r="AZ9" s="759">
        <f t="shared" si="3"/>
        <v>45346</v>
      </c>
      <c r="BA9" s="108">
        <f t="shared" si="3"/>
        <v>13038</v>
      </c>
      <c r="BC9" s="118">
        <f t="shared" si="4"/>
        <v>343515.1</v>
      </c>
      <c r="BM9" s="765" t="s">
        <v>424</v>
      </c>
      <c r="BN9" s="771" t="s">
        <v>425</v>
      </c>
      <c r="BO9" s="771" t="s">
        <v>426</v>
      </c>
    </row>
    <row r="10" spans="1:67" ht="16.5" customHeight="1" thickBot="1" x14ac:dyDescent="0.3">
      <c r="A10" s="929" t="s">
        <v>1</v>
      </c>
      <c r="B10" s="930"/>
      <c r="C10" s="619">
        <f>'Автомобильный (с залогом ТС)'!C10</f>
        <v>36</v>
      </c>
      <c r="D10" s="619">
        <f>C10</f>
        <v>36</v>
      </c>
      <c r="E10" s="767">
        <f>E9+1</f>
        <v>2</v>
      </c>
      <c r="F10" s="768">
        <f t="shared" si="5"/>
        <v>45375</v>
      </c>
      <c r="G10" s="24">
        <f t="shared" si="6"/>
        <v>13038</v>
      </c>
      <c r="H10" s="24">
        <f t="shared" si="7"/>
        <v>5994.75</v>
      </c>
      <c r="I10" s="24">
        <f>H10+I9</f>
        <v>12523.67</v>
      </c>
      <c r="J10" s="24">
        <f t="shared" ref="J10:J67" si="17">IF(E10=$C$10,MIN((I10-I10/$C$19*$C$23),Q9+H10-G9),0)</f>
        <v>0</v>
      </c>
      <c r="K10" s="24">
        <f t="shared" si="8"/>
        <v>7043.25</v>
      </c>
      <c r="L10" s="24">
        <f t="shared" ref="L10:L73" si="18">IF(N10&gt;$C$29,$C$29-H10,IF(S10=0,0,O10))</f>
        <v>0</v>
      </c>
      <c r="M10" s="24">
        <f>O9-L9</f>
        <v>0</v>
      </c>
      <c r="N10" s="24">
        <f t="shared" ref="N10:N86" si="19">H10+O10</f>
        <v>5994.75</v>
      </c>
      <c r="O10" s="24">
        <f t="shared" ref="O10:O73" si="20">IF(S10=0,0,0)</f>
        <v>0</v>
      </c>
      <c r="P10" s="24">
        <f t="shared" ref="P10:P73" si="21">IF(S10=0,0,0)</f>
        <v>0</v>
      </c>
      <c r="Q10" s="24">
        <f t="shared" si="9"/>
        <v>338426.67</v>
      </c>
      <c r="R10" s="36">
        <f>IF((R9-1)&lt;0,0,R9-1)</f>
        <v>35</v>
      </c>
      <c r="S10" s="36">
        <f t="shared" si="10"/>
        <v>35</v>
      </c>
      <c r="T10" s="15">
        <v>0.23899999999999999</v>
      </c>
      <c r="U10" s="15">
        <v>0.189</v>
      </c>
      <c r="V10" s="15">
        <f t="shared" si="11"/>
        <v>0.129</v>
      </c>
      <c r="W10" s="15">
        <f t="shared" si="1"/>
        <v>0.219</v>
      </c>
      <c r="X10" s="15">
        <f t="shared" si="1"/>
        <v>0.219</v>
      </c>
      <c r="Y10" s="15"/>
      <c r="Z10" s="15"/>
      <c r="AA10" s="147">
        <f t="shared" si="2"/>
        <v>0.23899999999999999</v>
      </c>
      <c r="AB10" s="147">
        <f t="shared" si="0"/>
        <v>0.23899999999999999</v>
      </c>
      <c r="AC10" s="745"/>
      <c r="AD10" s="15"/>
      <c r="AE10" s="15"/>
      <c r="AF10" s="15"/>
      <c r="AG10" s="15"/>
      <c r="AH10" s="15"/>
      <c r="AI10" s="15"/>
      <c r="AJ10" s="15"/>
      <c r="AK10" s="15"/>
      <c r="AL10" s="130">
        <f t="shared" ref="AL10:AL74" si="22">IF(OR(AO10="",AO10=0),0,1)</f>
        <v>1</v>
      </c>
      <c r="AM10" s="769">
        <f>AM9+1</f>
        <v>2</v>
      </c>
      <c r="AN10" s="770">
        <f t="shared" si="12"/>
        <v>45375</v>
      </c>
      <c r="AO10" s="105">
        <f>IF(AND(E10&gt;=$T$14,E10&lt;=$T$14+5),$T$15,IF(AND(AW9+AR10+AP10&gt;AO9,AO9&lt;&gt;0),$D$29,IF(AW9=0,0,AW9+AR10+AP10+AP11)))</f>
        <v>13038</v>
      </c>
      <c r="AP10" s="105">
        <f t="shared" si="13"/>
        <v>5996.44</v>
      </c>
      <c r="AQ10" s="105">
        <f t="shared" si="14"/>
        <v>7041.56</v>
      </c>
      <c r="AR10" s="105">
        <f>IF(AT10&gt;$D$29,$D$29-AP10,IF(AY10=0,0,AV10)+BN59)</f>
        <v>0</v>
      </c>
      <c r="AS10" s="105">
        <f t="shared" ref="AS10:AS46" si="23">AU9-AR9</f>
        <v>0</v>
      </c>
      <c r="AT10" s="105">
        <f t="shared" ref="AT10:AT46" si="24">AP10+AU10</f>
        <v>5996.44</v>
      </c>
      <c r="AU10" s="105">
        <f t="shared" ref="AU10:AU46" si="25">IF(AY10=0,0,0)</f>
        <v>0</v>
      </c>
      <c r="AV10" s="105">
        <f t="shared" ref="AV10:AV46" si="26">IF(AY10=0,0,0)</f>
        <v>0</v>
      </c>
      <c r="AW10" s="105">
        <f t="shared" si="15"/>
        <v>323435.53999999998</v>
      </c>
      <c r="AX10" s="108">
        <f>IF((AX9-1)&lt;0,0,AX9-1)</f>
        <v>35</v>
      </c>
      <c r="AY10" s="108">
        <f t="shared" si="16"/>
        <v>35</v>
      </c>
      <c r="AZ10" s="759">
        <f t="shared" si="3"/>
        <v>45375</v>
      </c>
      <c r="BA10" s="108">
        <f t="shared" si="3"/>
        <v>13038</v>
      </c>
      <c r="BC10" s="118">
        <f t="shared" si="4"/>
        <v>336473.54</v>
      </c>
      <c r="BD10" s="830" t="s">
        <v>90</v>
      </c>
      <c r="BE10" s="828" t="s">
        <v>85</v>
      </c>
      <c r="BF10" s="129" t="s">
        <v>84</v>
      </c>
      <c r="BM10" s="620"/>
      <c r="BN10" s="620"/>
      <c r="BO10" s="620"/>
    </row>
    <row r="11" spans="1:67" ht="16.5" customHeight="1" thickBot="1" x14ac:dyDescent="0.3">
      <c r="A11" s="935" t="s">
        <v>427</v>
      </c>
      <c r="B11" s="621" t="s">
        <v>102</v>
      </c>
      <c r="C11" s="619" t="str">
        <f>'Автомобильный (с залогом ТС)'!C14</f>
        <v>Да</v>
      </c>
      <c r="D11" s="619" t="str">
        <f>C11</f>
        <v>Да</v>
      </c>
      <c r="E11" s="767">
        <f>E10+1</f>
        <v>3</v>
      </c>
      <c r="F11" s="768">
        <f t="shared" si="5"/>
        <v>45406</v>
      </c>
      <c r="G11" s="24">
        <f t="shared" si="6"/>
        <v>13038</v>
      </c>
      <c r="H11" s="24">
        <f t="shared" si="7"/>
        <v>6277.54</v>
      </c>
      <c r="I11" s="24">
        <f t="shared" ref="I11:I74" si="27">H11+I10</f>
        <v>18801.21</v>
      </c>
      <c r="J11" s="24">
        <f t="shared" si="17"/>
        <v>0</v>
      </c>
      <c r="K11" s="24">
        <f t="shared" si="8"/>
        <v>6760.46</v>
      </c>
      <c r="L11" s="24">
        <f t="shared" si="18"/>
        <v>0</v>
      </c>
      <c r="M11" s="24">
        <f>O10-L10</f>
        <v>0</v>
      </c>
      <c r="N11" s="24">
        <f t="shared" si="19"/>
        <v>6277.54</v>
      </c>
      <c r="O11" s="24">
        <f t="shared" si="20"/>
        <v>0</v>
      </c>
      <c r="P11" s="24">
        <f t="shared" si="21"/>
        <v>0</v>
      </c>
      <c r="Q11" s="24">
        <f t="shared" si="9"/>
        <v>331666.20999999996</v>
      </c>
      <c r="R11" s="36">
        <f>IF((R10-1)&lt;0,0,R10-1)</f>
        <v>34</v>
      </c>
      <c r="S11" s="36">
        <f t="shared" si="10"/>
        <v>34</v>
      </c>
      <c r="T11" s="15">
        <v>0.249</v>
      </c>
      <c r="U11" s="15">
        <v>0.19900000000000001</v>
      </c>
      <c r="V11" s="15">
        <f t="shared" si="11"/>
        <v>0.13900000000000001</v>
      </c>
      <c r="W11" s="15">
        <f t="shared" si="1"/>
        <v>0.22900000000000001</v>
      </c>
      <c r="X11" s="15">
        <f t="shared" si="1"/>
        <v>0.22900000000000001</v>
      </c>
      <c r="Y11" s="15">
        <v>0.11899999999999999</v>
      </c>
      <c r="Z11" s="15"/>
      <c r="AA11" s="147">
        <f t="shared" si="2"/>
        <v>0.249</v>
      </c>
      <c r="AB11" s="147">
        <f t="shared" si="0"/>
        <v>0.249</v>
      </c>
      <c r="AC11" s="745"/>
      <c r="AD11" s="15"/>
      <c r="AE11" s="15"/>
      <c r="AF11" s="15"/>
      <c r="AG11" s="15"/>
      <c r="AH11" s="15"/>
      <c r="AI11" s="15"/>
      <c r="AJ11" s="3"/>
      <c r="AK11" s="3"/>
      <c r="AL11" s="130">
        <f t="shared" si="22"/>
        <v>1</v>
      </c>
      <c r="AM11" s="769">
        <f>AM10+1</f>
        <v>3</v>
      </c>
      <c r="AN11" s="770">
        <f t="shared" si="12"/>
        <v>45406</v>
      </c>
      <c r="AO11" s="105">
        <f>IF(AX10=1,AR11+AP11+AQ11,IF(AW10+AR11+AP11&gt;AO10,$D$29,IF(AW10=0,0,AW10+AR11+AP11+AP42)))</f>
        <v>13038</v>
      </c>
      <c r="AP11" s="105">
        <f t="shared" si="13"/>
        <v>6273.41</v>
      </c>
      <c r="AQ11" s="105">
        <f t="shared" si="14"/>
        <v>6764.59</v>
      </c>
      <c r="AR11" s="105">
        <f t="shared" ref="AR11:AR19" si="28">IF(AT11&gt;$D$29,$D$29-AP11,IF(AY11=0,0,AV11)+BN60)</f>
        <v>0</v>
      </c>
      <c r="AS11" s="105">
        <f t="shared" si="23"/>
        <v>0</v>
      </c>
      <c r="AT11" s="105">
        <f t="shared" si="24"/>
        <v>6273.41</v>
      </c>
      <c r="AU11" s="105">
        <f t="shared" si="25"/>
        <v>0</v>
      </c>
      <c r="AV11" s="105">
        <f t="shared" si="26"/>
        <v>0</v>
      </c>
      <c r="AW11" s="105">
        <f t="shared" si="15"/>
        <v>316670.94999999995</v>
      </c>
      <c r="AX11" s="108">
        <f>IF((AX10-1)&lt;0,0,AX10-1)</f>
        <v>34</v>
      </c>
      <c r="AY11" s="108">
        <f t="shared" si="16"/>
        <v>34</v>
      </c>
      <c r="AZ11" s="759">
        <f t="shared" si="3"/>
        <v>45406</v>
      </c>
      <c r="BA11" s="108">
        <f t="shared" si="3"/>
        <v>13038</v>
      </c>
      <c r="BC11" s="118">
        <f t="shared" si="4"/>
        <v>329708.94999999995</v>
      </c>
      <c r="BD11" s="831"/>
      <c r="BE11" s="829"/>
      <c r="BF11" s="737" t="s">
        <v>91</v>
      </c>
      <c r="BM11" s="899" t="s">
        <v>428</v>
      </c>
      <c r="BN11" s="900"/>
      <c r="BO11" s="901"/>
    </row>
    <row r="12" spans="1:67" ht="16.5" customHeight="1" thickBot="1" x14ac:dyDescent="0.3">
      <c r="A12" s="936"/>
      <c r="B12" s="621" t="s">
        <v>105</v>
      </c>
      <c r="C12" s="619">
        <f>'Автомобильный (с залогом ТС)'!C15</f>
        <v>3499</v>
      </c>
      <c r="D12" s="623">
        <f>C12</f>
        <v>3499</v>
      </c>
      <c r="E12" s="767">
        <f t="shared" ref="E12:E75" si="29">E11+1</f>
        <v>4</v>
      </c>
      <c r="F12" s="768">
        <f t="shared" si="5"/>
        <v>45436</v>
      </c>
      <c r="G12" s="24">
        <f t="shared" si="6"/>
        <v>13038</v>
      </c>
      <c r="H12" s="24">
        <f t="shared" si="7"/>
        <v>5953.68</v>
      </c>
      <c r="I12" s="24">
        <f t="shared" si="27"/>
        <v>24754.89</v>
      </c>
      <c r="J12" s="24">
        <f t="shared" si="17"/>
        <v>0</v>
      </c>
      <c r="K12" s="24">
        <f t="shared" si="8"/>
        <v>7084.32</v>
      </c>
      <c r="L12" s="24">
        <f t="shared" si="18"/>
        <v>0</v>
      </c>
      <c r="M12" s="24">
        <f t="shared" ref="M12:M86" si="30">O11-L11</f>
        <v>0</v>
      </c>
      <c r="N12" s="24">
        <f t="shared" si="19"/>
        <v>5953.68</v>
      </c>
      <c r="O12" s="24">
        <f t="shared" si="20"/>
        <v>0</v>
      </c>
      <c r="P12" s="24">
        <f t="shared" si="21"/>
        <v>0</v>
      </c>
      <c r="Q12" s="24">
        <f t="shared" si="9"/>
        <v>324581.88999999996</v>
      </c>
      <c r="R12" s="36">
        <f t="shared" ref="R12:R75" si="31">IF((R11-1)&lt;0,0,R11-1)</f>
        <v>33</v>
      </c>
      <c r="S12" s="36">
        <f t="shared" si="10"/>
        <v>33</v>
      </c>
      <c r="T12" s="15">
        <v>0.27900000000000003</v>
      </c>
      <c r="U12" s="15">
        <v>0.20899999999999999</v>
      </c>
      <c r="V12" s="15">
        <f t="shared" si="11"/>
        <v>0.14899999999999999</v>
      </c>
      <c r="W12" s="15">
        <v>0.29899999999999999</v>
      </c>
      <c r="X12" s="15">
        <v>0.29899999999999999</v>
      </c>
      <c r="Y12" s="15"/>
      <c r="Z12" s="15"/>
      <c r="AA12" s="147">
        <f>IF(OR($C$8="Гарантия стандарт",$C$8="Гарантия пакет"),Y12,T12)</f>
        <v>0.27900000000000003</v>
      </c>
      <c r="AB12" s="147">
        <f t="shared" si="0"/>
        <v>0.27900000000000003</v>
      </c>
      <c r="AC12" s="745"/>
      <c r="AD12" s="15"/>
      <c r="AE12" s="15"/>
      <c r="AF12" s="15"/>
      <c r="AG12" s="15"/>
      <c r="AH12" s="15"/>
      <c r="AI12" s="15"/>
      <c r="AK12" s="57"/>
      <c r="AL12" s="130">
        <f t="shared" si="22"/>
        <v>1</v>
      </c>
      <c r="AM12" s="769">
        <f t="shared" ref="AM12:AM75" si="32">AM11+1</f>
        <v>4</v>
      </c>
      <c r="AN12" s="770">
        <f t="shared" si="12"/>
        <v>45436</v>
      </c>
      <c r="AO12" s="105">
        <f>IF(AX11=1,AR12+AP12+AQ12,IF(AW11+AR12+AP12&gt;AO11,$D$29,IF(AW11=0,0,AW11+AR12+AP12+AP43)))</f>
        <v>13038</v>
      </c>
      <c r="AP12" s="105">
        <f t="shared" si="13"/>
        <v>5944.07</v>
      </c>
      <c r="AQ12" s="105">
        <f t="shared" si="14"/>
        <v>7093.93</v>
      </c>
      <c r="AR12" s="105">
        <f t="shared" si="28"/>
        <v>0</v>
      </c>
      <c r="AS12" s="105">
        <f t="shared" si="23"/>
        <v>0</v>
      </c>
      <c r="AT12" s="105">
        <f t="shared" si="24"/>
        <v>5944.07</v>
      </c>
      <c r="AU12" s="105">
        <f t="shared" si="25"/>
        <v>0</v>
      </c>
      <c r="AV12" s="105">
        <f t="shared" si="26"/>
        <v>0</v>
      </c>
      <c r="AW12" s="105">
        <f t="shared" si="15"/>
        <v>309577.01999999996</v>
      </c>
      <c r="AX12" s="108">
        <f t="shared" ref="AX12:AX75" si="33">IF((AX11-1)&lt;0,0,AX11-1)</f>
        <v>33</v>
      </c>
      <c r="AY12" s="108">
        <f t="shared" si="16"/>
        <v>33</v>
      </c>
      <c r="AZ12" s="759">
        <f t="shared" si="3"/>
        <v>45436</v>
      </c>
      <c r="BA12" s="108">
        <f t="shared" si="3"/>
        <v>13038</v>
      </c>
      <c r="BC12" s="118">
        <f t="shared" si="4"/>
        <v>322615.01999999996</v>
      </c>
      <c r="BM12" s="756" t="s">
        <v>418</v>
      </c>
      <c r="BN12" s="757" t="s">
        <v>419</v>
      </c>
      <c r="BO12" s="757" t="s">
        <v>420</v>
      </c>
    </row>
    <row r="13" spans="1:67" ht="16.5" customHeight="1" thickBot="1" x14ac:dyDescent="0.3">
      <c r="A13" s="904" t="str">
        <f>IF(AND(C8=AF60,C10&gt;47),"Ошибка: при указанном сроке нужна страховка АВТО_ПакетБВ+ГС_48",IF(AND(C8=AG60,C10&lt;48),"Ошибка: при указанном сроке нужна страховка АВТО_ПакетБВ+ГС_36",""))</f>
        <v/>
      </c>
      <c r="B13" s="904"/>
      <c r="C13" s="904"/>
      <c r="D13" s="904"/>
      <c r="E13" s="767">
        <f>E12+1</f>
        <v>5</v>
      </c>
      <c r="F13" s="768">
        <f t="shared" si="5"/>
        <v>45467</v>
      </c>
      <c r="G13" s="24">
        <f t="shared" si="6"/>
        <v>13038</v>
      </c>
      <c r="H13" s="24">
        <f t="shared" si="7"/>
        <v>6020.73</v>
      </c>
      <c r="I13" s="24">
        <f t="shared" si="27"/>
        <v>30775.62</v>
      </c>
      <c r="J13" s="24">
        <f t="shared" si="17"/>
        <v>0</v>
      </c>
      <c r="K13" s="24">
        <f t="shared" si="8"/>
        <v>7017.27</v>
      </c>
      <c r="L13" s="24">
        <f t="shared" si="18"/>
        <v>0</v>
      </c>
      <c r="M13" s="24">
        <f t="shared" si="30"/>
        <v>0</v>
      </c>
      <c r="N13" s="24">
        <f t="shared" si="19"/>
        <v>6020.73</v>
      </c>
      <c r="O13" s="24">
        <f t="shared" si="20"/>
        <v>0</v>
      </c>
      <c r="P13" s="24">
        <f t="shared" si="21"/>
        <v>0</v>
      </c>
      <c r="Q13" s="24">
        <f t="shared" si="9"/>
        <v>317564.61999999994</v>
      </c>
      <c r="R13" s="36">
        <f>IF((R12-1)&lt;0,0,R12-1)</f>
        <v>32</v>
      </c>
      <c r="S13" s="36">
        <f t="shared" si="10"/>
        <v>32</v>
      </c>
      <c r="T13" s="15"/>
      <c r="U13" s="15">
        <f>IF($C$17=$T$7,U7,IF($C$17=$T$8,U8,IF($C$17=$T$9,U9,IF($C$17=$T$10,U10,IF($C$17=$T$11,U11,U12)))))</f>
        <v>0.20899999999999999</v>
      </c>
      <c r="V13" s="15">
        <f t="shared" si="11"/>
        <v>0.14899999999999999</v>
      </c>
      <c r="W13" s="15"/>
      <c r="X13" s="15"/>
      <c r="Y13" s="15"/>
      <c r="Z13" s="15"/>
      <c r="AA13" s="62">
        <f>INDEX(AA4:AA12,MATCH(C17,$T$4:$T$12,0))</f>
        <v>0.27900000000000003</v>
      </c>
      <c r="AB13" s="62">
        <f>INDEX(AB4:AB12,MATCH(D17,$T$4:$T$12,0))</f>
        <v>0.27900000000000003</v>
      </c>
      <c r="AC13" s="745"/>
      <c r="AD13" s="15"/>
      <c r="AE13" s="15"/>
      <c r="AF13" s="15"/>
      <c r="AG13" s="15"/>
      <c r="AH13" s="15"/>
      <c r="AI13" s="15"/>
      <c r="AL13" s="130">
        <f t="shared" si="22"/>
        <v>1</v>
      </c>
      <c r="AM13" s="773">
        <f>AM12+1</f>
        <v>5</v>
      </c>
      <c r="AN13" s="774">
        <f t="shared" si="12"/>
        <v>45467</v>
      </c>
      <c r="AO13" s="105">
        <f>IF(AX12=1,AR13+AP13+AQ13,IF(AW12+AR13+AP13&gt;AO12,$D$29,IF(AW12=0,0,AW12+AR13+AP13+AP44)))</f>
        <v>13038</v>
      </c>
      <c r="AP13" s="105">
        <f t="shared" si="13"/>
        <v>6004.61</v>
      </c>
      <c r="AQ13" s="105">
        <f t="shared" si="14"/>
        <v>7033.39</v>
      </c>
      <c r="AR13" s="105">
        <f t="shared" si="28"/>
        <v>0</v>
      </c>
      <c r="AS13" s="105">
        <f t="shared" si="23"/>
        <v>0</v>
      </c>
      <c r="AT13" s="105">
        <f t="shared" si="24"/>
        <v>6004.61</v>
      </c>
      <c r="AU13" s="105">
        <f t="shared" si="25"/>
        <v>0</v>
      </c>
      <c r="AV13" s="105">
        <f t="shared" si="26"/>
        <v>0</v>
      </c>
      <c r="AW13" s="105">
        <f t="shared" si="15"/>
        <v>302543.62999999995</v>
      </c>
      <c r="AX13" s="108">
        <f>IF((AX12-1)&lt;0,0,AX12-1)</f>
        <v>32</v>
      </c>
      <c r="AY13" s="108">
        <f t="shared" si="16"/>
        <v>32</v>
      </c>
      <c r="AZ13" s="759">
        <f t="shared" si="3"/>
        <v>45467</v>
      </c>
      <c r="BA13" s="108">
        <f t="shared" si="3"/>
        <v>13038</v>
      </c>
      <c r="BC13" s="118">
        <f t="shared" si="4"/>
        <v>315581.62999999995</v>
      </c>
      <c r="BD13" s="830" t="s">
        <v>92</v>
      </c>
      <c r="BE13" s="828" t="s">
        <v>85</v>
      </c>
      <c r="BF13" s="129" t="s">
        <v>90</v>
      </c>
      <c r="BM13" s="765" t="s">
        <v>360</v>
      </c>
      <c r="BN13" s="766" t="s">
        <v>423</v>
      </c>
      <c r="BO13" s="766" t="s">
        <v>429</v>
      </c>
    </row>
    <row r="14" spans="1:67" ht="19.5" customHeight="1" thickBot="1" x14ac:dyDescent="0.3">
      <c r="A14" s="905"/>
      <c r="B14" s="905"/>
      <c r="C14" s="905"/>
      <c r="D14" s="905"/>
      <c r="E14" s="767">
        <f>E13+1</f>
        <v>6</v>
      </c>
      <c r="F14" s="768">
        <f t="shared" si="5"/>
        <v>45497</v>
      </c>
      <c r="G14" s="24">
        <f t="shared" si="6"/>
        <v>13038</v>
      </c>
      <c r="H14" s="24">
        <f t="shared" si="7"/>
        <v>5700.55</v>
      </c>
      <c r="I14" s="24">
        <f t="shared" si="27"/>
        <v>36476.17</v>
      </c>
      <c r="J14" s="24">
        <f t="shared" si="17"/>
        <v>0</v>
      </c>
      <c r="K14" s="24">
        <f t="shared" si="8"/>
        <v>7337.45</v>
      </c>
      <c r="L14" s="24">
        <f t="shared" si="18"/>
        <v>0</v>
      </c>
      <c r="M14" s="24">
        <f>O13-L13</f>
        <v>0</v>
      </c>
      <c r="N14" s="24">
        <f t="shared" si="19"/>
        <v>5700.55</v>
      </c>
      <c r="O14" s="24">
        <f t="shared" si="20"/>
        <v>0</v>
      </c>
      <c r="P14" s="24">
        <f t="shared" si="21"/>
        <v>0</v>
      </c>
      <c r="Q14" s="24">
        <f t="shared" si="9"/>
        <v>310227.16999999993</v>
      </c>
      <c r="R14" s="36">
        <f>IF((R13-1)&lt;0,0,R13-1)</f>
        <v>31</v>
      </c>
      <c r="S14" s="36">
        <f t="shared" si="10"/>
        <v>31</v>
      </c>
      <c r="T14" s="130">
        <f>IF(OR($C$8="Нет",$D$14&lt;1),100000,D14)</f>
        <v>100000</v>
      </c>
      <c r="U14" s="15"/>
      <c r="V14" s="15"/>
      <c r="W14" s="15"/>
      <c r="X14" s="15"/>
      <c r="Y14" s="15"/>
      <c r="Z14" s="15"/>
      <c r="AA14" s="15">
        <f>IF(OR(C$8="Гарантия стандарт",C$8="Гарантия пакет"),AA13,C19)</f>
        <v>0.21900000000000003</v>
      </c>
      <c r="AB14" s="15">
        <f>D19</f>
        <v>0.22900000000000004</v>
      </c>
      <c r="AC14" s="745"/>
      <c r="AD14" s="15"/>
      <c r="AE14" s="15"/>
      <c r="AF14" s="15"/>
      <c r="AG14" s="15"/>
      <c r="AH14" s="15"/>
      <c r="AI14" s="15"/>
      <c r="AK14" s="57"/>
      <c r="AL14" s="130">
        <f t="shared" si="22"/>
        <v>1</v>
      </c>
      <c r="AM14" s="769">
        <f>AM13+1</f>
        <v>6</v>
      </c>
      <c r="AN14" s="770">
        <f t="shared" si="12"/>
        <v>45497</v>
      </c>
      <c r="AO14" s="105">
        <f>IF(AX13=1,AR14+AP14+AQ14,IF(AW13+AR14+AP14&gt;AO13,$D$29,IF(AW13=0,0,AW13+AR14+AP14+AP45)))</f>
        <v>13038</v>
      </c>
      <c r="AP14" s="105">
        <f t="shared" si="13"/>
        <v>5678.89</v>
      </c>
      <c r="AQ14" s="105">
        <f t="shared" si="14"/>
        <v>7359.11</v>
      </c>
      <c r="AR14" s="105">
        <f t="shared" si="28"/>
        <v>0</v>
      </c>
      <c r="AS14" s="105">
        <f t="shared" si="23"/>
        <v>0</v>
      </c>
      <c r="AT14" s="105">
        <f t="shared" si="24"/>
        <v>5678.89</v>
      </c>
      <c r="AU14" s="105">
        <f t="shared" si="25"/>
        <v>0</v>
      </c>
      <c r="AV14" s="105">
        <f t="shared" si="26"/>
        <v>0</v>
      </c>
      <c r="AW14" s="105">
        <f t="shared" si="15"/>
        <v>295184.51999999996</v>
      </c>
      <c r="AX14" s="108">
        <f>IF((AX13-1)&lt;0,0,AX13-1)</f>
        <v>31</v>
      </c>
      <c r="AY14" s="108">
        <f t="shared" si="16"/>
        <v>31</v>
      </c>
      <c r="AZ14" s="759">
        <f t="shared" si="3"/>
        <v>45497</v>
      </c>
      <c r="BA14" s="108">
        <f t="shared" si="3"/>
        <v>13038</v>
      </c>
      <c r="BC14" s="118">
        <f t="shared" si="4"/>
        <v>308222.51999999996</v>
      </c>
      <c r="BD14" s="831"/>
      <c r="BE14" s="829"/>
      <c r="BF14" s="737" t="s">
        <v>93</v>
      </c>
      <c r="BM14" s="765" t="s">
        <v>424</v>
      </c>
      <c r="BN14" s="771" t="s">
        <v>426</v>
      </c>
      <c r="BO14" s="771" t="s">
        <v>431</v>
      </c>
    </row>
    <row r="15" spans="1:67" ht="33" customHeight="1" thickBot="1" x14ac:dyDescent="0.3">
      <c r="A15" s="905"/>
      <c r="B15" s="905"/>
      <c r="C15" s="905"/>
      <c r="D15" s="905"/>
      <c r="E15" s="767">
        <f t="shared" si="29"/>
        <v>7</v>
      </c>
      <c r="F15" s="768">
        <f t="shared" si="5"/>
        <v>45528</v>
      </c>
      <c r="G15" s="24">
        <f t="shared" si="6"/>
        <v>13038</v>
      </c>
      <c r="H15" s="24">
        <f t="shared" si="7"/>
        <v>5754.46</v>
      </c>
      <c r="I15" s="24">
        <f t="shared" si="27"/>
        <v>42230.63</v>
      </c>
      <c r="J15" s="24">
        <f t="shared" si="17"/>
        <v>0</v>
      </c>
      <c r="K15" s="24">
        <f t="shared" si="8"/>
        <v>7283.54</v>
      </c>
      <c r="L15" s="24">
        <f t="shared" si="18"/>
        <v>0</v>
      </c>
      <c r="M15" s="24">
        <f t="shared" si="30"/>
        <v>0</v>
      </c>
      <c r="N15" s="24">
        <f t="shared" si="19"/>
        <v>5754.46</v>
      </c>
      <c r="O15" s="24">
        <f t="shared" si="20"/>
        <v>0</v>
      </c>
      <c r="P15" s="24">
        <f t="shared" si="21"/>
        <v>0</v>
      </c>
      <c r="Q15" s="24">
        <f t="shared" si="9"/>
        <v>302943.62999999995</v>
      </c>
      <c r="R15" s="36">
        <f t="shared" si="31"/>
        <v>30</v>
      </c>
      <c r="S15" s="36">
        <f t="shared" si="10"/>
        <v>31</v>
      </c>
      <c r="T15" s="54">
        <f>ROUND(Q8*0.5%,-2)</f>
        <v>1800</v>
      </c>
      <c r="U15" s="54">
        <f>ROUND(Q8*0.5%,0)</f>
        <v>1760</v>
      </c>
      <c r="V15" s="15"/>
      <c r="W15" s="585">
        <v>219120</v>
      </c>
      <c r="X15" s="15"/>
      <c r="Y15" s="15"/>
      <c r="Z15" s="15"/>
      <c r="AA15" s="15" t="str">
        <f>IF(OR(C8="Гарантия стандарт",C8="Гарантия плюс",C8="Гарантия пакет"),AA13,"")</f>
        <v/>
      </c>
      <c r="AB15" s="15" t="str">
        <f>IF(OR(D8="Гарантия стандарт",D8="Гарантия плюс",D8="Гарантия пакет"),AB13,"")</f>
        <v/>
      </c>
      <c r="AC15" s="745"/>
      <c r="AD15" s="15"/>
      <c r="AE15" s="15"/>
      <c r="AF15" s="15"/>
      <c r="AG15" s="15"/>
      <c r="AH15" s="15"/>
      <c r="AI15" s="15"/>
      <c r="AL15" s="130">
        <f t="shared" si="22"/>
        <v>1</v>
      </c>
      <c r="AM15" s="769">
        <f t="shared" si="32"/>
        <v>7</v>
      </c>
      <c r="AN15" s="770">
        <f t="shared" si="12"/>
        <v>45528</v>
      </c>
      <c r="AO15" s="105">
        <f>IF(AX14=1,AR15+AP15+AQ15,IF(AW14+AR15+AP15&gt;AO14,$D$29,IF(AW14=0,0,AW14+AR15+AP15+AP46)))</f>
        <v>13038</v>
      </c>
      <c r="AP15" s="105">
        <f t="shared" si="13"/>
        <v>5725.45</v>
      </c>
      <c r="AQ15" s="105">
        <f t="shared" si="14"/>
        <v>7312.55</v>
      </c>
      <c r="AR15" s="105">
        <f t="shared" si="28"/>
        <v>0</v>
      </c>
      <c r="AS15" s="105">
        <f t="shared" si="23"/>
        <v>0</v>
      </c>
      <c r="AT15" s="105">
        <f t="shared" si="24"/>
        <v>5725.45</v>
      </c>
      <c r="AU15" s="105">
        <f t="shared" si="25"/>
        <v>0</v>
      </c>
      <c r="AV15" s="105">
        <f t="shared" si="26"/>
        <v>0</v>
      </c>
      <c r="AW15" s="105">
        <f t="shared" si="15"/>
        <v>287871.96999999997</v>
      </c>
      <c r="AX15" s="108">
        <f t="shared" si="33"/>
        <v>30</v>
      </c>
      <c r="AY15" s="108">
        <f t="shared" si="16"/>
        <v>30</v>
      </c>
      <c r="AZ15" s="759">
        <f t="shared" si="3"/>
        <v>45528</v>
      </c>
      <c r="BA15" s="108">
        <f t="shared" si="3"/>
        <v>13038</v>
      </c>
      <c r="BC15" s="118">
        <f t="shared" si="4"/>
        <v>300909.96999999997</v>
      </c>
      <c r="BM15" s="620"/>
      <c r="BN15" s="620"/>
      <c r="BO15" s="620"/>
    </row>
    <row r="16" spans="1:67" ht="16.5" customHeight="1" thickBot="1" x14ac:dyDescent="0.3">
      <c r="A16" s="906"/>
      <c r="B16" s="906"/>
      <c r="C16" s="906"/>
      <c r="D16" s="906"/>
      <c r="E16" s="767">
        <f t="shared" si="29"/>
        <v>8</v>
      </c>
      <c r="F16" s="768">
        <f t="shared" si="5"/>
        <v>45559</v>
      </c>
      <c r="G16" s="24">
        <f t="shared" si="6"/>
        <v>13038</v>
      </c>
      <c r="H16" s="24">
        <f t="shared" si="7"/>
        <v>5619.36</v>
      </c>
      <c r="I16" s="24">
        <f t="shared" si="27"/>
        <v>47849.99</v>
      </c>
      <c r="J16" s="24">
        <f t="shared" si="17"/>
        <v>0</v>
      </c>
      <c r="K16" s="24">
        <f t="shared" si="8"/>
        <v>7418.64</v>
      </c>
      <c r="L16" s="24">
        <f t="shared" si="18"/>
        <v>0</v>
      </c>
      <c r="M16" s="24">
        <f t="shared" si="30"/>
        <v>0</v>
      </c>
      <c r="N16" s="24">
        <f t="shared" si="19"/>
        <v>5619.36</v>
      </c>
      <c r="O16" s="24">
        <f t="shared" si="20"/>
        <v>0</v>
      </c>
      <c r="P16" s="24">
        <f t="shared" si="21"/>
        <v>0</v>
      </c>
      <c r="Q16" s="24">
        <f t="shared" si="9"/>
        <v>295524.98999999993</v>
      </c>
      <c r="R16" s="36">
        <f t="shared" si="31"/>
        <v>29</v>
      </c>
      <c r="S16" s="36">
        <f t="shared" si="10"/>
        <v>30</v>
      </c>
      <c r="T16" s="15">
        <v>0.04</v>
      </c>
      <c r="U16" s="15"/>
      <c r="V16" s="15"/>
      <c r="W16" s="15"/>
      <c r="X16" s="15"/>
      <c r="Y16" s="15"/>
      <c r="Z16" s="15"/>
      <c r="AA16" s="15"/>
      <c r="AB16" s="15"/>
      <c r="AC16" s="745"/>
      <c r="AD16" s="15"/>
      <c r="AE16" s="15"/>
      <c r="AF16" s="15"/>
      <c r="AG16" s="15"/>
      <c r="AH16" s="15"/>
      <c r="AI16" s="15"/>
      <c r="AL16" s="130">
        <f t="shared" si="22"/>
        <v>1</v>
      </c>
      <c r="AM16" s="769">
        <f t="shared" si="32"/>
        <v>8</v>
      </c>
      <c r="AN16" s="770">
        <f t="shared" si="12"/>
        <v>45559</v>
      </c>
      <c r="AO16" s="105">
        <f t="shared" ref="AO16:AO36" si="34">IF(AX15=1,AR16+AP16+AQ16,IF(AW15+AR16+AP16&gt;AO15,$D$29,IF(AW15=0,0,AW15+AR16+AP16+AP48)))</f>
        <v>13038</v>
      </c>
      <c r="AP16" s="105">
        <f t="shared" si="13"/>
        <v>5583.62</v>
      </c>
      <c r="AQ16" s="105">
        <f t="shared" si="14"/>
        <v>7454.38</v>
      </c>
      <c r="AR16" s="105">
        <f t="shared" si="28"/>
        <v>0</v>
      </c>
      <c r="AS16" s="105">
        <f t="shared" si="23"/>
        <v>0</v>
      </c>
      <c r="AT16" s="105">
        <f t="shared" si="24"/>
        <v>5583.62</v>
      </c>
      <c r="AU16" s="105">
        <f t="shared" si="25"/>
        <v>0</v>
      </c>
      <c r="AV16" s="105">
        <f t="shared" si="26"/>
        <v>0</v>
      </c>
      <c r="AW16" s="105">
        <f t="shared" si="15"/>
        <v>280417.58999999997</v>
      </c>
      <c r="AX16" s="108">
        <f t="shared" si="33"/>
        <v>29</v>
      </c>
      <c r="AY16" s="108">
        <f t="shared" si="16"/>
        <v>29</v>
      </c>
      <c r="AZ16" s="759">
        <f t="shared" si="3"/>
        <v>45559</v>
      </c>
      <c r="BA16" s="108">
        <f t="shared" si="3"/>
        <v>13038</v>
      </c>
      <c r="BC16" s="118">
        <f t="shared" si="4"/>
        <v>293455.58999999997</v>
      </c>
      <c r="BD16" s="575" t="s">
        <v>368</v>
      </c>
      <c r="BE16" s="571" t="s">
        <v>369</v>
      </c>
      <c r="BF16" s="576" t="s">
        <v>370</v>
      </c>
      <c r="BM16" s="899" t="s">
        <v>432</v>
      </c>
      <c r="BN16" s="900"/>
      <c r="BO16" s="901"/>
    </row>
    <row r="17" spans="1:383" ht="16.5" customHeight="1" thickBot="1" x14ac:dyDescent="0.3">
      <c r="A17" s="920" t="s">
        <v>433</v>
      </c>
      <c r="B17" s="921"/>
      <c r="C17" s="630">
        <f>'Автомобильный (с залогом ТС)'!C11</f>
        <v>0.27900000000000003</v>
      </c>
      <c r="D17" s="630">
        <f>C17</f>
        <v>0.27900000000000003</v>
      </c>
      <c r="E17" s="767">
        <f t="shared" si="29"/>
        <v>9</v>
      </c>
      <c r="F17" s="768">
        <f t="shared" si="5"/>
        <v>45589</v>
      </c>
      <c r="G17" s="24">
        <f t="shared" si="6"/>
        <v>13038</v>
      </c>
      <c r="H17" s="24">
        <f t="shared" si="7"/>
        <v>5304.92</v>
      </c>
      <c r="I17" s="24">
        <f t="shared" si="27"/>
        <v>53154.909999999996</v>
      </c>
      <c r="J17" s="24">
        <f t="shared" si="17"/>
        <v>0</v>
      </c>
      <c r="K17" s="24">
        <f t="shared" si="8"/>
        <v>7733.08</v>
      </c>
      <c r="L17" s="24">
        <f t="shared" si="18"/>
        <v>0</v>
      </c>
      <c r="M17" s="24">
        <f t="shared" si="30"/>
        <v>0</v>
      </c>
      <c r="N17" s="24">
        <f t="shared" si="19"/>
        <v>5304.92</v>
      </c>
      <c r="O17" s="24">
        <f t="shared" si="20"/>
        <v>0</v>
      </c>
      <c r="P17" s="24">
        <f t="shared" si="21"/>
        <v>0</v>
      </c>
      <c r="Q17" s="24">
        <f t="shared" si="9"/>
        <v>287791.90999999992</v>
      </c>
      <c r="R17" s="36">
        <f t="shared" si="31"/>
        <v>28</v>
      </c>
      <c r="S17" s="36">
        <f t="shared" si="10"/>
        <v>29</v>
      </c>
      <c r="T17" s="64">
        <f>Z81/100</f>
        <v>3000</v>
      </c>
      <c r="U17" s="15"/>
      <c r="V17" s="15"/>
      <c r="W17" s="15"/>
      <c r="X17" s="15"/>
      <c r="Y17" s="15"/>
      <c r="Z17" s="15"/>
      <c r="AA17" s="15"/>
      <c r="AB17" s="15"/>
      <c r="AC17" s="745"/>
      <c r="AD17" s="15"/>
      <c r="AE17" s="15"/>
      <c r="AF17" s="15"/>
      <c r="AG17" s="15"/>
      <c r="AH17" s="15"/>
      <c r="AI17" s="15"/>
      <c r="AL17" s="130">
        <f t="shared" si="22"/>
        <v>1</v>
      </c>
      <c r="AM17" s="769">
        <f t="shared" si="32"/>
        <v>9</v>
      </c>
      <c r="AN17" s="770">
        <f t="shared" si="12"/>
        <v>45589</v>
      </c>
      <c r="AO17" s="105">
        <f t="shared" si="34"/>
        <v>13038</v>
      </c>
      <c r="AP17" s="105">
        <f t="shared" si="13"/>
        <v>5263.58</v>
      </c>
      <c r="AQ17" s="105">
        <f t="shared" si="14"/>
        <v>7774.42</v>
      </c>
      <c r="AR17" s="105">
        <f t="shared" si="28"/>
        <v>0</v>
      </c>
      <c r="AS17" s="105">
        <f t="shared" si="23"/>
        <v>0</v>
      </c>
      <c r="AT17" s="105">
        <f t="shared" si="24"/>
        <v>5263.58</v>
      </c>
      <c r="AU17" s="105">
        <f t="shared" si="25"/>
        <v>0</v>
      </c>
      <c r="AV17" s="105">
        <f t="shared" si="26"/>
        <v>0</v>
      </c>
      <c r="AW17" s="105">
        <f t="shared" si="15"/>
        <v>272643.17</v>
      </c>
      <c r="AX17" s="108">
        <f t="shared" si="33"/>
        <v>28</v>
      </c>
      <c r="AY17" s="108">
        <f t="shared" si="16"/>
        <v>28</v>
      </c>
      <c r="AZ17" s="759">
        <f t="shared" si="3"/>
        <v>45589</v>
      </c>
      <c r="BA17" s="108">
        <f t="shared" si="3"/>
        <v>13038</v>
      </c>
      <c r="BC17" s="118">
        <f t="shared" si="4"/>
        <v>285681.17</v>
      </c>
      <c r="BD17" s="583" t="s">
        <v>434</v>
      </c>
      <c r="BE17" s="572" t="s">
        <v>371</v>
      </c>
      <c r="BF17" s="573">
        <v>1.2E-2</v>
      </c>
      <c r="BM17" s="756" t="s">
        <v>418</v>
      </c>
      <c r="BN17" s="757" t="s">
        <v>419</v>
      </c>
      <c r="BO17" s="757" t="s">
        <v>435</v>
      </c>
    </row>
    <row r="18" spans="1:383" ht="16.5" customHeight="1" thickBot="1" x14ac:dyDescent="0.3">
      <c r="A18" s="912" t="s">
        <v>436</v>
      </c>
      <c r="B18" s="913"/>
      <c r="C18" s="632" t="s">
        <v>33</v>
      </c>
      <c r="D18" s="632" t="str">
        <f>C18</f>
        <v>Базовый</v>
      </c>
      <c r="E18" s="767">
        <f t="shared" si="29"/>
        <v>10</v>
      </c>
      <c r="F18" s="768">
        <f t="shared" si="5"/>
        <v>45620</v>
      </c>
      <c r="G18" s="24">
        <f t="shared" si="6"/>
        <v>13038</v>
      </c>
      <c r="H18" s="24">
        <f t="shared" si="7"/>
        <v>5338.3</v>
      </c>
      <c r="I18" s="24">
        <f t="shared" si="27"/>
        <v>58493.21</v>
      </c>
      <c r="J18" s="24">
        <f t="shared" si="17"/>
        <v>0</v>
      </c>
      <c r="K18" s="24">
        <f t="shared" si="8"/>
        <v>7699.7</v>
      </c>
      <c r="L18" s="24">
        <f t="shared" si="18"/>
        <v>0</v>
      </c>
      <c r="M18" s="24">
        <f t="shared" si="30"/>
        <v>0</v>
      </c>
      <c r="N18" s="24">
        <f t="shared" si="19"/>
        <v>5338.3</v>
      </c>
      <c r="O18" s="24">
        <f t="shared" si="20"/>
        <v>0</v>
      </c>
      <c r="P18" s="24">
        <f t="shared" si="21"/>
        <v>0</v>
      </c>
      <c r="Q18" s="24">
        <f t="shared" si="9"/>
        <v>280092.2099999999</v>
      </c>
      <c r="R18" s="36">
        <f t="shared" si="31"/>
        <v>27</v>
      </c>
      <c r="S18" s="36">
        <f t="shared" si="10"/>
        <v>28</v>
      </c>
      <c r="T18" s="15"/>
      <c r="U18" s="15"/>
      <c r="V18" s="15"/>
      <c r="W18" s="15"/>
      <c r="X18" s="15"/>
      <c r="Y18" s="15"/>
      <c r="Z18" s="15"/>
      <c r="AA18" s="15"/>
      <c r="AB18" s="15"/>
      <c r="AC18" s="745"/>
      <c r="AD18" s="15"/>
      <c r="AE18" s="15"/>
      <c r="AF18" s="15"/>
      <c r="AG18" s="15"/>
      <c r="AH18" s="15"/>
      <c r="AI18" s="15"/>
      <c r="AL18" s="130">
        <f t="shared" si="22"/>
        <v>1</v>
      </c>
      <c r="AM18" s="769">
        <f t="shared" si="32"/>
        <v>10</v>
      </c>
      <c r="AN18" s="770">
        <f t="shared" si="12"/>
        <v>45620</v>
      </c>
      <c r="AO18" s="105">
        <f t="shared" si="34"/>
        <v>13038</v>
      </c>
      <c r="AP18" s="105">
        <f t="shared" si="13"/>
        <v>5288.23</v>
      </c>
      <c r="AQ18" s="105">
        <f t="shared" si="14"/>
        <v>7749.77</v>
      </c>
      <c r="AR18" s="105">
        <f t="shared" si="28"/>
        <v>0</v>
      </c>
      <c r="AS18" s="105">
        <f t="shared" si="23"/>
        <v>0</v>
      </c>
      <c r="AT18" s="105">
        <f t="shared" si="24"/>
        <v>5288.23</v>
      </c>
      <c r="AU18" s="105">
        <f t="shared" si="25"/>
        <v>0</v>
      </c>
      <c r="AV18" s="105">
        <f t="shared" si="26"/>
        <v>0</v>
      </c>
      <c r="AW18" s="105">
        <f t="shared" si="15"/>
        <v>264893.39999999997</v>
      </c>
      <c r="AX18" s="108">
        <f t="shared" si="33"/>
        <v>27</v>
      </c>
      <c r="AY18" s="108">
        <f t="shared" si="16"/>
        <v>27</v>
      </c>
      <c r="AZ18" s="759">
        <f t="shared" si="3"/>
        <v>45620</v>
      </c>
      <c r="BA18" s="108">
        <f t="shared" si="3"/>
        <v>13038</v>
      </c>
      <c r="BC18" s="118">
        <f t="shared" si="4"/>
        <v>277931.39999999997</v>
      </c>
      <c r="BD18" s="574" t="s">
        <v>114</v>
      </c>
      <c r="BE18" s="572" t="s">
        <v>372</v>
      </c>
      <c r="BF18" s="573">
        <v>1.2E-2</v>
      </c>
      <c r="BM18" s="765" t="s">
        <v>360</v>
      </c>
      <c r="BN18" s="766" t="s">
        <v>423</v>
      </c>
      <c r="BO18" s="766" t="s">
        <v>429</v>
      </c>
    </row>
    <row r="19" spans="1:383" ht="12.75" customHeight="1" thickBot="1" x14ac:dyDescent="0.3">
      <c r="A19" s="914" t="s">
        <v>437</v>
      </c>
      <c r="B19" s="915"/>
      <c r="C19" s="630">
        <f>IF(C8&lt;&gt;"Нет",C17-6%,C17)</f>
        <v>0.21900000000000003</v>
      </c>
      <c r="D19" s="630">
        <f>D17-5%</f>
        <v>0.22900000000000004</v>
      </c>
      <c r="E19" s="767">
        <f>E18+1</f>
        <v>11</v>
      </c>
      <c r="F19" s="768">
        <f t="shared" si="5"/>
        <v>45650</v>
      </c>
      <c r="G19" s="24">
        <f t="shared" si="6"/>
        <v>13038</v>
      </c>
      <c r="H19" s="24">
        <f t="shared" si="7"/>
        <v>5027.88</v>
      </c>
      <c r="I19" s="24">
        <f t="shared" si="27"/>
        <v>63521.09</v>
      </c>
      <c r="J19" s="24">
        <f t="shared" si="17"/>
        <v>0</v>
      </c>
      <c r="K19" s="24">
        <f t="shared" si="8"/>
        <v>8010.12</v>
      </c>
      <c r="L19" s="24">
        <f t="shared" si="18"/>
        <v>0</v>
      </c>
      <c r="M19" s="24">
        <f>O18-L18</f>
        <v>0</v>
      </c>
      <c r="N19" s="24">
        <f t="shared" si="19"/>
        <v>5027.88</v>
      </c>
      <c r="O19" s="24">
        <f t="shared" si="20"/>
        <v>0</v>
      </c>
      <c r="P19" s="24">
        <f t="shared" si="21"/>
        <v>0</v>
      </c>
      <c r="Q19" s="24">
        <f t="shared" si="9"/>
        <v>272082.08999999991</v>
      </c>
      <c r="R19" s="36">
        <f>IF((R18-1)&lt;0,0,R18-1)</f>
        <v>26</v>
      </c>
      <c r="S19" s="36">
        <f t="shared" si="10"/>
        <v>27</v>
      </c>
      <c r="T19" s="84">
        <v>9.9000000000000005E-2</v>
      </c>
      <c r="U19" s="84">
        <v>7.9000000000000001E-2</v>
      </c>
      <c r="V19" s="84">
        <v>7.9000000000000001E-2</v>
      </c>
      <c r="W19" s="84">
        <v>7.9000000000000001E-2</v>
      </c>
      <c r="X19" s="84">
        <v>7.9000000000000001E-2</v>
      </c>
      <c r="Y19" s="15"/>
      <c r="Z19" s="15"/>
      <c r="AA19" s="15"/>
      <c r="AB19" s="15"/>
      <c r="AC19" s="745"/>
      <c r="AD19" s="15"/>
      <c r="AE19" s="15"/>
      <c r="AF19" s="15"/>
      <c r="AG19" s="15"/>
      <c r="AH19" s="15"/>
      <c r="AI19" s="15"/>
      <c r="AL19" s="130">
        <f t="shared" si="22"/>
        <v>1</v>
      </c>
      <c r="AM19" s="769">
        <f>AM18+1</f>
        <v>11</v>
      </c>
      <c r="AN19" s="770">
        <f t="shared" si="12"/>
        <v>45650</v>
      </c>
      <c r="AO19" s="105">
        <f t="shared" si="34"/>
        <v>13038</v>
      </c>
      <c r="AP19" s="105">
        <f t="shared" si="13"/>
        <v>4972.18</v>
      </c>
      <c r="AQ19" s="105">
        <f t="shared" si="14"/>
        <v>8065.82</v>
      </c>
      <c r="AR19" s="105">
        <f t="shared" si="28"/>
        <v>0</v>
      </c>
      <c r="AS19" s="105">
        <f t="shared" si="23"/>
        <v>0</v>
      </c>
      <c r="AT19" s="105">
        <f t="shared" si="24"/>
        <v>4972.18</v>
      </c>
      <c r="AU19" s="105">
        <f t="shared" si="25"/>
        <v>0</v>
      </c>
      <c r="AV19" s="105">
        <f t="shared" si="26"/>
        <v>0</v>
      </c>
      <c r="AW19" s="105">
        <f t="shared" si="15"/>
        <v>256827.57999999996</v>
      </c>
      <c r="AX19" s="108">
        <f t="shared" si="33"/>
        <v>26</v>
      </c>
      <c r="AY19" s="108">
        <f t="shared" si="16"/>
        <v>26</v>
      </c>
      <c r="AZ19" s="759">
        <f t="shared" si="3"/>
        <v>45650</v>
      </c>
      <c r="BA19" s="108">
        <f t="shared" si="3"/>
        <v>13038</v>
      </c>
      <c r="BC19" s="118">
        <f t="shared" si="4"/>
        <v>269865.57999999996</v>
      </c>
      <c r="BD19" s="574" t="s">
        <v>360</v>
      </c>
      <c r="BE19" s="572" t="s">
        <v>372</v>
      </c>
      <c r="BF19" s="573">
        <v>1.14E-2</v>
      </c>
      <c r="BM19" s="765" t="s">
        <v>424</v>
      </c>
      <c r="BN19" s="771" t="s">
        <v>426</v>
      </c>
      <c r="BO19" s="771" t="s">
        <v>431</v>
      </c>
    </row>
    <row r="20" spans="1:383" ht="21.75" customHeight="1" thickBot="1" x14ac:dyDescent="0.3">
      <c r="A20" s="916" t="s">
        <v>421</v>
      </c>
      <c r="B20" s="917"/>
      <c r="C20" s="630" t="str">
        <f>C8</f>
        <v>ОПТИ_ПакетБВ+ГС_48</v>
      </c>
      <c r="D20" s="630" t="str">
        <f>D8</f>
        <v>ОПТИ_ПакетБВ_36</v>
      </c>
      <c r="E20" s="767">
        <f>E19+1</f>
        <v>12</v>
      </c>
      <c r="F20" s="768">
        <f t="shared" si="5"/>
        <v>45681</v>
      </c>
      <c r="G20" s="24">
        <f t="shared" si="6"/>
        <v>13038</v>
      </c>
      <c r="H20" s="24">
        <f t="shared" si="7"/>
        <v>5057.6000000000004</v>
      </c>
      <c r="I20" s="24">
        <f t="shared" si="27"/>
        <v>68578.69</v>
      </c>
      <c r="J20" s="24">
        <f t="shared" si="17"/>
        <v>0</v>
      </c>
      <c r="K20" s="24">
        <f t="shared" si="8"/>
        <v>7980.4</v>
      </c>
      <c r="L20" s="24">
        <f t="shared" si="18"/>
        <v>0</v>
      </c>
      <c r="M20" s="24">
        <f>O19-L19</f>
        <v>0</v>
      </c>
      <c r="N20" s="24">
        <f t="shared" si="19"/>
        <v>5057.6000000000004</v>
      </c>
      <c r="O20" s="24">
        <f t="shared" si="20"/>
        <v>0</v>
      </c>
      <c r="P20" s="24">
        <f t="shared" si="21"/>
        <v>0</v>
      </c>
      <c r="Q20" s="24">
        <f t="shared" si="9"/>
        <v>264101.68999999989</v>
      </c>
      <c r="R20" s="36">
        <f>IF((R19-1)&lt;0,0,R19-1)</f>
        <v>25</v>
      </c>
      <c r="S20" s="36">
        <f t="shared" si="10"/>
        <v>26</v>
      </c>
      <c r="T20" s="112">
        <v>0</v>
      </c>
      <c r="U20" s="112">
        <v>7.9000000000000001E-2</v>
      </c>
      <c r="V20" s="112">
        <v>7.9000000000000001E-2</v>
      </c>
      <c r="W20" s="112">
        <v>7.9000000000000001E-2</v>
      </c>
      <c r="X20" s="112">
        <v>7.9000000000000001E-2</v>
      </c>
      <c r="Y20" s="112"/>
      <c r="Z20" s="112"/>
      <c r="AA20" s="112"/>
      <c r="AB20" s="112"/>
      <c r="AC20" s="775"/>
      <c r="AD20" s="112"/>
      <c r="AE20" s="112"/>
      <c r="AF20" s="112"/>
      <c r="AG20" s="112"/>
      <c r="AH20" s="112"/>
      <c r="AI20" s="112"/>
      <c r="AJ20" s="113"/>
      <c r="AK20" s="113"/>
      <c r="AL20" s="130">
        <f t="shared" si="22"/>
        <v>1</v>
      </c>
      <c r="AM20" s="773">
        <f>AM19+1</f>
        <v>12</v>
      </c>
      <c r="AN20" s="774">
        <f t="shared" si="12"/>
        <v>45681</v>
      </c>
      <c r="AO20" s="105">
        <f t="shared" si="34"/>
        <v>13038</v>
      </c>
      <c r="AP20" s="105">
        <f t="shared" si="13"/>
        <v>4992.04</v>
      </c>
      <c r="AQ20" s="105">
        <f t="shared" si="14"/>
        <v>8045.96</v>
      </c>
      <c r="AR20" s="105">
        <f>IF(AT20&gt;$D$29,$D$29-AP20,IF(AY20=0,0,AV20)+BN69)</f>
        <v>0</v>
      </c>
      <c r="AS20" s="105">
        <f t="shared" si="23"/>
        <v>0</v>
      </c>
      <c r="AT20" s="105">
        <f t="shared" si="24"/>
        <v>4992.04</v>
      </c>
      <c r="AU20" s="105">
        <f t="shared" si="25"/>
        <v>0</v>
      </c>
      <c r="AV20" s="105">
        <f t="shared" si="26"/>
        <v>0</v>
      </c>
      <c r="AW20" s="105">
        <f t="shared" si="15"/>
        <v>248781.61999999997</v>
      </c>
      <c r="AX20" s="108">
        <f t="shared" si="33"/>
        <v>25</v>
      </c>
      <c r="AY20" s="108">
        <f t="shared" si="16"/>
        <v>25</v>
      </c>
      <c r="AZ20" s="759">
        <f t="shared" si="3"/>
        <v>45681</v>
      </c>
      <c r="BA20" s="108">
        <f t="shared" si="3"/>
        <v>13038</v>
      </c>
      <c r="BC20" s="118">
        <f t="shared" si="4"/>
        <v>261819.61999999997</v>
      </c>
      <c r="BF20" s="62"/>
      <c r="BM20" s="620"/>
      <c r="BN20" s="620"/>
      <c r="BO20" s="620"/>
    </row>
    <row r="21" spans="1:383" ht="16.5" customHeight="1" thickBot="1" x14ac:dyDescent="0.3">
      <c r="A21" s="914" t="s">
        <v>438</v>
      </c>
      <c r="B21" s="918"/>
      <c r="C21" s="633" t="str">
        <f>IF($AA$15 &gt; 0,$AA$15,"Эта ставка с Гарантией не оформляется")</f>
        <v/>
      </c>
      <c r="D21" s="633" t="str">
        <f>IF(AB$15 &gt; 0,AB$15,"Эта ставка с Гарантией не оформляется")</f>
        <v/>
      </c>
      <c r="E21" s="767">
        <f t="shared" si="29"/>
        <v>13</v>
      </c>
      <c r="F21" s="768">
        <f t="shared" si="5"/>
        <v>45712</v>
      </c>
      <c r="G21" s="24">
        <f t="shared" si="6"/>
        <v>13038</v>
      </c>
      <c r="H21" s="24">
        <f t="shared" si="7"/>
        <v>4912.29</v>
      </c>
      <c r="I21" s="24">
        <f t="shared" si="27"/>
        <v>73490.98</v>
      </c>
      <c r="J21" s="24">
        <f t="shared" si="17"/>
        <v>0</v>
      </c>
      <c r="K21" s="24">
        <f t="shared" si="8"/>
        <v>8125.71</v>
      </c>
      <c r="L21" s="24">
        <f t="shared" si="18"/>
        <v>0</v>
      </c>
      <c r="M21" s="24">
        <f t="shared" si="30"/>
        <v>0</v>
      </c>
      <c r="N21" s="24">
        <f t="shared" si="19"/>
        <v>4912.29</v>
      </c>
      <c r="O21" s="24">
        <f t="shared" si="20"/>
        <v>0</v>
      </c>
      <c r="P21" s="24">
        <f t="shared" si="21"/>
        <v>0</v>
      </c>
      <c r="Q21" s="24">
        <f t="shared" si="9"/>
        <v>255975.97999999989</v>
      </c>
      <c r="R21" s="36">
        <f t="shared" si="31"/>
        <v>24</v>
      </c>
      <c r="S21" s="36">
        <f t="shared" si="10"/>
        <v>25</v>
      </c>
      <c r="T21" s="101">
        <v>8.8999999999999996E-2</v>
      </c>
      <c r="U21" s="101">
        <v>8.8999999999999996E-2</v>
      </c>
      <c r="V21" s="101">
        <v>8.8999999999999996E-2</v>
      </c>
      <c r="W21" s="101">
        <v>8.8999999999999996E-2</v>
      </c>
      <c r="X21" s="101">
        <v>8.8999999999999996E-2</v>
      </c>
      <c r="Y21" s="84">
        <v>0.129</v>
      </c>
      <c r="Z21" s="84">
        <v>0.129</v>
      </c>
      <c r="AA21" s="84">
        <v>0.129</v>
      </c>
      <c r="AB21" s="84">
        <v>0.129</v>
      </c>
      <c r="AC21" s="84">
        <v>0.129</v>
      </c>
      <c r="AD21" s="84">
        <v>0.129</v>
      </c>
      <c r="AE21" s="84">
        <v>0.129</v>
      </c>
      <c r="AF21" s="84">
        <v>0.129</v>
      </c>
      <c r="AG21" s="84">
        <v>0.129</v>
      </c>
      <c r="AH21" s="84">
        <v>0.129</v>
      </c>
      <c r="AI21" s="84">
        <v>0.129</v>
      </c>
      <c r="AJ21" s="3"/>
      <c r="AK21" s="3"/>
      <c r="AL21" s="130">
        <f t="shared" si="22"/>
        <v>1</v>
      </c>
      <c r="AM21" s="769">
        <f t="shared" si="32"/>
        <v>13</v>
      </c>
      <c r="AN21" s="770">
        <f t="shared" si="12"/>
        <v>45712</v>
      </c>
      <c r="AO21" s="105">
        <f t="shared" si="34"/>
        <v>13038</v>
      </c>
      <c r="AP21" s="105">
        <f t="shared" si="13"/>
        <v>4838.63</v>
      </c>
      <c r="AQ21" s="105">
        <f t="shared" si="14"/>
        <v>8199.369999999999</v>
      </c>
      <c r="AR21" s="105">
        <f>IF(AT21&gt;$D$29,$D$29-AP21,IF(AY21=0,0,AV21)+BN70)</f>
        <v>0</v>
      </c>
      <c r="AS21" s="105">
        <f t="shared" si="23"/>
        <v>0</v>
      </c>
      <c r="AT21" s="105">
        <f t="shared" si="24"/>
        <v>4838.63</v>
      </c>
      <c r="AU21" s="105">
        <f t="shared" si="25"/>
        <v>0</v>
      </c>
      <c r="AV21" s="105">
        <f t="shared" si="26"/>
        <v>0</v>
      </c>
      <c r="AW21" s="105">
        <f t="shared" si="15"/>
        <v>240582.24999999997</v>
      </c>
      <c r="AX21" s="108">
        <f t="shared" si="33"/>
        <v>24</v>
      </c>
      <c r="AY21" s="108">
        <f t="shared" si="16"/>
        <v>24</v>
      </c>
      <c r="AZ21" s="759">
        <f t="shared" si="3"/>
        <v>45712</v>
      </c>
      <c r="BA21" s="108">
        <f t="shared" si="3"/>
        <v>13038</v>
      </c>
      <c r="BD21" s="2" t="s">
        <v>377</v>
      </c>
      <c r="BK21" s="116"/>
      <c r="BM21" s="899" t="s">
        <v>439</v>
      </c>
      <c r="BN21" s="900"/>
      <c r="BO21" s="901"/>
    </row>
    <row r="22" spans="1:383" ht="16.5" customHeight="1" thickBot="1" x14ac:dyDescent="0.3">
      <c r="A22" s="919" t="s">
        <v>76</v>
      </c>
      <c r="B22" s="634" t="s">
        <v>102</v>
      </c>
      <c r="C22" s="619" t="str">
        <f>'Автомобильный (с залогом ТС)'!C16</f>
        <v>Да</v>
      </c>
      <c r="D22" s="776" t="s">
        <v>35</v>
      </c>
      <c r="E22" s="767">
        <f t="shared" si="29"/>
        <v>14</v>
      </c>
      <c r="F22" s="768">
        <f t="shared" si="5"/>
        <v>45740</v>
      </c>
      <c r="G22" s="24">
        <f t="shared" si="6"/>
        <v>13038</v>
      </c>
      <c r="H22" s="24">
        <f t="shared" si="7"/>
        <v>4300.3999999999996</v>
      </c>
      <c r="I22" s="24">
        <f t="shared" si="27"/>
        <v>77791.37999999999</v>
      </c>
      <c r="J22" s="24">
        <f t="shared" si="17"/>
        <v>0</v>
      </c>
      <c r="K22" s="24">
        <f t="shared" si="8"/>
        <v>8737.6</v>
      </c>
      <c r="L22" s="24">
        <f t="shared" si="18"/>
        <v>0</v>
      </c>
      <c r="M22" s="24">
        <f t="shared" si="30"/>
        <v>0</v>
      </c>
      <c r="N22" s="24">
        <f t="shared" si="19"/>
        <v>4300.3999999999996</v>
      </c>
      <c r="O22" s="24">
        <f t="shared" si="20"/>
        <v>0</v>
      </c>
      <c r="P22" s="24">
        <f t="shared" si="21"/>
        <v>0</v>
      </c>
      <c r="Q22" s="24">
        <f t="shared" si="9"/>
        <v>247238.37999999989</v>
      </c>
      <c r="R22" s="36">
        <f t="shared" si="31"/>
        <v>23</v>
      </c>
      <c r="S22" s="36">
        <f t="shared" si="10"/>
        <v>24</v>
      </c>
      <c r="T22" s="101">
        <f>IF(C17=T4,T23,IF(C17=T5,T23,IF(C17=T6,T24,IF(C17=T7,T24,IF(C17=T8,T25,IF(C17=T9,T26,IF(C17=T10,T26,IF(C17=T11,T26,IF(C17=T12,T27,IF(C17=T13,T26,IF(C17=T14,T27,IF(C17=T15,T27,IF(C17=T16,T27,IF(C17=T17,T27,T23))))))))))))))</f>
        <v>6.9000000000000006E-2</v>
      </c>
      <c r="U22" s="101" t="str">
        <f>IF($D$17=U4,U23,IF($D$17=U5,U23,IF($D$17=U6,U23,IF($D$17=U7,U23,IF($D$17=U8,U24,IF($D$17=U9,U24,IF($D$17=U10,U25,IF($D$17=U11,U26,IF($D$17=U12,U26,"")))))))))</f>
        <v/>
      </c>
      <c r="V22" s="101" t="str">
        <f>IF($D$17=V4,V23,IF($D$17=V5,V23,IF($D$17=V6,V23,IF($D$17=V7,V23,IF($D$17=V8,V24,IF($D$17=V9,V24,IF($D$17=V10,V25,IF($D$17=V11,V26,IF($D$17=V12,V26,"")))))))))</f>
        <v/>
      </c>
      <c r="W22" s="101" t="str">
        <f>IF($D$17=W4,W23,IF($D$17=W5,W23,IF($D$17=W6,W23,IF($D$17=W7,W23,IF($D$17=W8,W24,IF($D$17=W9,W24,IF($D$17=W10,W25,IF($D$17=W11,W26,IF($D$17=W12,W26,"")))))))))</f>
        <v/>
      </c>
      <c r="X22" s="101" t="str">
        <f>IF($D$17=X4,X23,IF($D$17=X5,X23,IF($D$17=X6,X23,IF($D$17=X7,X23,IF($D$17=X8,X24,IF($D$17=X9,X24,IF($D$17=X10,X25,IF($D$17=X11,X26,IF($D$17=X12,X26,"")))))))))</f>
        <v/>
      </c>
      <c r="Y22" s="745"/>
      <c r="Z22" s="745"/>
      <c r="AA22" s="745"/>
      <c r="AB22" s="745"/>
      <c r="AC22" s="745"/>
      <c r="AD22" s="745"/>
      <c r="AE22" s="745"/>
      <c r="AF22" s="745"/>
      <c r="AG22" s="745"/>
      <c r="AH22" s="745"/>
      <c r="AI22" s="745"/>
      <c r="AL22" s="130">
        <f t="shared" si="22"/>
        <v>1</v>
      </c>
      <c r="AM22" s="769">
        <f t="shared" si="32"/>
        <v>14</v>
      </c>
      <c r="AN22" s="770">
        <f t="shared" si="12"/>
        <v>45740</v>
      </c>
      <c r="AO22" s="105">
        <f t="shared" si="34"/>
        <v>13038</v>
      </c>
      <c r="AP22" s="105">
        <f t="shared" si="13"/>
        <v>4226.34</v>
      </c>
      <c r="AQ22" s="105">
        <f t="shared" si="14"/>
        <v>8811.66</v>
      </c>
      <c r="AR22" s="105">
        <f t="shared" ref="AR22:AR85" si="35">IF(AT22&gt;$D$29,$D$29-AP22,IF(AY22=0,0,AV22)+BN71)</f>
        <v>0</v>
      </c>
      <c r="AS22" s="105">
        <f t="shared" si="23"/>
        <v>0</v>
      </c>
      <c r="AT22" s="105">
        <f t="shared" si="24"/>
        <v>4226.34</v>
      </c>
      <c r="AU22" s="105">
        <f t="shared" si="25"/>
        <v>0</v>
      </c>
      <c r="AV22" s="105">
        <f t="shared" si="26"/>
        <v>0</v>
      </c>
      <c r="AW22" s="105">
        <f t="shared" si="15"/>
        <v>231770.58999999997</v>
      </c>
      <c r="AX22" s="108">
        <f t="shared" si="33"/>
        <v>23</v>
      </c>
      <c r="AY22" s="108">
        <f t="shared" si="16"/>
        <v>23</v>
      </c>
      <c r="AZ22" s="759">
        <f t="shared" si="3"/>
        <v>45740</v>
      </c>
      <c r="BA22" s="108">
        <f t="shared" si="3"/>
        <v>13038</v>
      </c>
      <c r="BD22" s="2" t="s">
        <v>434</v>
      </c>
      <c r="BE22" s="2">
        <f>IF(OR(C17=17.9%,C10&lt;=47),8,IF(C17=27.9%,9,10))</f>
        <v>8</v>
      </c>
      <c r="BH22" s="2" t="s">
        <v>360</v>
      </c>
      <c r="BI22" s="2">
        <f>IF(AND(C17=27.9%,C10&lt;=47),5,IF(AND(E17=27.9%,C10&gt;47),6,IF(C10&gt;47,7,6)))</f>
        <v>5</v>
      </c>
      <c r="BM22" s="756" t="s">
        <v>418</v>
      </c>
      <c r="BN22" s="757" t="s">
        <v>419</v>
      </c>
      <c r="BO22" s="757" t="s">
        <v>435</v>
      </c>
    </row>
    <row r="23" spans="1:383" ht="14.4" thickBot="1" x14ac:dyDescent="0.3">
      <c r="A23" s="919"/>
      <c r="B23" s="634" t="s">
        <v>440</v>
      </c>
      <c r="C23" s="636">
        <f>IF(C22="Нет",$X$60,IF(C8&lt;&gt;"Нет",$V$13,$U$13))</f>
        <v>0.14899999999999999</v>
      </c>
      <c r="D23" s="636" t="str">
        <f>IF(D22="Нет",$X$60,IF(D8="Максимум",$V$13,$U$13))</f>
        <v>Услуга не подключается</v>
      </c>
      <c r="E23" s="767">
        <f t="shared" si="29"/>
        <v>15</v>
      </c>
      <c r="F23" s="768">
        <f t="shared" si="5"/>
        <v>45771</v>
      </c>
      <c r="G23" s="24">
        <f t="shared" si="6"/>
        <v>13038</v>
      </c>
      <c r="H23" s="24">
        <f t="shared" si="7"/>
        <v>4598.63</v>
      </c>
      <c r="I23" s="24">
        <f t="shared" si="27"/>
        <v>82390.009999999995</v>
      </c>
      <c r="J23" s="24">
        <f t="shared" si="17"/>
        <v>0</v>
      </c>
      <c r="K23" s="24">
        <f t="shared" si="8"/>
        <v>8439.369999999999</v>
      </c>
      <c r="L23" s="24">
        <f t="shared" si="18"/>
        <v>0</v>
      </c>
      <c r="M23" s="24">
        <f t="shared" si="30"/>
        <v>0</v>
      </c>
      <c r="N23" s="24">
        <f t="shared" si="19"/>
        <v>4598.63</v>
      </c>
      <c r="O23" s="24">
        <f t="shared" si="20"/>
        <v>0</v>
      </c>
      <c r="P23" s="24">
        <f t="shared" si="21"/>
        <v>0</v>
      </c>
      <c r="Q23" s="24">
        <f t="shared" si="9"/>
        <v>238799.00999999989</v>
      </c>
      <c r="R23" s="36">
        <f t="shared" si="31"/>
        <v>22</v>
      </c>
      <c r="S23" s="36">
        <f t="shared" si="10"/>
        <v>23</v>
      </c>
      <c r="T23" s="84">
        <v>8.9999999999999993E-3</v>
      </c>
      <c r="U23" s="84">
        <v>8.9999999999999993E-3</v>
      </c>
      <c r="V23" s="84">
        <v>8.9999999999999993E-3</v>
      </c>
      <c r="W23" s="84">
        <v>8.9999999999999993E-3</v>
      </c>
      <c r="X23" s="84">
        <v>8.9999999999999993E-3</v>
      </c>
      <c r="Y23" s="745"/>
      <c r="Z23" s="745"/>
      <c r="AA23" s="745"/>
      <c r="AB23" s="745"/>
      <c r="AC23" s="745"/>
      <c r="AD23" s="745"/>
      <c r="AE23" s="745"/>
      <c r="AF23" s="745"/>
      <c r="AG23" s="745"/>
      <c r="AH23" s="745"/>
      <c r="AI23" s="745"/>
      <c r="AL23" s="130">
        <f t="shared" si="22"/>
        <v>1</v>
      </c>
      <c r="AM23" s="769">
        <f t="shared" si="32"/>
        <v>15</v>
      </c>
      <c r="AN23" s="770">
        <f t="shared" si="12"/>
        <v>45771</v>
      </c>
      <c r="AO23" s="105">
        <f t="shared" si="34"/>
        <v>13038</v>
      </c>
      <c r="AP23" s="105">
        <f t="shared" si="13"/>
        <v>4507.78</v>
      </c>
      <c r="AQ23" s="105">
        <f t="shared" si="14"/>
        <v>8530.2200000000012</v>
      </c>
      <c r="AR23" s="105">
        <f t="shared" si="35"/>
        <v>0</v>
      </c>
      <c r="AS23" s="105">
        <f t="shared" si="23"/>
        <v>0</v>
      </c>
      <c r="AT23" s="105">
        <f t="shared" si="24"/>
        <v>4507.78</v>
      </c>
      <c r="AU23" s="105">
        <f t="shared" si="25"/>
        <v>0</v>
      </c>
      <c r="AV23" s="105">
        <f t="shared" si="26"/>
        <v>0</v>
      </c>
      <c r="AW23" s="105">
        <f t="shared" si="15"/>
        <v>223240.36999999997</v>
      </c>
      <c r="AX23" s="108">
        <f t="shared" si="33"/>
        <v>22</v>
      </c>
      <c r="AY23" s="108">
        <f t="shared" si="16"/>
        <v>22</v>
      </c>
      <c r="AZ23" s="759">
        <f t="shared" si="3"/>
        <v>45771</v>
      </c>
      <c r="BA23" s="108">
        <f t="shared" si="3"/>
        <v>13038</v>
      </c>
      <c r="BD23" s="16" t="s">
        <v>373</v>
      </c>
      <c r="BE23" s="637">
        <f>(C7+C12+C25)/(1-BF17*BE22)</f>
        <v>352321.90265486727</v>
      </c>
      <c r="BF23" s="16"/>
      <c r="BG23" s="16"/>
      <c r="BH23" s="16" t="s">
        <v>373</v>
      </c>
      <c r="BI23" s="143">
        <f>(C7+C12)/(1-BF19*BI22)</f>
        <v>321844.11452810181</v>
      </c>
      <c r="BM23" s="765" t="s">
        <v>360</v>
      </c>
      <c r="BN23" s="766" t="s">
        <v>423</v>
      </c>
      <c r="BO23" s="766" t="s">
        <v>429</v>
      </c>
    </row>
    <row r="24" spans="1:383" ht="16.5" customHeight="1" thickBot="1" x14ac:dyDescent="0.3">
      <c r="A24" s="919"/>
      <c r="B24" s="634" t="s">
        <v>441</v>
      </c>
      <c r="C24" s="638">
        <v>0.05</v>
      </c>
      <c r="D24" s="638"/>
      <c r="E24" s="767">
        <f t="shared" si="29"/>
        <v>16</v>
      </c>
      <c r="F24" s="768">
        <f t="shared" si="5"/>
        <v>45801</v>
      </c>
      <c r="G24" s="24">
        <f t="shared" si="6"/>
        <v>13038</v>
      </c>
      <c r="H24" s="24">
        <f t="shared" si="7"/>
        <v>4298.38</v>
      </c>
      <c r="I24" s="24">
        <f t="shared" si="27"/>
        <v>86688.39</v>
      </c>
      <c r="J24" s="24">
        <f t="shared" si="17"/>
        <v>0</v>
      </c>
      <c r="K24" s="24">
        <f t="shared" si="8"/>
        <v>8739.619999999999</v>
      </c>
      <c r="L24" s="24">
        <f t="shared" si="18"/>
        <v>0</v>
      </c>
      <c r="M24" s="24">
        <f t="shared" si="30"/>
        <v>0</v>
      </c>
      <c r="N24" s="24">
        <f t="shared" si="19"/>
        <v>4298.38</v>
      </c>
      <c r="O24" s="24">
        <f t="shared" si="20"/>
        <v>0</v>
      </c>
      <c r="P24" s="24">
        <f t="shared" si="21"/>
        <v>0</v>
      </c>
      <c r="Q24" s="24">
        <f t="shared" si="9"/>
        <v>230059.3899999999</v>
      </c>
      <c r="R24" s="36">
        <f t="shared" si="31"/>
        <v>21</v>
      </c>
      <c r="S24" s="36">
        <f t="shared" si="10"/>
        <v>22</v>
      </c>
      <c r="T24" s="84">
        <v>1.9E-2</v>
      </c>
      <c r="U24" s="84">
        <v>1.9E-2</v>
      </c>
      <c r="V24" s="84">
        <v>1.9E-2</v>
      </c>
      <c r="W24" s="84">
        <v>1.9E-2</v>
      </c>
      <c r="X24" s="84">
        <v>1.9E-2</v>
      </c>
      <c r="Y24" s="15">
        <v>4.9000000000000002E-2</v>
      </c>
      <c r="Z24" s="15">
        <v>4.9000000000000002E-2</v>
      </c>
      <c r="AA24" s="15">
        <v>4.9000000000000002E-2</v>
      </c>
      <c r="AB24" s="15">
        <v>4.9000000000000002E-2</v>
      </c>
      <c r="AC24" s="80">
        <v>6.9000000000000006E-2</v>
      </c>
      <c r="AD24" s="80">
        <v>6.9000000000000006E-2</v>
      </c>
      <c r="AE24" s="80">
        <v>6.9000000000000006E-2</v>
      </c>
      <c r="AF24" s="80">
        <v>6.9000000000000006E-2</v>
      </c>
      <c r="AG24" s="80">
        <v>6.9000000000000006E-2</v>
      </c>
      <c r="AH24" s="80">
        <v>6.9000000000000006E-2</v>
      </c>
      <c r="AI24" s="80">
        <v>6.9000000000000006E-2</v>
      </c>
      <c r="AL24" s="130">
        <f t="shared" si="22"/>
        <v>1</v>
      </c>
      <c r="AM24" s="769">
        <f t="shared" si="32"/>
        <v>16</v>
      </c>
      <c r="AN24" s="770">
        <f t="shared" si="12"/>
        <v>45801</v>
      </c>
      <c r="AO24" s="105">
        <f t="shared" si="34"/>
        <v>13038</v>
      </c>
      <c r="AP24" s="105">
        <f t="shared" si="13"/>
        <v>4201.8100000000004</v>
      </c>
      <c r="AQ24" s="105">
        <f t="shared" si="14"/>
        <v>8836.1899999999987</v>
      </c>
      <c r="AR24" s="105">
        <f t="shared" si="35"/>
        <v>0</v>
      </c>
      <c r="AS24" s="105">
        <f t="shared" si="23"/>
        <v>0</v>
      </c>
      <c r="AT24" s="105">
        <f t="shared" si="24"/>
        <v>4201.8100000000004</v>
      </c>
      <c r="AU24" s="105">
        <f t="shared" si="25"/>
        <v>0</v>
      </c>
      <c r="AV24" s="105">
        <f t="shared" si="26"/>
        <v>0</v>
      </c>
      <c r="AW24" s="105">
        <f t="shared" si="15"/>
        <v>214404.17999999996</v>
      </c>
      <c r="AX24" s="108">
        <f t="shared" si="33"/>
        <v>21</v>
      </c>
      <c r="AY24" s="108">
        <f t="shared" si="16"/>
        <v>21</v>
      </c>
      <c r="AZ24" s="759">
        <f t="shared" si="3"/>
        <v>45801</v>
      </c>
      <c r="BA24" s="108">
        <f t="shared" si="3"/>
        <v>13038</v>
      </c>
      <c r="BD24" s="16" t="s">
        <v>374</v>
      </c>
      <c r="BE24" s="143">
        <f>BE23*BF17*BE22</f>
        <v>33822.902654867255</v>
      </c>
      <c r="BF24" s="16"/>
      <c r="BG24" s="16"/>
      <c r="BH24" s="16" t="s">
        <v>374</v>
      </c>
      <c r="BI24" s="143">
        <f>BI23*BF19*BI22</f>
        <v>18345.114528101803</v>
      </c>
      <c r="BM24" s="765" t="s">
        <v>424</v>
      </c>
      <c r="BN24" s="771" t="s">
        <v>426</v>
      </c>
      <c r="BO24" s="771" t="s">
        <v>431</v>
      </c>
    </row>
    <row r="25" spans="1:383" ht="16.5" customHeight="1" x14ac:dyDescent="0.25">
      <c r="A25" s="919"/>
      <c r="B25" s="634" t="s">
        <v>442</v>
      </c>
      <c r="C25" s="639">
        <f>IF(C23&lt;&gt;X60,IF(C22="Нет",0,ROUND($C$7*C24,2)),0)</f>
        <v>15000</v>
      </c>
      <c r="D25" s="639"/>
      <c r="E25" s="767">
        <f t="shared" si="29"/>
        <v>17</v>
      </c>
      <c r="F25" s="768">
        <f t="shared" si="5"/>
        <v>45832</v>
      </c>
      <c r="G25" s="24">
        <f t="shared" si="6"/>
        <v>13038</v>
      </c>
      <c r="H25" s="24">
        <f t="shared" si="7"/>
        <v>4279.1000000000004</v>
      </c>
      <c r="I25" s="24">
        <f t="shared" si="27"/>
        <v>90967.49</v>
      </c>
      <c r="J25" s="24">
        <f t="shared" si="17"/>
        <v>0</v>
      </c>
      <c r="K25" s="24">
        <f t="shared" si="8"/>
        <v>8758.9</v>
      </c>
      <c r="L25" s="24">
        <f t="shared" si="18"/>
        <v>0</v>
      </c>
      <c r="M25" s="24">
        <f t="shared" si="30"/>
        <v>0</v>
      </c>
      <c r="N25" s="24">
        <f t="shared" si="19"/>
        <v>4279.1000000000004</v>
      </c>
      <c r="O25" s="24">
        <f t="shared" si="20"/>
        <v>0</v>
      </c>
      <c r="P25" s="24">
        <f t="shared" si="21"/>
        <v>0</v>
      </c>
      <c r="Q25" s="24">
        <f t="shared" si="9"/>
        <v>221300.4899999999</v>
      </c>
      <c r="R25" s="36">
        <f t="shared" si="31"/>
        <v>20</v>
      </c>
      <c r="S25" s="36">
        <f t="shared" si="10"/>
        <v>21</v>
      </c>
      <c r="T25" s="122">
        <v>2.9000000000000001E-2</v>
      </c>
      <c r="U25" s="122">
        <v>2.9000000000000001E-2</v>
      </c>
      <c r="V25" s="122">
        <v>2.9000000000000001E-2</v>
      </c>
      <c r="W25" s="122">
        <v>2.9000000000000001E-2</v>
      </c>
      <c r="X25" s="122">
        <v>2.9000000000000001E-2</v>
      </c>
      <c r="Y25" s="777"/>
      <c r="Z25" s="777"/>
      <c r="AA25" s="777"/>
      <c r="AB25" s="777"/>
      <c r="AC25" s="777"/>
      <c r="AD25" s="777"/>
      <c r="AE25" s="777"/>
      <c r="AF25" s="777"/>
      <c r="AG25" s="777"/>
      <c r="AH25" s="777"/>
      <c r="AI25" s="777"/>
      <c r="AJ25" s="116"/>
      <c r="AK25" s="116"/>
      <c r="AL25" s="130">
        <f t="shared" si="22"/>
        <v>1</v>
      </c>
      <c r="AM25" s="778">
        <f t="shared" si="32"/>
        <v>17</v>
      </c>
      <c r="AN25" s="774">
        <f t="shared" si="12"/>
        <v>45832</v>
      </c>
      <c r="AO25" s="105">
        <f t="shared" si="34"/>
        <v>13038</v>
      </c>
      <c r="AP25" s="105">
        <f t="shared" si="13"/>
        <v>4170.01</v>
      </c>
      <c r="AQ25" s="105">
        <f t="shared" si="14"/>
        <v>8867.99</v>
      </c>
      <c r="AR25" s="105">
        <f t="shared" si="35"/>
        <v>0</v>
      </c>
      <c r="AS25" s="105">
        <f t="shared" si="23"/>
        <v>0</v>
      </c>
      <c r="AT25" s="105">
        <f t="shared" si="24"/>
        <v>4170.01</v>
      </c>
      <c r="AU25" s="105">
        <f t="shared" si="25"/>
        <v>0</v>
      </c>
      <c r="AV25" s="105">
        <f t="shared" si="26"/>
        <v>0</v>
      </c>
      <c r="AW25" s="105">
        <f t="shared" si="15"/>
        <v>205536.18999999997</v>
      </c>
      <c r="AX25" s="108">
        <f t="shared" si="33"/>
        <v>20</v>
      </c>
      <c r="AY25" s="108">
        <f t="shared" si="16"/>
        <v>20</v>
      </c>
      <c r="AZ25" s="759">
        <f t="shared" si="3"/>
        <v>45832</v>
      </c>
      <c r="BA25" s="108">
        <f t="shared" si="3"/>
        <v>13038</v>
      </c>
      <c r="BD25" s="16"/>
      <c r="BE25" s="16"/>
      <c r="BF25" s="16"/>
      <c r="BG25" s="16"/>
      <c r="BH25" s="16"/>
      <c r="BI25" s="16"/>
      <c r="BJ25" s="16"/>
      <c r="BK25" s="16"/>
      <c r="BL25" s="16"/>
    </row>
    <row r="26" spans="1:383" ht="16.5" customHeight="1" x14ac:dyDescent="0.25">
      <c r="A26" s="919"/>
      <c r="B26" s="634" t="s">
        <v>443</v>
      </c>
      <c r="C26" s="639">
        <f>IF(AND($C$23&lt;&gt;X60,C22="Да"),H160-H160/C19*C23,0)</f>
        <v>43650.35388127857</v>
      </c>
      <c r="D26" s="640"/>
      <c r="E26" s="767">
        <f t="shared" si="29"/>
        <v>18</v>
      </c>
      <c r="F26" s="768">
        <f t="shared" si="5"/>
        <v>45862</v>
      </c>
      <c r="G26" s="24">
        <f t="shared" si="6"/>
        <v>13038</v>
      </c>
      <c r="H26" s="24">
        <f t="shared" si="7"/>
        <v>3983.41</v>
      </c>
      <c r="I26" s="24">
        <f t="shared" si="27"/>
        <v>94950.900000000009</v>
      </c>
      <c r="J26" s="24">
        <f t="shared" si="17"/>
        <v>0</v>
      </c>
      <c r="K26" s="24">
        <f t="shared" si="8"/>
        <v>9054.59</v>
      </c>
      <c r="L26" s="24">
        <f t="shared" si="18"/>
        <v>0</v>
      </c>
      <c r="M26" s="24">
        <f t="shared" si="30"/>
        <v>0</v>
      </c>
      <c r="N26" s="24">
        <f t="shared" si="19"/>
        <v>3983.41</v>
      </c>
      <c r="O26" s="24">
        <f t="shared" si="20"/>
        <v>0</v>
      </c>
      <c r="P26" s="24">
        <f t="shared" si="21"/>
        <v>0</v>
      </c>
      <c r="Q26" s="24">
        <f t="shared" si="9"/>
        <v>212245.89999999991</v>
      </c>
      <c r="R26" s="36">
        <f t="shared" si="31"/>
        <v>19</v>
      </c>
      <c r="S26" s="36">
        <f t="shared" si="10"/>
        <v>20</v>
      </c>
      <c r="T26" s="84">
        <v>4.9000000000000002E-2</v>
      </c>
      <c r="U26" s="84">
        <v>4.9000000000000002E-2</v>
      </c>
      <c r="V26" s="84">
        <v>4.9000000000000002E-2</v>
      </c>
      <c r="W26" s="84">
        <v>4.9000000000000002E-2</v>
      </c>
      <c r="X26" s="84">
        <v>4.9000000000000002E-2</v>
      </c>
      <c r="Y26" s="745"/>
      <c r="Z26" s="745"/>
      <c r="AA26" s="745"/>
      <c r="AB26" s="745"/>
      <c r="AC26" s="745"/>
      <c r="AD26" s="745"/>
      <c r="AE26" s="745"/>
      <c r="AF26" s="745"/>
      <c r="AG26" s="745"/>
      <c r="AH26" s="745"/>
      <c r="AI26" s="745"/>
      <c r="AL26" s="130">
        <f t="shared" si="22"/>
        <v>1</v>
      </c>
      <c r="AM26" s="769">
        <f t="shared" si="32"/>
        <v>18</v>
      </c>
      <c r="AN26" s="770">
        <f t="shared" si="12"/>
        <v>45862</v>
      </c>
      <c r="AO26" s="105">
        <f t="shared" si="34"/>
        <v>13038</v>
      </c>
      <c r="AP26" s="105">
        <f t="shared" si="13"/>
        <v>3868.59</v>
      </c>
      <c r="AQ26" s="105">
        <f t="shared" si="14"/>
        <v>9169.41</v>
      </c>
      <c r="AR26" s="105">
        <f t="shared" si="35"/>
        <v>0</v>
      </c>
      <c r="AS26" s="105">
        <f t="shared" si="23"/>
        <v>0</v>
      </c>
      <c r="AT26" s="105">
        <f t="shared" si="24"/>
        <v>3868.59</v>
      </c>
      <c r="AU26" s="105">
        <f t="shared" si="25"/>
        <v>0</v>
      </c>
      <c r="AV26" s="105">
        <f t="shared" si="26"/>
        <v>0</v>
      </c>
      <c r="AW26" s="105">
        <f t="shared" si="15"/>
        <v>196366.77999999997</v>
      </c>
      <c r="AX26" s="108">
        <f t="shared" si="33"/>
        <v>19</v>
      </c>
      <c r="AY26" s="108">
        <f t="shared" si="16"/>
        <v>19</v>
      </c>
      <c r="AZ26" s="759">
        <f t="shared" si="3"/>
        <v>45862</v>
      </c>
      <c r="BA26" s="108">
        <f t="shared" si="3"/>
        <v>13038</v>
      </c>
      <c r="BB26" s="97"/>
      <c r="BC26" s="97"/>
      <c r="BD26" s="16"/>
      <c r="BE26" s="16"/>
      <c r="BF26" s="16"/>
      <c r="BG26" s="16"/>
      <c r="BH26" s="16"/>
      <c r="BI26" s="16"/>
      <c r="BJ26" s="16"/>
      <c r="BK26" s="16"/>
      <c r="BL26" s="16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97"/>
      <c r="DW26" s="97"/>
      <c r="DX26" s="97"/>
      <c r="DY26" s="97"/>
      <c r="DZ26" s="97"/>
      <c r="EA26" s="97"/>
      <c r="EB26" s="97"/>
      <c r="EC26" s="97"/>
      <c r="ED26" s="97"/>
      <c r="EE26" s="97"/>
      <c r="EF26" s="97"/>
      <c r="EG26" s="97"/>
      <c r="EH26" s="97"/>
      <c r="EI26" s="97"/>
      <c r="EJ26" s="97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97"/>
      <c r="FC26" s="97"/>
      <c r="FD26" s="97"/>
      <c r="FE26" s="97"/>
      <c r="FF26" s="97"/>
      <c r="FG26" s="97"/>
      <c r="FH26" s="97"/>
      <c r="FI26" s="97"/>
      <c r="FJ26" s="97"/>
      <c r="FK26" s="97"/>
      <c r="FL26" s="97"/>
      <c r="FM26" s="97"/>
      <c r="FN26" s="97"/>
      <c r="FO26" s="97"/>
      <c r="FP26" s="97"/>
      <c r="FQ26" s="97"/>
      <c r="FR26" s="97"/>
      <c r="FS26" s="97"/>
      <c r="FT26" s="97"/>
      <c r="FU26" s="97"/>
      <c r="FV26" s="97"/>
      <c r="FW26" s="97"/>
      <c r="FX26" s="97"/>
      <c r="FY26" s="97"/>
      <c r="FZ26" s="97"/>
      <c r="GA26" s="97"/>
      <c r="GB26" s="97"/>
      <c r="GC26" s="97"/>
      <c r="GD26" s="97"/>
      <c r="GE26" s="97"/>
      <c r="GF26" s="97"/>
      <c r="GG26" s="97"/>
      <c r="GH26" s="97"/>
      <c r="GI26" s="97"/>
      <c r="GJ26" s="97"/>
      <c r="GK26" s="97"/>
      <c r="GL26" s="97"/>
      <c r="GM26" s="97"/>
      <c r="GN26" s="97"/>
      <c r="GO26" s="97"/>
      <c r="GP26" s="97"/>
      <c r="GQ26" s="97"/>
      <c r="GR26" s="97"/>
      <c r="GS26" s="97"/>
      <c r="GT26" s="97"/>
      <c r="GU26" s="97"/>
      <c r="GV26" s="97"/>
      <c r="GW26" s="97"/>
      <c r="GX26" s="97"/>
      <c r="GY26" s="97"/>
      <c r="GZ26" s="97"/>
      <c r="HA26" s="97"/>
      <c r="HB26" s="97"/>
      <c r="HC26" s="97"/>
      <c r="HD26" s="97"/>
      <c r="HE26" s="97"/>
      <c r="HF26" s="97"/>
      <c r="HG26" s="97"/>
      <c r="HH26" s="97"/>
      <c r="HI26" s="97"/>
      <c r="HJ26" s="97"/>
      <c r="HK26" s="97"/>
      <c r="HL26" s="97"/>
      <c r="HM26" s="97"/>
      <c r="HN26" s="97"/>
      <c r="HO26" s="97"/>
      <c r="HP26" s="97"/>
      <c r="HQ26" s="97"/>
      <c r="HR26" s="97"/>
      <c r="HS26" s="97"/>
      <c r="HT26" s="97"/>
      <c r="HU26" s="97"/>
      <c r="HV26" s="97"/>
      <c r="HW26" s="97"/>
      <c r="HX26" s="97"/>
      <c r="HY26" s="97"/>
      <c r="HZ26" s="97"/>
      <c r="IA26" s="97"/>
      <c r="IB26" s="97"/>
      <c r="IC26" s="97"/>
      <c r="ID26" s="97"/>
      <c r="IE26" s="97"/>
      <c r="IF26" s="97"/>
      <c r="IG26" s="97"/>
      <c r="IH26" s="97"/>
      <c r="II26" s="97"/>
      <c r="IJ26" s="97"/>
      <c r="IK26" s="97"/>
      <c r="IL26" s="97"/>
      <c r="IM26" s="97"/>
      <c r="IN26" s="97"/>
      <c r="IO26" s="97"/>
      <c r="IP26" s="97"/>
      <c r="IQ26" s="97"/>
      <c r="IR26" s="97"/>
      <c r="IS26" s="97"/>
      <c r="IT26" s="97"/>
      <c r="IU26" s="97"/>
      <c r="IV26" s="97"/>
      <c r="IW26" s="97"/>
      <c r="IX26" s="97"/>
      <c r="IY26" s="97"/>
      <c r="IZ26" s="97"/>
      <c r="JA26" s="97"/>
      <c r="JB26" s="97"/>
      <c r="JC26" s="97"/>
      <c r="JD26" s="97"/>
      <c r="JE26" s="97"/>
      <c r="JF26" s="97"/>
      <c r="JG26" s="97"/>
      <c r="JH26" s="97"/>
      <c r="JI26" s="97"/>
      <c r="JJ26" s="97"/>
      <c r="JK26" s="97"/>
      <c r="JL26" s="97"/>
      <c r="JM26" s="97"/>
      <c r="JN26" s="97"/>
      <c r="JO26" s="97"/>
      <c r="JP26" s="97"/>
      <c r="JQ26" s="97"/>
      <c r="JR26" s="97"/>
      <c r="JS26" s="97"/>
      <c r="JT26" s="97"/>
      <c r="JU26" s="97"/>
      <c r="JV26" s="97"/>
      <c r="JW26" s="97"/>
      <c r="JX26" s="97"/>
      <c r="JY26" s="97"/>
      <c r="JZ26" s="97"/>
      <c r="KA26" s="97"/>
      <c r="KB26" s="97"/>
      <c r="KC26" s="97"/>
      <c r="KD26" s="97"/>
      <c r="KE26" s="97"/>
      <c r="KF26" s="97"/>
      <c r="KG26" s="97"/>
      <c r="KH26" s="97"/>
      <c r="KI26" s="97"/>
      <c r="KJ26" s="97"/>
      <c r="KK26" s="97"/>
      <c r="KL26" s="97"/>
      <c r="KM26" s="97"/>
      <c r="KN26" s="97"/>
      <c r="KO26" s="97"/>
      <c r="KP26" s="97"/>
      <c r="KQ26" s="97"/>
      <c r="KR26" s="97"/>
      <c r="KS26" s="97"/>
      <c r="KT26" s="97"/>
      <c r="KU26" s="97"/>
      <c r="KV26" s="97"/>
      <c r="KW26" s="97"/>
      <c r="KX26" s="97"/>
      <c r="KY26" s="97"/>
      <c r="KZ26" s="97"/>
      <c r="LA26" s="97"/>
      <c r="LB26" s="97"/>
      <c r="LC26" s="97"/>
      <c r="LD26" s="97"/>
      <c r="LE26" s="97"/>
      <c r="LF26" s="97"/>
      <c r="LG26" s="97"/>
      <c r="LH26" s="97"/>
      <c r="LI26" s="97"/>
      <c r="LJ26" s="97"/>
      <c r="LK26" s="97"/>
      <c r="LL26" s="97"/>
      <c r="LM26" s="97"/>
      <c r="LN26" s="97"/>
      <c r="LO26" s="97"/>
      <c r="LP26" s="97"/>
      <c r="LQ26" s="97"/>
      <c r="LR26" s="97"/>
      <c r="LS26" s="97"/>
      <c r="LT26" s="97"/>
      <c r="LU26" s="97"/>
      <c r="LV26" s="97"/>
      <c r="LW26" s="97"/>
      <c r="LX26" s="97"/>
      <c r="LY26" s="97"/>
      <c r="LZ26" s="97"/>
      <c r="MA26" s="97"/>
      <c r="MB26" s="97"/>
      <c r="MC26" s="97"/>
      <c r="MD26" s="97"/>
      <c r="ME26" s="97"/>
      <c r="MF26" s="97"/>
      <c r="MG26" s="97"/>
      <c r="MH26" s="97"/>
      <c r="MI26" s="97"/>
      <c r="MJ26" s="97"/>
      <c r="MK26" s="97"/>
      <c r="ML26" s="97"/>
      <c r="MM26" s="97"/>
      <c r="MN26" s="97"/>
      <c r="MO26" s="97"/>
      <c r="MP26" s="97"/>
      <c r="MQ26" s="97"/>
      <c r="MR26" s="97"/>
      <c r="MS26" s="97"/>
      <c r="MT26" s="97"/>
      <c r="MU26" s="97"/>
      <c r="MV26" s="97"/>
      <c r="MW26" s="97"/>
      <c r="MX26" s="97"/>
      <c r="MY26" s="97"/>
      <c r="MZ26" s="97"/>
      <c r="NA26" s="97"/>
      <c r="NB26" s="97"/>
      <c r="NC26" s="97"/>
      <c r="ND26" s="97"/>
      <c r="NE26" s="97"/>
      <c r="NF26" s="97"/>
      <c r="NG26" s="97"/>
      <c r="NH26" s="97"/>
      <c r="NI26" s="97"/>
      <c r="NJ26" s="97"/>
      <c r="NK26" s="97"/>
      <c r="NL26" s="97"/>
      <c r="NM26" s="97"/>
      <c r="NN26" s="97"/>
      <c r="NO26" s="97"/>
      <c r="NP26" s="97"/>
      <c r="NQ26" s="97"/>
      <c r="NR26" s="97"/>
      <c r="NS26" s="97"/>
    </row>
    <row r="27" spans="1:383" ht="22.5" customHeight="1" x14ac:dyDescent="0.25">
      <c r="A27" s="919"/>
      <c r="B27" s="641" t="s">
        <v>444</v>
      </c>
      <c r="C27" s="642">
        <f>IF(AND($C$23&lt;&gt;X60,J160&gt;0),C26-J160,C26)</f>
        <v>24476.103881278661</v>
      </c>
      <c r="D27" s="643"/>
      <c r="E27" s="767">
        <f t="shared" si="29"/>
        <v>19</v>
      </c>
      <c r="F27" s="768">
        <f t="shared" si="5"/>
        <v>45893</v>
      </c>
      <c r="G27" s="24">
        <f t="shared" si="6"/>
        <v>13038</v>
      </c>
      <c r="H27" s="24">
        <f t="shared" si="7"/>
        <v>3947.77</v>
      </c>
      <c r="I27" s="24">
        <f t="shared" si="27"/>
        <v>98898.670000000013</v>
      </c>
      <c r="J27" s="24">
        <f t="shared" si="17"/>
        <v>0</v>
      </c>
      <c r="K27" s="24">
        <f t="shared" si="8"/>
        <v>9090.23</v>
      </c>
      <c r="L27" s="24">
        <f t="shared" si="18"/>
        <v>0</v>
      </c>
      <c r="M27" s="24">
        <f t="shared" si="30"/>
        <v>0</v>
      </c>
      <c r="N27" s="24">
        <f t="shared" si="19"/>
        <v>3947.77</v>
      </c>
      <c r="O27" s="24">
        <f t="shared" si="20"/>
        <v>0</v>
      </c>
      <c r="P27" s="24">
        <f t="shared" si="21"/>
        <v>0</v>
      </c>
      <c r="Q27" s="24">
        <f t="shared" si="9"/>
        <v>203155.6699999999</v>
      </c>
      <c r="R27" s="36">
        <f t="shared" si="31"/>
        <v>18</v>
      </c>
      <c r="S27" s="36">
        <f t="shared" si="10"/>
        <v>19</v>
      </c>
      <c r="T27" s="84">
        <v>6.9000000000000006E-2</v>
      </c>
      <c r="U27" s="84">
        <v>6.9000000000000006E-2</v>
      </c>
      <c r="V27" s="84">
        <v>6.9000000000000006E-2</v>
      </c>
      <c r="W27" s="84">
        <v>6.9000000000000006E-2</v>
      </c>
      <c r="X27" s="84">
        <v>6.9000000000000006E-2</v>
      </c>
      <c r="Y27" s="745"/>
      <c r="Z27" s="745"/>
      <c r="AA27" s="745"/>
      <c r="AB27" s="745"/>
      <c r="AC27" s="745"/>
      <c r="AD27" s="745"/>
      <c r="AE27" s="745"/>
      <c r="AF27" s="745"/>
      <c r="AG27" s="745"/>
      <c r="AH27" s="745"/>
      <c r="AI27" s="745"/>
      <c r="AL27" s="130">
        <f t="shared" si="22"/>
        <v>1</v>
      </c>
      <c r="AM27" s="769">
        <f t="shared" si="32"/>
        <v>19</v>
      </c>
      <c r="AN27" s="770">
        <f t="shared" si="12"/>
        <v>45893</v>
      </c>
      <c r="AO27" s="105">
        <f t="shared" si="34"/>
        <v>13038</v>
      </c>
      <c r="AP27" s="105">
        <f t="shared" si="13"/>
        <v>3819.2</v>
      </c>
      <c r="AQ27" s="105">
        <f t="shared" si="14"/>
        <v>9218.7999999999993</v>
      </c>
      <c r="AR27" s="105">
        <f t="shared" si="35"/>
        <v>0</v>
      </c>
      <c r="AS27" s="105">
        <f t="shared" si="23"/>
        <v>0</v>
      </c>
      <c r="AT27" s="105">
        <f t="shared" si="24"/>
        <v>3819.2</v>
      </c>
      <c r="AU27" s="105">
        <f t="shared" si="25"/>
        <v>0</v>
      </c>
      <c r="AV27" s="105">
        <f t="shared" si="26"/>
        <v>0</v>
      </c>
      <c r="AW27" s="105">
        <f t="shared" si="15"/>
        <v>187147.97999999998</v>
      </c>
      <c r="AX27" s="108">
        <f t="shared" si="33"/>
        <v>18</v>
      </c>
      <c r="AY27" s="108">
        <f t="shared" si="16"/>
        <v>18</v>
      </c>
      <c r="AZ27" s="759">
        <f t="shared" si="3"/>
        <v>45893</v>
      </c>
      <c r="BA27" s="108">
        <f t="shared" si="3"/>
        <v>13038</v>
      </c>
      <c r="BF27" s="16"/>
      <c r="BG27" s="16"/>
      <c r="BJ27" s="16"/>
    </row>
    <row r="28" spans="1:383" ht="22.5" customHeight="1" x14ac:dyDescent="0.25">
      <c r="A28" s="907" t="str">
        <f>IF(AND($C$8&lt;&gt;"Нет",$D$8&lt;&gt;"Нет",$C$11&lt;&gt;"Нет"),"Сумма кредита с учетом страховой премии и 
комиссии за пакет услуг Всё под контролем, руб.",IF(AND($C$8&lt;&gt;"Нет",$D$8&lt;&gt;"Нет",$C$11&lt;&gt;"Да"),"Сумма кредита с учетом страховой премии, руб.",IF(AND($D$8&lt;&gt;"Нет",$C$11&lt;&gt;"Нет"),"Сумма кредита с учетом комиссии за пакет услуг Всё под контролем, руб.","Сумма кредита, руб.")))</f>
        <v>Сумма кредита с учетом страховой премии и 
комиссии за пакет услуг Всё под контролем, руб.</v>
      </c>
      <c r="B28" s="908"/>
      <c r="C28" s="644">
        <f>C7+C32+IF(C22="Да",C25,0)+IF(C11="Да",C12,0)</f>
        <v>351979</v>
      </c>
      <c r="D28" s="644">
        <f>D7+D32+IF(D11="Да",D12,0)</f>
        <v>336979</v>
      </c>
      <c r="E28" s="767">
        <f t="shared" si="29"/>
        <v>20</v>
      </c>
      <c r="F28" s="768">
        <f t="shared" si="5"/>
        <v>45924</v>
      </c>
      <c r="G28" s="24">
        <f t="shared" si="6"/>
        <v>13038</v>
      </c>
      <c r="H28" s="24">
        <f t="shared" si="7"/>
        <v>3778.7</v>
      </c>
      <c r="I28" s="24">
        <f t="shared" si="27"/>
        <v>102677.37000000001</v>
      </c>
      <c r="J28" s="24">
        <f t="shared" si="17"/>
        <v>0</v>
      </c>
      <c r="K28" s="24">
        <f t="shared" si="8"/>
        <v>9259.2999999999993</v>
      </c>
      <c r="L28" s="24">
        <f t="shared" si="18"/>
        <v>0</v>
      </c>
      <c r="M28" s="24">
        <f t="shared" si="30"/>
        <v>0</v>
      </c>
      <c r="N28" s="24">
        <f t="shared" si="19"/>
        <v>3778.7</v>
      </c>
      <c r="O28" s="24">
        <f t="shared" si="20"/>
        <v>0</v>
      </c>
      <c r="P28" s="24">
        <f t="shared" si="21"/>
        <v>0</v>
      </c>
      <c r="Q28" s="24">
        <f t="shared" si="9"/>
        <v>193896.36999999991</v>
      </c>
      <c r="R28" s="36">
        <f t="shared" si="31"/>
        <v>17</v>
      </c>
      <c r="S28" s="36">
        <f t="shared" si="10"/>
        <v>18</v>
      </c>
      <c r="T28" s="2">
        <v>1</v>
      </c>
      <c r="U28" s="2">
        <v>1</v>
      </c>
      <c r="V28" s="3">
        <v>1</v>
      </c>
      <c r="W28" s="2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81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L28" s="130">
        <f t="shared" si="22"/>
        <v>1</v>
      </c>
      <c r="AM28" s="769">
        <f t="shared" si="32"/>
        <v>20</v>
      </c>
      <c r="AN28" s="770">
        <f t="shared" si="12"/>
        <v>45924</v>
      </c>
      <c r="AO28" s="105">
        <f t="shared" si="34"/>
        <v>13038</v>
      </c>
      <c r="AP28" s="105">
        <f t="shared" si="13"/>
        <v>3639.9</v>
      </c>
      <c r="AQ28" s="105">
        <f t="shared" si="14"/>
        <v>9398.1</v>
      </c>
      <c r="AR28" s="105">
        <f t="shared" si="35"/>
        <v>0</v>
      </c>
      <c r="AS28" s="105">
        <f t="shared" si="23"/>
        <v>0</v>
      </c>
      <c r="AT28" s="105">
        <f t="shared" si="24"/>
        <v>3639.9</v>
      </c>
      <c r="AU28" s="105">
        <f t="shared" si="25"/>
        <v>0</v>
      </c>
      <c r="AV28" s="105">
        <f t="shared" si="26"/>
        <v>0</v>
      </c>
      <c r="AW28" s="105">
        <f t="shared" si="15"/>
        <v>177749.87999999998</v>
      </c>
      <c r="AX28" s="108">
        <f t="shared" si="33"/>
        <v>17</v>
      </c>
      <c r="AY28" s="108">
        <f t="shared" si="16"/>
        <v>17</v>
      </c>
      <c r="AZ28" s="759">
        <f t="shared" si="3"/>
        <v>45924</v>
      </c>
      <c r="BA28" s="108">
        <f t="shared" si="3"/>
        <v>13038</v>
      </c>
      <c r="BD28" s="16"/>
      <c r="BE28" s="143"/>
      <c r="BF28" s="16"/>
      <c r="BG28" s="16"/>
      <c r="BH28" s="16"/>
      <c r="BI28" s="143"/>
      <c r="BJ28" s="16"/>
      <c r="BK28" s="16"/>
      <c r="BL28" s="143"/>
    </row>
    <row r="29" spans="1:383" ht="26.25" customHeight="1" x14ac:dyDescent="0.25">
      <c r="A29" s="907" t="str">
        <f>IF(AND($C$8&lt;&gt;"Нет",$D$8&lt;&gt;"Нет",$C$11&lt;&gt;"Нет"),"Платеж с учетом страховой премии и 
комиссии за пакет услуг Всё под контролем, руб.",IF(AND($C$8&lt;&gt;"Нет",$D$8&lt;&gt;"Нет",$C$11&lt;&gt;"Да"),"Платеж с учетом страховой премии, руб.",IF(AND($D$8&lt;&gt;"Нет",$C$11&lt;&gt;"Нет"),"Платеж с учетом  комиссии за пакет услуг Всё под контролем, руб.","Платеж, руб.")))</f>
        <v>Платеж с учетом страховой премии и 
комиссии за пакет услуг Всё под контролем, руб.</v>
      </c>
      <c r="B29" s="908"/>
      <c r="C29" s="645">
        <f>IF(AND(C8="Нет",C22="Нет"),ROUNDUP(AB55/$AE$47,0)*$AE$47,D29)</f>
        <v>13038</v>
      </c>
      <c r="D29" s="646">
        <f>ROUNDUP(AD$55/$AE$47,0)*$AE$47</f>
        <v>13038</v>
      </c>
      <c r="E29" s="767">
        <f t="shared" si="29"/>
        <v>21</v>
      </c>
      <c r="F29" s="768">
        <f t="shared" si="5"/>
        <v>45954</v>
      </c>
      <c r="G29" s="24">
        <f t="shared" si="6"/>
        <v>13038</v>
      </c>
      <c r="H29" s="24">
        <f t="shared" si="7"/>
        <v>3490.13</v>
      </c>
      <c r="I29" s="24">
        <f t="shared" si="27"/>
        <v>106167.50000000001</v>
      </c>
      <c r="J29" s="24">
        <f t="shared" si="17"/>
        <v>0</v>
      </c>
      <c r="K29" s="24">
        <f t="shared" si="8"/>
        <v>9547.869999999999</v>
      </c>
      <c r="L29" s="24">
        <f t="shared" si="18"/>
        <v>0</v>
      </c>
      <c r="M29" s="24">
        <f t="shared" si="30"/>
        <v>0</v>
      </c>
      <c r="N29" s="24">
        <f t="shared" si="19"/>
        <v>3490.13</v>
      </c>
      <c r="O29" s="24">
        <f t="shared" si="20"/>
        <v>0</v>
      </c>
      <c r="P29" s="24">
        <f t="shared" si="21"/>
        <v>0</v>
      </c>
      <c r="Q29" s="24">
        <f t="shared" si="9"/>
        <v>184348.49999999991</v>
      </c>
      <c r="R29" s="36">
        <f t="shared" si="31"/>
        <v>16</v>
      </c>
      <c r="S29" s="36">
        <f t="shared" si="10"/>
        <v>17</v>
      </c>
      <c r="AB29" s="82"/>
      <c r="AC29" s="2"/>
      <c r="AD29" s="2"/>
      <c r="AE29" s="2"/>
      <c r="AF29" s="3"/>
      <c r="AG29" s="3"/>
      <c r="AH29" s="3"/>
      <c r="AI29" s="3"/>
      <c r="AL29" s="130">
        <f t="shared" si="22"/>
        <v>1</v>
      </c>
      <c r="AM29" s="769">
        <f t="shared" si="32"/>
        <v>21</v>
      </c>
      <c r="AN29" s="770">
        <f t="shared" si="12"/>
        <v>45954</v>
      </c>
      <c r="AO29" s="105">
        <f t="shared" si="34"/>
        <v>13038</v>
      </c>
      <c r="AP29" s="105">
        <f t="shared" si="13"/>
        <v>3345.59</v>
      </c>
      <c r="AQ29" s="105">
        <f t="shared" si="14"/>
        <v>9692.41</v>
      </c>
      <c r="AR29" s="105">
        <f t="shared" si="35"/>
        <v>0</v>
      </c>
      <c r="AS29" s="105">
        <f t="shared" si="23"/>
        <v>0</v>
      </c>
      <c r="AT29" s="105">
        <f t="shared" si="24"/>
        <v>3345.59</v>
      </c>
      <c r="AU29" s="105">
        <f t="shared" si="25"/>
        <v>0</v>
      </c>
      <c r="AV29" s="105">
        <f t="shared" si="26"/>
        <v>0</v>
      </c>
      <c r="AW29" s="105">
        <f t="shared" si="15"/>
        <v>168057.46999999997</v>
      </c>
      <c r="AX29" s="108">
        <f t="shared" si="33"/>
        <v>16</v>
      </c>
      <c r="AY29" s="108">
        <f t="shared" si="16"/>
        <v>16</v>
      </c>
      <c r="AZ29" s="759">
        <f t="shared" si="3"/>
        <v>45954</v>
      </c>
      <c r="BA29" s="108">
        <f t="shared" si="3"/>
        <v>13038</v>
      </c>
      <c r="BD29" s="16"/>
      <c r="BE29" s="143"/>
      <c r="BF29" s="16"/>
      <c r="BG29" s="16"/>
      <c r="BH29" s="16"/>
      <c r="BI29" s="143"/>
      <c r="BJ29" s="16"/>
      <c r="BK29" s="16"/>
      <c r="BL29" s="143"/>
    </row>
    <row r="30" spans="1:383" ht="25.5" customHeight="1" x14ac:dyDescent="0.25">
      <c r="A30" s="909" t="s">
        <v>445</v>
      </c>
      <c r="B30" s="910"/>
      <c r="C30" s="647">
        <v>12</v>
      </c>
      <c r="D30" s="647">
        <f>IF(D8="нет",0,12)</f>
        <v>12</v>
      </c>
      <c r="E30" s="767">
        <f t="shared" si="29"/>
        <v>22</v>
      </c>
      <c r="F30" s="768">
        <f t="shared" si="5"/>
        <v>45985</v>
      </c>
      <c r="G30" s="24">
        <f t="shared" si="6"/>
        <v>13038</v>
      </c>
      <c r="H30" s="24">
        <f t="shared" si="7"/>
        <v>3428.88</v>
      </c>
      <c r="I30" s="24">
        <f t="shared" si="27"/>
        <v>109596.38000000002</v>
      </c>
      <c r="J30" s="24">
        <f t="shared" si="17"/>
        <v>0</v>
      </c>
      <c r="K30" s="24">
        <f t="shared" si="8"/>
        <v>9609.119999999999</v>
      </c>
      <c r="L30" s="24">
        <f t="shared" si="18"/>
        <v>0</v>
      </c>
      <c r="M30" s="24">
        <f t="shared" si="30"/>
        <v>0</v>
      </c>
      <c r="N30" s="24">
        <f t="shared" si="19"/>
        <v>3428.88</v>
      </c>
      <c r="O30" s="24">
        <f t="shared" si="20"/>
        <v>0</v>
      </c>
      <c r="P30" s="24">
        <f t="shared" si="21"/>
        <v>0</v>
      </c>
      <c r="Q30" s="24">
        <f t="shared" si="9"/>
        <v>174739.37999999992</v>
      </c>
      <c r="R30" s="36">
        <f t="shared" si="31"/>
        <v>15</v>
      </c>
      <c r="S30" s="36">
        <f t="shared" si="10"/>
        <v>16</v>
      </c>
      <c r="T30" s="2">
        <v>0</v>
      </c>
      <c r="U30" s="2">
        <v>1</v>
      </c>
      <c r="V30" s="2">
        <v>2</v>
      </c>
      <c r="W30" s="2">
        <v>3</v>
      </c>
      <c r="X30" s="2">
        <v>4</v>
      </c>
      <c r="Y30" s="13"/>
      <c r="Z30" s="13" t="s">
        <v>47</v>
      </c>
      <c r="AA30" s="2" t="s">
        <v>35</v>
      </c>
      <c r="AB30" s="82" t="s">
        <v>35</v>
      </c>
      <c r="AC30" s="2" t="s">
        <v>35</v>
      </c>
      <c r="AD30" s="2" t="s">
        <v>35</v>
      </c>
      <c r="AE30" s="2" t="s">
        <v>35</v>
      </c>
      <c r="AH30" s="2"/>
      <c r="AL30" s="130">
        <f t="shared" si="22"/>
        <v>1</v>
      </c>
      <c r="AM30" s="769">
        <f t="shared" si="32"/>
        <v>22</v>
      </c>
      <c r="AN30" s="770">
        <f t="shared" si="12"/>
        <v>45985</v>
      </c>
      <c r="AO30" s="105">
        <f t="shared" si="34"/>
        <v>13038</v>
      </c>
      <c r="AP30" s="105">
        <f t="shared" si="13"/>
        <v>3268.6</v>
      </c>
      <c r="AQ30" s="105">
        <f t="shared" si="14"/>
        <v>9769.4</v>
      </c>
      <c r="AR30" s="105">
        <f t="shared" si="35"/>
        <v>0</v>
      </c>
      <c r="AS30" s="105">
        <f t="shared" si="23"/>
        <v>0</v>
      </c>
      <c r="AT30" s="105">
        <f t="shared" si="24"/>
        <v>3268.6</v>
      </c>
      <c r="AU30" s="105">
        <f t="shared" si="25"/>
        <v>0</v>
      </c>
      <c r="AV30" s="105">
        <f t="shared" si="26"/>
        <v>0</v>
      </c>
      <c r="AW30" s="105">
        <f t="shared" si="15"/>
        <v>158288.06999999998</v>
      </c>
      <c r="AX30" s="108">
        <f t="shared" si="33"/>
        <v>15</v>
      </c>
      <c r="AY30" s="108">
        <f t="shared" si="16"/>
        <v>15</v>
      </c>
      <c r="AZ30" s="759">
        <f t="shared" si="3"/>
        <v>45985</v>
      </c>
      <c r="BA30" s="108">
        <f t="shared" si="3"/>
        <v>13038</v>
      </c>
    </row>
    <row r="31" spans="1:383" ht="21" customHeight="1" x14ac:dyDescent="0.25">
      <c r="A31" s="909" t="s">
        <v>100</v>
      </c>
      <c r="B31" s="911"/>
      <c r="C31" s="649">
        <f>AH66</f>
        <v>9.2999999999999992E-3</v>
      </c>
      <c r="D31" s="649"/>
      <c r="E31" s="767">
        <f t="shared" si="29"/>
        <v>23</v>
      </c>
      <c r="F31" s="768">
        <f t="shared" si="5"/>
        <v>46015</v>
      </c>
      <c r="G31" s="24">
        <f t="shared" si="6"/>
        <v>13038</v>
      </c>
      <c r="H31" s="24">
        <f t="shared" si="7"/>
        <v>3145.31</v>
      </c>
      <c r="I31" s="24">
        <f t="shared" si="27"/>
        <v>112741.69000000002</v>
      </c>
      <c r="J31" s="24">
        <f t="shared" si="17"/>
        <v>0</v>
      </c>
      <c r="K31" s="24">
        <f t="shared" si="8"/>
        <v>9892.69</v>
      </c>
      <c r="L31" s="24">
        <f t="shared" si="18"/>
        <v>0</v>
      </c>
      <c r="M31" s="24">
        <f t="shared" si="30"/>
        <v>0</v>
      </c>
      <c r="N31" s="24">
        <f t="shared" si="19"/>
        <v>3145.31</v>
      </c>
      <c r="O31" s="24">
        <f t="shared" si="20"/>
        <v>0</v>
      </c>
      <c r="P31" s="24">
        <f t="shared" si="21"/>
        <v>0</v>
      </c>
      <c r="Q31" s="24">
        <f t="shared" si="9"/>
        <v>164846.68999999992</v>
      </c>
      <c r="R31" s="36">
        <f t="shared" si="31"/>
        <v>14</v>
      </c>
      <c r="S31" s="36">
        <f t="shared" si="10"/>
        <v>15</v>
      </c>
      <c r="Y31" s="13" t="s">
        <v>79</v>
      </c>
      <c r="Z31" s="15">
        <v>0.03</v>
      </c>
      <c r="AA31" s="15">
        <v>0</v>
      </c>
      <c r="AB31" s="2">
        <v>0</v>
      </c>
      <c r="AC31" s="2">
        <v>0</v>
      </c>
      <c r="AD31" s="2">
        <v>0</v>
      </c>
      <c r="AE31" s="2"/>
      <c r="AH31" s="2"/>
      <c r="AK31" s="57"/>
      <c r="AL31" s="130">
        <f t="shared" si="22"/>
        <v>1</v>
      </c>
      <c r="AM31" s="769">
        <f t="shared" si="32"/>
        <v>23</v>
      </c>
      <c r="AN31" s="770">
        <f t="shared" si="12"/>
        <v>46015</v>
      </c>
      <c r="AO31" s="105">
        <f t="shared" si="34"/>
        <v>13038</v>
      </c>
      <c r="AP31" s="105">
        <f t="shared" si="13"/>
        <v>2979.29</v>
      </c>
      <c r="AQ31" s="105">
        <f t="shared" si="14"/>
        <v>10058.709999999999</v>
      </c>
      <c r="AR31" s="105">
        <f t="shared" si="35"/>
        <v>0</v>
      </c>
      <c r="AS31" s="105">
        <f t="shared" si="23"/>
        <v>0</v>
      </c>
      <c r="AT31" s="105">
        <f t="shared" si="24"/>
        <v>2979.29</v>
      </c>
      <c r="AU31" s="105">
        <f t="shared" si="25"/>
        <v>0</v>
      </c>
      <c r="AV31" s="105">
        <f t="shared" si="26"/>
        <v>0</v>
      </c>
      <c r="AW31" s="105">
        <f t="shared" si="15"/>
        <v>148229.35999999999</v>
      </c>
      <c r="AX31" s="108">
        <f t="shared" si="33"/>
        <v>14</v>
      </c>
      <c r="AY31" s="108">
        <f t="shared" si="16"/>
        <v>14</v>
      </c>
      <c r="AZ31" s="759">
        <f t="shared" si="3"/>
        <v>46015</v>
      </c>
      <c r="BA31" s="108">
        <f t="shared" si="3"/>
        <v>13038</v>
      </c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116"/>
      <c r="FX31" s="116"/>
      <c r="FY31" s="116"/>
      <c r="FZ31" s="116"/>
      <c r="GA31" s="116"/>
      <c r="GB31" s="116"/>
      <c r="GC31" s="116"/>
      <c r="GD31" s="116"/>
      <c r="GE31" s="116"/>
      <c r="GF31" s="116"/>
      <c r="GG31" s="116"/>
      <c r="GH31" s="116"/>
      <c r="GI31" s="116"/>
      <c r="GJ31" s="116"/>
      <c r="GK31" s="116"/>
      <c r="GL31" s="116"/>
      <c r="GM31" s="116"/>
      <c r="GN31" s="116"/>
      <c r="GO31" s="116"/>
      <c r="GP31" s="116"/>
      <c r="GQ31" s="116"/>
      <c r="GR31" s="116"/>
      <c r="GS31" s="116"/>
      <c r="GT31" s="116"/>
      <c r="GU31" s="116"/>
      <c r="GV31" s="116"/>
      <c r="GW31" s="116"/>
      <c r="GX31" s="116"/>
      <c r="GY31" s="116"/>
      <c r="GZ31" s="116"/>
      <c r="HA31" s="116"/>
      <c r="HB31" s="116"/>
      <c r="HC31" s="116"/>
      <c r="HD31" s="116"/>
      <c r="HE31" s="116"/>
      <c r="HF31" s="116"/>
      <c r="HG31" s="116"/>
      <c r="HH31" s="116"/>
      <c r="HI31" s="116"/>
      <c r="HJ31" s="116"/>
      <c r="HK31" s="116"/>
      <c r="HL31" s="116"/>
      <c r="HM31" s="116"/>
      <c r="HN31" s="116"/>
      <c r="HO31" s="116"/>
      <c r="HP31" s="116"/>
      <c r="HQ31" s="116"/>
      <c r="HR31" s="116"/>
      <c r="HS31" s="116"/>
      <c r="HT31" s="116"/>
      <c r="HU31" s="116"/>
      <c r="HV31" s="116"/>
      <c r="HW31" s="116"/>
      <c r="HX31" s="116"/>
      <c r="HY31" s="116"/>
      <c r="HZ31" s="116"/>
      <c r="IA31" s="116"/>
      <c r="IB31" s="116"/>
      <c r="IC31" s="116"/>
      <c r="ID31" s="116"/>
      <c r="IE31" s="116"/>
      <c r="IF31" s="116"/>
      <c r="IG31" s="116"/>
      <c r="IH31" s="116"/>
      <c r="II31" s="116"/>
      <c r="IJ31" s="116"/>
      <c r="IK31" s="116"/>
      <c r="IL31" s="116"/>
      <c r="IM31" s="116"/>
      <c r="IN31" s="116"/>
      <c r="IO31" s="116"/>
      <c r="IP31" s="116"/>
      <c r="IQ31" s="116"/>
      <c r="IR31" s="116"/>
      <c r="IS31" s="116"/>
      <c r="IT31" s="116"/>
      <c r="IU31" s="116"/>
      <c r="IV31" s="116"/>
      <c r="IW31" s="116"/>
      <c r="IX31" s="116"/>
      <c r="IY31" s="116"/>
      <c r="IZ31" s="116"/>
      <c r="JA31" s="116"/>
      <c r="JB31" s="116"/>
      <c r="JC31" s="116"/>
      <c r="JD31" s="116"/>
      <c r="JE31" s="116"/>
      <c r="JF31" s="116"/>
      <c r="JG31" s="116"/>
      <c r="JH31" s="116"/>
      <c r="JI31" s="116"/>
      <c r="JJ31" s="116"/>
      <c r="JK31" s="116"/>
      <c r="JL31" s="116"/>
      <c r="JM31" s="116"/>
      <c r="JN31" s="116"/>
      <c r="JO31" s="116"/>
      <c r="JP31" s="116"/>
      <c r="JQ31" s="116"/>
      <c r="JR31" s="116"/>
      <c r="JS31" s="116"/>
      <c r="JT31" s="116"/>
      <c r="JU31" s="116"/>
      <c r="JV31" s="116"/>
      <c r="JW31" s="116"/>
      <c r="JX31" s="116"/>
      <c r="JY31" s="116"/>
      <c r="JZ31" s="116"/>
      <c r="KA31" s="116"/>
      <c r="KB31" s="116"/>
      <c r="KC31" s="116"/>
      <c r="KD31" s="116"/>
      <c r="KE31" s="116"/>
      <c r="KF31" s="116"/>
      <c r="KG31" s="116"/>
      <c r="KH31" s="116"/>
      <c r="KI31" s="116"/>
      <c r="KJ31" s="116"/>
      <c r="KK31" s="116"/>
      <c r="KL31" s="116"/>
      <c r="KM31" s="116"/>
      <c r="KN31" s="116"/>
      <c r="KO31" s="116"/>
      <c r="KP31" s="116"/>
      <c r="KQ31" s="116"/>
      <c r="KR31" s="116"/>
      <c r="KS31" s="116"/>
      <c r="KT31" s="116"/>
      <c r="KU31" s="116"/>
      <c r="KV31" s="116"/>
      <c r="KW31" s="116"/>
      <c r="KX31" s="116"/>
      <c r="KY31" s="116"/>
      <c r="KZ31" s="116"/>
      <c r="LA31" s="116"/>
      <c r="LB31" s="116"/>
      <c r="LC31" s="116"/>
      <c r="LD31" s="116"/>
      <c r="LE31" s="116"/>
      <c r="LF31" s="116"/>
      <c r="LG31" s="116"/>
      <c r="LH31" s="116"/>
      <c r="LI31" s="116"/>
      <c r="LJ31" s="116"/>
      <c r="LK31" s="116"/>
      <c r="LL31" s="116"/>
      <c r="LM31" s="116"/>
      <c r="LN31" s="116"/>
      <c r="LO31" s="116"/>
      <c r="LP31" s="116"/>
      <c r="LQ31" s="116"/>
      <c r="LR31" s="116"/>
      <c r="LS31" s="116"/>
      <c r="LT31" s="116"/>
      <c r="LU31" s="116"/>
      <c r="LV31" s="116"/>
      <c r="LW31" s="116"/>
      <c r="LX31" s="116"/>
      <c r="LY31" s="116"/>
      <c r="LZ31" s="116"/>
      <c r="MA31" s="116"/>
      <c r="MB31" s="116"/>
      <c r="MC31" s="116"/>
      <c r="MD31" s="116"/>
      <c r="ME31" s="116"/>
      <c r="MF31" s="116"/>
      <c r="MG31" s="116"/>
      <c r="MH31" s="116"/>
      <c r="MI31" s="116"/>
      <c r="MJ31" s="116"/>
      <c r="MK31" s="116"/>
      <c r="ML31" s="116"/>
      <c r="MM31" s="116"/>
      <c r="MN31" s="116"/>
      <c r="MO31" s="116"/>
      <c r="MP31" s="116"/>
      <c r="MQ31" s="116"/>
      <c r="MR31" s="116"/>
      <c r="MS31" s="116"/>
      <c r="MT31" s="116"/>
      <c r="MU31" s="116"/>
      <c r="MV31" s="116"/>
      <c r="MW31" s="116"/>
      <c r="MX31" s="116"/>
      <c r="MY31" s="116"/>
      <c r="MZ31" s="116"/>
      <c r="NA31" s="116"/>
      <c r="NB31" s="116"/>
      <c r="NC31" s="116"/>
      <c r="ND31" s="116"/>
      <c r="NE31" s="116"/>
      <c r="NF31" s="116"/>
      <c r="NG31" s="116"/>
    </row>
    <row r="32" spans="1:383" ht="18.75" customHeight="1" x14ac:dyDescent="0.25">
      <c r="A32" s="909" t="s">
        <v>446</v>
      </c>
      <c r="B32" s="911"/>
      <c r="C32" s="650">
        <f>IF(C8="нет",0,AH67)</f>
        <v>33479.999999999993</v>
      </c>
      <c r="D32" s="650">
        <f>AH67</f>
        <v>33479.999999999993</v>
      </c>
      <c r="E32" s="767">
        <f t="shared" si="29"/>
        <v>24</v>
      </c>
      <c r="F32" s="768">
        <f t="shared" si="5"/>
        <v>46046</v>
      </c>
      <c r="G32" s="24">
        <f t="shared" si="6"/>
        <v>13038</v>
      </c>
      <c r="H32" s="24">
        <f t="shared" si="7"/>
        <v>3066.15</v>
      </c>
      <c r="I32" s="24">
        <f t="shared" si="27"/>
        <v>115807.84000000001</v>
      </c>
      <c r="J32" s="24">
        <f t="shared" si="17"/>
        <v>0</v>
      </c>
      <c r="K32" s="24">
        <f t="shared" si="8"/>
        <v>9971.85</v>
      </c>
      <c r="L32" s="24">
        <f t="shared" si="18"/>
        <v>0</v>
      </c>
      <c r="M32" s="24">
        <f t="shared" si="30"/>
        <v>0</v>
      </c>
      <c r="N32" s="24">
        <f t="shared" si="19"/>
        <v>3066.15</v>
      </c>
      <c r="O32" s="24">
        <f t="shared" si="20"/>
        <v>0</v>
      </c>
      <c r="P32" s="24">
        <f t="shared" si="21"/>
        <v>0</v>
      </c>
      <c r="Q32" s="24">
        <f t="shared" si="9"/>
        <v>154874.83999999991</v>
      </c>
      <c r="R32" s="36">
        <f t="shared" si="31"/>
        <v>13</v>
      </c>
      <c r="S32" s="36">
        <f t="shared" si="10"/>
        <v>14</v>
      </c>
      <c r="T32" s="16"/>
      <c r="U32" s="16"/>
      <c r="V32" s="57"/>
      <c r="Y32" s="13" t="s">
        <v>80</v>
      </c>
      <c r="Z32" s="15">
        <f>IF(D18=T3,T22,IF(D18=V3,V22,IF(D18=W3,W22,IF(D18=X3,X22,IF(D18=U3,U22,)))))</f>
        <v>6.9000000000000006E-2</v>
      </c>
      <c r="AA32" s="15">
        <v>0</v>
      </c>
      <c r="AB32" s="15"/>
      <c r="AC32" s="2"/>
      <c r="AD32" s="2"/>
      <c r="AE32" s="2"/>
      <c r="AH32" s="2"/>
      <c r="AK32" s="16"/>
      <c r="AL32" s="130">
        <f t="shared" si="22"/>
        <v>1</v>
      </c>
      <c r="AM32" s="769">
        <f t="shared" si="32"/>
        <v>24</v>
      </c>
      <c r="AN32" s="770">
        <f t="shared" si="12"/>
        <v>46046</v>
      </c>
      <c r="AO32" s="105">
        <f t="shared" si="34"/>
        <v>13038</v>
      </c>
      <c r="AP32" s="105">
        <f t="shared" si="13"/>
        <v>2882.96</v>
      </c>
      <c r="AQ32" s="105">
        <f t="shared" si="14"/>
        <v>10155.040000000001</v>
      </c>
      <c r="AR32" s="105">
        <f t="shared" si="35"/>
        <v>0</v>
      </c>
      <c r="AS32" s="105">
        <f t="shared" si="23"/>
        <v>0</v>
      </c>
      <c r="AT32" s="105">
        <f t="shared" si="24"/>
        <v>2882.96</v>
      </c>
      <c r="AU32" s="105">
        <f t="shared" si="25"/>
        <v>0</v>
      </c>
      <c r="AV32" s="105">
        <f t="shared" si="26"/>
        <v>0</v>
      </c>
      <c r="AW32" s="105">
        <f t="shared" si="15"/>
        <v>138074.31999999998</v>
      </c>
      <c r="AX32" s="108">
        <f t="shared" si="33"/>
        <v>13</v>
      </c>
      <c r="AY32" s="108">
        <f t="shared" si="16"/>
        <v>13</v>
      </c>
      <c r="AZ32" s="759">
        <f t="shared" si="3"/>
        <v>46046</v>
      </c>
      <c r="BA32" s="108">
        <f t="shared" si="3"/>
        <v>13038</v>
      </c>
    </row>
    <row r="33" spans="1:1207" ht="19.5" customHeight="1" x14ac:dyDescent="0.25">
      <c r="A33" s="2" t="s">
        <v>447</v>
      </c>
      <c r="B33" s="772" t="s">
        <v>35</v>
      </c>
      <c r="C33" s="2"/>
      <c r="D33" s="2"/>
      <c r="E33" s="767">
        <f t="shared" si="29"/>
        <v>25</v>
      </c>
      <c r="F33" s="768">
        <f t="shared" si="5"/>
        <v>46077</v>
      </c>
      <c r="G33" s="24">
        <f t="shared" si="6"/>
        <v>13038</v>
      </c>
      <c r="H33" s="24">
        <f t="shared" si="7"/>
        <v>2880.67</v>
      </c>
      <c r="I33" s="24">
        <f t="shared" si="27"/>
        <v>118688.51000000001</v>
      </c>
      <c r="J33" s="24">
        <f t="shared" si="17"/>
        <v>0</v>
      </c>
      <c r="K33" s="24">
        <f t="shared" si="8"/>
        <v>10157.33</v>
      </c>
      <c r="L33" s="24">
        <f t="shared" si="18"/>
        <v>0</v>
      </c>
      <c r="M33" s="24">
        <f t="shared" si="30"/>
        <v>0</v>
      </c>
      <c r="N33" s="24">
        <f t="shared" si="19"/>
        <v>2880.67</v>
      </c>
      <c r="O33" s="24">
        <f t="shared" si="20"/>
        <v>0</v>
      </c>
      <c r="P33" s="24">
        <f t="shared" si="21"/>
        <v>0</v>
      </c>
      <c r="Q33" s="24">
        <f t="shared" si="9"/>
        <v>144717.50999999992</v>
      </c>
      <c r="R33" s="36">
        <f t="shared" si="31"/>
        <v>12</v>
      </c>
      <c r="S33" s="36">
        <f t="shared" si="10"/>
        <v>13</v>
      </c>
      <c r="T33" s="138" t="s">
        <v>104</v>
      </c>
      <c r="U33" s="139"/>
      <c r="V33" s="139" t="s">
        <v>20</v>
      </c>
      <c r="W33" s="139" t="s">
        <v>29</v>
      </c>
      <c r="X33" s="139"/>
      <c r="AB33" s="15"/>
      <c r="AJ33" s="16"/>
      <c r="AK33" s="16"/>
      <c r="AL33" s="130">
        <f t="shared" si="22"/>
        <v>1</v>
      </c>
      <c r="AM33" s="769">
        <f t="shared" si="32"/>
        <v>25</v>
      </c>
      <c r="AN33" s="770">
        <f t="shared" si="12"/>
        <v>46077</v>
      </c>
      <c r="AO33" s="105">
        <f t="shared" si="34"/>
        <v>13038</v>
      </c>
      <c r="AP33" s="105">
        <f t="shared" si="13"/>
        <v>2685.45</v>
      </c>
      <c r="AQ33" s="105">
        <f t="shared" si="14"/>
        <v>10352.549999999999</v>
      </c>
      <c r="AR33" s="105">
        <f t="shared" si="35"/>
        <v>0</v>
      </c>
      <c r="AS33" s="105">
        <f t="shared" si="23"/>
        <v>0</v>
      </c>
      <c r="AT33" s="105">
        <f t="shared" si="24"/>
        <v>2685.45</v>
      </c>
      <c r="AU33" s="105">
        <f t="shared" si="25"/>
        <v>0</v>
      </c>
      <c r="AV33" s="105">
        <f t="shared" si="26"/>
        <v>0</v>
      </c>
      <c r="AW33" s="105">
        <f t="shared" si="15"/>
        <v>127721.76999999997</v>
      </c>
      <c r="AX33" s="108">
        <f t="shared" si="33"/>
        <v>12</v>
      </c>
      <c r="AY33" s="108">
        <f t="shared" si="16"/>
        <v>12</v>
      </c>
      <c r="AZ33" s="759">
        <f t="shared" si="3"/>
        <v>46077</v>
      </c>
      <c r="BA33" s="108">
        <f t="shared" si="3"/>
        <v>13038</v>
      </c>
      <c r="BD33" s="853" t="str">
        <f>IF(AL7&lt;C10,CONCATENATE("← Срок с учетом перехода на иной тарифный план равен ",AL7," мес."),"")</f>
        <v/>
      </c>
      <c r="BF33" s="131"/>
    </row>
    <row r="34" spans="1:1207" ht="15.75" customHeight="1" x14ac:dyDescent="0.3">
      <c r="A34" s="2" t="s">
        <v>448</v>
      </c>
      <c r="B34" s="772" t="s">
        <v>47</v>
      </c>
      <c r="C34" s="16"/>
      <c r="D34" s="16"/>
      <c r="E34" s="767">
        <f t="shared" si="29"/>
        <v>26</v>
      </c>
      <c r="F34" s="768">
        <f t="shared" si="5"/>
        <v>46105</v>
      </c>
      <c r="G34" s="24">
        <f t="shared" si="6"/>
        <v>13038</v>
      </c>
      <c r="H34" s="24">
        <f t="shared" si="7"/>
        <v>2431.25</v>
      </c>
      <c r="I34" s="24">
        <f t="shared" si="27"/>
        <v>121119.76000000001</v>
      </c>
      <c r="J34" s="24">
        <f t="shared" si="17"/>
        <v>0</v>
      </c>
      <c r="K34" s="24">
        <f t="shared" si="8"/>
        <v>10606.75</v>
      </c>
      <c r="L34" s="24">
        <f t="shared" si="18"/>
        <v>0</v>
      </c>
      <c r="M34" s="24">
        <f t="shared" si="30"/>
        <v>0</v>
      </c>
      <c r="N34" s="24">
        <f t="shared" si="19"/>
        <v>2431.25</v>
      </c>
      <c r="O34" s="24">
        <f t="shared" si="20"/>
        <v>0</v>
      </c>
      <c r="P34" s="24">
        <f t="shared" si="21"/>
        <v>0</v>
      </c>
      <c r="Q34" s="24">
        <f t="shared" si="9"/>
        <v>134110.75999999992</v>
      </c>
      <c r="R34" s="36">
        <f t="shared" si="31"/>
        <v>11</v>
      </c>
      <c r="S34" s="36">
        <f t="shared" si="10"/>
        <v>12</v>
      </c>
      <c r="T34" s="140" t="s">
        <v>106</v>
      </c>
      <c r="U34" s="140" t="s">
        <v>107</v>
      </c>
      <c r="V34" s="140" t="s">
        <v>108</v>
      </c>
      <c r="W34" s="140" t="s">
        <v>109</v>
      </c>
      <c r="X34" s="140" t="s">
        <v>110</v>
      </c>
      <c r="Y34" s="140" t="s">
        <v>449</v>
      </c>
      <c r="Z34" s="140" t="s">
        <v>450</v>
      </c>
      <c r="AB34" s="2"/>
      <c r="AJ34" s="16"/>
      <c r="AK34" s="16"/>
      <c r="AL34" s="130">
        <f t="shared" si="22"/>
        <v>1</v>
      </c>
      <c r="AM34" s="769">
        <f t="shared" si="32"/>
        <v>26</v>
      </c>
      <c r="AN34" s="770">
        <f t="shared" si="12"/>
        <v>46105</v>
      </c>
      <c r="AO34" s="105">
        <f t="shared" si="34"/>
        <v>13038</v>
      </c>
      <c r="AP34" s="105">
        <f t="shared" si="13"/>
        <v>2243.6999999999998</v>
      </c>
      <c r="AQ34" s="105">
        <f t="shared" si="14"/>
        <v>10794.3</v>
      </c>
      <c r="AR34" s="105">
        <f t="shared" si="35"/>
        <v>0</v>
      </c>
      <c r="AS34" s="105">
        <f t="shared" si="23"/>
        <v>0</v>
      </c>
      <c r="AT34" s="105">
        <f t="shared" si="24"/>
        <v>2243.6999999999998</v>
      </c>
      <c r="AU34" s="105">
        <f t="shared" si="25"/>
        <v>0</v>
      </c>
      <c r="AV34" s="105">
        <f t="shared" si="26"/>
        <v>0</v>
      </c>
      <c r="AW34" s="105">
        <f t="shared" si="15"/>
        <v>116927.46999999997</v>
      </c>
      <c r="AX34" s="108">
        <f t="shared" si="33"/>
        <v>11</v>
      </c>
      <c r="AY34" s="108">
        <f t="shared" si="16"/>
        <v>11</v>
      </c>
      <c r="AZ34" s="759">
        <f t="shared" si="3"/>
        <v>46105</v>
      </c>
      <c r="BA34" s="108">
        <f t="shared" si="3"/>
        <v>13038</v>
      </c>
      <c r="BD34" s="853"/>
    </row>
    <row r="35" spans="1:1207" ht="25.5" customHeight="1" x14ac:dyDescent="0.3">
      <c r="A35" s="2" t="s">
        <v>451</v>
      </c>
      <c r="B35" s="772" t="s">
        <v>47</v>
      </c>
      <c r="C35" s="16"/>
      <c r="D35" s="16"/>
      <c r="E35" s="767">
        <f t="shared" si="29"/>
        <v>27</v>
      </c>
      <c r="F35" s="768">
        <f t="shared" si="5"/>
        <v>46136</v>
      </c>
      <c r="G35" s="24">
        <f t="shared" si="6"/>
        <v>13038</v>
      </c>
      <c r="H35" s="24">
        <f t="shared" si="7"/>
        <v>2494.46</v>
      </c>
      <c r="I35" s="24">
        <f t="shared" si="27"/>
        <v>123614.22000000002</v>
      </c>
      <c r="J35" s="24">
        <f t="shared" si="17"/>
        <v>0</v>
      </c>
      <c r="K35" s="24">
        <f t="shared" si="8"/>
        <v>10543.54</v>
      </c>
      <c r="L35" s="24">
        <f t="shared" si="18"/>
        <v>0</v>
      </c>
      <c r="M35" s="24">
        <f t="shared" si="30"/>
        <v>0</v>
      </c>
      <c r="N35" s="24">
        <f t="shared" si="19"/>
        <v>2494.46</v>
      </c>
      <c r="O35" s="24">
        <f t="shared" si="20"/>
        <v>0</v>
      </c>
      <c r="P35" s="24">
        <f t="shared" si="21"/>
        <v>0</v>
      </c>
      <c r="Q35" s="24">
        <f t="shared" si="9"/>
        <v>123567.21999999991</v>
      </c>
      <c r="R35" s="36">
        <f t="shared" si="31"/>
        <v>10</v>
      </c>
      <c r="S35" s="36">
        <f t="shared" si="10"/>
        <v>11</v>
      </c>
      <c r="T35" s="2">
        <f>IF(C11="Да",IF($C$10&gt;=79,$Z37,IF($C$10&gt;=67,$Y37,IF($C$10&gt;=55,$X37,IF($C$10&gt;=43,$W37,IF($C$10&gt;=31,$V37,IF($C$10&gt;=19,$U37,$T37)))))),"")</f>
        <v>2499</v>
      </c>
      <c r="U35" s="2">
        <f>IF(D11="Да",IF($C$10&gt;=55,$X$37,IF($C$10&gt;=43,$W$37,IF($C$10&gt;=31,$V$37,IF($C$10&gt;=19,$U$37,$T$37)))),"")</f>
        <v>2499</v>
      </c>
      <c r="V35" s="142">
        <v>36</v>
      </c>
      <c r="W35" s="141">
        <v>37</v>
      </c>
      <c r="X35" s="141">
        <v>49</v>
      </c>
      <c r="Y35" s="141">
        <v>61</v>
      </c>
      <c r="Z35" s="141">
        <v>73</v>
      </c>
      <c r="AB35" s="15"/>
      <c r="AJ35" s="16"/>
      <c r="AK35" s="16"/>
      <c r="AL35" s="130">
        <f t="shared" si="22"/>
        <v>1</v>
      </c>
      <c r="AM35" s="769">
        <f t="shared" si="32"/>
        <v>27</v>
      </c>
      <c r="AN35" s="770">
        <f t="shared" si="12"/>
        <v>46136</v>
      </c>
      <c r="AO35" s="105">
        <f t="shared" si="34"/>
        <v>13038</v>
      </c>
      <c r="AP35" s="105">
        <f t="shared" si="13"/>
        <v>2274.16</v>
      </c>
      <c r="AQ35" s="105">
        <f t="shared" si="14"/>
        <v>10763.84</v>
      </c>
      <c r="AR35" s="105">
        <f t="shared" si="35"/>
        <v>0</v>
      </c>
      <c r="AS35" s="105">
        <f t="shared" si="23"/>
        <v>0</v>
      </c>
      <c r="AT35" s="105">
        <f t="shared" si="24"/>
        <v>2274.16</v>
      </c>
      <c r="AU35" s="105">
        <f t="shared" si="25"/>
        <v>0</v>
      </c>
      <c r="AV35" s="105">
        <f t="shared" si="26"/>
        <v>0</v>
      </c>
      <c r="AW35" s="105">
        <f t="shared" si="15"/>
        <v>106163.62999999998</v>
      </c>
      <c r="AX35" s="108">
        <f t="shared" si="33"/>
        <v>10</v>
      </c>
      <c r="AY35" s="108">
        <f t="shared" si="16"/>
        <v>10</v>
      </c>
      <c r="AZ35" s="759">
        <f t="shared" si="3"/>
        <v>46136</v>
      </c>
      <c r="BA35" s="108">
        <f t="shared" si="3"/>
        <v>13038</v>
      </c>
      <c r="BD35" s="853"/>
    </row>
    <row r="36" spans="1:1207" ht="16.5" customHeight="1" x14ac:dyDescent="0.25">
      <c r="B36" s="16"/>
      <c r="C36" s="15"/>
      <c r="D36" s="15"/>
      <c r="E36" s="767">
        <f t="shared" si="29"/>
        <v>28</v>
      </c>
      <c r="F36" s="768">
        <f t="shared" si="5"/>
        <v>46166</v>
      </c>
      <c r="G36" s="24">
        <f t="shared" si="6"/>
        <v>13038</v>
      </c>
      <c r="H36" s="24">
        <f t="shared" si="7"/>
        <v>2224.21</v>
      </c>
      <c r="I36" s="24">
        <f t="shared" si="27"/>
        <v>125838.43000000002</v>
      </c>
      <c r="J36" s="24">
        <f t="shared" si="17"/>
        <v>0</v>
      </c>
      <c r="K36" s="24">
        <f t="shared" si="8"/>
        <v>10813.79</v>
      </c>
      <c r="L36" s="24">
        <f t="shared" si="18"/>
        <v>0</v>
      </c>
      <c r="M36" s="24">
        <f t="shared" si="30"/>
        <v>0</v>
      </c>
      <c r="N36" s="24">
        <f t="shared" si="19"/>
        <v>2224.21</v>
      </c>
      <c r="O36" s="24">
        <f t="shared" si="20"/>
        <v>0</v>
      </c>
      <c r="P36" s="24">
        <f t="shared" si="21"/>
        <v>0</v>
      </c>
      <c r="Q36" s="24">
        <f t="shared" si="9"/>
        <v>112753.42999999991</v>
      </c>
      <c r="R36" s="36">
        <f t="shared" si="31"/>
        <v>9</v>
      </c>
      <c r="S36" s="36">
        <f t="shared" si="10"/>
        <v>11</v>
      </c>
      <c r="T36" s="2">
        <f>IF(C11="Да",IF($C$10&gt;=79,$Z38,IF($C$10&gt;=67,$Y38,IF($C$10&gt;=55,$X38,IF($C$10&gt;=43,$W38,IF($C$10&gt;=31,$V38,IF($C$10&gt;=19,$U38,$T38)))))),"")</f>
        <v>3499</v>
      </c>
      <c r="U36" s="2">
        <f>IF(D11="Да",IF($C$10&gt;=55,$X$38,IF($C$10&gt;=43,$W$38,IF($C$10&gt;=31,$V$38,IF($C$10&gt;=19,$U$38,$T$38)))),"")</f>
        <v>3499</v>
      </c>
      <c r="V36" s="142">
        <v>36</v>
      </c>
      <c r="W36" s="142">
        <v>48</v>
      </c>
      <c r="X36" s="142">
        <v>60</v>
      </c>
      <c r="Y36" s="142">
        <v>72</v>
      </c>
      <c r="Z36" s="142">
        <v>84</v>
      </c>
      <c r="AB36" s="15"/>
      <c r="AJ36" s="16"/>
      <c r="AK36" s="16"/>
      <c r="AL36" s="130">
        <f t="shared" si="22"/>
        <v>1</v>
      </c>
      <c r="AM36" s="769">
        <f t="shared" si="32"/>
        <v>28</v>
      </c>
      <c r="AN36" s="770">
        <f t="shared" si="12"/>
        <v>46166</v>
      </c>
      <c r="AO36" s="105">
        <f t="shared" si="34"/>
        <v>13038</v>
      </c>
      <c r="AP36" s="105">
        <f t="shared" si="13"/>
        <v>1998.2</v>
      </c>
      <c r="AQ36" s="105">
        <f t="shared" si="14"/>
        <v>11039.8</v>
      </c>
      <c r="AR36" s="105">
        <f t="shared" si="35"/>
        <v>0</v>
      </c>
      <c r="AS36" s="105">
        <f t="shared" si="23"/>
        <v>0</v>
      </c>
      <c r="AT36" s="105">
        <f t="shared" si="24"/>
        <v>1998.2</v>
      </c>
      <c r="AU36" s="105">
        <f t="shared" si="25"/>
        <v>0</v>
      </c>
      <c r="AV36" s="105">
        <f t="shared" si="26"/>
        <v>0</v>
      </c>
      <c r="AW36" s="105">
        <f t="shared" si="15"/>
        <v>95123.829999999973</v>
      </c>
      <c r="AX36" s="108">
        <f t="shared" si="33"/>
        <v>9</v>
      </c>
      <c r="AY36" s="108">
        <f t="shared" si="16"/>
        <v>9</v>
      </c>
      <c r="AZ36" s="759">
        <f t="shared" si="3"/>
        <v>46166</v>
      </c>
      <c r="BA36" s="108">
        <f t="shared" si="3"/>
        <v>13038</v>
      </c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  <c r="AMK36" s="16"/>
      <c r="AML36" s="16"/>
      <c r="AMM36" s="16"/>
      <c r="AMN36" s="16"/>
      <c r="AMO36" s="16"/>
      <c r="AMP36" s="16"/>
      <c r="AMQ36" s="16"/>
      <c r="AMR36" s="16"/>
      <c r="AMS36" s="16"/>
      <c r="AMT36" s="16"/>
      <c r="AMU36" s="16"/>
      <c r="AMV36" s="16"/>
      <c r="AMW36" s="16"/>
      <c r="AMX36" s="16"/>
      <c r="AMY36" s="16"/>
      <c r="AMZ36" s="16"/>
      <c r="ANA36" s="16"/>
      <c r="ANB36" s="16"/>
      <c r="ANC36" s="16"/>
      <c r="AND36" s="16"/>
      <c r="ANE36" s="16"/>
      <c r="ANF36" s="16"/>
      <c r="ANG36" s="16"/>
      <c r="ANH36" s="16"/>
      <c r="ANI36" s="16"/>
      <c r="ANJ36" s="16"/>
      <c r="ANK36" s="16"/>
      <c r="ANL36" s="16"/>
      <c r="ANM36" s="16"/>
      <c r="ANN36" s="16"/>
      <c r="ANO36" s="16"/>
      <c r="ANP36" s="16"/>
      <c r="ANQ36" s="16"/>
      <c r="ANR36" s="16"/>
      <c r="ANS36" s="16"/>
      <c r="ANT36" s="16"/>
      <c r="ANU36" s="16"/>
      <c r="ANV36" s="16"/>
      <c r="ANW36" s="16"/>
      <c r="ANX36" s="16"/>
      <c r="ANY36" s="16"/>
      <c r="ANZ36" s="16"/>
      <c r="AOA36" s="16"/>
      <c r="AOB36" s="16"/>
      <c r="AOC36" s="16"/>
      <c r="AOD36" s="16"/>
      <c r="AOE36" s="16"/>
      <c r="AOF36" s="16"/>
      <c r="AOG36" s="16"/>
      <c r="AOH36" s="16"/>
      <c r="AOI36" s="16"/>
      <c r="AOJ36" s="16"/>
      <c r="AOK36" s="16"/>
      <c r="AOL36" s="16"/>
      <c r="AOM36" s="16"/>
      <c r="AON36" s="16"/>
      <c r="AOO36" s="16"/>
      <c r="AOP36" s="16"/>
      <c r="AOQ36" s="16"/>
      <c r="AOR36" s="16"/>
      <c r="AOS36" s="16"/>
      <c r="AOT36" s="16"/>
      <c r="AOU36" s="16"/>
      <c r="AOV36" s="16"/>
      <c r="AOW36" s="16"/>
      <c r="AOX36" s="16"/>
      <c r="AOY36" s="16"/>
      <c r="AOZ36" s="16"/>
      <c r="APA36" s="16"/>
      <c r="APB36" s="16"/>
      <c r="APC36" s="16"/>
      <c r="APD36" s="16"/>
      <c r="APE36" s="16"/>
      <c r="APF36" s="16"/>
      <c r="APG36" s="16"/>
      <c r="APH36" s="16"/>
      <c r="API36" s="16"/>
      <c r="APJ36" s="16"/>
      <c r="APK36" s="16"/>
      <c r="APL36" s="16"/>
      <c r="APM36" s="16"/>
      <c r="APN36" s="16"/>
      <c r="APO36" s="16"/>
      <c r="APP36" s="16"/>
      <c r="APQ36" s="16"/>
      <c r="APR36" s="16"/>
      <c r="APS36" s="16"/>
      <c r="APT36" s="16"/>
      <c r="APU36" s="16"/>
      <c r="APV36" s="16"/>
      <c r="APW36" s="16"/>
      <c r="APX36" s="16"/>
      <c r="APY36" s="16"/>
      <c r="APZ36" s="16"/>
      <c r="AQA36" s="16"/>
      <c r="AQB36" s="16"/>
      <c r="AQC36" s="16"/>
      <c r="AQD36" s="16"/>
      <c r="AQE36" s="16"/>
      <c r="AQF36" s="16"/>
      <c r="AQG36" s="16"/>
      <c r="AQH36" s="16"/>
      <c r="AQI36" s="16"/>
      <c r="AQJ36" s="16"/>
      <c r="AQK36" s="16"/>
      <c r="AQL36" s="16"/>
      <c r="AQM36" s="16"/>
      <c r="AQN36" s="16"/>
      <c r="AQO36" s="16"/>
      <c r="AQP36" s="16"/>
      <c r="AQQ36" s="16"/>
      <c r="AQR36" s="16"/>
      <c r="AQS36" s="16"/>
      <c r="AQT36" s="16"/>
      <c r="AQU36" s="16"/>
      <c r="AQV36" s="16"/>
      <c r="AQW36" s="16"/>
      <c r="AQX36" s="16"/>
      <c r="AQY36" s="16"/>
      <c r="AQZ36" s="16"/>
      <c r="ARA36" s="16"/>
      <c r="ARB36" s="16"/>
      <c r="ARC36" s="16"/>
      <c r="ARD36" s="16"/>
      <c r="ARE36" s="16"/>
      <c r="ARF36" s="16"/>
      <c r="ARG36" s="16"/>
      <c r="ARH36" s="16"/>
      <c r="ARI36" s="16"/>
      <c r="ARJ36" s="16"/>
      <c r="ARK36" s="16"/>
      <c r="ARL36" s="16"/>
      <c r="ARM36" s="16"/>
      <c r="ARN36" s="16"/>
      <c r="ARO36" s="16"/>
      <c r="ARP36" s="16"/>
      <c r="ARQ36" s="16"/>
      <c r="ARR36" s="16"/>
      <c r="ARS36" s="16"/>
      <c r="ART36" s="16"/>
      <c r="ARU36" s="16"/>
      <c r="ARV36" s="16"/>
      <c r="ARW36" s="16"/>
      <c r="ARX36" s="16"/>
      <c r="ARY36" s="16"/>
      <c r="ARZ36" s="16"/>
      <c r="ASA36" s="16"/>
      <c r="ASB36" s="16"/>
      <c r="ASC36" s="16"/>
      <c r="ASD36" s="16"/>
      <c r="ASE36" s="16"/>
      <c r="ASF36" s="16"/>
      <c r="ASG36" s="16"/>
      <c r="ASH36" s="16"/>
      <c r="ASI36" s="16"/>
      <c r="ASJ36" s="16"/>
      <c r="ASK36" s="16"/>
      <c r="ASL36" s="16"/>
      <c r="ASM36" s="16"/>
      <c r="ASN36" s="16"/>
      <c r="ASO36" s="16"/>
      <c r="ASP36" s="16"/>
      <c r="ASQ36" s="16"/>
      <c r="ASR36" s="16"/>
      <c r="ASS36" s="16"/>
      <c r="AST36" s="16"/>
      <c r="ASU36" s="16"/>
      <c r="ASV36" s="16"/>
      <c r="ASW36" s="16"/>
      <c r="ASX36" s="16"/>
      <c r="ASY36" s="16"/>
      <c r="ASZ36" s="16"/>
      <c r="ATA36" s="16"/>
      <c r="ATB36" s="16"/>
      <c r="ATC36" s="16"/>
      <c r="ATD36" s="16"/>
      <c r="ATE36" s="16"/>
      <c r="ATF36" s="16"/>
      <c r="ATG36" s="16"/>
      <c r="ATH36" s="16"/>
      <c r="ATI36" s="16"/>
      <c r="ATJ36" s="16"/>
      <c r="ATK36" s="16"/>
    </row>
    <row r="37" spans="1:1207" s="16" customFormat="1" ht="16.5" customHeight="1" x14ac:dyDescent="0.25">
      <c r="A37" s="2"/>
      <c r="B37" s="2"/>
      <c r="C37" s="15"/>
      <c r="D37" s="15"/>
      <c r="E37" s="767">
        <f t="shared" si="29"/>
        <v>29</v>
      </c>
      <c r="F37" s="768">
        <f t="shared" si="5"/>
        <v>46197</v>
      </c>
      <c r="G37" s="24">
        <f t="shared" si="6"/>
        <v>13038</v>
      </c>
      <c r="H37" s="24">
        <f t="shared" si="7"/>
        <v>2097.21</v>
      </c>
      <c r="I37" s="24">
        <f t="shared" si="27"/>
        <v>127935.64000000003</v>
      </c>
      <c r="J37" s="24">
        <f t="shared" si="17"/>
        <v>0</v>
      </c>
      <c r="K37" s="24">
        <f t="shared" si="8"/>
        <v>10940.79</v>
      </c>
      <c r="L37" s="24">
        <f t="shared" si="18"/>
        <v>0</v>
      </c>
      <c r="M37" s="24">
        <f t="shared" si="30"/>
        <v>0</v>
      </c>
      <c r="N37" s="24">
        <f t="shared" si="19"/>
        <v>2097.21</v>
      </c>
      <c r="O37" s="24">
        <f t="shared" si="20"/>
        <v>0</v>
      </c>
      <c r="P37" s="24">
        <f t="shared" si="21"/>
        <v>0</v>
      </c>
      <c r="Q37" s="24">
        <f t="shared" si="9"/>
        <v>101812.6399999999</v>
      </c>
      <c r="R37" s="36">
        <f t="shared" si="31"/>
        <v>8</v>
      </c>
      <c r="S37" s="36">
        <f t="shared" si="10"/>
        <v>10</v>
      </c>
      <c r="T37" s="142">
        <v>0</v>
      </c>
      <c r="U37" s="142">
        <v>199000</v>
      </c>
      <c r="V37" s="142">
        <v>2499</v>
      </c>
      <c r="W37" s="142">
        <v>3499</v>
      </c>
      <c r="X37" s="142">
        <v>5499</v>
      </c>
      <c r="Y37" s="142"/>
      <c r="Z37" s="142"/>
      <c r="AA37" s="2"/>
      <c r="AB37" s="15"/>
      <c r="AC37" s="3"/>
      <c r="AD37" s="3"/>
      <c r="AE37" s="3"/>
      <c r="AF37" s="2"/>
      <c r="AG37" s="2"/>
      <c r="AH37" s="57"/>
      <c r="AI37" s="2"/>
      <c r="AL37" s="130">
        <f t="shared" si="22"/>
        <v>1</v>
      </c>
      <c r="AM37" s="769">
        <f t="shared" si="32"/>
        <v>29</v>
      </c>
      <c r="AN37" s="770">
        <f t="shared" si="12"/>
        <v>46197</v>
      </c>
      <c r="AO37" s="105">
        <f>IF(AX36=1,AR37+AP37+AQ37,IF(AW36+AR37+AP37&gt;AO36,$D$29,IF(AW36=0,0,AW36+AR37+AP37+AP69)))</f>
        <v>13038</v>
      </c>
      <c r="AP37" s="105">
        <f t="shared" si="13"/>
        <v>1850.09</v>
      </c>
      <c r="AQ37" s="105">
        <f t="shared" si="14"/>
        <v>11187.91</v>
      </c>
      <c r="AR37" s="105">
        <f t="shared" si="35"/>
        <v>0</v>
      </c>
      <c r="AS37" s="105">
        <f t="shared" si="23"/>
        <v>0</v>
      </c>
      <c r="AT37" s="105">
        <f t="shared" si="24"/>
        <v>1850.09</v>
      </c>
      <c r="AU37" s="105">
        <f t="shared" si="25"/>
        <v>0</v>
      </c>
      <c r="AV37" s="105">
        <f t="shared" si="26"/>
        <v>0</v>
      </c>
      <c r="AW37" s="105">
        <f t="shared" si="15"/>
        <v>83935.919999999969</v>
      </c>
      <c r="AX37" s="108">
        <f t="shared" si="33"/>
        <v>8</v>
      </c>
      <c r="AY37" s="108">
        <f t="shared" si="16"/>
        <v>8</v>
      </c>
      <c r="AZ37" s="759">
        <f t="shared" si="3"/>
        <v>46197</v>
      </c>
      <c r="BA37" s="108">
        <f t="shared" si="3"/>
        <v>13038</v>
      </c>
    </row>
    <row r="38" spans="1:1207" s="16" customFormat="1" ht="16.5" customHeight="1" x14ac:dyDescent="0.25">
      <c r="A38" s="2"/>
      <c r="B38" s="2"/>
      <c r="C38" s="2"/>
      <c r="D38" s="2"/>
      <c r="E38" s="767">
        <f t="shared" si="29"/>
        <v>30</v>
      </c>
      <c r="F38" s="768">
        <f t="shared" si="5"/>
        <v>46227</v>
      </c>
      <c r="G38" s="24">
        <f t="shared" si="6"/>
        <v>13038</v>
      </c>
      <c r="H38" s="24">
        <f t="shared" si="7"/>
        <v>1832.63</v>
      </c>
      <c r="I38" s="24">
        <f t="shared" si="27"/>
        <v>129768.27000000003</v>
      </c>
      <c r="J38" s="24">
        <f t="shared" si="17"/>
        <v>0</v>
      </c>
      <c r="K38" s="24">
        <f t="shared" si="8"/>
        <v>11205.369999999999</v>
      </c>
      <c r="L38" s="24">
        <f t="shared" si="18"/>
        <v>0</v>
      </c>
      <c r="M38" s="24">
        <f t="shared" si="30"/>
        <v>0</v>
      </c>
      <c r="N38" s="24">
        <f t="shared" si="19"/>
        <v>1832.63</v>
      </c>
      <c r="O38" s="24">
        <f t="shared" si="20"/>
        <v>0</v>
      </c>
      <c r="P38" s="24">
        <f t="shared" si="21"/>
        <v>0</v>
      </c>
      <c r="Q38" s="24">
        <f t="shared" si="9"/>
        <v>90607.269999999902</v>
      </c>
      <c r="R38" s="36">
        <f t="shared" si="31"/>
        <v>7</v>
      </c>
      <c r="S38" s="36">
        <f t="shared" si="10"/>
        <v>9</v>
      </c>
      <c r="T38" s="142">
        <v>199001</v>
      </c>
      <c r="U38" s="779">
        <v>500000</v>
      </c>
      <c r="V38" s="142">
        <v>3499</v>
      </c>
      <c r="W38" s="779">
        <v>4999</v>
      </c>
      <c r="X38" s="779">
        <v>6999</v>
      </c>
      <c r="Y38" s="779"/>
      <c r="Z38" s="779"/>
      <c r="AA38" s="2"/>
      <c r="AB38" s="3"/>
      <c r="AC38" s="3"/>
      <c r="AD38" s="3"/>
      <c r="AE38" s="3"/>
      <c r="AF38" s="2"/>
      <c r="AG38" s="2"/>
      <c r="AH38" s="57"/>
      <c r="AI38" s="2"/>
      <c r="AK38" s="63"/>
      <c r="AL38" s="130">
        <f t="shared" si="22"/>
        <v>1</v>
      </c>
      <c r="AM38" s="769">
        <f t="shared" si="32"/>
        <v>30</v>
      </c>
      <c r="AN38" s="770">
        <f t="shared" si="12"/>
        <v>46227</v>
      </c>
      <c r="AO38" s="105">
        <f>IF(AX37=1,AR38+AP38+AQ38,IF(AW37+AR38+AP38&gt;AO37,$D$29,IF(AW37=0,0,AW37+AR38+AP38+AP70)))</f>
        <v>13038</v>
      </c>
      <c r="AP38" s="105">
        <f t="shared" si="13"/>
        <v>1579.83</v>
      </c>
      <c r="AQ38" s="105">
        <f t="shared" si="14"/>
        <v>11458.17</v>
      </c>
      <c r="AR38" s="105">
        <f t="shared" si="35"/>
        <v>0</v>
      </c>
      <c r="AS38" s="105">
        <f t="shared" si="23"/>
        <v>0</v>
      </c>
      <c r="AT38" s="105">
        <f t="shared" si="24"/>
        <v>1579.83</v>
      </c>
      <c r="AU38" s="105">
        <f t="shared" si="25"/>
        <v>0</v>
      </c>
      <c r="AV38" s="105">
        <f t="shared" si="26"/>
        <v>0</v>
      </c>
      <c r="AW38" s="105">
        <f t="shared" si="15"/>
        <v>72477.749999999971</v>
      </c>
      <c r="AX38" s="108">
        <f t="shared" si="33"/>
        <v>7</v>
      </c>
      <c r="AY38" s="108">
        <f t="shared" si="16"/>
        <v>7</v>
      </c>
      <c r="AZ38" s="759">
        <f t="shared" si="3"/>
        <v>46227</v>
      </c>
      <c r="BA38" s="108">
        <f t="shared" si="3"/>
        <v>13038</v>
      </c>
    </row>
    <row r="39" spans="1:1207" s="16" customFormat="1" x14ac:dyDescent="0.25">
      <c r="A39" s="2"/>
      <c r="B39" s="2"/>
      <c r="C39" s="2"/>
      <c r="D39" s="2"/>
      <c r="E39" s="767">
        <f t="shared" si="29"/>
        <v>31</v>
      </c>
      <c r="F39" s="768">
        <f t="shared" si="5"/>
        <v>46258</v>
      </c>
      <c r="G39" s="24">
        <f t="shared" si="6"/>
        <v>13038</v>
      </c>
      <c r="H39" s="24">
        <f t="shared" si="7"/>
        <v>1685.3</v>
      </c>
      <c r="I39" s="24">
        <f t="shared" si="27"/>
        <v>131453.57000000004</v>
      </c>
      <c r="J39" s="24">
        <f t="shared" si="17"/>
        <v>0</v>
      </c>
      <c r="K39" s="24">
        <f t="shared" si="8"/>
        <v>11352.7</v>
      </c>
      <c r="L39" s="24">
        <f t="shared" si="18"/>
        <v>0</v>
      </c>
      <c r="M39" s="24">
        <f t="shared" si="30"/>
        <v>0</v>
      </c>
      <c r="N39" s="24">
        <f t="shared" si="19"/>
        <v>1685.3</v>
      </c>
      <c r="O39" s="24">
        <f t="shared" si="20"/>
        <v>0</v>
      </c>
      <c r="P39" s="24">
        <f t="shared" si="21"/>
        <v>0</v>
      </c>
      <c r="Q39" s="24">
        <f t="shared" si="9"/>
        <v>79254.569999999905</v>
      </c>
      <c r="R39" s="36">
        <f t="shared" si="31"/>
        <v>6</v>
      </c>
      <c r="S39" s="36">
        <f t="shared" si="10"/>
        <v>8</v>
      </c>
      <c r="T39" s="779">
        <v>500001</v>
      </c>
      <c r="U39" s="142">
        <v>1000000</v>
      </c>
      <c r="V39" s="779">
        <v>4999</v>
      </c>
      <c r="W39" s="142">
        <v>6499</v>
      </c>
      <c r="X39" s="142">
        <v>8499</v>
      </c>
      <c r="Y39" s="142">
        <v>9499</v>
      </c>
      <c r="Z39" s="142">
        <v>10999</v>
      </c>
      <c r="AA39" s="2"/>
      <c r="AB39" s="3"/>
      <c r="AC39" s="3"/>
      <c r="AD39" s="3"/>
      <c r="AE39" s="3"/>
      <c r="AF39" s="2"/>
      <c r="AG39" s="2"/>
      <c r="AH39" s="57"/>
      <c r="AI39" s="2"/>
      <c r="AJ39" s="63"/>
      <c r="AK39" s="15"/>
      <c r="AL39" s="130">
        <f t="shared" si="22"/>
        <v>1</v>
      </c>
      <c r="AM39" s="769">
        <f t="shared" si="32"/>
        <v>31</v>
      </c>
      <c r="AN39" s="770">
        <f t="shared" si="12"/>
        <v>46258</v>
      </c>
      <c r="AO39" s="105">
        <f t="shared" ref="AO39:AO102" si="36">IF(AX38=1,AR39+AP39+AQ39,IF(AW38+AR39+AP39&gt;AO38,$D$29,IF(AW38=0,0,AW38+AR39+AP39+AP71)))</f>
        <v>13038</v>
      </c>
      <c r="AP39" s="105">
        <f t="shared" si="13"/>
        <v>1409.64</v>
      </c>
      <c r="AQ39" s="105">
        <f t="shared" si="14"/>
        <v>11628.36</v>
      </c>
      <c r="AR39" s="105">
        <f t="shared" si="35"/>
        <v>0</v>
      </c>
      <c r="AS39" s="105">
        <f t="shared" si="23"/>
        <v>0</v>
      </c>
      <c r="AT39" s="105">
        <f t="shared" si="24"/>
        <v>1409.64</v>
      </c>
      <c r="AU39" s="105">
        <f t="shared" si="25"/>
        <v>0</v>
      </c>
      <c r="AV39" s="105">
        <f t="shared" si="26"/>
        <v>0</v>
      </c>
      <c r="AW39" s="105">
        <f t="shared" si="15"/>
        <v>60849.38999999997</v>
      </c>
      <c r="AX39" s="108">
        <f t="shared" si="33"/>
        <v>6</v>
      </c>
      <c r="AY39" s="108">
        <f t="shared" si="16"/>
        <v>6</v>
      </c>
      <c r="AZ39" s="759">
        <f t="shared" si="3"/>
        <v>46258</v>
      </c>
      <c r="BA39" s="108">
        <f t="shared" si="3"/>
        <v>13038</v>
      </c>
    </row>
    <row r="40" spans="1:1207" s="16" customFormat="1" x14ac:dyDescent="0.25">
      <c r="A40" s="2"/>
      <c r="B40" s="2"/>
      <c r="C40" s="2"/>
      <c r="D40" s="2"/>
      <c r="E40" s="767">
        <f t="shared" si="29"/>
        <v>32</v>
      </c>
      <c r="F40" s="768">
        <f t="shared" si="5"/>
        <v>46289</v>
      </c>
      <c r="G40" s="24">
        <f t="shared" si="6"/>
        <v>13038</v>
      </c>
      <c r="H40" s="24">
        <f t="shared" si="7"/>
        <v>1474.14</v>
      </c>
      <c r="I40" s="24">
        <f t="shared" si="27"/>
        <v>132927.71000000005</v>
      </c>
      <c r="J40" s="24">
        <f t="shared" si="17"/>
        <v>0</v>
      </c>
      <c r="K40" s="24">
        <f t="shared" si="8"/>
        <v>11563.86</v>
      </c>
      <c r="L40" s="24">
        <f t="shared" si="18"/>
        <v>0</v>
      </c>
      <c r="M40" s="24">
        <f t="shared" si="30"/>
        <v>0</v>
      </c>
      <c r="N40" s="24">
        <f t="shared" si="19"/>
        <v>1474.14</v>
      </c>
      <c r="O40" s="24">
        <f t="shared" si="20"/>
        <v>0</v>
      </c>
      <c r="P40" s="24">
        <f t="shared" si="21"/>
        <v>0</v>
      </c>
      <c r="Q40" s="24">
        <f t="shared" si="9"/>
        <v>67690.709999999905</v>
      </c>
      <c r="R40" s="36">
        <f t="shared" si="31"/>
        <v>5</v>
      </c>
      <c r="S40" s="36">
        <f t="shared" si="10"/>
        <v>7</v>
      </c>
      <c r="T40" s="142">
        <v>1000001</v>
      </c>
      <c r="U40" s="779">
        <v>5000000</v>
      </c>
      <c r="V40" s="142">
        <v>6499</v>
      </c>
      <c r="W40" s="142">
        <v>8499</v>
      </c>
      <c r="X40" s="779">
        <v>9999</v>
      </c>
      <c r="Y40" s="779">
        <v>10999</v>
      </c>
      <c r="Z40" s="779">
        <v>11999</v>
      </c>
      <c r="AA40" s="2"/>
      <c r="AB40" s="3"/>
      <c r="AC40" s="3"/>
      <c r="AD40" s="3"/>
      <c r="AE40" s="3"/>
      <c r="AF40" s="2"/>
      <c r="AG40" s="2"/>
      <c r="AH40" s="57"/>
      <c r="AI40" s="2"/>
      <c r="AJ40" s="15"/>
      <c r="AK40" s="15"/>
      <c r="AL40" s="130">
        <f t="shared" si="22"/>
        <v>1</v>
      </c>
      <c r="AM40" s="769">
        <f t="shared" si="32"/>
        <v>32</v>
      </c>
      <c r="AN40" s="770">
        <f t="shared" si="12"/>
        <v>46289</v>
      </c>
      <c r="AO40" s="105">
        <f t="shared" si="36"/>
        <v>13038</v>
      </c>
      <c r="AP40" s="105">
        <f t="shared" si="13"/>
        <v>1183.48</v>
      </c>
      <c r="AQ40" s="105">
        <f t="shared" si="14"/>
        <v>11854.52</v>
      </c>
      <c r="AR40" s="105">
        <f t="shared" si="35"/>
        <v>0</v>
      </c>
      <c r="AS40" s="105">
        <f t="shared" si="23"/>
        <v>0</v>
      </c>
      <c r="AT40" s="105">
        <f t="shared" si="24"/>
        <v>1183.48</v>
      </c>
      <c r="AU40" s="105">
        <f t="shared" si="25"/>
        <v>0</v>
      </c>
      <c r="AV40" s="105">
        <f t="shared" si="26"/>
        <v>0</v>
      </c>
      <c r="AW40" s="105">
        <f t="shared" si="15"/>
        <v>48994.869999999966</v>
      </c>
      <c r="AX40" s="108">
        <f t="shared" si="33"/>
        <v>5</v>
      </c>
      <c r="AY40" s="108">
        <f t="shared" si="16"/>
        <v>5</v>
      </c>
      <c r="AZ40" s="759">
        <f t="shared" ref="AZ40:BA71" si="37">F40</f>
        <v>46289</v>
      </c>
      <c r="BA40" s="108">
        <f t="shared" si="37"/>
        <v>13038</v>
      </c>
    </row>
    <row r="41" spans="1:1207" s="16" customFormat="1" ht="28.5" customHeight="1" x14ac:dyDescent="0.25">
      <c r="A41" s="2"/>
      <c r="B41" s="2"/>
      <c r="C41" s="2"/>
      <c r="D41" s="2"/>
      <c r="E41" s="767">
        <f t="shared" si="29"/>
        <v>33</v>
      </c>
      <c r="F41" s="768">
        <f t="shared" si="5"/>
        <v>46319</v>
      </c>
      <c r="G41" s="24">
        <f t="shared" si="6"/>
        <v>13038</v>
      </c>
      <c r="H41" s="24">
        <f t="shared" si="7"/>
        <v>1218.43</v>
      </c>
      <c r="I41" s="24">
        <f t="shared" si="27"/>
        <v>134146.14000000004</v>
      </c>
      <c r="J41" s="24">
        <f t="shared" si="17"/>
        <v>0</v>
      </c>
      <c r="K41" s="24">
        <f t="shared" si="8"/>
        <v>11819.57</v>
      </c>
      <c r="L41" s="24">
        <f t="shared" si="18"/>
        <v>0</v>
      </c>
      <c r="M41" s="24">
        <f t="shared" si="30"/>
        <v>0</v>
      </c>
      <c r="N41" s="24">
        <f t="shared" si="19"/>
        <v>1218.43</v>
      </c>
      <c r="O41" s="24">
        <f t="shared" si="20"/>
        <v>0</v>
      </c>
      <c r="P41" s="24">
        <f t="shared" si="21"/>
        <v>0</v>
      </c>
      <c r="Q41" s="24">
        <f t="shared" si="9"/>
        <v>55871.139999999905</v>
      </c>
      <c r="R41" s="36">
        <f t="shared" si="31"/>
        <v>4</v>
      </c>
      <c r="S41" s="36">
        <f t="shared" si="10"/>
        <v>6</v>
      </c>
      <c r="T41" s="2">
        <f>IF(C11="Да",IF($C$10&gt;=Z35,Z41,IF($C$10&gt;=Y35,Y41,IF($C$10&gt;=X35,X41,IF($C$10&gt;=W35,W41,IF($C$10&gt;=W35,W41,V41))))),"")</f>
        <v>3499</v>
      </c>
      <c r="U41" s="2"/>
      <c r="V41" s="2">
        <f>IF($C$7&lt;$U$37,V37,IF($C$7&lt;$U$38,V38,IF($C$7&lt;$U$39,V39,V40)))</f>
        <v>3499</v>
      </c>
      <c r="W41" s="2">
        <f>IF($C$7&lt;$U$37,W37,IF($C$7&lt;$U$38,W38,IF($C$7&lt;$U$39,W39,W40)))</f>
        <v>4999</v>
      </c>
      <c r="X41" s="2">
        <f>IF($C$7&lt;$U$37,X37,IF($C$7&lt;$U$38,X38,IF($C$7&lt;$U$39,X39,X40)))</f>
        <v>6999</v>
      </c>
      <c r="Y41" s="2">
        <f>IF($C$7&lt;$U$37,Y37,IF($C$7&lt;$U$38,Y38,IF($C$7&lt;$U$39,Y39,Y40)))</f>
        <v>0</v>
      </c>
      <c r="Z41" s="2">
        <f>IF($C$7&lt;$U$37,Z37,IF($C$7&lt;$U$38,Z38,IF($C$7&lt;$U$39,Z39,Z40)))</f>
        <v>0</v>
      </c>
      <c r="AA41" s="2"/>
      <c r="AB41" s="3"/>
      <c r="AC41" s="3"/>
      <c r="AD41" s="3"/>
      <c r="AE41" s="3"/>
      <c r="AF41" s="2"/>
      <c r="AG41" s="2"/>
      <c r="AH41" s="57"/>
      <c r="AI41" s="2"/>
      <c r="AJ41" s="15"/>
      <c r="AK41" s="15"/>
      <c r="AL41" s="130">
        <f t="shared" si="22"/>
        <v>1</v>
      </c>
      <c r="AM41" s="769">
        <f t="shared" si="32"/>
        <v>33</v>
      </c>
      <c r="AN41" s="770">
        <f t="shared" si="12"/>
        <v>46319</v>
      </c>
      <c r="AO41" s="105">
        <f t="shared" si="36"/>
        <v>13038</v>
      </c>
      <c r="AP41" s="105">
        <f t="shared" si="13"/>
        <v>922.18</v>
      </c>
      <c r="AQ41" s="105">
        <f t="shared" si="14"/>
        <v>12115.82</v>
      </c>
      <c r="AR41" s="105">
        <f t="shared" si="35"/>
        <v>0</v>
      </c>
      <c r="AS41" s="105">
        <f t="shared" si="23"/>
        <v>0</v>
      </c>
      <c r="AT41" s="105">
        <f t="shared" si="24"/>
        <v>922.18</v>
      </c>
      <c r="AU41" s="105">
        <f t="shared" si="25"/>
        <v>0</v>
      </c>
      <c r="AV41" s="105">
        <f t="shared" si="26"/>
        <v>0</v>
      </c>
      <c r="AW41" s="105">
        <f t="shared" si="15"/>
        <v>36879.049999999967</v>
      </c>
      <c r="AX41" s="108">
        <f t="shared" si="33"/>
        <v>4</v>
      </c>
      <c r="AY41" s="108">
        <f t="shared" si="16"/>
        <v>4</v>
      </c>
      <c r="AZ41" s="759">
        <f t="shared" si="37"/>
        <v>46319</v>
      </c>
      <c r="BA41" s="108">
        <f t="shared" si="37"/>
        <v>13038</v>
      </c>
    </row>
    <row r="42" spans="1:1207" s="16" customFormat="1" ht="12" x14ac:dyDescent="0.25">
      <c r="A42" s="2"/>
      <c r="B42" s="2"/>
      <c r="C42" s="130"/>
      <c r="D42" s="2"/>
      <c r="E42" s="767">
        <f t="shared" si="29"/>
        <v>34</v>
      </c>
      <c r="F42" s="768">
        <f t="shared" si="5"/>
        <v>46350</v>
      </c>
      <c r="G42" s="24">
        <f t="shared" si="6"/>
        <v>13038</v>
      </c>
      <c r="H42" s="24">
        <f t="shared" si="7"/>
        <v>1039.2</v>
      </c>
      <c r="I42" s="24">
        <f t="shared" si="27"/>
        <v>135185.34000000005</v>
      </c>
      <c r="J42" s="24">
        <f t="shared" si="17"/>
        <v>0</v>
      </c>
      <c r="K42" s="24">
        <f t="shared" si="8"/>
        <v>11998.8</v>
      </c>
      <c r="L42" s="24">
        <f t="shared" si="18"/>
        <v>0</v>
      </c>
      <c r="M42" s="24">
        <f t="shared" si="30"/>
        <v>0</v>
      </c>
      <c r="N42" s="24">
        <f t="shared" si="19"/>
        <v>1039.2</v>
      </c>
      <c r="O42" s="24">
        <f t="shared" si="20"/>
        <v>0</v>
      </c>
      <c r="P42" s="24">
        <f t="shared" si="21"/>
        <v>0</v>
      </c>
      <c r="Q42" s="24">
        <f t="shared" si="9"/>
        <v>43872.339999999909</v>
      </c>
      <c r="R42" s="36">
        <f t="shared" si="31"/>
        <v>3</v>
      </c>
      <c r="S42" s="36">
        <f t="shared" si="10"/>
        <v>5</v>
      </c>
      <c r="T42" s="2"/>
      <c r="U42" s="2"/>
      <c r="V42" s="2"/>
      <c r="W42" s="2"/>
      <c r="X42" s="2"/>
      <c r="Y42" s="2"/>
      <c r="Z42" s="13"/>
      <c r="AA42" s="2"/>
      <c r="AB42" s="2"/>
      <c r="AC42" s="2"/>
      <c r="AD42" s="2"/>
      <c r="AE42" s="2"/>
      <c r="AF42" s="2"/>
      <c r="AG42" s="2"/>
      <c r="AH42" s="57"/>
      <c r="AI42" s="2"/>
      <c r="AJ42" s="15"/>
      <c r="AK42" s="15"/>
      <c r="AL42" s="130">
        <f t="shared" si="22"/>
        <v>1</v>
      </c>
      <c r="AM42" s="769">
        <f t="shared" si="32"/>
        <v>34</v>
      </c>
      <c r="AN42" s="770">
        <f t="shared" si="12"/>
        <v>46350</v>
      </c>
      <c r="AO42" s="105">
        <f t="shared" si="36"/>
        <v>13038</v>
      </c>
      <c r="AP42" s="105">
        <f t="shared" si="13"/>
        <v>717.27</v>
      </c>
      <c r="AQ42" s="105">
        <f t="shared" si="14"/>
        <v>12320.73</v>
      </c>
      <c r="AR42" s="105">
        <f t="shared" si="35"/>
        <v>0</v>
      </c>
      <c r="AS42" s="105">
        <f t="shared" si="23"/>
        <v>0</v>
      </c>
      <c r="AT42" s="105">
        <f t="shared" si="24"/>
        <v>717.27</v>
      </c>
      <c r="AU42" s="105">
        <f t="shared" si="25"/>
        <v>0</v>
      </c>
      <c r="AV42" s="105">
        <f t="shared" si="26"/>
        <v>0</v>
      </c>
      <c r="AW42" s="105">
        <f t="shared" si="15"/>
        <v>24558.319999999967</v>
      </c>
      <c r="AX42" s="108">
        <f t="shared" si="33"/>
        <v>3</v>
      </c>
      <c r="AY42" s="108">
        <f t="shared" si="16"/>
        <v>3</v>
      </c>
      <c r="AZ42" s="759">
        <f t="shared" si="37"/>
        <v>46350</v>
      </c>
      <c r="BA42" s="108">
        <f t="shared" si="37"/>
        <v>13038</v>
      </c>
    </row>
    <row r="43" spans="1:1207" s="16" customFormat="1" ht="12" x14ac:dyDescent="0.25">
      <c r="A43" s="2"/>
      <c r="B43" s="2"/>
      <c r="C43" s="2"/>
      <c r="D43" s="2"/>
      <c r="E43" s="767">
        <f t="shared" si="29"/>
        <v>35</v>
      </c>
      <c r="F43" s="768">
        <f t="shared" si="5"/>
        <v>46380</v>
      </c>
      <c r="G43" s="24">
        <f t="shared" si="6"/>
        <v>13038</v>
      </c>
      <c r="H43" s="24">
        <f t="shared" si="7"/>
        <v>789.7</v>
      </c>
      <c r="I43" s="24">
        <f t="shared" si="27"/>
        <v>135975.04000000007</v>
      </c>
      <c r="J43" s="24">
        <f t="shared" si="17"/>
        <v>0</v>
      </c>
      <c r="K43" s="24">
        <f t="shared" si="8"/>
        <v>12248.3</v>
      </c>
      <c r="L43" s="24">
        <f t="shared" si="18"/>
        <v>0</v>
      </c>
      <c r="M43" s="24">
        <f t="shared" si="30"/>
        <v>0</v>
      </c>
      <c r="N43" s="24">
        <f t="shared" si="19"/>
        <v>789.7</v>
      </c>
      <c r="O43" s="24">
        <f t="shared" si="20"/>
        <v>0</v>
      </c>
      <c r="P43" s="24">
        <f t="shared" si="21"/>
        <v>0</v>
      </c>
      <c r="Q43" s="24">
        <f t="shared" si="9"/>
        <v>31624.03999999991</v>
      </c>
      <c r="R43" s="36">
        <f t="shared" si="31"/>
        <v>2</v>
      </c>
      <c r="S43" s="36">
        <f t="shared" si="10"/>
        <v>4</v>
      </c>
      <c r="T43" s="2"/>
      <c r="U43" s="2"/>
      <c r="V43" s="2"/>
      <c r="W43" s="2"/>
      <c r="X43" s="2"/>
      <c r="Y43" s="2"/>
      <c r="Z43" s="13"/>
      <c r="AA43" s="2"/>
      <c r="AB43" s="2"/>
      <c r="AC43" s="2"/>
      <c r="AD43" s="2"/>
      <c r="AE43" s="2"/>
      <c r="AF43" s="2"/>
      <c r="AG43" s="2"/>
      <c r="AH43" s="57"/>
      <c r="AI43" s="2"/>
      <c r="AJ43" s="15"/>
      <c r="AK43" s="15"/>
      <c r="AL43" s="130">
        <f t="shared" si="22"/>
        <v>1</v>
      </c>
      <c r="AM43" s="769">
        <f t="shared" si="32"/>
        <v>35</v>
      </c>
      <c r="AN43" s="770">
        <f t="shared" si="12"/>
        <v>46380</v>
      </c>
      <c r="AO43" s="105">
        <f t="shared" si="36"/>
        <v>13038</v>
      </c>
      <c r="AP43" s="105">
        <f t="shared" si="13"/>
        <v>462.23</v>
      </c>
      <c r="AQ43" s="105">
        <f t="shared" si="14"/>
        <v>12575.77</v>
      </c>
      <c r="AR43" s="105">
        <f t="shared" si="35"/>
        <v>0</v>
      </c>
      <c r="AS43" s="105">
        <f t="shared" si="23"/>
        <v>0</v>
      </c>
      <c r="AT43" s="105">
        <f t="shared" si="24"/>
        <v>462.23</v>
      </c>
      <c r="AU43" s="105">
        <f t="shared" si="25"/>
        <v>0</v>
      </c>
      <c r="AV43" s="105">
        <f t="shared" si="26"/>
        <v>0</v>
      </c>
      <c r="AW43" s="105">
        <f t="shared" si="15"/>
        <v>11982.549999999967</v>
      </c>
      <c r="AX43" s="108">
        <f t="shared" si="33"/>
        <v>2</v>
      </c>
      <c r="AY43" s="108">
        <f t="shared" si="16"/>
        <v>2</v>
      </c>
      <c r="AZ43" s="759">
        <f t="shared" si="37"/>
        <v>46380</v>
      </c>
      <c r="BA43" s="108">
        <f t="shared" si="37"/>
        <v>13038</v>
      </c>
    </row>
    <row r="44" spans="1:1207" s="16" customFormat="1" x14ac:dyDescent="0.25">
      <c r="A44" s="2"/>
      <c r="B44" s="2"/>
      <c r="C44" s="13"/>
      <c r="D44" s="13"/>
      <c r="E44" s="767">
        <f t="shared" si="29"/>
        <v>36</v>
      </c>
      <c r="F44" s="768">
        <f t="shared" si="5"/>
        <v>46411</v>
      </c>
      <c r="G44" s="24">
        <f t="shared" si="6"/>
        <v>32212.249999999909</v>
      </c>
      <c r="H44" s="24">
        <f t="shared" si="7"/>
        <v>588.21</v>
      </c>
      <c r="I44" s="24">
        <f t="shared" si="27"/>
        <v>136563.25000000006</v>
      </c>
      <c r="J44" s="24">
        <f t="shared" si="17"/>
        <v>19174.249999999909</v>
      </c>
      <c r="K44" s="24">
        <f t="shared" si="8"/>
        <v>31624.03999999991</v>
      </c>
      <c r="L44" s="24">
        <f t="shared" si="18"/>
        <v>0</v>
      </c>
      <c r="M44" s="24">
        <f t="shared" si="30"/>
        <v>0</v>
      </c>
      <c r="N44" s="24">
        <f t="shared" si="19"/>
        <v>588.21</v>
      </c>
      <c r="O44" s="24">
        <f t="shared" si="20"/>
        <v>0</v>
      </c>
      <c r="P44" s="24">
        <f t="shared" si="21"/>
        <v>0</v>
      </c>
      <c r="Q44" s="24">
        <f t="shared" si="9"/>
        <v>0</v>
      </c>
      <c r="R44" s="36">
        <f t="shared" si="31"/>
        <v>1</v>
      </c>
      <c r="S44" s="36">
        <f t="shared" si="10"/>
        <v>3</v>
      </c>
      <c r="T44" s="2"/>
      <c r="U44" s="2"/>
      <c r="V44" s="2"/>
      <c r="W44" s="2"/>
      <c r="X44" s="2"/>
      <c r="Y44" s="2"/>
      <c r="Z44" s="2"/>
      <c r="AA44" s="2"/>
      <c r="AB44" s="3"/>
      <c r="AC44" s="3"/>
      <c r="AD44" s="3"/>
      <c r="AE44" s="3"/>
      <c r="AF44" s="2"/>
      <c r="AG44" s="2"/>
      <c r="AH44" s="57"/>
      <c r="AI44" s="2"/>
      <c r="AJ44" s="15"/>
      <c r="AK44" s="3"/>
      <c r="AL44" s="130">
        <f t="shared" si="22"/>
        <v>1</v>
      </c>
      <c r="AM44" s="769">
        <f t="shared" si="32"/>
        <v>36</v>
      </c>
      <c r="AN44" s="770">
        <f t="shared" si="12"/>
        <v>46411</v>
      </c>
      <c r="AO44" s="105">
        <f t="shared" si="36"/>
        <v>12215.599999999966</v>
      </c>
      <c r="AP44" s="105">
        <f t="shared" si="13"/>
        <v>233.05</v>
      </c>
      <c r="AQ44" s="105">
        <f t="shared" si="14"/>
        <v>11982.549999999967</v>
      </c>
      <c r="AR44" s="105">
        <f t="shared" si="35"/>
        <v>0</v>
      </c>
      <c r="AS44" s="105">
        <f t="shared" si="23"/>
        <v>0</v>
      </c>
      <c r="AT44" s="105">
        <f t="shared" si="24"/>
        <v>233.05</v>
      </c>
      <c r="AU44" s="105">
        <f t="shared" si="25"/>
        <v>0</v>
      </c>
      <c r="AV44" s="105">
        <f t="shared" si="26"/>
        <v>0</v>
      </c>
      <c r="AW44" s="105">
        <f t="shared" si="15"/>
        <v>0</v>
      </c>
      <c r="AX44" s="108">
        <f t="shared" si="33"/>
        <v>1</v>
      </c>
      <c r="AY44" s="108">
        <f t="shared" si="16"/>
        <v>1</v>
      </c>
      <c r="AZ44" s="759">
        <f t="shared" si="37"/>
        <v>46411</v>
      </c>
      <c r="BA44" s="108">
        <f t="shared" si="37"/>
        <v>32212.249999999909</v>
      </c>
    </row>
    <row r="45" spans="1:1207" s="16" customFormat="1" x14ac:dyDescent="0.25">
      <c r="A45" s="2"/>
      <c r="B45" s="46"/>
      <c r="C45" s="13"/>
      <c r="D45" s="13"/>
      <c r="E45" s="767">
        <f t="shared" si="29"/>
        <v>37</v>
      </c>
      <c r="F45" s="768">
        <f t="shared" si="5"/>
        <v>46442</v>
      </c>
      <c r="G45" s="24">
        <f t="shared" si="6"/>
        <v>0</v>
      </c>
      <c r="H45" s="24">
        <f t="shared" si="7"/>
        <v>0</v>
      </c>
      <c r="I45" s="24">
        <f t="shared" si="27"/>
        <v>136563.25000000006</v>
      </c>
      <c r="J45" s="24">
        <f t="shared" si="17"/>
        <v>0</v>
      </c>
      <c r="K45" s="24">
        <f t="shared" si="8"/>
        <v>0</v>
      </c>
      <c r="L45" s="24">
        <f t="shared" si="18"/>
        <v>0</v>
      </c>
      <c r="M45" s="24">
        <f t="shared" si="30"/>
        <v>0</v>
      </c>
      <c r="N45" s="24">
        <f t="shared" si="19"/>
        <v>0</v>
      </c>
      <c r="O45" s="24">
        <f t="shared" si="20"/>
        <v>0</v>
      </c>
      <c r="P45" s="24">
        <f t="shared" si="21"/>
        <v>0</v>
      </c>
      <c r="Q45" s="24">
        <f t="shared" si="9"/>
        <v>0</v>
      </c>
      <c r="R45" s="36">
        <f t="shared" si="31"/>
        <v>0</v>
      </c>
      <c r="S45" s="36">
        <f t="shared" si="10"/>
        <v>0</v>
      </c>
      <c r="T45" s="2"/>
      <c r="U45" s="2"/>
      <c r="V45" s="2"/>
      <c r="W45" s="2"/>
      <c r="X45" s="2"/>
      <c r="Y45" s="2"/>
      <c r="Z45" s="2"/>
      <c r="AA45" s="2"/>
      <c r="AB45" s="3"/>
      <c r="AC45" s="3"/>
      <c r="AD45" s="3"/>
      <c r="AE45" s="3"/>
      <c r="AF45" s="2"/>
      <c r="AG45" s="2"/>
      <c r="AH45" s="57"/>
      <c r="AI45" s="2"/>
      <c r="AJ45" s="3"/>
      <c r="AL45" s="130">
        <f t="shared" si="22"/>
        <v>0</v>
      </c>
      <c r="AM45" s="769">
        <f t="shared" si="32"/>
        <v>37</v>
      </c>
      <c r="AN45" s="770">
        <f t="shared" si="12"/>
        <v>46442</v>
      </c>
      <c r="AO45" s="105">
        <f t="shared" si="36"/>
        <v>0</v>
      </c>
      <c r="AP45" s="105">
        <f t="shared" si="13"/>
        <v>0</v>
      </c>
      <c r="AQ45" s="105">
        <f t="shared" si="14"/>
        <v>0</v>
      </c>
      <c r="AR45" s="105">
        <f t="shared" si="35"/>
        <v>0</v>
      </c>
      <c r="AS45" s="105">
        <f t="shared" si="23"/>
        <v>0</v>
      </c>
      <c r="AT45" s="105">
        <f t="shared" si="24"/>
        <v>0</v>
      </c>
      <c r="AU45" s="105">
        <f t="shared" si="25"/>
        <v>0</v>
      </c>
      <c r="AV45" s="105">
        <f t="shared" si="26"/>
        <v>0</v>
      </c>
      <c r="AW45" s="105">
        <f t="shared" si="15"/>
        <v>0</v>
      </c>
      <c r="AX45" s="108">
        <f t="shared" si="33"/>
        <v>0</v>
      </c>
      <c r="AY45" s="108">
        <f t="shared" si="16"/>
        <v>0</v>
      </c>
      <c r="AZ45" s="759">
        <f t="shared" si="37"/>
        <v>46442</v>
      </c>
      <c r="BA45" s="108">
        <f t="shared" si="37"/>
        <v>0</v>
      </c>
    </row>
    <row r="46" spans="1:1207" s="16" customFormat="1" x14ac:dyDescent="0.25">
      <c r="A46" s="2"/>
      <c r="B46" s="607"/>
      <c r="C46" s="13"/>
      <c r="D46" s="13"/>
      <c r="E46" s="767">
        <f t="shared" si="29"/>
        <v>38</v>
      </c>
      <c r="F46" s="768">
        <f t="shared" si="5"/>
        <v>46470</v>
      </c>
      <c r="G46" s="24">
        <f t="shared" si="6"/>
        <v>0</v>
      </c>
      <c r="H46" s="24">
        <f t="shared" si="7"/>
        <v>0</v>
      </c>
      <c r="I46" s="24">
        <f t="shared" si="27"/>
        <v>136563.25000000006</v>
      </c>
      <c r="J46" s="24">
        <f t="shared" si="17"/>
        <v>0</v>
      </c>
      <c r="K46" s="24">
        <f t="shared" si="8"/>
        <v>0</v>
      </c>
      <c r="L46" s="24">
        <f t="shared" si="18"/>
        <v>0</v>
      </c>
      <c r="M46" s="24">
        <f t="shared" si="30"/>
        <v>0</v>
      </c>
      <c r="N46" s="24">
        <f t="shared" si="19"/>
        <v>0</v>
      </c>
      <c r="O46" s="24">
        <f t="shared" si="20"/>
        <v>0</v>
      </c>
      <c r="P46" s="24">
        <f t="shared" si="21"/>
        <v>0</v>
      </c>
      <c r="Q46" s="24">
        <f t="shared" si="9"/>
        <v>0</v>
      </c>
      <c r="R46" s="36">
        <f t="shared" si="31"/>
        <v>0</v>
      </c>
      <c r="S46" s="36">
        <f t="shared" si="10"/>
        <v>0</v>
      </c>
      <c r="T46" s="62">
        <f>IF(C23&lt;&gt;X60, C23,AA14)</f>
        <v>0.14899999999999999</v>
      </c>
      <c r="U46" s="2">
        <f>IF(OR($C$26=0,B34="Нет"),0,-$C$26)</f>
        <v>-43650.35388127857</v>
      </c>
      <c r="V46" s="57">
        <f>V49+365*$C$10</f>
        <v>58455</v>
      </c>
      <c r="W46" s="2"/>
      <c r="X46" s="2"/>
      <c r="Y46" s="2"/>
      <c r="Z46" s="2"/>
      <c r="AA46" s="2"/>
      <c r="AB46" s="3"/>
      <c r="AC46" s="3"/>
      <c r="AD46" s="3"/>
      <c r="AE46" s="3"/>
      <c r="AF46" s="2"/>
      <c r="AG46" s="2"/>
      <c r="AH46" s="57"/>
      <c r="AI46" s="62">
        <f>IF(D23&lt;&gt;X60, D23,$AB$14)</f>
        <v>0.22900000000000004</v>
      </c>
      <c r="AJ46" s="2">
        <f>IF($D$26=0,0,-$D$26)</f>
        <v>0</v>
      </c>
      <c r="AK46" s="57">
        <f>AK49+365*$C$10</f>
        <v>58455</v>
      </c>
      <c r="AL46" s="130">
        <f t="shared" si="22"/>
        <v>0</v>
      </c>
      <c r="AM46" s="769">
        <f t="shared" si="32"/>
        <v>38</v>
      </c>
      <c r="AN46" s="770">
        <f t="shared" si="12"/>
        <v>46470</v>
      </c>
      <c r="AO46" s="105">
        <f t="shared" si="36"/>
        <v>0</v>
      </c>
      <c r="AP46" s="105">
        <f t="shared" si="13"/>
        <v>0</v>
      </c>
      <c r="AQ46" s="105">
        <f t="shared" si="14"/>
        <v>0</v>
      </c>
      <c r="AR46" s="105">
        <f t="shared" si="35"/>
        <v>0</v>
      </c>
      <c r="AS46" s="105">
        <f t="shared" si="23"/>
        <v>0</v>
      </c>
      <c r="AT46" s="105">
        <f t="shared" si="24"/>
        <v>0</v>
      </c>
      <c r="AU46" s="105">
        <f t="shared" si="25"/>
        <v>0</v>
      </c>
      <c r="AV46" s="105">
        <f t="shared" si="26"/>
        <v>0</v>
      </c>
      <c r="AW46" s="105">
        <f t="shared" si="15"/>
        <v>0</v>
      </c>
      <c r="AX46" s="108">
        <f t="shared" si="33"/>
        <v>0</v>
      </c>
      <c r="AY46" s="108">
        <f t="shared" si="16"/>
        <v>0</v>
      </c>
      <c r="AZ46" s="759">
        <f t="shared" si="37"/>
        <v>46470</v>
      </c>
      <c r="BA46" s="108">
        <f t="shared" si="37"/>
        <v>0</v>
      </c>
    </row>
    <row r="47" spans="1:1207" s="16" customFormat="1" x14ac:dyDescent="0.25">
      <c r="A47" s="2"/>
      <c r="B47" s="2"/>
      <c r="C47" s="2"/>
      <c r="D47" s="2"/>
      <c r="E47" s="767">
        <f t="shared" si="29"/>
        <v>39</v>
      </c>
      <c r="F47" s="768">
        <f t="shared" si="5"/>
        <v>46501</v>
      </c>
      <c r="G47" s="24">
        <f t="shared" si="6"/>
        <v>0</v>
      </c>
      <c r="H47" s="24">
        <f t="shared" si="7"/>
        <v>0</v>
      </c>
      <c r="I47" s="24">
        <f t="shared" si="27"/>
        <v>136563.25000000006</v>
      </c>
      <c r="J47" s="24">
        <f t="shared" si="17"/>
        <v>0</v>
      </c>
      <c r="K47" s="24">
        <f t="shared" si="8"/>
        <v>0</v>
      </c>
      <c r="L47" s="24">
        <f t="shared" si="18"/>
        <v>0</v>
      </c>
      <c r="M47" s="24">
        <f>O46-L46</f>
        <v>0</v>
      </c>
      <c r="N47" s="24">
        <f>H47+O47</f>
        <v>0</v>
      </c>
      <c r="O47" s="24">
        <f>IF(S47=0,0,0)</f>
        <v>0</v>
      </c>
      <c r="P47" s="24">
        <f>IF(S47=0,0,0)</f>
        <v>0</v>
      </c>
      <c r="Q47" s="24">
        <f t="shared" si="9"/>
        <v>0</v>
      </c>
      <c r="R47" s="36">
        <f t="shared" si="31"/>
        <v>0</v>
      </c>
      <c r="S47" s="36">
        <f t="shared" si="10"/>
        <v>0</v>
      </c>
      <c r="T47" s="62">
        <f>IF(C24&lt;&gt;X61, C24,AA15)</f>
        <v>0.05</v>
      </c>
      <c r="U47" s="2"/>
      <c r="V47" s="57">
        <f>V50+365*$C$10</f>
        <v>58820</v>
      </c>
      <c r="W47" s="2"/>
      <c r="X47" s="2"/>
      <c r="Y47" s="2"/>
      <c r="Z47" s="2"/>
      <c r="AA47" s="2"/>
      <c r="AB47" s="3"/>
      <c r="AC47" s="3"/>
      <c r="AD47" s="3"/>
      <c r="AE47" s="3">
        <v>1</v>
      </c>
      <c r="AF47" s="2"/>
      <c r="AG47" s="2"/>
      <c r="AH47" s="57"/>
      <c r="AI47" s="62">
        <f>IF(D24&lt;&gt;X61, D24,$AB$14)</f>
        <v>0</v>
      </c>
      <c r="AJ47" s="2">
        <f>IF($D$26=0,0,-$D$26)</f>
        <v>0</v>
      </c>
      <c r="AK47" s="57">
        <f>AK50+365*$C$10</f>
        <v>58820</v>
      </c>
      <c r="AL47" s="130">
        <f>IF(OR(AO47="",AO47=0),0,1)</f>
        <v>0</v>
      </c>
      <c r="AM47" s="769">
        <f t="shared" si="32"/>
        <v>39</v>
      </c>
      <c r="AN47" s="770">
        <f t="shared" si="12"/>
        <v>46501</v>
      </c>
      <c r="AO47" s="105">
        <f t="shared" si="36"/>
        <v>0</v>
      </c>
      <c r="AP47" s="105">
        <f t="shared" si="13"/>
        <v>0</v>
      </c>
      <c r="AQ47" s="105">
        <f>IF(AY47=0,0,IF(AY47=1,AW46,IF(AW46+AR47+AP47&gt;AO46,AO47-AP47-AR47,AW46)))</f>
        <v>0</v>
      </c>
      <c r="AR47" s="105">
        <f t="shared" si="35"/>
        <v>0</v>
      </c>
      <c r="AS47" s="105">
        <f>AU46-AR46</f>
        <v>0</v>
      </c>
      <c r="AT47" s="105">
        <f>AP47+AU47</f>
        <v>0</v>
      </c>
      <c r="AU47" s="105">
        <f>IF(AY47=0,0,0)</f>
        <v>0</v>
      </c>
      <c r="AV47" s="105">
        <f>IF(AY47=0,0,0)</f>
        <v>0</v>
      </c>
      <c r="AW47" s="105">
        <f>IF(OR(AY47=1,AW46=0),0,AW46-AQ47)</f>
        <v>0</v>
      </c>
      <c r="AX47" s="108">
        <f t="shared" si="33"/>
        <v>0</v>
      </c>
      <c r="AY47" s="108">
        <f t="shared" si="16"/>
        <v>0</v>
      </c>
      <c r="AZ47" s="759">
        <f t="shared" si="37"/>
        <v>46501</v>
      </c>
      <c r="BA47" s="108">
        <f t="shared" si="37"/>
        <v>0</v>
      </c>
    </row>
    <row r="48" spans="1:1207" s="16" customFormat="1" ht="12" customHeight="1" x14ac:dyDescent="0.25">
      <c r="A48" s="2"/>
      <c r="B48" s="2"/>
      <c r="C48" s="2"/>
      <c r="D48" s="13"/>
      <c r="E48" s="767">
        <f t="shared" si="29"/>
        <v>40</v>
      </c>
      <c r="F48" s="768">
        <f t="shared" si="5"/>
        <v>46531</v>
      </c>
      <c r="G48" s="24">
        <f t="shared" si="6"/>
        <v>0</v>
      </c>
      <c r="H48" s="24">
        <f t="shared" si="7"/>
        <v>0</v>
      </c>
      <c r="I48" s="24">
        <f t="shared" si="27"/>
        <v>136563.25000000006</v>
      </c>
      <c r="J48" s="24">
        <f t="shared" si="17"/>
        <v>0</v>
      </c>
      <c r="K48" s="24">
        <f t="shared" si="8"/>
        <v>0</v>
      </c>
      <c r="L48" s="24">
        <f t="shared" si="18"/>
        <v>0</v>
      </c>
      <c r="M48" s="24">
        <f t="shared" ref="M48:M63" si="38">O47-L47</f>
        <v>0</v>
      </c>
      <c r="N48" s="24">
        <f t="shared" ref="N48:N63" si="39">H48+O48</f>
        <v>0</v>
      </c>
      <c r="O48" s="24">
        <f t="shared" ref="O48:O63" si="40">IF(S48=0,0,0)</f>
        <v>0</v>
      </c>
      <c r="P48" s="24">
        <f t="shared" ref="P48:P63" si="41">IF(S48=0,0,0)</f>
        <v>0</v>
      </c>
      <c r="Q48" s="24">
        <f t="shared" si="9"/>
        <v>0</v>
      </c>
      <c r="R48" s="36">
        <f t="shared" si="31"/>
        <v>0</v>
      </c>
      <c r="S48" s="36">
        <f t="shared" si="10"/>
        <v>0</v>
      </c>
      <c r="T48" s="2"/>
      <c r="U48" s="18">
        <f>G8</f>
        <v>-351979</v>
      </c>
      <c r="V48" s="57">
        <f>F8</f>
        <v>45315</v>
      </c>
      <c r="W48" s="2"/>
      <c r="X48" s="2"/>
      <c r="Y48" s="780"/>
      <c r="Z48" s="781">
        <v>0</v>
      </c>
      <c r="AA48" s="782" t="s">
        <v>20</v>
      </c>
      <c r="AB48" s="783" t="s">
        <v>15</v>
      </c>
      <c r="AC48" s="783"/>
      <c r="AD48" s="783">
        <v>10</v>
      </c>
      <c r="AE48" s="784">
        <v>41274</v>
      </c>
      <c r="AF48" s="2">
        <v>6</v>
      </c>
      <c r="AG48" s="2"/>
      <c r="AH48" s="2"/>
      <c r="AI48" s="2"/>
      <c r="AJ48" s="18">
        <f>AO8</f>
        <v>-336979</v>
      </c>
      <c r="AK48" s="57">
        <f>AN8</f>
        <v>45315</v>
      </c>
      <c r="AL48" s="130">
        <f t="shared" si="22"/>
        <v>0</v>
      </c>
      <c r="AM48" s="769">
        <f t="shared" si="32"/>
        <v>40</v>
      </c>
      <c r="AN48" s="770">
        <f t="shared" si="12"/>
        <v>46531</v>
      </c>
      <c r="AO48" s="105">
        <f t="shared" si="36"/>
        <v>0</v>
      </c>
      <c r="AP48" s="105">
        <f t="shared" si="13"/>
        <v>0</v>
      </c>
      <c r="AQ48" s="105">
        <f t="shared" ref="AQ48:AQ111" si="42">IF(AY48=0,0,IF(AY48=1,AW47,IF(AW47+AR48+AP48&gt;AO47,AO48-AP48-AR48,AW47)))</f>
        <v>0</v>
      </c>
      <c r="AR48" s="105">
        <f t="shared" si="35"/>
        <v>0</v>
      </c>
      <c r="AS48" s="105">
        <f t="shared" ref="AS48:AS111" si="43">AU47-AR47</f>
        <v>0</v>
      </c>
      <c r="AT48" s="105">
        <f t="shared" ref="AT48:AT111" si="44">AP48+AU48</f>
        <v>0</v>
      </c>
      <c r="AU48" s="105">
        <f t="shared" ref="AU48:AU111" si="45">IF(AY48=0,0,0)</f>
        <v>0</v>
      </c>
      <c r="AV48" s="105">
        <f t="shared" ref="AV48:AV111" si="46">IF(AY48=0,0,0)</f>
        <v>0</v>
      </c>
      <c r="AW48" s="105">
        <f t="shared" ref="AW48:AW111" si="47">IF(OR(AY48=1,AW47=0),0,AW47-AQ48)</f>
        <v>0</v>
      </c>
      <c r="AX48" s="108">
        <f t="shared" si="33"/>
        <v>0</v>
      </c>
      <c r="AY48" s="108">
        <f t="shared" si="16"/>
        <v>0</v>
      </c>
      <c r="AZ48" s="759">
        <f t="shared" si="37"/>
        <v>46531</v>
      </c>
      <c r="BA48" s="108">
        <f t="shared" si="37"/>
        <v>0</v>
      </c>
    </row>
    <row r="49" spans="1:54" s="16" customFormat="1" ht="12" customHeight="1" x14ac:dyDescent="0.25">
      <c r="A49" s="2"/>
      <c r="B49" s="2"/>
      <c r="C49" s="2"/>
      <c r="D49" s="2"/>
      <c r="E49" s="767">
        <f t="shared" si="29"/>
        <v>41</v>
      </c>
      <c r="F49" s="768">
        <f t="shared" si="5"/>
        <v>46562</v>
      </c>
      <c r="G49" s="24">
        <f t="shared" si="6"/>
        <v>0</v>
      </c>
      <c r="H49" s="24">
        <f t="shared" si="7"/>
        <v>0</v>
      </c>
      <c r="I49" s="24">
        <f t="shared" si="27"/>
        <v>136563.25000000006</v>
      </c>
      <c r="J49" s="24">
        <f t="shared" si="17"/>
        <v>0</v>
      </c>
      <c r="K49" s="24">
        <f t="shared" si="8"/>
        <v>0</v>
      </c>
      <c r="L49" s="24">
        <f t="shared" si="18"/>
        <v>0</v>
      </c>
      <c r="M49" s="24">
        <f t="shared" si="38"/>
        <v>0</v>
      </c>
      <c r="N49" s="24">
        <f t="shared" si="39"/>
        <v>0</v>
      </c>
      <c r="O49" s="24">
        <f t="shared" si="40"/>
        <v>0</v>
      </c>
      <c r="P49" s="24">
        <f t="shared" si="41"/>
        <v>0</v>
      </c>
      <c r="Q49" s="24">
        <f t="shared" si="9"/>
        <v>0</v>
      </c>
      <c r="R49" s="36">
        <f t="shared" si="31"/>
        <v>0</v>
      </c>
      <c r="S49" s="36">
        <f t="shared" si="10"/>
        <v>0</v>
      </c>
      <c r="U49" s="34">
        <f>IF(B35="Да",C32,0)+IF(AND(C22="Да",B34="Да"),C25,0)</f>
        <v>48479.999999999993</v>
      </c>
      <c r="V49" s="57">
        <f>F8</f>
        <v>45315</v>
      </c>
      <c r="X49" s="785" t="s">
        <v>11</v>
      </c>
      <c r="Y49" s="780"/>
      <c r="Z49" s="786">
        <f>C7*(1-Z48)</f>
        <v>300000</v>
      </c>
      <c r="AA49" s="787" t="s">
        <v>29</v>
      </c>
      <c r="AB49" s="2" t="s">
        <v>17</v>
      </c>
      <c r="AC49" s="2"/>
      <c r="AD49" s="2">
        <v>7.4000000000000003E-3</v>
      </c>
      <c r="AE49" s="59">
        <v>41750</v>
      </c>
      <c r="AF49" s="2">
        <v>72</v>
      </c>
      <c r="AG49" s="2"/>
      <c r="AH49" s="2"/>
      <c r="AJ49" s="34">
        <f>D32+IF(D11="Да",D12,0)+IF(D22="Да",D25,0)</f>
        <v>36978.999999999993</v>
      </c>
      <c r="AK49" s="57">
        <f>AN8</f>
        <v>45315</v>
      </c>
      <c r="AL49" s="130">
        <f t="shared" si="22"/>
        <v>0</v>
      </c>
      <c r="AM49" s="769">
        <f t="shared" si="32"/>
        <v>41</v>
      </c>
      <c r="AN49" s="770">
        <f t="shared" si="12"/>
        <v>46562</v>
      </c>
      <c r="AO49" s="105">
        <f t="shared" si="36"/>
        <v>0</v>
      </c>
      <c r="AP49" s="105">
        <f t="shared" si="13"/>
        <v>0</v>
      </c>
      <c r="AQ49" s="105">
        <f t="shared" si="42"/>
        <v>0</v>
      </c>
      <c r="AR49" s="105">
        <f t="shared" si="35"/>
        <v>0</v>
      </c>
      <c r="AS49" s="105">
        <f t="shared" si="43"/>
        <v>0</v>
      </c>
      <c r="AT49" s="105">
        <f t="shared" si="44"/>
        <v>0</v>
      </c>
      <c r="AU49" s="105">
        <f t="shared" si="45"/>
        <v>0</v>
      </c>
      <c r="AV49" s="105">
        <f t="shared" si="46"/>
        <v>0</v>
      </c>
      <c r="AW49" s="105">
        <f t="shared" si="47"/>
        <v>0</v>
      </c>
      <c r="AX49" s="108">
        <f t="shared" si="33"/>
        <v>0</v>
      </c>
      <c r="AY49" s="108">
        <f t="shared" si="16"/>
        <v>0</v>
      </c>
      <c r="AZ49" s="759">
        <f t="shared" si="37"/>
        <v>46562</v>
      </c>
      <c r="BA49" s="108">
        <f t="shared" si="37"/>
        <v>0</v>
      </c>
    </row>
    <row r="50" spans="1:54" s="16" customFormat="1" ht="12" customHeight="1" x14ac:dyDescent="0.25">
      <c r="A50" s="2"/>
      <c r="B50" s="2"/>
      <c r="C50" s="2"/>
      <c r="D50" s="2"/>
      <c r="E50" s="767">
        <f t="shared" si="29"/>
        <v>42</v>
      </c>
      <c r="F50" s="768">
        <f t="shared" si="5"/>
        <v>46592</v>
      </c>
      <c r="G50" s="24">
        <f t="shared" si="6"/>
        <v>0</v>
      </c>
      <c r="H50" s="24">
        <f t="shared" si="7"/>
        <v>0</v>
      </c>
      <c r="I50" s="24">
        <f t="shared" si="27"/>
        <v>136563.25000000006</v>
      </c>
      <c r="J50" s="24">
        <f t="shared" si="17"/>
        <v>0</v>
      </c>
      <c r="K50" s="24">
        <f t="shared" si="8"/>
        <v>0</v>
      </c>
      <c r="L50" s="24">
        <f t="shared" si="18"/>
        <v>0</v>
      </c>
      <c r="M50" s="24">
        <f t="shared" si="38"/>
        <v>0</v>
      </c>
      <c r="N50" s="24">
        <f t="shared" si="39"/>
        <v>0</v>
      </c>
      <c r="O50" s="24">
        <f t="shared" si="40"/>
        <v>0</v>
      </c>
      <c r="P50" s="24">
        <f t="shared" si="41"/>
        <v>0</v>
      </c>
      <c r="Q50" s="24">
        <f t="shared" si="9"/>
        <v>0</v>
      </c>
      <c r="R50" s="36">
        <f t="shared" si="31"/>
        <v>0</v>
      </c>
      <c r="S50" s="36">
        <f t="shared" si="10"/>
        <v>0</v>
      </c>
      <c r="T50" s="2">
        <f t="shared" ref="T50:T113" si="48">IF(AND(E9&gt;=$T$14,E9&lt;=$T$14+5),0,IF($C$9&gt;$AC$52,ROUND(Q8*$T$46/(DATEVALUE(CONCATENATE("01/01/",YEAR(F9)+1))-DATEVALUE(CONCATENATE("01/01/",YEAR(F9))))*(F9-F8),2),0))</f>
        <v>4442.05</v>
      </c>
      <c r="U50" s="34">
        <f t="shared" ref="U50:U108" si="49">IF(U49&lt;0,0,IF(T50=0,IF(T49=0,0,$U$46),G9)-IF(AND(T50&gt;0,T51=0),$C$26,0))</f>
        <v>13038</v>
      </c>
      <c r="V50" s="57">
        <f>V49+365</f>
        <v>45680</v>
      </c>
      <c r="W50" s="16">
        <v>1</v>
      </c>
      <c r="X50" s="788" t="s">
        <v>10</v>
      </c>
      <c r="Y50" s="780"/>
      <c r="Z50" s="789">
        <f>ROUNDUP(C7*AA50,0)</f>
        <v>0</v>
      </c>
      <c r="AA50" s="12">
        <v>0</v>
      </c>
      <c r="AB50" s="1">
        <v>15000</v>
      </c>
      <c r="AC50" s="53">
        <v>41365</v>
      </c>
      <c r="AD50" s="1">
        <v>500</v>
      </c>
      <c r="AE50" s="2">
        <f>ROUNDUP(($AA$56)/AD48,0)*AD48</f>
        <v>13490</v>
      </c>
      <c r="AF50" s="2"/>
      <c r="AG50" s="2"/>
      <c r="AH50" s="2"/>
      <c r="AI50" s="2">
        <f t="shared" ref="AI50:AI87" si="50">IF(AND(AM9&gt;=$T$14,AM9&lt;=$T$14+5),0,IF($C$9&gt;$AC$52,ROUND(AW8*$AI$46/(DATEVALUE(CONCATENATE("01/01/",YEAR(AN9)+1))-DATEVALUE(CONCATENATE("01/01/",YEAR(AN9))))*(AN9-AN8),2),0))</f>
        <v>6536.1</v>
      </c>
      <c r="AJ50" s="34">
        <f t="shared" ref="AJ50:AJ69" si="51">IF(AI50=0,IF(AI49=0,0,$AJ$46),AO9)</f>
        <v>13038</v>
      </c>
      <c r="AK50" s="57">
        <f>AK49+365</f>
        <v>45680</v>
      </c>
      <c r="AL50" s="130">
        <f t="shared" si="22"/>
        <v>0</v>
      </c>
      <c r="AM50" s="769">
        <f t="shared" si="32"/>
        <v>42</v>
      </c>
      <c r="AN50" s="770">
        <f t="shared" si="12"/>
        <v>46592</v>
      </c>
      <c r="AO50" s="105">
        <f t="shared" si="36"/>
        <v>0</v>
      </c>
      <c r="AP50" s="105">
        <f t="shared" si="13"/>
        <v>0</v>
      </c>
      <c r="AQ50" s="105">
        <f t="shared" si="42"/>
        <v>0</v>
      </c>
      <c r="AR50" s="105">
        <f t="shared" si="35"/>
        <v>0</v>
      </c>
      <c r="AS50" s="105">
        <f t="shared" si="43"/>
        <v>0</v>
      </c>
      <c r="AT50" s="105">
        <f t="shared" si="44"/>
        <v>0</v>
      </c>
      <c r="AU50" s="105">
        <f t="shared" si="45"/>
        <v>0</v>
      </c>
      <c r="AV50" s="105">
        <f t="shared" si="46"/>
        <v>0</v>
      </c>
      <c r="AW50" s="105">
        <f t="shared" si="47"/>
        <v>0</v>
      </c>
      <c r="AX50" s="108">
        <f t="shared" si="33"/>
        <v>0</v>
      </c>
      <c r="AY50" s="108">
        <f t="shared" si="16"/>
        <v>0</v>
      </c>
      <c r="AZ50" s="759">
        <f t="shared" si="37"/>
        <v>46592</v>
      </c>
      <c r="BA50" s="108">
        <f t="shared" si="37"/>
        <v>0</v>
      </c>
    </row>
    <row r="51" spans="1:54" s="16" customFormat="1" ht="12.75" customHeight="1" thickBot="1" x14ac:dyDescent="0.3">
      <c r="A51" s="2"/>
      <c r="B51" s="2"/>
      <c r="C51" s="2"/>
      <c r="D51" s="2"/>
      <c r="E51" s="767">
        <f t="shared" si="29"/>
        <v>43</v>
      </c>
      <c r="F51" s="768">
        <f t="shared" si="5"/>
        <v>46623</v>
      </c>
      <c r="G51" s="24">
        <f t="shared" si="6"/>
        <v>0</v>
      </c>
      <c r="H51" s="24">
        <f t="shared" si="7"/>
        <v>0</v>
      </c>
      <c r="I51" s="24">
        <f t="shared" si="27"/>
        <v>136563.25000000006</v>
      </c>
      <c r="J51" s="24">
        <f t="shared" si="17"/>
        <v>0</v>
      </c>
      <c r="K51" s="24">
        <f t="shared" si="8"/>
        <v>0</v>
      </c>
      <c r="L51" s="24">
        <f t="shared" si="18"/>
        <v>0</v>
      </c>
      <c r="M51" s="24">
        <f t="shared" si="38"/>
        <v>0</v>
      </c>
      <c r="N51" s="24">
        <f t="shared" si="39"/>
        <v>0</v>
      </c>
      <c r="O51" s="24">
        <f t="shared" si="40"/>
        <v>0</v>
      </c>
      <c r="P51" s="24">
        <f t="shared" si="41"/>
        <v>0</v>
      </c>
      <c r="Q51" s="24">
        <f t="shared" si="9"/>
        <v>0</v>
      </c>
      <c r="R51" s="36">
        <f t="shared" si="31"/>
        <v>0</v>
      </c>
      <c r="S51" s="36">
        <f t="shared" si="10"/>
        <v>0</v>
      </c>
      <c r="T51" s="2">
        <f t="shared" si="48"/>
        <v>4078.62</v>
      </c>
      <c r="U51" s="34">
        <f t="shared" si="49"/>
        <v>13038</v>
      </c>
      <c r="V51" s="57">
        <f t="shared" ref="V51:V114" si="52">IF(T51=0,V50,V50+365)</f>
        <v>46045</v>
      </c>
      <c r="W51" s="16">
        <f>W50+1</f>
        <v>2</v>
      </c>
      <c r="X51" s="788" t="s">
        <v>8</v>
      </c>
      <c r="Y51" s="790"/>
      <c r="Z51" s="791">
        <v>24</v>
      </c>
      <c r="AA51" s="14"/>
      <c r="AB51" s="1">
        <f>IF(C9&lt;AC50,300000,1000000)</f>
        <v>1000000</v>
      </c>
      <c r="AC51" s="53">
        <v>41501</v>
      </c>
      <c r="AD51" s="53">
        <v>41882</v>
      </c>
      <c r="AE51" s="2">
        <f>IF(C9&gt;AD51,XIRR(U49:U159,V49:V159)*12,XIRR(U49:U158,F8:F87))</f>
        <v>3.576278686523438E-8</v>
      </c>
      <c r="AF51" s="2"/>
      <c r="AG51" s="2"/>
      <c r="AH51" s="2"/>
      <c r="AI51" s="2">
        <f t="shared" si="50"/>
        <v>5996.44</v>
      </c>
      <c r="AJ51" s="34">
        <f t="shared" si="51"/>
        <v>13038</v>
      </c>
      <c r="AK51" s="57">
        <f t="shared" ref="AK51:AK108" si="53">IF(AI51=0,AK50,AK50+365)</f>
        <v>46045</v>
      </c>
      <c r="AL51" s="130">
        <f t="shared" si="22"/>
        <v>0</v>
      </c>
      <c r="AM51" s="769">
        <f t="shared" si="32"/>
        <v>43</v>
      </c>
      <c r="AN51" s="770">
        <f t="shared" si="12"/>
        <v>46623</v>
      </c>
      <c r="AO51" s="105">
        <f t="shared" si="36"/>
        <v>0</v>
      </c>
      <c r="AP51" s="105">
        <f t="shared" si="13"/>
        <v>0</v>
      </c>
      <c r="AQ51" s="105">
        <f t="shared" si="42"/>
        <v>0</v>
      </c>
      <c r="AR51" s="105">
        <f t="shared" si="35"/>
        <v>0</v>
      </c>
      <c r="AS51" s="105">
        <f t="shared" si="43"/>
        <v>0</v>
      </c>
      <c r="AT51" s="105">
        <f t="shared" si="44"/>
        <v>0</v>
      </c>
      <c r="AU51" s="105">
        <f t="shared" si="45"/>
        <v>0</v>
      </c>
      <c r="AV51" s="105">
        <f t="shared" si="46"/>
        <v>0</v>
      </c>
      <c r="AW51" s="105">
        <f t="shared" si="47"/>
        <v>0</v>
      </c>
      <c r="AX51" s="108">
        <f t="shared" si="33"/>
        <v>0</v>
      </c>
      <c r="AY51" s="108">
        <f t="shared" si="16"/>
        <v>0</v>
      </c>
      <c r="AZ51" s="759">
        <f t="shared" si="37"/>
        <v>46623</v>
      </c>
      <c r="BA51" s="108">
        <f t="shared" si="37"/>
        <v>0</v>
      </c>
    </row>
    <row r="52" spans="1:54" s="16" customFormat="1" ht="12.75" customHeight="1" x14ac:dyDescent="0.25">
      <c r="A52" s="2"/>
      <c r="B52" s="2"/>
      <c r="C52" s="2"/>
      <c r="D52" s="2"/>
      <c r="E52" s="767">
        <f t="shared" si="29"/>
        <v>44</v>
      </c>
      <c r="F52" s="768">
        <f t="shared" si="5"/>
        <v>46654</v>
      </c>
      <c r="G52" s="24">
        <f t="shared" si="6"/>
        <v>0</v>
      </c>
      <c r="H52" s="24">
        <f t="shared" si="7"/>
        <v>0</v>
      </c>
      <c r="I52" s="24">
        <f t="shared" si="27"/>
        <v>136563.25000000006</v>
      </c>
      <c r="J52" s="24">
        <f t="shared" si="17"/>
        <v>0</v>
      </c>
      <c r="K52" s="24">
        <f t="shared" si="8"/>
        <v>0</v>
      </c>
      <c r="L52" s="24">
        <f t="shared" si="18"/>
        <v>0</v>
      </c>
      <c r="M52" s="24">
        <f t="shared" si="38"/>
        <v>0</v>
      </c>
      <c r="N52" s="24">
        <f t="shared" si="39"/>
        <v>0</v>
      </c>
      <c r="O52" s="24">
        <f t="shared" si="40"/>
        <v>0</v>
      </c>
      <c r="P52" s="24">
        <f t="shared" si="41"/>
        <v>0</v>
      </c>
      <c r="Q52" s="24">
        <f t="shared" si="9"/>
        <v>0</v>
      </c>
      <c r="R52" s="36">
        <f t="shared" si="31"/>
        <v>0</v>
      </c>
      <c r="S52" s="36">
        <f t="shared" si="10"/>
        <v>0</v>
      </c>
      <c r="T52" s="2">
        <f t="shared" si="48"/>
        <v>4271.0200000000004</v>
      </c>
      <c r="U52" s="34">
        <f t="shared" si="49"/>
        <v>13038</v>
      </c>
      <c r="V52" s="57">
        <f t="shared" si="52"/>
        <v>46410</v>
      </c>
      <c r="W52" s="16">
        <f t="shared" ref="W52:W115" si="54">W51+1</f>
        <v>3</v>
      </c>
      <c r="X52" s="785" t="s">
        <v>1</v>
      </c>
      <c r="Y52" s="17" t="e">
        <f>Z52/C7</f>
        <v>#REF!</v>
      </c>
      <c r="Z52" s="791" t="e">
        <f>(#REF!-C7)</f>
        <v>#REF!</v>
      </c>
      <c r="AA52" s="58"/>
      <c r="AB52" s="53">
        <v>41632</v>
      </c>
      <c r="AC52" s="53">
        <v>41820</v>
      </c>
      <c r="AD52" s="53">
        <v>41857</v>
      </c>
      <c r="AE52" s="46">
        <v>41991</v>
      </c>
      <c r="AF52" s="18">
        <v>0</v>
      </c>
      <c r="AG52" s="3"/>
      <c r="AH52" s="3"/>
      <c r="AI52" s="2">
        <f t="shared" si="50"/>
        <v>6273.41</v>
      </c>
      <c r="AJ52" s="34">
        <f t="shared" si="51"/>
        <v>13038</v>
      </c>
      <c r="AK52" s="57">
        <f t="shared" si="53"/>
        <v>46410</v>
      </c>
      <c r="AL52" s="130">
        <f t="shared" si="22"/>
        <v>0</v>
      </c>
      <c r="AM52" s="769">
        <f t="shared" si="32"/>
        <v>44</v>
      </c>
      <c r="AN52" s="770">
        <f t="shared" si="12"/>
        <v>46654</v>
      </c>
      <c r="AO52" s="105">
        <f t="shared" si="36"/>
        <v>0</v>
      </c>
      <c r="AP52" s="105">
        <f t="shared" si="13"/>
        <v>0</v>
      </c>
      <c r="AQ52" s="105">
        <f t="shared" si="42"/>
        <v>0</v>
      </c>
      <c r="AR52" s="105">
        <f t="shared" si="35"/>
        <v>0</v>
      </c>
      <c r="AS52" s="105">
        <f t="shared" si="43"/>
        <v>0</v>
      </c>
      <c r="AT52" s="105">
        <f t="shared" si="44"/>
        <v>0</v>
      </c>
      <c r="AU52" s="105">
        <f t="shared" si="45"/>
        <v>0</v>
      </c>
      <c r="AV52" s="105">
        <f t="shared" si="46"/>
        <v>0</v>
      </c>
      <c r="AW52" s="105">
        <f t="shared" si="47"/>
        <v>0</v>
      </c>
      <c r="AX52" s="108">
        <f t="shared" si="33"/>
        <v>0</v>
      </c>
      <c r="AY52" s="108">
        <f t="shared" si="16"/>
        <v>0</v>
      </c>
      <c r="AZ52" s="759">
        <f t="shared" si="37"/>
        <v>46654</v>
      </c>
      <c r="BA52" s="108">
        <f t="shared" si="37"/>
        <v>0</v>
      </c>
    </row>
    <row r="53" spans="1:54" s="16" customFormat="1" ht="12.75" customHeight="1" x14ac:dyDescent="0.25">
      <c r="A53" s="2"/>
      <c r="B53" s="2"/>
      <c r="C53" s="2"/>
      <c r="D53" s="2"/>
      <c r="E53" s="767">
        <f t="shared" si="29"/>
        <v>45</v>
      </c>
      <c r="F53" s="768">
        <f t="shared" si="5"/>
        <v>46684</v>
      </c>
      <c r="G53" s="24">
        <f t="shared" si="6"/>
        <v>0</v>
      </c>
      <c r="H53" s="24">
        <f t="shared" si="7"/>
        <v>0</v>
      </c>
      <c r="I53" s="24">
        <f t="shared" si="27"/>
        <v>136563.25000000006</v>
      </c>
      <c r="J53" s="24">
        <f t="shared" si="17"/>
        <v>0</v>
      </c>
      <c r="K53" s="24">
        <f t="shared" si="8"/>
        <v>0</v>
      </c>
      <c r="L53" s="24">
        <f t="shared" si="18"/>
        <v>0</v>
      </c>
      <c r="M53" s="24">
        <f t="shared" si="38"/>
        <v>0</v>
      </c>
      <c r="N53" s="24">
        <f t="shared" si="39"/>
        <v>0</v>
      </c>
      <c r="O53" s="24">
        <f t="shared" si="40"/>
        <v>0</v>
      </c>
      <c r="P53" s="24">
        <f t="shared" si="41"/>
        <v>0</v>
      </c>
      <c r="Q53" s="24">
        <f t="shared" si="9"/>
        <v>0</v>
      </c>
      <c r="R53" s="36">
        <f t="shared" si="31"/>
        <v>0</v>
      </c>
      <c r="S53" s="36">
        <f t="shared" si="10"/>
        <v>0</v>
      </c>
      <c r="T53" s="2">
        <f t="shared" si="48"/>
        <v>4050.68</v>
      </c>
      <c r="U53" s="34">
        <f t="shared" si="49"/>
        <v>13038</v>
      </c>
      <c r="V53" s="57">
        <f t="shared" si="52"/>
        <v>46775</v>
      </c>
      <c r="W53" s="16">
        <f t="shared" si="54"/>
        <v>4</v>
      </c>
      <c r="X53" s="785" t="s">
        <v>42</v>
      </c>
      <c r="Y53" s="17">
        <f>IF(C8=AA60,AA66,IF(C8=AD60,AB66,IF(C8=AF60,AD66,IF(C8=AG60,AE66,IF(C8=AE60,AC66,IF(C8=#REF!,AF66,IF(C8=AH60,AG66,IF(C8=#REF!,AH66,V28))))))))</f>
        <v>1.18E-2</v>
      </c>
      <c r="Z53" s="791"/>
      <c r="AA53" s="58"/>
      <c r="AB53" s="53">
        <v>42124</v>
      </c>
      <c r="AC53" s="53"/>
      <c r="AD53" s="53"/>
      <c r="AE53" s="46"/>
      <c r="AF53" s="2"/>
      <c r="AG53" s="3"/>
      <c r="AH53" s="3"/>
      <c r="AI53" s="2">
        <f t="shared" si="50"/>
        <v>5944.07</v>
      </c>
      <c r="AJ53" s="34">
        <f t="shared" si="51"/>
        <v>13038</v>
      </c>
      <c r="AK53" s="57">
        <f t="shared" si="53"/>
        <v>46775</v>
      </c>
      <c r="AL53" s="130">
        <f t="shared" si="22"/>
        <v>0</v>
      </c>
      <c r="AM53" s="769">
        <f t="shared" si="32"/>
        <v>45</v>
      </c>
      <c r="AN53" s="770">
        <f t="shared" si="12"/>
        <v>46684</v>
      </c>
      <c r="AO53" s="105">
        <f t="shared" si="36"/>
        <v>0</v>
      </c>
      <c r="AP53" s="105">
        <f t="shared" si="13"/>
        <v>0</v>
      </c>
      <c r="AQ53" s="105">
        <f t="shared" si="42"/>
        <v>0</v>
      </c>
      <c r="AR53" s="105">
        <f t="shared" si="35"/>
        <v>0</v>
      </c>
      <c r="AS53" s="105">
        <f t="shared" si="43"/>
        <v>0</v>
      </c>
      <c r="AT53" s="105">
        <f t="shared" si="44"/>
        <v>0</v>
      </c>
      <c r="AU53" s="105">
        <f t="shared" si="45"/>
        <v>0</v>
      </c>
      <c r="AV53" s="105">
        <f t="shared" si="46"/>
        <v>0</v>
      </c>
      <c r="AW53" s="105">
        <f t="shared" si="47"/>
        <v>0</v>
      </c>
      <c r="AX53" s="108">
        <f t="shared" si="33"/>
        <v>0</v>
      </c>
      <c r="AY53" s="108">
        <f t="shared" si="16"/>
        <v>0</v>
      </c>
      <c r="AZ53" s="759">
        <f t="shared" si="37"/>
        <v>46684</v>
      </c>
      <c r="BA53" s="108">
        <f t="shared" si="37"/>
        <v>0</v>
      </c>
    </row>
    <row r="54" spans="1:54" s="16" customFormat="1" ht="12" customHeight="1" x14ac:dyDescent="0.25">
      <c r="A54" s="2"/>
      <c r="B54" s="2"/>
      <c r="C54" s="2"/>
      <c r="D54" s="2"/>
      <c r="E54" s="767">
        <f t="shared" si="29"/>
        <v>46</v>
      </c>
      <c r="F54" s="768">
        <f t="shared" si="5"/>
        <v>46715</v>
      </c>
      <c r="G54" s="24">
        <f t="shared" si="6"/>
        <v>0</v>
      </c>
      <c r="H54" s="24">
        <f t="shared" si="7"/>
        <v>0</v>
      </c>
      <c r="I54" s="24">
        <f t="shared" si="27"/>
        <v>136563.25000000006</v>
      </c>
      <c r="J54" s="24">
        <f t="shared" si="17"/>
        <v>0</v>
      </c>
      <c r="K54" s="24">
        <f t="shared" si="8"/>
        <v>0</v>
      </c>
      <c r="L54" s="24">
        <f t="shared" si="18"/>
        <v>0</v>
      </c>
      <c r="M54" s="24">
        <f t="shared" si="38"/>
        <v>0</v>
      </c>
      <c r="N54" s="24">
        <f t="shared" si="39"/>
        <v>0</v>
      </c>
      <c r="O54" s="24">
        <f t="shared" si="40"/>
        <v>0</v>
      </c>
      <c r="P54" s="24">
        <f t="shared" si="41"/>
        <v>0</v>
      </c>
      <c r="Q54" s="24">
        <f t="shared" si="9"/>
        <v>0</v>
      </c>
      <c r="R54" s="36">
        <f t="shared" si="31"/>
        <v>0</v>
      </c>
      <c r="S54" s="36">
        <f t="shared" si="10"/>
        <v>0</v>
      </c>
      <c r="T54" s="2">
        <f t="shared" si="48"/>
        <v>4096.29</v>
      </c>
      <c r="U54" s="34">
        <f t="shared" si="49"/>
        <v>13038</v>
      </c>
      <c r="V54" s="57">
        <f t="shared" si="52"/>
        <v>47140</v>
      </c>
      <c r="W54" s="16">
        <f t="shared" si="54"/>
        <v>5</v>
      </c>
      <c r="X54" s="785"/>
      <c r="Y54" s="15" t="e">
        <f>IF(D8=AA60,AA66,IF(D8=AD60,AB66,IF(D8=AF60,AD66,IF(D8=AG60,AE66,IF(D8=AE60,AC66,IF(D8=#REF!,AF66,IF(D8=AH60,AG66,V28)))))))</f>
        <v>#REF!</v>
      </c>
      <c r="Z54" s="2"/>
      <c r="AA54" s="2"/>
      <c r="AB54" s="2"/>
      <c r="AC54" s="2"/>
      <c r="AD54" s="2"/>
      <c r="AE54" s="2"/>
      <c r="AF54" s="2"/>
      <c r="AG54" s="2"/>
      <c r="AH54" s="2"/>
      <c r="AI54" s="2">
        <f t="shared" si="50"/>
        <v>6004.61</v>
      </c>
      <c r="AJ54" s="34">
        <f t="shared" si="51"/>
        <v>13038</v>
      </c>
      <c r="AK54" s="57">
        <f t="shared" si="53"/>
        <v>47140</v>
      </c>
      <c r="AL54" s="130">
        <f t="shared" si="22"/>
        <v>0</v>
      </c>
      <c r="AM54" s="769">
        <f t="shared" si="32"/>
        <v>46</v>
      </c>
      <c r="AN54" s="770">
        <f t="shared" si="12"/>
        <v>46715</v>
      </c>
      <c r="AO54" s="105">
        <f t="shared" si="36"/>
        <v>0</v>
      </c>
      <c r="AP54" s="105">
        <f t="shared" si="13"/>
        <v>0</v>
      </c>
      <c r="AQ54" s="105">
        <f t="shared" si="42"/>
        <v>0</v>
      </c>
      <c r="AR54" s="105">
        <f t="shared" si="35"/>
        <v>0</v>
      </c>
      <c r="AS54" s="105">
        <f t="shared" si="43"/>
        <v>0</v>
      </c>
      <c r="AT54" s="105">
        <f t="shared" si="44"/>
        <v>0</v>
      </c>
      <c r="AU54" s="105">
        <f t="shared" si="45"/>
        <v>0</v>
      </c>
      <c r="AV54" s="105">
        <f t="shared" si="46"/>
        <v>0</v>
      </c>
      <c r="AW54" s="105">
        <f t="shared" si="47"/>
        <v>0</v>
      </c>
      <c r="AX54" s="108">
        <f t="shared" si="33"/>
        <v>0</v>
      </c>
      <c r="AY54" s="108">
        <f t="shared" si="16"/>
        <v>0</v>
      </c>
      <c r="AZ54" s="759">
        <f t="shared" si="37"/>
        <v>46715</v>
      </c>
      <c r="BA54" s="108">
        <f t="shared" si="37"/>
        <v>0</v>
      </c>
    </row>
    <row r="55" spans="1:54" s="16" customFormat="1" ht="12" customHeight="1" x14ac:dyDescent="0.25">
      <c r="A55" s="2"/>
      <c r="B55" s="2"/>
      <c r="C55" s="2"/>
      <c r="D55" s="2"/>
      <c r="E55" s="767">
        <f t="shared" si="29"/>
        <v>47</v>
      </c>
      <c r="F55" s="768">
        <f t="shared" si="5"/>
        <v>46745</v>
      </c>
      <c r="G55" s="24">
        <f t="shared" si="6"/>
        <v>0</v>
      </c>
      <c r="H55" s="24">
        <f t="shared" si="7"/>
        <v>0</v>
      </c>
      <c r="I55" s="24">
        <f t="shared" si="27"/>
        <v>136563.25000000006</v>
      </c>
      <c r="J55" s="24">
        <f t="shared" si="17"/>
        <v>0</v>
      </c>
      <c r="K55" s="24">
        <f t="shared" si="8"/>
        <v>0</v>
      </c>
      <c r="L55" s="24">
        <f t="shared" si="18"/>
        <v>0</v>
      </c>
      <c r="M55" s="24">
        <f t="shared" si="38"/>
        <v>0</v>
      </c>
      <c r="N55" s="24">
        <f t="shared" si="39"/>
        <v>0</v>
      </c>
      <c r="O55" s="24">
        <f t="shared" si="40"/>
        <v>0</v>
      </c>
      <c r="P55" s="24">
        <f t="shared" si="41"/>
        <v>0</v>
      </c>
      <c r="Q55" s="24">
        <f t="shared" si="9"/>
        <v>0</v>
      </c>
      <c r="R55" s="36">
        <f t="shared" si="31"/>
        <v>0</v>
      </c>
      <c r="S55" s="36">
        <f t="shared" si="10"/>
        <v>0</v>
      </c>
      <c r="T55" s="2">
        <f t="shared" si="48"/>
        <v>3878.45</v>
      </c>
      <c r="U55" s="34">
        <f t="shared" si="49"/>
        <v>13038</v>
      </c>
      <c r="V55" s="57">
        <f t="shared" si="52"/>
        <v>47505</v>
      </c>
      <c r="W55" s="16">
        <f t="shared" si="54"/>
        <v>6</v>
      </c>
      <c r="X55" s="2"/>
      <c r="Y55" s="783"/>
      <c r="Z55" s="1"/>
      <c r="AA55" s="792">
        <f>F8</f>
        <v>45315</v>
      </c>
      <c r="AB55" s="47">
        <f>(C28+AF52)*AA14/12*(1+AA14/12)^(C10)/((1+AA14/12)^(C10)-1)+C28/10000*IF(C10&lt;11,20,IF(C10&lt;20,2.5,IF(C10&lt;37,1.5,IF(C10&lt;60,0.7,IF(C10&lt;85,0.5,IF(C10&lt;261,0.1,-0.02))))))*IF(AA14&lt;0.3,AA14/0.2,AA14/0.1)</f>
        <v>13481.847961131896</v>
      </c>
      <c r="AC55" s="2"/>
      <c r="AD55" s="47">
        <f>IF(DAY(C9)&lt;29,AD56,AD57)</f>
        <v>13037.876080942659</v>
      </c>
      <c r="AE55" s="2"/>
      <c r="AF55" s="2"/>
      <c r="AG55" s="2"/>
      <c r="AH55" s="2"/>
      <c r="AI55" s="2">
        <f t="shared" si="50"/>
        <v>5678.89</v>
      </c>
      <c r="AJ55" s="34">
        <f t="shared" si="51"/>
        <v>13038</v>
      </c>
      <c r="AK55" s="57">
        <f t="shared" si="53"/>
        <v>47505</v>
      </c>
      <c r="AL55" s="130">
        <f t="shared" si="22"/>
        <v>0</v>
      </c>
      <c r="AM55" s="769">
        <f t="shared" si="32"/>
        <v>47</v>
      </c>
      <c r="AN55" s="770">
        <f t="shared" si="12"/>
        <v>46745</v>
      </c>
      <c r="AO55" s="105">
        <f t="shared" si="36"/>
        <v>0</v>
      </c>
      <c r="AP55" s="105">
        <f t="shared" si="13"/>
        <v>0</v>
      </c>
      <c r="AQ55" s="105">
        <f t="shared" si="42"/>
        <v>0</v>
      </c>
      <c r="AR55" s="105">
        <f t="shared" si="35"/>
        <v>0</v>
      </c>
      <c r="AS55" s="105">
        <f t="shared" si="43"/>
        <v>0</v>
      </c>
      <c r="AT55" s="105">
        <f t="shared" si="44"/>
        <v>0</v>
      </c>
      <c r="AU55" s="105">
        <f t="shared" si="45"/>
        <v>0</v>
      </c>
      <c r="AV55" s="105">
        <f t="shared" si="46"/>
        <v>0</v>
      </c>
      <c r="AW55" s="105">
        <f t="shared" si="47"/>
        <v>0</v>
      </c>
      <c r="AX55" s="108">
        <f t="shared" si="33"/>
        <v>0</v>
      </c>
      <c r="AY55" s="108">
        <f t="shared" si="16"/>
        <v>0</v>
      </c>
      <c r="AZ55" s="759">
        <f t="shared" si="37"/>
        <v>46745</v>
      </c>
      <c r="BA55" s="108">
        <f t="shared" si="37"/>
        <v>0</v>
      </c>
      <c r="BB55" s="2" t="e">
        <f t="shared" ref="BB55:BB92" si="55">IF(AND(E9&gt;=$T$14,E9&lt;=$T$14+5),0,IF($C$9&gt;$AC$52,ROUND(AW8*IF($D$23="",0,$D$23)/(DATEVALUE(CONCATENATE("01/01/",YEAR(AN9)+1))-DATEVALUE(CONCATENATE("01/01/",YEAR(AN9))))*(AN9-AN8),2),0))</f>
        <v>#VALUE!</v>
      </c>
    </row>
    <row r="56" spans="1:54" s="16" customFormat="1" ht="12" x14ac:dyDescent="0.25">
      <c r="A56" s="2"/>
      <c r="B56" s="2"/>
      <c r="C56" s="2"/>
      <c r="D56" s="2"/>
      <c r="E56" s="767">
        <f t="shared" si="29"/>
        <v>48</v>
      </c>
      <c r="F56" s="768">
        <f t="shared" si="5"/>
        <v>46776</v>
      </c>
      <c r="G56" s="24">
        <f t="shared" si="6"/>
        <v>0</v>
      </c>
      <c r="H56" s="24">
        <f t="shared" si="7"/>
        <v>0</v>
      </c>
      <c r="I56" s="24">
        <f t="shared" si="27"/>
        <v>136563.25000000006</v>
      </c>
      <c r="J56" s="24">
        <f t="shared" si="17"/>
        <v>0</v>
      </c>
      <c r="K56" s="24">
        <f t="shared" si="8"/>
        <v>0</v>
      </c>
      <c r="L56" s="24">
        <f t="shared" si="18"/>
        <v>0</v>
      </c>
      <c r="M56" s="24">
        <f t="shared" si="38"/>
        <v>0</v>
      </c>
      <c r="N56" s="24">
        <f t="shared" si="39"/>
        <v>0</v>
      </c>
      <c r="O56" s="24">
        <f t="shared" si="40"/>
        <v>0</v>
      </c>
      <c r="P56" s="24">
        <f t="shared" si="41"/>
        <v>0</v>
      </c>
      <c r="Q56" s="24">
        <f t="shared" si="9"/>
        <v>0</v>
      </c>
      <c r="R56" s="36">
        <f t="shared" si="31"/>
        <v>0</v>
      </c>
      <c r="S56" s="36">
        <f t="shared" si="10"/>
        <v>0</v>
      </c>
      <c r="T56" s="2">
        <f t="shared" si="48"/>
        <v>3915.13</v>
      </c>
      <c r="U56" s="34">
        <f t="shared" si="49"/>
        <v>13038</v>
      </c>
      <c r="V56" s="57">
        <f t="shared" si="52"/>
        <v>47870</v>
      </c>
      <c r="W56" s="16">
        <f t="shared" si="54"/>
        <v>7</v>
      </c>
      <c r="X56" s="783" t="s">
        <v>0</v>
      </c>
      <c r="Y56" s="793"/>
      <c r="Z56" s="10"/>
      <c r="AA56" s="13">
        <f>AB56</f>
        <v>13481.847961131896</v>
      </c>
      <c r="AB56" s="156">
        <f>(C28+AF52)*AA14/12*(1+AA14/12)^(C10)/((1+AA14/12)^(C10)-1)+C28/10000*IF(C10&lt;11,20,IF(C10&lt;20,2.5,IF(C10&lt;37,1.5,IF(C10&lt;60,0.7,IF(C10&lt;85,0.5,IF(C10&lt;261,0.1,-0.02))))))*IF(AA14&lt;0.3,AA14/0.2,AA14/0.1)</f>
        <v>13481.847961131896</v>
      </c>
      <c r="AC56" s="13">
        <f>IF(DAY(C9)&lt;4,AD55,IF(DAY(C9)&gt;28,AD57,AD56))</f>
        <v>13037.876080942659</v>
      </c>
      <c r="AD56" s="47">
        <f>(D28)*AB14/12*(1+AB14/12)^(D10)/((1+AB14/12)^(D10)-1)+D28/10000*IF(C10&lt;11,20,IF(C10&lt;34,0.7,IF(C10&lt;64,0.3,IF(C10&lt;261,0.1,-0.02))))*IF(AA14&lt;0.3,AA14/0.2,AA14/0.1)</f>
        <v>13037.876080942659</v>
      </c>
      <c r="AE56" s="2"/>
      <c r="AF56" s="2"/>
      <c r="AG56" s="2"/>
      <c r="AH56" s="2"/>
      <c r="AI56" s="2">
        <f t="shared" si="50"/>
        <v>5725.45</v>
      </c>
      <c r="AJ56" s="34">
        <f t="shared" si="51"/>
        <v>13038</v>
      </c>
      <c r="AK56" s="57">
        <f t="shared" si="53"/>
        <v>47870</v>
      </c>
      <c r="AL56" s="130">
        <f t="shared" si="22"/>
        <v>0</v>
      </c>
      <c r="AM56" s="769">
        <f t="shared" si="32"/>
        <v>48</v>
      </c>
      <c r="AN56" s="770">
        <f t="shared" si="12"/>
        <v>46776</v>
      </c>
      <c r="AO56" s="105">
        <f t="shared" si="36"/>
        <v>0</v>
      </c>
      <c r="AP56" s="105">
        <f t="shared" si="13"/>
        <v>0</v>
      </c>
      <c r="AQ56" s="105">
        <f t="shared" si="42"/>
        <v>0</v>
      </c>
      <c r="AR56" s="105">
        <f t="shared" si="35"/>
        <v>0</v>
      </c>
      <c r="AS56" s="105">
        <f t="shared" si="43"/>
        <v>0</v>
      </c>
      <c r="AT56" s="105">
        <f t="shared" si="44"/>
        <v>0</v>
      </c>
      <c r="AU56" s="105">
        <f t="shared" si="45"/>
        <v>0</v>
      </c>
      <c r="AV56" s="105">
        <f t="shared" si="46"/>
        <v>0</v>
      </c>
      <c r="AW56" s="105">
        <f t="shared" si="47"/>
        <v>0</v>
      </c>
      <c r="AX56" s="108">
        <f t="shared" si="33"/>
        <v>0</v>
      </c>
      <c r="AY56" s="108">
        <f t="shared" si="16"/>
        <v>0</v>
      </c>
      <c r="AZ56" s="759">
        <f t="shared" si="37"/>
        <v>46776</v>
      </c>
      <c r="BA56" s="108">
        <f t="shared" si="37"/>
        <v>0</v>
      </c>
      <c r="BB56" s="2" t="e">
        <f t="shared" si="55"/>
        <v>#VALUE!</v>
      </c>
    </row>
    <row r="57" spans="1:54" s="16" customFormat="1" x14ac:dyDescent="0.25">
      <c r="A57" s="2"/>
      <c r="B57" s="2"/>
      <c r="C57" s="13"/>
      <c r="D57" s="13"/>
      <c r="E57" s="767">
        <f t="shared" si="29"/>
        <v>49</v>
      </c>
      <c r="F57" s="768">
        <f t="shared" si="5"/>
        <v>46807</v>
      </c>
      <c r="G57" s="24">
        <f t="shared" si="6"/>
        <v>0</v>
      </c>
      <c r="H57" s="24">
        <f t="shared" si="7"/>
        <v>0</v>
      </c>
      <c r="I57" s="24">
        <f t="shared" si="27"/>
        <v>136563.25000000006</v>
      </c>
      <c r="J57" s="24">
        <f t="shared" si="17"/>
        <v>0</v>
      </c>
      <c r="K57" s="24">
        <f t="shared" si="8"/>
        <v>0</v>
      </c>
      <c r="L57" s="24">
        <f t="shared" si="18"/>
        <v>0</v>
      </c>
      <c r="M57" s="24">
        <f t="shared" si="38"/>
        <v>0</v>
      </c>
      <c r="N57" s="24">
        <f t="shared" si="39"/>
        <v>0</v>
      </c>
      <c r="O57" s="24">
        <f t="shared" si="40"/>
        <v>0</v>
      </c>
      <c r="P57" s="24">
        <f t="shared" si="41"/>
        <v>0</v>
      </c>
      <c r="Q57" s="24">
        <f t="shared" si="9"/>
        <v>0</v>
      </c>
      <c r="R57" s="36">
        <f t="shared" si="31"/>
        <v>0</v>
      </c>
      <c r="S57" s="36">
        <f t="shared" si="10"/>
        <v>0</v>
      </c>
      <c r="T57" s="2">
        <f t="shared" si="48"/>
        <v>3823.21</v>
      </c>
      <c r="U57" s="34">
        <f t="shared" si="49"/>
        <v>13038</v>
      </c>
      <c r="V57" s="57">
        <f t="shared" si="52"/>
        <v>48235</v>
      </c>
      <c r="W57" s="16">
        <f t="shared" si="54"/>
        <v>8</v>
      </c>
      <c r="X57" s="793" t="s">
        <v>18</v>
      </c>
      <c r="Y57" s="3"/>
      <c r="Z57" s="118">
        <f>ROUNDUP(AA57/AD48,0)*AD48</f>
        <v>10170</v>
      </c>
      <c r="AA57" s="13">
        <f>(C28+AF52)*Z58/12*(1+Z58/12)^(C10+AA58)/((1+Z58/12)^(C10+AA58)-1)+10*C28/100000*IF(C10+AA58&lt;24,4,IF(C10+AA58&lt;36,3,IF(C10+AA58&lt;48,2,IF(C10+AA58&lt;60,1.5,1))))*Z58/0.2</f>
        <v>10166.233025874011</v>
      </c>
      <c r="AB57" s="157">
        <f>(C28+AF52)*AA14/12*(1+AA14/12)^(C10)/((1+AA14/12)^(C10)-1)+C28/10000*IF(C10&lt;11,20,IF(C10&lt;34,0.7,IF(C10&lt;48,0.3,0)))*IF(AA14&lt;0.3,AA14/0.2,AA14/0.1)</f>
        <v>13435.597920531896</v>
      </c>
      <c r="AC57" s="13">
        <f>(D28+AF52)*AC58/12*(1+AC58/12)^(C10+AA58)/((1+AC58/12)^(C10+AA58)-1)+10*D28/100000*IF(C10+AA58&lt;24,4,IF(C10+AA58&lt;36,3,IF(C10+AA58&lt;48,2,IF(C10+AA58&lt;60,1.5,1))))*AC58/0.2</f>
        <v>9732.9870214586608</v>
      </c>
      <c r="AD57" s="47">
        <f>(D28)*AB14/12*(1+AB14/12)^(D10)/((1+AB14/12)^(D10)-1)+D28/10000*IF(C10&lt;11,20,IF(C10&lt;20,2.5,IF(C10&lt;37,1.5,IF(C10&lt;60,0.7,IF(C10&lt;85,0.5,IF(C10&lt;261,0.1,-0.02))))))*IF(AA14&lt;0.3,AA14/0.2,AA14/0.1)</f>
        <v>13082.155121542659</v>
      </c>
      <c r="AE57" s="2"/>
      <c r="AF57" s="2"/>
      <c r="AG57" s="2"/>
      <c r="AH57" s="2"/>
      <c r="AI57" s="2">
        <f t="shared" si="50"/>
        <v>5583.62</v>
      </c>
      <c r="AJ57" s="34">
        <f t="shared" si="51"/>
        <v>13038</v>
      </c>
      <c r="AK57" s="57">
        <f t="shared" si="53"/>
        <v>48235</v>
      </c>
      <c r="AL57" s="130">
        <f t="shared" si="22"/>
        <v>0</v>
      </c>
      <c r="AM57" s="769">
        <f t="shared" si="32"/>
        <v>49</v>
      </c>
      <c r="AN57" s="770">
        <f t="shared" si="12"/>
        <v>46807</v>
      </c>
      <c r="AO57" s="105">
        <f t="shared" si="36"/>
        <v>0</v>
      </c>
      <c r="AP57" s="105">
        <f t="shared" si="13"/>
        <v>0</v>
      </c>
      <c r="AQ57" s="105">
        <f t="shared" si="42"/>
        <v>0</v>
      </c>
      <c r="AR57" s="105">
        <f t="shared" si="35"/>
        <v>0</v>
      </c>
      <c r="AS57" s="105">
        <f t="shared" si="43"/>
        <v>0</v>
      </c>
      <c r="AT57" s="105">
        <f t="shared" si="44"/>
        <v>0</v>
      </c>
      <c r="AU57" s="105">
        <f t="shared" si="45"/>
        <v>0</v>
      </c>
      <c r="AV57" s="105">
        <f t="shared" si="46"/>
        <v>0</v>
      </c>
      <c r="AW57" s="105">
        <f t="shared" si="47"/>
        <v>0</v>
      </c>
      <c r="AX57" s="108">
        <f t="shared" si="33"/>
        <v>0</v>
      </c>
      <c r="AY57" s="108">
        <f t="shared" si="16"/>
        <v>0</v>
      </c>
      <c r="AZ57" s="759">
        <f t="shared" si="37"/>
        <v>46807</v>
      </c>
      <c r="BA57" s="108">
        <f t="shared" si="37"/>
        <v>0</v>
      </c>
      <c r="BB57" s="2" t="e">
        <f t="shared" si="55"/>
        <v>#VALUE!</v>
      </c>
    </row>
    <row r="58" spans="1:54" s="16" customFormat="1" x14ac:dyDescent="0.25">
      <c r="A58" s="2"/>
      <c r="B58" s="2"/>
      <c r="C58" s="2"/>
      <c r="D58" s="13"/>
      <c r="E58" s="767">
        <f t="shared" si="29"/>
        <v>50</v>
      </c>
      <c r="F58" s="768">
        <f t="shared" si="5"/>
        <v>46836</v>
      </c>
      <c r="G58" s="24">
        <f t="shared" si="6"/>
        <v>0</v>
      </c>
      <c r="H58" s="24">
        <f t="shared" si="7"/>
        <v>0</v>
      </c>
      <c r="I58" s="24">
        <f t="shared" si="27"/>
        <v>136563.25000000006</v>
      </c>
      <c r="J58" s="24">
        <f t="shared" si="17"/>
        <v>0</v>
      </c>
      <c r="K58" s="24">
        <f t="shared" si="8"/>
        <v>0</v>
      </c>
      <c r="L58" s="24">
        <f t="shared" si="18"/>
        <v>0</v>
      </c>
      <c r="M58" s="24">
        <f t="shared" si="38"/>
        <v>0</v>
      </c>
      <c r="N58" s="24">
        <f t="shared" si="39"/>
        <v>0</v>
      </c>
      <c r="O58" s="24">
        <f t="shared" si="40"/>
        <v>0</v>
      </c>
      <c r="P58" s="24">
        <f t="shared" si="41"/>
        <v>0</v>
      </c>
      <c r="Q58" s="24">
        <f t="shared" si="9"/>
        <v>0</v>
      </c>
      <c r="R58" s="36">
        <f t="shared" si="31"/>
        <v>0</v>
      </c>
      <c r="S58" s="36">
        <f t="shared" si="10"/>
        <v>0</v>
      </c>
      <c r="T58" s="2">
        <f t="shared" si="48"/>
        <v>3609.28</v>
      </c>
      <c r="U58" s="34">
        <f t="shared" si="49"/>
        <v>13038</v>
      </c>
      <c r="V58" s="57">
        <f t="shared" si="52"/>
        <v>48600</v>
      </c>
      <c r="W58" s="16">
        <f t="shared" si="54"/>
        <v>9</v>
      </c>
      <c r="X58" s="3" t="s">
        <v>22</v>
      </c>
      <c r="Y58" s="3"/>
      <c r="Z58" s="15">
        <f>IF(C9&gt;AE49,C17,C17+0.05)</f>
        <v>0.27900000000000003</v>
      </c>
      <c r="AA58" s="2">
        <f xml:space="preserve"> IF(C9&gt;AE49,36,24)</f>
        <v>36</v>
      </c>
      <c r="AB58" s="44">
        <f>(C28+AF52)*AA14/12*(1+AA14/12)^(C10)/((1+AA14/12)^(C10)-1)</f>
        <v>13424.035410381895</v>
      </c>
      <c r="AC58" s="15">
        <f>IF(C9&gt;AE49,D17,D17+0.05)</f>
        <v>0.27900000000000003</v>
      </c>
      <c r="AD58" s="47">
        <f>(D28)*AB14/12*(1+AB14/12)^(C10)/((1+AB14/12)^(C10)-1)</f>
        <v>13026.806320792659</v>
      </c>
      <c r="AE58" s="2"/>
      <c r="AF58" s="2"/>
      <c r="AG58" s="2"/>
      <c r="AH58" s="2"/>
      <c r="AI58" s="2">
        <f t="shared" si="50"/>
        <v>5263.58</v>
      </c>
      <c r="AJ58" s="34">
        <f t="shared" si="51"/>
        <v>13038</v>
      </c>
      <c r="AK58" s="57">
        <f t="shared" si="53"/>
        <v>48600</v>
      </c>
      <c r="AL58" s="130">
        <f t="shared" si="22"/>
        <v>0</v>
      </c>
      <c r="AM58" s="769">
        <f t="shared" si="32"/>
        <v>50</v>
      </c>
      <c r="AN58" s="770">
        <f t="shared" si="12"/>
        <v>46836</v>
      </c>
      <c r="AO58" s="105">
        <f t="shared" si="36"/>
        <v>0</v>
      </c>
      <c r="AP58" s="105">
        <f t="shared" si="13"/>
        <v>0</v>
      </c>
      <c r="AQ58" s="105">
        <f t="shared" si="42"/>
        <v>0</v>
      </c>
      <c r="AR58" s="105">
        <f t="shared" si="35"/>
        <v>0</v>
      </c>
      <c r="AS58" s="105">
        <f t="shared" si="43"/>
        <v>0</v>
      </c>
      <c r="AT58" s="105">
        <f t="shared" si="44"/>
        <v>0</v>
      </c>
      <c r="AU58" s="105">
        <f t="shared" si="45"/>
        <v>0</v>
      </c>
      <c r="AV58" s="105">
        <f t="shared" si="46"/>
        <v>0</v>
      </c>
      <c r="AW58" s="105">
        <f t="shared" si="47"/>
        <v>0</v>
      </c>
      <c r="AX58" s="108">
        <f t="shared" si="33"/>
        <v>0</v>
      </c>
      <c r="AY58" s="108">
        <f t="shared" si="16"/>
        <v>0</v>
      </c>
      <c r="AZ58" s="759">
        <f t="shared" si="37"/>
        <v>46836</v>
      </c>
      <c r="BA58" s="108">
        <f t="shared" si="37"/>
        <v>0</v>
      </c>
      <c r="BB58" s="2" t="e">
        <f t="shared" si="55"/>
        <v>#VALUE!</v>
      </c>
    </row>
    <row r="59" spans="1:54" s="16" customFormat="1" ht="15.75" customHeight="1" x14ac:dyDescent="0.25">
      <c r="A59" s="2"/>
      <c r="B59" s="2"/>
      <c r="C59" s="2"/>
      <c r="D59" s="2"/>
      <c r="E59" s="767">
        <f t="shared" si="29"/>
        <v>51</v>
      </c>
      <c r="F59" s="768">
        <f t="shared" si="5"/>
        <v>46867</v>
      </c>
      <c r="G59" s="24">
        <f t="shared" si="6"/>
        <v>0</v>
      </c>
      <c r="H59" s="24">
        <f t="shared" si="7"/>
        <v>0</v>
      </c>
      <c r="I59" s="24">
        <f t="shared" si="27"/>
        <v>136563.25000000006</v>
      </c>
      <c r="J59" s="24">
        <f t="shared" si="17"/>
        <v>0</v>
      </c>
      <c r="K59" s="24">
        <f t="shared" si="8"/>
        <v>0</v>
      </c>
      <c r="L59" s="24">
        <f t="shared" si="18"/>
        <v>0</v>
      </c>
      <c r="M59" s="24">
        <f t="shared" si="38"/>
        <v>0</v>
      </c>
      <c r="N59" s="24">
        <f t="shared" si="39"/>
        <v>0</v>
      </c>
      <c r="O59" s="24">
        <f t="shared" si="40"/>
        <v>0</v>
      </c>
      <c r="P59" s="24">
        <f t="shared" si="41"/>
        <v>0</v>
      </c>
      <c r="Q59" s="24">
        <f t="shared" si="9"/>
        <v>0</v>
      </c>
      <c r="R59" s="36">
        <f t="shared" si="31"/>
        <v>0</v>
      </c>
      <c r="S59" s="36">
        <f t="shared" si="10"/>
        <v>0</v>
      </c>
      <c r="T59" s="2">
        <f t="shared" si="48"/>
        <v>3632</v>
      </c>
      <c r="U59" s="34">
        <f t="shared" si="49"/>
        <v>13038</v>
      </c>
      <c r="V59" s="57">
        <f t="shared" si="52"/>
        <v>48965</v>
      </c>
      <c r="W59" s="16">
        <f t="shared" si="54"/>
        <v>10</v>
      </c>
      <c r="X59" s="60">
        <v>43858</v>
      </c>
      <c r="Y59" s="2"/>
      <c r="Z59" s="2"/>
      <c r="AA59" s="2"/>
      <c r="AB59" s="2"/>
      <c r="AC59" s="2"/>
      <c r="AD59" s="144" t="s">
        <v>360</v>
      </c>
      <c r="AE59" s="144" t="s">
        <v>434</v>
      </c>
      <c r="AF59" s="145" t="s">
        <v>482</v>
      </c>
      <c r="AG59" s="145" t="s">
        <v>35</v>
      </c>
      <c r="AH59" s="2"/>
      <c r="AI59" s="2">
        <f t="shared" si="50"/>
        <v>5288.23</v>
      </c>
      <c r="AJ59" s="34">
        <f t="shared" si="51"/>
        <v>13038</v>
      </c>
      <c r="AK59" s="57">
        <f t="shared" si="53"/>
        <v>48965</v>
      </c>
      <c r="AL59" s="130">
        <f t="shared" si="22"/>
        <v>0</v>
      </c>
      <c r="AM59" s="769">
        <f t="shared" si="32"/>
        <v>51</v>
      </c>
      <c r="AN59" s="770">
        <f t="shared" si="12"/>
        <v>46867</v>
      </c>
      <c r="AO59" s="105">
        <f t="shared" si="36"/>
        <v>0</v>
      </c>
      <c r="AP59" s="105">
        <f t="shared" si="13"/>
        <v>0</v>
      </c>
      <c r="AQ59" s="105">
        <f t="shared" si="42"/>
        <v>0</v>
      </c>
      <c r="AR59" s="105">
        <f t="shared" si="35"/>
        <v>0</v>
      </c>
      <c r="AS59" s="105">
        <f t="shared" si="43"/>
        <v>0</v>
      </c>
      <c r="AT59" s="105">
        <f t="shared" si="44"/>
        <v>0</v>
      </c>
      <c r="AU59" s="105">
        <f t="shared" si="45"/>
        <v>0</v>
      </c>
      <c r="AV59" s="105">
        <f t="shared" si="46"/>
        <v>0</v>
      </c>
      <c r="AW59" s="105">
        <f t="shared" si="47"/>
        <v>0</v>
      </c>
      <c r="AX59" s="108">
        <f t="shared" si="33"/>
        <v>0</v>
      </c>
      <c r="AY59" s="108">
        <f t="shared" si="16"/>
        <v>0</v>
      </c>
      <c r="AZ59" s="759">
        <f t="shared" si="37"/>
        <v>46867</v>
      </c>
      <c r="BA59" s="108">
        <f t="shared" si="37"/>
        <v>0</v>
      </c>
      <c r="BB59" s="2" t="e">
        <f t="shared" si="55"/>
        <v>#VALUE!</v>
      </c>
    </row>
    <row r="60" spans="1:54" s="16" customFormat="1" ht="12" x14ac:dyDescent="0.25">
      <c r="A60" s="2"/>
      <c r="B60" s="2"/>
      <c r="C60" s="2"/>
      <c r="D60" s="2"/>
      <c r="E60" s="767">
        <f t="shared" si="29"/>
        <v>52</v>
      </c>
      <c r="F60" s="768">
        <f t="shared" si="5"/>
        <v>46897</v>
      </c>
      <c r="G60" s="24">
        <f t="shared" si="6"/>
        <v>0</v>
      </c>
      <c r="H60" s="24">
        <f t="shared" si="7"/>
        <v>0</v>
      </c>
      <c r="I60" s="24">
        <f t="shared" si="27"/>
        <v>136563.25000000006</v>
      </c>
      <c r="J60" s="24">
        <f t="shared" si="17"/>
        <v>0</v>
      </c>
      <c r="K60" s="24">
        <f t="shared" si="8"/>
        <v>0</v>
      </c>
      <c r="L60" s="24">
        <f t="shared" si="18"/>
        <v>0</v>
      </c>
      <c r="M60" s="24">
        <f t="shared" si="38"/>
        <v>0</v>
      </c>
      <c r="N60" s="24">
        <f t="shared" si="39"/>
        <v>0</v>
      </c>
      <c r="O60" s="24">
        <f t="shared" si="40"/>
        <v>0</v>
      </c>
      <c r="P60" s="24">
        <f t="shared" si="41"/>
        <v>0</v>
      </c>
      <c r="Q60" s="24">
        <f t="shared" si="9"/>
        <v>0</v>
      </c>
      <c r="R60" s="36">
        <f t="shared" si="31"/>
        <v>0</v>
      </c>
      <c r="S60" s="36">
        <f t="shared" si="10"/>
        <v>0</v>
      </c>
      <c r="T60" s="2">
        <f t="shared" si="48"/>
        <v>3420.8</v>
      </c>
      <c r="U60" s="34">
        <f t="shared" si="49"/>
        <v>13038</v>
      </c>
      <c r="V60" s="57">
        <f t="shared" si="52"/>
        <v>49330</v>
      </c>
      <c r="W60" s="16">
        <f t="shared" si="54"/>
        <v>11</v>
      </c>
      <c r="X60" s="2" t="s">
        <v>452</v>
      </c>
      <c r="Z60" s="145" t="s">
        <v>488</v>
      </c>
      <c r="AA60" s="145" t="s">
        <v>487</v>
      </c>
      <c r="AB60" s="145" t="s">
        <v>489</v>
      </c>
      <c r="AC60" s="145" t="s">
        <v>490</v>
      </c>
      <c r="AD60" s="145" t="s">
        <v>491</v>
      </c>
      <c r="AE60" s="145" t="s">
        <v>486</v>
      </c>
      <c r="AF60" s="145" t="s">
        <v>492</v>
      </c>
      <c r="AG60" s="145" t="s">
        <v>493</v>
      </c>
      <c r="AH60" s="2" t="s">
        <v>35</v>
      </c>
      <c r="AI60" s="2">
        <f t="shared" si="50"/>
        <v>4972.18</v>
      </c>
      <c r="AJ60" s="34">
        <f t="shared" si="51"/>
        <v>13038</v>
      </c>
      <c r="AK60" s="57">
        <f>IF(AI60=0,AK59,AK59+365)</f>
        <v>49330</v>
      </c>
      <c r="AL60" s="130">
        <f t="shared" si="22"/>
        <v>0</v>
      </c>
      <c r="AM60" s="769">
        <f t="shared" si="32"/>
        <v>52</v>
      </c>
      <c r="AN60" s="770">
        <f t="shared" si="12"/>
        <v>46897</v>
      </c>
      <c r="AO60" s="105">
        <f t="shared" si="36"/>
        <v>0</v>
      </c>
      <c r="AP60" s="105">
        <f t="shared" si="13"/>
        <v>0</v>
      </c>
      <c r="AQ60" s="105">
        <f t="shared" si="42"/>
        <v>0</v>
      </c>
      <c r="AR60" s="105">
        <f t="shared" si="35"/>
        <v>0</v>
      </c>
      <c r="AS60" s="105">
        <f t="shared" si="43"/>
        <v>0</v>
      </c>
      <c r="AT60" s="105">
        <f t="shared" si="44"/>
        <v>0</v>
      </c>
      <c r="AU60" s="105">
        <f t="shared" si="45"/>
        <v>0</v>
      </c>
      <c r="AV60" s="105">
        <f t="shared" si="46"/>
        <v>0</v>
      </c>
      <c r="AW60" s="105">
        <f t="shared" si="47"/>
        <v>0</v>
      </c>
      <c r="AX60" s="108">
        <f t="shared" si="33"/>
        <v>0</v>
      </c>
      <c r="AY60" s="108">
        <f t="shared" si="16"/>
        <v>0</v>
      </c>
      <c r="AZ60" s="759">
        <f t="shared" si="37"/>
        <v>46897</v>
      </c>
      <c r="BA60" s="108">
        <f t="shared" si="37"/>
        <v>0</v>
      </c>
      <c r="BB60" s="2" t="e">
        <f t="shared" si="55"/>
        <v>#VALUE!</v>
      </c>
    </row>
    <row r="61" spans="1:54" s="16" customFormat="1" ht="12" x14ac:dyDescent="0.25">
      <c r="A61" s="2"/>
      <c r="B61" s="2"/>
      <c r="C61" s="2"/>
      <c r="D61" s="2"/>
      <c r="E61" s="767">
        <f t="shared" si="29"/>
        <v>53</v>
      </c>
      <c r="F61" s="768">
        <f t="shared" si="5"/>
        <v>46928</v>
      </c>
      <c r="G61" s="24">
        <f t="shared" si="6"/>
        <v>0</v>
      </c>
      <c r="H61" s="24">
        <f t="shared" si="7"/>
        <v>0</v>
      </c>
      <c r="I61" s="24">
        <f t="shared" si="27"/>
        <v>136563.25000000006</v>
      </c>
      <c r="J61" s="24">
        <f t="shared" si="17"/>
        <v>0</v>
      </c>
      <c r="K61" s="24">
        <f t="shared" si="8"/>
        <v>0</v>
      </c>
      <c r="L61" s="24">
        <f t="shared" si="18"/>
        <v>0</v>
      </c>
      <c r="M61" s="24">
        <f t="shared" si="38"/>
        <v>0</v>
      </c>
      <c r="N61" s="24">
        <f t="shared" si="39"/>
        <v>0</v>
      </c>
      <c r="O61" s="24">
        <f t="shared" si="40"/>
        <v>0</v>
      </c>
      <c r="P61" s="24">
        <f t="shared" si="41"/>
        <v>0</v>
      </c>
      <c r="Q61" s="24">
        <f t="shared" si="9"/>
        <v>0</v>
      </c>
      <c r="R61" s="36">
        <f t="shared" si="31"/>
        <v>0</v>
      </c>
      <c r="S61" s="36">
        <f t="shared" si="10"/>
        <v>0</v>
      </c>
      <c r="T61" s="2">
        <f t="shared" si="48"/>
        <v>3443.14</v>
      </c>
      <c r="U61" s="34">
        <f t="shared" si="49"/>
        <v>13038</v>
      </c>
      <c r="V61" s="57">
        <f t="shared" si="52"/>
        <v>49695</v>
      </c>
      <c r="W61" s="16">
        <f t="shared" si="54"/>
        <v>12</v>
      </c>
      <c r="X61" s="170" t="s">
        <v>373</v>
      </c>
      <c r="Y61" s="133" t="s">
        <v>454</v>
      </c>
      <c r="Z61" s="155"/>
      <c r="AA61" s="133" t="s">
        <v>125</v>
      </c>
      <c r="AB61" s="155"/>
      <c r="AC61" s="155"/>
      <c r="AD61" s="155"/>
      <c r="AE61" s="155"/>
      <c r="AF61" s="155"/>
      <c r="AG61" s="155"/>
      <c r="AH61" s="2"/>
      <c r="AI61" s="2">
        <f t="shared" si="50"/>
        <v>4995.12</v>
      </c>
      <c r="AJ61" s="34">
        <f t="shared" si="51"/>
        <v>13038</v>
      </c>
      <c r="AK61" s="57">
        <f t="shared" si="53"/>
        <v>49695</v>
      </c>
      <c r="AL61" s="130">
        <f t="shared" si="22"/>
        <v>0</v>
      </c>
      <c r="AM61" s="769">
        <f t="shared" si="32"/>
        <v>53</v>
      </c>
      <c r="AN61" s="770">
        <f t="shared" si="12"/>
        <v>46928</v>
      </c>
      <c r="AO61" s="105">
        <f t="shared" si="36"/>
        <v>0</v>
      </c>
      <c r="AP61" s="105">
        <f t="shared" si="13"/>
        <v>0</v>
      </c>
      <c r="AQ61" s="105">
        <f t="shared" si="42"/>
        <v>0</v>
      </c>
      <c r="AR61" s="105">
        <f t="shared" si="35"/>
        <v>0</v>
      </c>
      <c r="AS61" s="105">
        <f t="shared" si="43"/>
        <v>0</v>
      </c>
      <c r="AT61" s="105">
        <f t="shared" si="44"/>
        <v>0</v>
      </c>
      <c r="AU61" s="105">
        <f t="shared" si="45"/>
        <v>0</v>
      </c>
      <c r="AV61" s="105">
        <f t="shared" si="46"/>
        <v>0</v>
      </c>
      <c r="AW61" s="105">
        <f t="shared" si="47"/>
        <v>0</v>
      </c>
      <c r="AX61" s="108">
        <f t="shared" si="33"/>
        <v>0</v>
      </c>
      <c r="AY61" s="108">
        <f t="shared" si="16"/>
        <v>0</v>
      </c>
      <c r="AZ61" s="759">
        <f t="shared" si="37"/>
        <v>46928</v>
      </c>
      <c r="BA61" s="108">
        <f t="shared" si="37"/>
        <v>0</v>
      </c>
      <c r="BB61" s="2" t="e">
        <f t="shared" si="55"/>
        <v>#VALUE!</v>
      </c>
    </row>
    <row r="62" spans="1:54" s="16" customFormat="1" ht="15.75" customHeight="1" x14ac:dyDescent="0.25">
      <c r="A62" s="2"/>
      <c r="B62" s="2"/>
      <c r="C62" s="2"/>
      <c r="D62" s="2"/>
      <c r="E62" s="767">
        <f t="shared" si="29"/>
        <v>54</v>
      </c>
      <c r="F62" s="768">
        <f t="shared" si="5"/>
        <v>46958</v>
      </c>
      <c r="G62" s="24">
        <f t="shared" si="6"/>
        <v>0</v>
      </c>
      <c r="H62" s="24">
        <f t="shared" si="7"/>
        <v>0</v>
      </c>
      <c r="I62" s="24">
        <f t="shared" si="27"/>
        <v>136563.25000000006</v>
      </c>
      <c r="J62" s="24">
        <f t="shared" si="17"/>
        <v>0</v>
      </c>
      <c r="K62" s="24">
        <f t="shared" si="8"/>
        <v>0</v>
      </c>
      <c r="L62" s="24">
        <f t="shared" si="18"/>
        <v>0</v>
      </c>
      <c r="M62" s="24">
        <f t="shared" si="38"/>
        <v>0</v>
      </c>
      <c r="N62" s="24">
        <f t="shared" si="39"/>
        <v>0</v>
      </c>
      <c r="O62" s="24">
        <f t="shared" si="40"/>
        <v>0</v>
      </c>
      <c r="P62" s="24">
        <f t="shared" si="41"/>
        <v>0</v>
      </c>
      <c r="Q62" s="24">
        <f t="shared" si="9"/>
        <v>0</v>
      </c>
      <c r="R62" s="36">
        <f t="shared" si="31"/>
        <v>0</v>
      </c>
      <c r="S62" s="36">
        <f t="shared" si="10"/>
        <v>0</v>
      </c>
      <c r="T62" s="2">
        <f t="shared" si="48"/>
        <v>3342.15</v>
      </c>
      <c r="U62" s="34">
        <f t="shared" si="49"/>
        <v>13038</v>
      </c>
      <c r="V62" s="57">
        <f t="shared" si="52"/>
        <v>50060</v>
      </c>
      <c r="W62" s="16">
        <f t="shared" si="54"/>
        <v>13</v>
      </c>
      <c r="Y62" s="171">
        <v>199000</v>
      </c>
      <c r="Z62" s="133">
        <v>8.0000000000000002E-3</v>
      </c>
      <c r="AA62" s="133">
        <v>1.06E-2</v>
      </c>
      <c r="AB62" s="133">
        <v>7.9000000000000008E-3</v>
      </c>
      <c r="AC62" s="133">
        <v>1.18E-2</v>
      </c>
      <c r="AD62" s="133">
        <v>8.0000000000000002E-3</v>
      </c>
      <c r="AE62" s="133">
        <v>1.06E-2</v>
      </c>
      <c r="AF62" s="133">
        <v>7.9000000000000008E-3</v>
      </c>
      <c r="AG62" s="133">
        <v>1.18E-2</v>
      </c>
      <c r="AH62" s="2"/>
      <c r="AI62" s="2">
        <f t="shared" si="50"/>
        <v>4838.63</v>
      </c>
      <c r="AJ62" s="34">
        <f t="shared" si="51"/>
        <v>13038</v>
      </c>
      <c r="AK62" s="57">
        <f t="shared" si="53"/>
        <v>50060</v>
      </c>
      <c r="AL62" s="130">
        <f t="shared" si="22"/>
        <v>0</v>
      </c>
      <c r="AM62" s="769">
        <f t="shared" si="32"/>
        <v>54</v>
      </c>
      <c r="AN62" s="770">
        <f t="shared" si="12"/>
        <v>46958</v>
      </c>
      <c r="AO62" s="105">
        <f t="shared" si="36"/>
        <v>0</v>
      </c>
      <c r="AP62" s="105">
        <f t="shared" si="13"/>
        <v>0</v>
      </c>
      <c r="AQ62" s="105">
        <f t="shared" si="42"/>
        <v>0</v>
      </c>
      <c r="AR62" s="105">
        <f t="shared" si="35"/>
        <v>0</v>
      </c>
      <c r="AS62" s="105">
        <f t="shared" si="43"/>
        <v>0</v>
      </c>
      <c r="AT62" s="105">
        <f t="shared" si="44"/>
        <v>0</v>
      </c>
      <c r="AU62" s="105">
        <f t="shared" si="45"/>
        <v>0</v>
      </c>
      <c r="AV62" s="105">
        <f t="shared" si="46"/>
        <v>0</v>
      </c>
      <c r="AW62" s="105">
        <f t="shared" si="47"/>
        <v>0</v>
      </c>
      <c r="AX62" s="108">
        <f t="shared" si="33"/>
        <v>0</v>
      </c>
      <c r="AY62" s="108">
        <f t="shared" si="16"/>
        <v>0</v>
      </c>
      <c r="AZ62" s="759">
        <f t="shared" si="37"/>
        <v>46958</v>
      </c>
      <c r="BA62" s="108">
        <f t="shared" si="37"/>
        <v>0</v>
      </c>
      <c r="BB62" s="2" t="e">
        <f t="shared" si="55"/>
        <v>#VALUE!</v>
      </c>
    </row>
    <row r="63" spans="1:54" s="16" customFormat="1" ht="12" x14ac:dyDescent="0.25">
      <c r="A63" s="2"/>
      <c r="B63" s="2"/>
      <c r="C63" s="2"/>
      <c r="D63" s="2"/>
      <c r="E63" s="767">
        <f t="shared" si="29"/>
        <v>55</v>
      </c>
      <c r="F63" s="768">
        <f t="shared" si="5"/>
        <v>46989</v>
      </c>
      <c r="G63" s="24">
        <f t="shared" si="6"/>
        <v>0</v>
      </c>
      <c r="H63" s="24">
        <f t="shared" si="7"/>
        <v>0</v>
      </c>
      <c r="I63" s="24">
        <f t="shared" si="27"/>
        <v>136563.25000000006</v>
      </c>
      <c r="J63" s="24">
        <f t="shared" si="17"/>
        <v>0</v>
      </c>
      <c r="K63" s="24">
        <f t="shared" si="8"/>
        <v>0</v>
      </c>
      <c r="L63" s="24">
        <f t="shared" si="18"/>
        <v>0</v>
      </c>
      <c r="M63" s="24">
        <f t="shared" si="38"/>
        <v>0</v>
      </c>
      <c r="N63" s="24">
        <f t="shared" si="39"/>
        <v>0</v>
      </c>
      <c r="O63" s="24">
        <f t="shared" si="40"/>
        <v>0</v>
      </c>
      <c r="P63" s="24">
        <f t="shared" si="41"/>
        <v>0</v>
      </c>
      <c r="Q63" s="24">
        <f t="shared" si="9"/>
        <v>0</v>
      </c>
      <c r="R63" s="36">
        <f t="shared" si="31"/>
        <v>0</v>
      </c>
      <c r="S63" s="36">
        <f t="shared" si="10"/>
        <v>0</v>
      </c>
      <c r="T63" s="2">
        <f t="shared" si="48"/>
        <v>2925.84</v>
      </c>
      <c r="U63" s="34">
        <f t="shared" si="49"/>
        <v>13038</v>
      </c>
      <c r="V63" s="57">
        <f t="shared" si="52"/>
        <v>50425</v>
      </c>
      <c r="W63" s="16">
        <f t="shared" si="54"/>
        <v>14</v>
      </c>
      <c r="X63" s="171">
        <v>199001</v>
      </c>
      <c r="Y63" s="171">
        <v>500000</v>
      </c>
      <c r="Z63" s="133">
        <v>9.2999999999999992E-3</v>
      </c>
      <c r="AA63" s="133">
        <v>1.1900000000000001E-2</v>
      </c>
      <c r="AB63" s="133">
        <v>7.9000000000000008E-3</v>
      </c>
      <c r="AC63" s="133">
        <v>1.18E-2</v>
      </c>
      <c r="AD63" s="133">
        <v>9.2999999999999992E-3</v>
      </c>
      <c r="AE63" s="133">
        <v>1.1900000000000001E-2</v>
      </c>
      <c r="AF63" s="133">
        <v>7.9000000000000008E-3</v>
      </c>
      <c r="AG63" s="133">
        <v>1.18E-2</v>
      </c>
      <c r="AH63" s="2"/>
      <c r="AI63" s="2">
        <f t="shared" si="50"/>
        <v>4226.34</v>
      </c>
      <c r="AJ63" s="34">
        <f t="shared" si="51"/>
        <v>13038</v>
      </c>
      <c r="AK63" s="57">
        <f t="shared" si="53"/>
        <v>50425</v>
      </c>
      <c r="AL63" s="130">
        <f t="shared" si="22"/>
        <v>0</v>
      </c>
      <c r="AM63" s="769">
        <f t="shared" si="32"/>
        <v>55</v>
      </c>
      <c r="AN63" s="770">
        <f t="shared" si="12"/>
        <v>46989</v>
      </c>
      <c r="AO63" s="105">
        <f t="shared" si="36"/>
        <v>0</v>
      </c>
      <c r="AP63" s="105">
        <f t="shared" si="13"/>
        <v>0</v>
      </c>
      <c r="AQ63" s="105">
        <f t="shared" si="42"/>
        <v>0</v>
      </c>
      <c r="AR63" s="105">
        <f t="shared" si="35"/>
        <v>0</v>
      </c>
      <c r="AS63" s="105">
        <f t="shared" si="43"/>
        <v>0</v>
      </c>
      <c r="AT63" s="105">
        <f t="shared" si="44"/>
        <v>0</v>
      </c>
      <c r="AU63" s="105">
        <f t="shared" si="45"/>
        <v>0</v>
      </c>
      <c r="AV63" s="105">
        <f t="shared" si="46"/>
        <v>0</v>
      </c>
      <c r="AW63" s="105">
        <f t="shared" si="47"/>
        <v>0</v>
      </c>
      <c r="AX63" s="108">
        <f t="shared" si="33"/>
        <v>0</v>
      </c>
      <c r="AY63" s="108">
        <f t="shared" si="16"/>
        <v>0</v>
      </c>
      <c r="AZ63" s="759">
        <f t="shared" si="37"/>
        <v>46989</v>
      </c>
      <c r="BA63" s="108">
        <f t="shared" si="37"/>
        <v>0</v>
      </c>
      <c r="BB63" s="2" t="e">
        <f t="shared" si="55"/>
        <v>#VALUE!</v>
      </c>
    </row>
    <row r="64" spans="1:54" s="16" customFormat="1" ht="12" x14ac:dyDescent="0.25">
      <c r="A64" s="2"/>
      <c r="B64" s="2"/>
      <c r="C64" s="2"/>
      <c r="D64" s="2"/>
      <c r="E64" s="767">
        <f t="shared" si="29"/>
        <v>56</v>
      </c>
      <c r="F64" s="768">
        <f t="shared" si="5"/>
        <v>47020</v>
      </c>
      <c r="G64" s="24">
        <f t="shared" si="6"/>
        <v>0</v>
      </c>
      <c r="H64" s="24">
        <f t="shared" si="7"/>
        <v>0</v>
      </c>
      <c r="I64" s="24">
        <f t="shared" si="27"/>
        <v>136563.25000000006</v>
      </c>
      <c r="J64" s="24">
        <f t="shared" si="17"/>
        <v>0</v>
      </c>
      <c r="K64" s="24">
        <f t="shared" si="8"/>
        <v>0</v>
      </c>
      <c r="L64" s="24">
        <f t="shared" si="18"/>
        <v>0</v>
      </c>
      <c r="M64" s="24">
        <f t="shared" si="30"/>
        <v>0</v>
      </c>
      <c r="N64" s="24">
        <f t="shared" si="19"/>
        <v>0</v>
      </c>
      <c r="O64" s="24">
        <f t="shared" si="20"/>
        <v>0</v>
      </c>
      <c r="P64" s="24">
        <f t="shared" si="21"/>
        <v>0</v>
      </c>
      <c r="Q64" s="24">
        <f t="shared" si="9"/>
        <v>0</v>
      </c>
      <c r="R64" s="36">
        <f t="shared" si="31"/>
        <v>0</v>
      </c>
      <c r="S64" s="36">
        <f t="shared" si="10"/>
        <v>0</v>
      </c>
      <c r="T64" s="2">
        <f t="shared" si="48"/>
        <v>3128.75</v>
      </c>
      <c r="U64" s="34">
        <f t="shared" si="49"/>
        <v>13038</v>
      </c>
      <c r="V64" s="57">
        <f t="shared" si="52"/>
        <v>50790</v>
      </c>
      <c r="W64" s="16">
        <f t="shared" si="54"/>
        <v>15</v>
      </c>
      <c r="X64" s="170">
        <v>500001</v>
      </c>
      <c r="Y64" s="171">
        <v>1000000</v>
      </c>
      <c r="Z64" s="133">
        <v>9.2999999999999992E-3</v>
      </c>
      <c r="AA64" s="133">
        <v>1.1900000000000001E-2</v>
      </c>
      <c r="AB64" s="133">
        <v>7.9000000000000008E-3</v>
      </c>
      <c r="AC64" s="133">
        <v>1.18E-2</v>
      </c>
      <c r="AD64" s="133">
        <v>9.2999999999999992E-3</v>
      </c>
      <c r="AE64" s="133">
        <v>1.1900000000000001E-2</v>
      </c>
      <c r="AF64" s="133">
        <v>7.9000000000000008E-3</v>
      </c>
      <c r="AG64" s="133">
        <v>1.18E-2</v>
      </c>
      <c r="AH64" s="2"/>
      <c r="AI64" s="2">
        <f t="shared" si="50"/>
        <v>4507.78</v>
      </c>
      <c r="AJ64" s="34">
        <f t="shared" si="51"/>
        <v>13038</v>
      </c>
      <c r="AK64" s="57">
        <f t="shared" si="53"/>
        <v>50790</v>
      </c>
      <c r="AL64" s="130">
        <f t="shared" si="22"/>
        <v>0</v>
      </c>
      <c r="AM64" s="769">
        <f t="shared" si="32"/>
        <v>56</v>
      </c>
      <c r="AN64" s="770">
        <f t="shared" si="12"/>
        <v>47020</v>
      </c>
      <c r="AO64" s="105">
        <f t="shared" si="36"/>
        <v>0</v>
      </c>
      <c r="AP64" s="105">
        <f t="shared" si="13"/>
        <v>0</v>
      </c>
      <c r="AQ64" s="105">
        <f t="shared" si="42"/>
        <v>0</v>
      </c>
      <c r="AR64" s="105">
        <f t="shared" si="35"/>
        <v>0</v>
      </c>
      <c r="AS64" s="105">
        <f t="shared" si="43"/>
        <v>0</v>
      </c>
      <c r="AT64" s="105">
        <f t="shared" si="44"/>
        <v>0</v>
      </c>
      <c r="AU64" s="105">
        <f t="shared" si="45"/>
        <v>0</v>
      </c>
      <c r="AV64" s="105">
        <f t="shared" si="46"/>
        <v>0</v>
      </c>
      <c r="AW64" s="105">
        <f t="shared" si="47"/>
        <v>0</v>
      </c>
      <c r="AX64" s="108">
        <f t="shared" si="33"/>
        <v>0</v>
      </c>
      <c r="AY64" s="108">
        <f t="shared" si="16"/>
        <v>0</v>
      </c>
      <c r="AZ64" s="759">
        <f t="shared" si="37"/>
        <v>47020</v>
      </c>
      <c r="BA64" s="108">
        <f t="shared" si="37"/>
        <v>0</v>
      </c>
      <c r="BB64" s="2" t="e">
        <f t="shared" si="55"/>
        <v>#VALUE!</v>
      </c>
    </row>
    <row r="65" spans="1:54" s="16" customFormat="1" ht="12" x14ac:dyDescent="0.25">
      <c r="A65" s="2"/>
      <c r="B65" s="2"/>
      <c r="C65" s="2"/>
      <c r="D65" s="2"/>
      <c r="E65" s="767">
        <f t="shared" si="29"/>
        <v>57</v>
      </c>
      <c r="F65" s="768">
        <f t="shared" si="5"/>
        <v>47050</v>
      </c>
      <c r="G65" s="24">
        <f t="shared" si="6"/>
        <v>0</v>
      </c>
      <c r="H65" s="24">
        <f t="shared" si="7"/>
        <v>0</v>
      </c>
      <c r="I65" s="24">
        <f t="shared" si="27"/>
        <v>136563.25000000006</v>
      </c>
      <c r="J65" s="24">
        <f t="shared" si="17"/>
        <v>0</v>
      </c>
      <c r="K65" s="24">
        <f t="shared" si="8"/>
        <v>0</v>
      </c>
      <c r="L65" s="24">
        <f t="shared" si="18"/>
        <v>0</v>
      </c>
      <c r="M65" s="24">
        <f t="shared" si="30"/>
        <v>0</v>
      </c>
      <c r="N65" s="24">
        <f t="shared" si="19"/>
        <v>0</v>
      </c>
      <c r="O65" s="24">
        <f t="shared" si="20"/>
        <v>0</v>
      </c>
      <c r="P65" s="24">
        <f t="shared" si="21"/>
        <v>0</v>
      </c>
      <c r="Q65" s="24">
        <f t="shared" si="9"/>
        <v>0</v>
      </c>
      <c r="R65" s="36">
        <f t="shared" si="31"/>
        <v>0</v>
      </c>
      <c r="S65" s="36">
        <f t="shared" si="10"/>
        <v>0</v>
      </c>
      <c r="T65" s="2">
        <f t="shared" si="48"/>
        <v>2924.47</v>
      </c>
      <c r="U65" s="34">
        <f t="shared" si="49"/>
        <v>13038</v>
      </c>
      <c r="V65" s="57">
        <f t="shared" si="52"/>
        <v>51155</v>
      </c>
      <c r="W65" s="16">
        <f t="shared" si="54"/>
        <v>16</v>
      </c>
      <c r="X65" s="171">
        <v>1000001</v>
      </c>
      <c r="Y65" s="171">
        <v>5000000</v>
      </c>
      <c r="Z65" s="133">
        <v>9.2999999999999992E-3</v>
      </c>
      <c r="AA65" s="133">
        <v>1.06E-2</v>
      </c>
      <c r="AB65" s="133">
        <v>9.1999999999999998E-3</v>
      </c>
      <c r="AC65" s="133">
        <v>1.46E-2</v>
      </c>
      <c r="AD65" s="133">
        <v>9.2999999999999992E-3</v>
      </c>
      <c r="AE65" s="133">
        <v>1.06E-2</v>
      </c>
      <c r="AF65" s="133">
        <v>9.1999999999999998E-3</v>
      </c>
      <c r="AG65" s="133">
        <v>1.46E-2</v>
      </c>
      <c r="AH65" s="2"/>
      <c r="AI65" s="2">
        <f t="shared" si="50"/>
        <v>4201.8100000000004</v>
      </c>
      <c r="AJ65" s="34">
        <f t="shared" si="51"/>
        <v>13038</v>
      </c>
      <c r="AK65" s="57">
        <f t="shared" si="53"/>
        <v>51155</v>
      </c>
      <c r="AL65" s="130">
        <f t="shared" si="22"/>
        <v>0</v>
      </c>
      <c r="AM65" s="769">
        <f t="shared" si="32"/>
        <v>57</v>
      </c>
      <c r="AN65" s="770">
        <f t="shared" si="12"/>
        <v>47050</v>
      </c>
      <c r="AO65" s="105">
        <f t="shared" si="36"/>
        <v>0</v>
      </c>
      <c r="AP65" s="105">
        <f t="shared" si="13"/>
        <v>0</v>
      </c>
      <c r="AQ65" s="105">
        <f t="shared" si="42"/>
        <v>0</v>
      </c>
      <c r="AR65" s="105">
        <f t="shared" si="35"/>
        <v>0</v>
      </c>
      <c r="AS65" s="105">
        <f t="shared" si="43"/>
        <v>0</v>
      </c>
      <c r="AT65" s="105">
        <f t="shared" si="44"/>
        <v>0</v>
      </c>
      <c r="AU65" s="105">
        <f t="shared" si="45"/>
        <v>0</v>
      </c>
      <c r="AV65" s="105">
        <f t="shared" si="46"/>
        <v>0</v>
      </c>
      <c r="AW65" s="105">
        <f t="shared" si="47"/>
        <v>0</v>
      </c>
      <c r="AX65" s="108">
        <f t="shared" si="33"/>
        <v>0</v>
      </c>
      <c r="AY65" s="108">
        <f t="shared" si="16"/>
        <v>0</v>
      </c>
      <c r="AZ65" s="759">
        <f t="shared" si="37"/>
        <v>47050</v>
      </c>
      <c r="BA65" s="108">
        <f t="shared" si="37"/>
        <v>0</v>
      </c>
      <c r="BB65" s="2" t="e">
        <f t="shared" si="55"/>
        <v>#VALUE!</v>
      </c>
    </row>
    <row r="66" spans="1:54" s="16" customFormat="1" ht="12" x14ac:dyDescent="0.25">
      <c r="A66" s="2"/>
      <c r="B66" s="2"/>
      <c r="C66" s="2"/>
      <c r="D66" s="2"/>
      <c r="E66" s="767">
        <f t="shared" si="29"/>
        <v>58</v>
      </c>
      <c r="F66" s="768">
        <f t="shared" si="5"/>
        <v>47081</v>
      </c>
      <c r="G66" s="24">
        <f t="shared" si="6"/>
        <v>0</v>
      </c>
      <c r="H66" s="24">
        <f t="shared" si="7"/>
        <v>0</v>
      </c>
      <c r="I66" s="24">
        <f t="shared" si="27"/>
        <v>136563.25000000006</v>
      </c>
      <c r="J66" s="24">
        <f t="shared" si="17"/>
        <v>0</v>
      </c>
      <c r="K66" s="24">
        <f t="shared" si="8"/>
        <v>0</v>
      </c>
      <c r="L66" s="24">
        <f t="shared" si="18"/>
        <v>0</v>
      </c>
      <c r="M66" s="24">
        <f t="shared" si="30"/>
        <v>0</v>
      </c>
      <c r="N66" s="24">
        <f t="shared" si="19"/>
        <v>0</v>
      </c>
      <c r="O66" s="24">
        <f t="shared" si="20"/>
        <v>0</v>
      </c>
      <c r="P66" s="24">
        <f t="shared" si="21"/>
        <v>0</v>
      </c>
      <c r="Q66" s="24">
        <f t="shared" si="9"/>
        <v>0</v>
      </c>
      <c r="R66" s="36">
        <f t="shared" si="31"/>
        <v>0</v>
      </c>
      <c r="S66" s="36">
        <f t="shared" si="10"/>
        <v>0</v>
      </c>
      <c r="T66" s="2">
        <f t="shared" si="48"/>
        <v>2911.35</v>
      </c>
      <c r="U66" s="34">
        <f t="shared" si="49"/>
        <v>13038</v>
      </c>
      <c r="V66" s="57">
        <f t="shared" si="52"/>
        <v>51520</v>
      </c>
      <c r="W66" s="16">
        <f t="shared" si="54"/>
        <v>17</v>
      </c>
      <c r="X66" s="171"/>
      <c r="Y66" s="172"/>
      <c r="Z66" s="133">
        <f>IF($C$7&lt;=$Y$62,Z62,IF($C$7&lt;=$Y$63,Z63,IF($C$7&lt;=$Y$64,Z64,Z65)))</f>
        <v>9.2999999999999992E-3</v>
      </c>
      <c r="AA66" s="133">
        <f t="shared" ref="AA66:AF66" si="56">IF($C$7&lt;=$Y$62,AA62,IF($C$7&lt;=$Y$63,AA63,IF($C$7&lt;=$Y$64,AA64,AA65)))</f>
        <v>1.1900000000000001E-2</v>
      </c>
      <c r="AB66" s="133">
        <f t="shared" si="56"/>
        <v>7.9000000000000008E-3</v>
      </c>
      <c r="AC66" s="133">
        <f t="shared" si="56"/>
        <v>1.18E-2</v>
      </c>
      <c r="AD66" s="133">
        <f t="shared" si="56"/>
        <v>9.2999999999999992E-3</v>
      </c>
      <c r="AE66" s="133">
        <f t="shared" si="56"/>
        <v>1.1900000000000001E-2</v>
      </c>
      <c r="AF66" s="133">
        <f t="shared" si="56"/>
        <v>7.9000000000000008E-3</v>
      </c>
      <c r="AG66" s="133">
        <f>IF($C$7&lt;=$Y$62,AG62,IF($C$7&lt;=$Y$63,AG63,IF($C$7&lt;=$Y$64,AG64,AG65)))</f>
        <v>1.18E-2</v>
      </c>
      <c r="AH66" s="2">
        <f>IF($D$8=$Z$60,Z66,IF($D$8=$AA$60,AA66,IF($D$8=$AB$60,AB66,AC66)))</f>
        <v>9.2999999999999992E-3</v>
      </c>
      <c r="AI66" s="2">
        <f t="shared" si="50"/>
        <v>4170.01</v>
      </c>
      <c r="AJ66" s="34">
        <f t="shared" si="51"/>
        <v>13038</v>
      </c>
      <c r="AK66" s="57">
        <f t="shared" si="53"/>
        <v>51520</v>
      </c>
      <c r="AL66" s="130">
        <f t="shared" si="22"/>
        <v>0</v>
      </c>
      <c r="AM66" s="769">
        <f t="shared" si="32"/>
        <v>58</v>
      </c>
      <c r="AN66" s="770">
        <f t="shared" si="12"/>
        <v>47081</v>
      </c>
      <c r="AO66" s="105">
        <f t="shared" si="36"/>
        <v>0</v>
      </c>
      <c r="AP66" s="105">
        <f t="shared" si="13"/>
        <v>0</v>
      </c>
      <c r="AQ66" s="105">
        <f t="shared" si="42"/>
        <v>0</v>
      </c>
      <c r="AR66" s="105">
        <f t="shared" si="35"/>
        <v>0</v>
      </c>
      <c r="AS66" s="105">
        <f t="shared" si="43"/>
        <v>0</v>
      </c>
      <c r="AT66" s="105">
        <f t="shared" si="44"/>
        <v>0</v>
      </c>
      <c r="AU66" s="105">
        <f t="shared" si="45"/>
        <v>0</v>
      </c>
      <c r="AV66" s="105">
        <f t="shared" si="46"/>
        <v>0</v>
      </c>
      <c r="AW66" s="105">
        <f t="shared" si="47"/>
        <v>0</v>
      </c>
      <c r="AX66" s="108">
        <f t="shared" si="33"/>
        <v>0</v>
      </c>
      <c r="AY66" s="108">
        <f t="shared" si="16"/>
        <v>0</v>
      </c>
      <c r="AZ66" s="759">
        <f t="shared" si="37"/>
        <v>47081</v>
      </c>
      <c r="BA66" s="108">
        <f t="shared" si="37"/>
        <v>0</v>
      </c>
      <c r="BB66" s="2" t="e">
        <f t="shared" si="55"/>
        <v>#VALUE!</v>
      </c>
    </row>
    <row r="67" spans="1:54" s="16" customFormat="1" ht="12" x14ac:dyDescent="0.25">
      <c r="A67" s="2"/>
      <c r="B67" s="2"/>
      <c r="C67" s="13"/>
      <c r="D67" s="13"/>
      <c r="E67" s="767">
        <f t="shared" si="29"/>
        <v>59</v>
      </c>
      <c r="F67" s="768">
        <f t="shared" si="5"/>
        <v>47111</v>
      </c>
      <c r="G67" s="24">
        <f t="shared" si="6"/>
        <v>0</v>
      </c>
      <c r="H67" s="24">
        <f t="shared" si="7"/>
        <v>0</v>
      </c>
      <c r="I67" s="24">
        <f t="shared" si="27"/>
        <v>136563.25000000006</v>
      </c>
      <c r="J67" s="24">
        <f t="shared" si="17"/>
        <v>0</v>
      </c>
      <c r="K67" s="24">
        <f t="shared" si="8"/>
        <v>0</v>
      </c>
      <c r="L67" s="24">
        <f t="shared" si="18"/>
        <v>0</v>
      </c>
      <c r="M67" s="24">
        <f t="shared" si="30"/>
        <v>0</v>
      </c>
      <c r="N67" s="24">
        <f t="shared" si="19"/>
        <v>0</v>
      </c>
      <c r="O67" s="24">
        <f t="shared" si="20"/>
        <v>0</v>
      </c>
      <c r="P67" s="24">
        <f t="shared" si="21"/>
        <v>0</v>
      </c>
      <c r="Q67" s="24">
        <f t="shared" si="9"/>
        <v>0</v>
      </c>
      <c r="R67" s="36">
        <f t="shared" si="31"/>
        <v>0</v>
      </c>
      <c r="S67" s="36">
        <f t="shared" si="10"/>
        <v>0</v>
      </c>
      <c r="T67" s="2">
        <f t="shared" si="48"/>
        <v>2710.17</v>
      </c>
      <c r="U67" s="34">
        <f t="shared" si="49"/>
        <v>13038</v>
      </c>
      <c r="V67" s="57">
        <f t="shared" si="52"/>
        <v>51885</v>
      </c>
      <c r="W67" s="16">
        <f t="shared" si="54"/>
        <v>18</v>
      </c>
      <c r="Z67" s="143">
        <f t="shared" ref="Z67" si="57">Z66*Z81*$C$30</f>
        <v>33479.999999999993</v>
      </c>
      <c r="AA67" s="143">
        <f>AA66*AA81*$C$30</f>
        <v>42840.000000000007</v>
      </c>
      <c r="AB67" s="143">
        <f t="shared" ref="AB67:AD67" si="58">AB66*AB81*$C$30</f>
        <v>28440.000000000007</v>
      </c>
      <c r="AC67" s="143">
        <f t="shared" si="58"/>
        <v>42480</v>
      </c>
      <c r="AD67" s="143">
        <f t="shared" si="58"/>
        <v>33479.999999999993</v>
      </c>
      <c r="AE67" s="143">
        <f>AE66*AE81*$C$30</f>
        <v>42840.000000000007</v>
      </c>
      <c r="AF67" s="143">
        <f>AF66*AF81*$C$30</f>
        <v>28440.000000000007</v>
      </c>
      <c r="AG67" s="143">
        <f>AG66*AG81*$C$30</f>
        <v>42480</v>
      </c>
      <c r="AH67" s="2">
        <f>IF($D$8=$Z$60,Z67,IF($D$8=$AA$60,AA67,IF($D$8=$AB$60,AB67,AC67)))</f>
        <v>33479.999999999993</v>
      </c>
      <c r="AI67" s="2">
        <f t="shared" si="50"/>
        <v>3868.59</v>
      </c>
      <c r="AJ67" s="34">
        <f t="shared" si="51"/>
        <v>13038</v>
      </c>
      <c r="AK67" s="57">
        <f t="shared" si="53"/>
        <v>51885</v>
      </c>
      <c r="AL67" s="130">
        <f t="shared" si="22"/>
        <v>0</v>
      </c>
      <c r="AM67" s="769">
        <f t="shared" si="32"/>
        <v>59</v>
      </c>
      <c r="AN67" s="770">
        <f t="shared" si="12"/>
        <v>47111</v>
      </c>
      <c r="AO67" s="105">
        <f t="shared" si="36"/>
        <v>0</v>
      </c>
      <c r="AP67" s="105">
        <f t="shared" si="13"/>
        <v>0</v>
      </c>
      <c r="AQ67" s="105">
        <f t="shared" si="42"/>
        <v>0</v>
      </c>
      <c r="AR67" s="105">
        <f t="shared" si="35"/>
        <v>0</v>
      </c>
      <c r="AS67" s="105">
        <f t="shared" si="43"/>
        <v>0</v>
      </c>
      <c r="AT67" s="105">
        <f t="shared" si="44"/>
        <v>0</v>
      </c>
      <c r="AU67" s="105">
        <f t="shared" si="45"/>
        <v>0</v>
      </c>
      <c r="AV67" s="105">
        <f t="shared" si="46"/>
        <v>0</v>
      </c>
      <c r="AW67" s="105">
        <f t="shared" si="47"/>
        <v>0</v>
      </c>
      <c r="AX67" s="108">
        <f t="shared" si="33"/>
        <v>0</v>
      </c>
      <c r="AY67" s="108">
        <f t="shared" si="16"/>
        <v>0</v>
      </c>
      <c r="AZ67" s="759">
        <f t="shared" si="37"/>
        <v>47111</v>
      </c>
      <c r="BA67" s="108">
        <f t="shared" si="37"/>
        <v>0</v>
      </c>
      <c r="BB67" s="2" t="e">
        <f t="shared" si="55"/>
        <v>#VALUE!</v>
      </c>
    </row>
    <row r="68" spans="1:54" s="16" customFormat="1" ht="12" x14ac:dyDescent="0.25">
      <c r="A68" s="2"/>
      <c r="B68" s="2"/>
      <c r="C68" s="118">
        <f>G68-G67</f>
        <v>0</v>
      </c>
      <c r="D68" s="13"/>
      <c r="E68" s="767">
        <f t="shared" si="29"/>
        <v>60</v>
      </c>
      <c r="F68" s="768">
        <f t="shared" si="5"/>
        <v>47142</v>
      </c>
      <c r="G68" s="24">
        <f>IF(AND(E68&gt;=$T$14,E68&lt;=$T$14+5),$T$15,IF(AND(Q67+L68+H68&gt;G67,G67&lt;&gt;0),$C$29,IF(Q67=0,0,Q67+L68+H68+H69)))+IF(AND(E68=$C$10,$C$22&lt;&gt;"Нет",J68&gt;0),MIN((I68-I68/$C$19*$C$23),Q67+H68-G67),0)</f>
        <v>0</v>
      </c>
      <c r="H68" s="24">
        <f t="shared" si="7"/>
        <v>0</v>
      </c>
      <c r="I68" s="24">
        <f t="shared" si="27"/>
        <v>136563.25000000006</v>
      </c>
      <c r="J68" s="24">
        <f>IF(AND(E68=$C$10,$C$22&lt;&gt;"Нет"),MIN((I68-I68/$C$19*$C$23),Q67+H68-G67),0)</f>
        <v>0</v>
      </c>
      <c r="K68" s="24">
        <f t="shared" si="8"/>
        <v>0</v>
      </c>
      <c r="L68" s="24">
        <f t="shared" si="18"/>
        <v>0</v>
      </c>
      <c r="M68" s="24">
        <f t="shared" si="30"/>
        <v>0</v>
      </c>
      <c r="N68" s="24">
        <f t="shared" si="19"/>
        <v>0</v>
      </c>
      <c r="O68" s="24">
        <f t="shared" si="20"/>
        <v>0</v>
      </c>
      <c r="P68" s="24">
        <f t="shared" si="21"/>
        <v>0</v>
      </c>
      <c r="Q68" s="24">
        <f t="shared" si="9"/>
        <v>0</v>
      </c>
      <c r="R68" s="36">
        <f t="shared" si="31"/>
        <v>0</v>
      </c>
      <c r="S68" s="36">
        <f t="shared" si="10"/>
        <v>0</v>
      </c>
      <c r="T68" s="2">
        <f t="shared" si="48"/>
        <v>2685.93</v>
      </c>
      <c r="U68" s="34">
        <f t="shared" si="49"/>
        <v>13038</v>
      </c>
      <c r="V68" s="57">
        <f t="shared" si="52"/>
        <v>52250</v>
      </c>
      <c r="W68" s="16">
        <f t="shared" si="54"/>
        <v>19</v>
      </c>
      <c r="Z68" s="143">
        <f t="shared" ref="Z68:AD68" si="59">V67</f>
        <v>51885</v>
      </c>
      <c r="AA68" s="143">
        <f t="shared" si="59"/>
        <v>18</v>
      </c>
      <c r="AB68" s="143">
        <f t="shared" si="59"/>
        <v>0</v>
      </c>
      <c r="AC68" s="143">
        <f t="shared" si="59"/>
        <v>0</v>
      </c>
      <c r="AD68" s="143">
        <f t="shared" si="59"/>
        <v>33479.999999999993</v>
      </c>
      <c r="AE68" s="143">
        <f>AA67</f>
        <v>42840.000000000007</v>
      </c>
      <c r="AF68" s="143">
        <f>AA67</f>
        <v>42840.000000000007</v>
      </c>
      <c r="AG68" s="143">
        <f>AB67</f>
        <v>28440.000000000007</v>
      </c>
      <c r="AH68" s="143">
        <f>AH67-AE67</f>
        <v>-9360.0000000000146</v>
      </c>
      <c r="AI68" s="2">
        <f t="shared" si="50"/>
        <v>3819.2</v>
      </c>
      <c r="AJ68" s="34">
        <f t="shared" si="51"/>
        <v>13038</v>
      </c>
      <c r="AK68" s="57">
        <f t="shared" si="53"/>
        <v>52250</v>
      </c>
      <c r="AL68" s="130">
        <f t="shared" si="22"/>
        <v>0</v>
      </c>
      <c r="AM68" s="769">
        <f t="shared" si="32"/>
        <v>60</v>
      </c>
      <c r="AN68" s="770">
        <f t="shared" si="12"/>
        <v>47142</v>
      </c>
      <c r="AO68" s="105">
        <f>IF(AX67=1,AR68+AP68+AQ68,IF(AW67+AR68+AP68&gt;AO67,$D$29,IF(AW67=0,0,AW67+AR68+AP68+AP100)))</f>
        <v>0</v>
      </c>
      <c r="AP68" s="105">
        <f t="shared" si="13"/>
        <v>0</v>
      </c>
      <c r="AQ68" s="105">
        <f>IF(AY68=0,0,IF(AY68=1,AW67,IF(AW67+AR68+AP68&gt;AO67,AO68-AP68-AR68,AW67)))</f>
        <v>0</v>
      </c>
      <c r="AR68" s="105">
        <f>IF(AT68&gt;$D$29,$D$29-AP68,IF(AY68=0,0,AV68)+BN117)</f>
        <v>0</v>
      </c>
      <c r="AS68" s="105">
        <f>AU67-AR67</f>
        <v>0</v>
      </c>
      <c r="AT68" s="105">
        <f>AP68+AU68</f>
        <v>0</v>
      </c>
      <c r="AU68" s="105">
        <f>IF(AY68=0,0,0)</f>
        <v>0</v>
      </c>
      <c r="AV68" s="105">
        <f>IF(AY68=0,0,0)</f>
        <v>0</v>
      </c>
      <c r="AW68" s="105">
        <f>IF(OR(AY68=1,AW67=0),0,AW67-AQ68)</f>
        <v>0</v>
      </c>
      <c r="AX68" s="108">
        <f t="shared" si="33"/>
        <v>0</v>
      </c>
      <c r="AY68" s="108">
        <f t="shared" si="16"/>
        <v>0</v>
      </c>
      <c r="AZ68" s="759">
        <f t="shared" si="37"/>
        <v>47142</v>
      </c>
      <c r="BA68" s="108">
        <f t="shared" si="37"/>
        <v>0</v>
      </c>
      <c r="BB68" s="2" t="e">
        <f t="shared" si="55"/>
        <v>#VALUE!</v>
      </c>
    </row>
    <row r="69" spans="1:54" s="16" customFormat="1" ht="12" x14ac:dyDescent="0.25">
      <c r="A69" s="2"/>
      <c r="B69" s="2"/>
      <c r="C69" s="2"/>
      <c r="D69" s="2"/>
      <c r="E69" s="767">
        <f t="shared" si="29"/>
        <v>61</v>
      </c>
      <c r="F69" s="768">
        <f t="shared" si="5"/>
        <v>47173</v>
      </c>
      <c r="G69" s="24">
        <f t="shared" ref="G69:G132" si="60">IF(AND(E69&gt;=$T$14,E69&lt;=$T$14+5),$T$15,IF(AND(Q68+L69+H69&gt;G68,G68&lt;&gt;0),$C$29,IF(Q68=0,0,Q68+L69+H69+H70)))+IF(AND(E69=$C$10,$C$22&lt;&gt;"Нет"),MIN((I69-I69/$C$19*$C$23),Q68+H69-G68),0)</f>
        <v>0</v>
      </c>
      <c r="H69" s="24">
        <f t="shared" si="7"/>
        <v>0</v>
      </c>
      <c r="I69" s="24">
        <f t="shared" si="27"/>
        <v>136563.25000000006</v>
      </c>
      <c r="J69" s="24">
        <f t="shared" ref="J69:J132" si="61">IF(AND(E69=$C$10,$C$22&lt;&gt;"Нет"),MIN((I69-I69/$C$19*$C$23),Q68+H69-G68),0)</f>
        <v>0</v>
      </c>
      <c r="K69" s="24">
        <f t="shared" si="8"/>
        <v>0</v>
      </c>
      <c r="L69" s="24">
        <f t="shared" si="18"/>
        <v>0</v>
      </c>
      <c r="M69" s="24">
        <f t="shared" si="30"/>
        <v>0</v>
      </c>
      <c r="N69" s="24">
        <f t="shared" si="19"/>
        <v>0</v>
      </c>
      <c r="O69" s="24">
        <f t="shared" si="20"/>
        <v>0</v>
      </c>
      <c r="P69" s="24">
        <f t="shared" si="21"/>
        <v>0</v>
      </c>
      <c r="Q69" s="24">
        <f t="shared" si="9"/>
        <v>0</v>
      </c>
      <c r="R69" s="36">
        <f t="shared" si="31"/>
        <v>0</v>
      </c>
      <c r="S69" s="36">
        <f t="shared" si="10"/>
        <v>0</v>
      </c>
      <c r="T69" s="2">
        <f t="shared" si="48"/>
        <v>2570.89</v>
      </c>
      <c r="U69" s="34">
        <f t="shared" si="49"/>
        <v>13038</v>
      </c>
      <c r="V69" s="57">
        <f t="shared" si="52"/>
        <v>52615</v>
      </c>
      <c r="W69" s="16">
        <f t="shared" si="54"/>
        <v>20</v>
      </c>
      <c r="X69" s="794"/>
      <c r="AH69" s="16">
        <f>104000+2900+5616+18532</f>
        <v>131048</v>
      </c>
      <c r="AI69" s="2">
        <f t="shared" si="50"/>
        <v>3639.9</v>
      </c>
      <c r="AJ69" s="34">
        <f t="shared" si="51"/>
        <v>13038</v>
      </c>
      <c r="AK69" s="57">
        <f>IF(AI69=0,AK68,AK68+365)</f>
        <v>52615</v>
      </c>
      <c r="AL69" s="130">
        <f t="shared" si="22"/>
        <v>0</v>
      </c>
      <c r="AM69" s="769">
        <f t="shared" si="32"/>
        <v>61</v>
      </c>
      <c r="AN69" s="770">
        <f t="shared" si="12"/>
        <v>47173</v>
      </c>
      <c r="AO69" s="105">
        <f>IF(AX68=1,AR69+AP69+AQ69,IF(AW68+AR69+AP69&gt;AO68,$D$29,IF(AW68=0,0,AW68+AR69+AP69+AP101)))</f>
        <v>0</v>
      </c>
      <c r="AP69" s="105">
        <f t="shared" si="13"/>
        <v>0</v>
      </c>
      <c r="AQ69" s="105">
        <f>IF(AY69=0,0,IF(AY69=1,AW68,IF(AW68+AR69+AP69&gt;AO68,AO69-AP69-AR69,AW68)))</f>
        <v>0</v>
      </c>
      <c r="AR69" s="105">
        <f>IF(AT69&gt;$D$29,$D$29-AP69,IF(AY69=0,0,AV69)+BN118)</f>
        <v>0</v>
      </c>
      <c r="AS69" s="105">
        <f>AU68-AR68</f>
        <v>0</v>
      </c>
      <c r="AT69" s="105">
        <f>AP69+AU69</f>
        <v>0</v>
      </c>
      <c r="AU69" s="105">
        <f>IF(AY69=0,0,0)</f>
        <v>0</v>
      </c>
      <c r="AV69" s="105">
        <f>IF(AY69=0,0,0)</f>
        <v>0</v>
      </c>
      <c r="AW69" s="105">
        <f>IF(OR(AY69=1,AW68=0),0,AW68-AQ69)</f>
        <v>0</v>
      </c>
      <c r="AX69" s="108">
        <f t="shared" si="33"/>
        <v>0</v>
      </c>
      <c r="AY69" s="108">
        <f t="shared" si="16"/>
        <v>0</v>
      </c>
      <c r="AZ69" s="759">
        <f t="shared" si="37"/>
        <v>47173</v>
      </c>
      <c r="BA69" s="108">
        <f t="shared" si="37"/>
        <v>0</v>
      </c>
      <c r="BB69" s="2" t="e">
        <f t="shared" si="55"/>
        <v>#VALUE!</v>
      </c>
    </row>
    <row r="70" spans="1:54" s="16" customFormat="1" ht="12" x14ac:dyDescent="0.25">
      <c r="A70" s="2"/>
      <c r="B70" s="2"/>
      <c r="C70" s="2"/>
      <c r="D70" s="2"/>
      <c r="E70" s="767">
        <f t="shared" si="29"/>
        <v>62</v>
      </c>
      <c r="F70" s="768">
        <f t="shared" si="5"/>
        <v>47201</v>
      </c>
      <c r="G70" s="24">
        <f t="shared" si="60"/>
        <v>0</v>
      </c>
      <c r="H70" s="24">
        <f t="shared" si="7"/>
        <v>0</v>
      </c>
      <c r="I70" s="24">
        <f t="shared" si="27"/>
        <v>136563.25000000006</v>
      </c>
      <c r="J70" s="24">
        <f t="shared" si="61"/>
        <v>0</v>
      </c>
      <c r="K70" s="24">
        <f t="shared" si="8"/>
        <v>0</v>
      </c>
      <c r="L70" s="24">
        <f t="shared" si="18"/>
        <v>0</v>
      </c>
      <c r="M70" s="24">
        <f t="shared" si="30"/>
        <v>0</v>
      </c>
      <c r="N70" s="24">
        <f t="shared" si="19"/>
        <v>0</v>
      </c>
      <c r="O70" s="24">
        <f t="shared" si="20"/>
        <v>0</v>
      </c>
      <c r="P70" s="24">
        <f t="shared" si="21"/>
        <v>0</v>
      </c>
      <c r="Q70" s="24">
        <f t="shared" si="9"/>
        <v>0</v>
      </c>
      <c r="R70" s="36">
        <f t="shared" si="31"/>
        <v>0</v>
      </c>
      <c r="S70" s="36">
        <f t="shared" si="10"/>
        <v>0</v>
      </c>
      <c r="T70" s="2">
        <f t="shared" si="48"/>
        <v>2374.5700000000002</v>
      </c>
      <c r="U70" s="34">
        <f t="shared" si="49"/>
        <v>13038</v>
      </c>
      <c r="V70" s="57">
        <f t="shared" si="52"/>
        <v>52980</v>
      </c>
      <c r="W70" s="16">
        <f t="shared" si="54"/>
        <v>21</v>
      </c>
      <c r="Y70" s="2"/>
      <c r="AA70" s="2"/>
      <c r="AB70" s="2"/>
      <c r="AC70" s="2"/>
      <c r="AD70" s="2"/>
      <c r="AE70" s="2"/>
      <c r="AF70" s="2"/>
      <c r="AG70" s="2"/>
      <c r="AH70" s="63"/>
      <c r="AI70" s="2">
        <f t="shared" si="50"/>
        <v>3345.59</v>
      </c>
      <c r="AJ70" s="34">
        <f>IF(AI70=0,IF(AI69=0,0,$AJ$46),AO29)</f>
        <v>13038</v>
      </c>
      <c r="AK70" s="57">
        <f t="shared" si="53"/>
        <v>52980</v>
      </c>
      <c r="AL70" s="130">
        <f t="shared" si="22"/>
        <v>0</v>
      </c>
      <c r="AM70" s="769">
        <f t="shared" si="32"/>
        <v>62</v>
      </c>
      <c r="AN70" s="770">
        <f t="shared" si="12"/>
        <v>47201</v>
      </c>
      <c r="AO70" s="105">
        <f t="shared" si="36"/>
        <v>0</v>
      </c>
      <c r="AP70" s="105">
        <f t="shared" si="13"/>
        <v>0</v>
      </c>
      <c r="AQ70" s="105">
        <f t="shared" si="42"/>
        <v>0</v>
      </c>
      <c r="AR70" s="105">
        <f t="shared" si="35"/>
        <v>0</v>
      </c>
      <c r="AS70" s="105">
        <f t="shared" si="43"/>
        <v>0</v>
      </c>
      <c r="AT70" s="105">
        <f t="shared" si="44"/>
        <v>0</v>
      </c>
      <c r="AU70" s="105">
        <f t="shared" si="45"/>
        <v>0</v>
      </c>
      <c r="AV70" s="105">
        <f t="shared" si="46"/>
        <v>0</v>
      </c>
      <c r="AW70" s="105">
        <f t="shared" si="47"/>
        <v>0</v>
      </c>
      <c r="AX70" s="108">
        <f t="shared" si="33"/>
        <v>0</v>
      </c>
      <c r="AY70" s="108">
        <f t="shared" si="16"/>
        <v>0</v>
      </c>
      <c r="AZ70" s="759">
        <f t="shared" si="37"/>
        <v>47201</v>
      </c>
      <c r="BA70" s="108">
        <f t="shared" si="37"/>
        <v>0</v>
      </c>
      <c r="BB70" s="2" t="e">
        <f t="shared" si="55"/>
        <v>#VALUE!</v>
      </c>
    </row>
    <row r="71" spans="1:54" s="16" customFormat="1" ht="12" x14ac:dyDescent="0.25">
      <c r="A71" s="2"/>
      <c r="B71" s="2"/>
      <c r="C71" s="2"/>
      <c r="D71" s="2"/>
      <c r="E71" s="767">
        <f t="shared" si="29"/>
        <v>63</v>
      </c>
      <c r="F71" s="768">
        <f t="shared" si="5"/>
        <v>47232</v>
      </c>
      <c r="G71" s="24">
        <f t="shared" si="60"/>
        <v>0</v>
      </c>
      <c r="H71" s="24">
        <f t="shared" si="7"/>
        <v>0</v>
      </c>
      <c r="I71" s="24">
        <f t="shared" si="27"/>
        <v>136563.25000000006</v>
      </c>
      <c r="J71" s="24">
        <f t="shared" si="61"/>
        <v>0</v>
      </c>
      <c r="K71" s="24">
        <f t="shared" si="8"/>
        <v>0</v>
      </c>
      <c r="L71" s="24">
        <f t="shared" si="18"/>
        <v>0</v>
      </c>
      <c r="M71" s="24">
        <f t="shared" si="30"/>
        <v>0</v>
      </c>
      <c r="N71" s="24">
        <f t="shared" si="19"/>
        <v>0</v>
      </c>
      <c r="O71" s="24">
        <f t="shared" si="20"/>
        <v>0</v>
      </c>
      <c r="P71" s="24">
        <f t="shared" si="21"/>
        <v>0</v>
      </c>
      <c r="Q71" s="24">
        <f t="shared" si="9"/>
        <v>0</v>
      </c>
      <c r="R71" s="36">
        <f t="shared" si="31"/>
        <v>0</v>
      </c>
      <c r="S71" s="36">
        <f t="shared" si="10"/>
        <v>0</v>
      </c>
      <c r="T71" s="2">
        <f t="shared" si="48"/>
        <v>2332.89</v>
      </c>
      <c r="U71" s="34">
        <f t="shared" si="49"/>
        <v>13038</v>
      </c>
      <c r="V71" s="57">
        <f t="shared" si="52"/>
        <v>53345</v>
      </c>
      <c r="W71" s="16">
        <f t="shared" si="54"/>
        <v>22</v>
      </c>
      <c r="Y71" s="15"/>
      <c r="Z71" s="145" t="s">
        <v>488</v>
      </c>
      <c r="AA71" s="145" t="s">
        <v>487</v>
      </c>
      <c r="AB71" s="145" t="s">
        <v>489</v>
      </c>
      <c r="AC71" s="145" t="s">
        <v>490</v>
      </c>
      <c r="AD71" s="145" t="s">
        <v>491</v>
      </c>
      <c r="AE71" s="145" t="s">
        <v>486</v>
      </c>
      <c r="AF71" s="145" t="s">
        <v>492</v>
      </c>
      <c r="AG71" s="145" t="s">
        <v>493</v>
      </c>
      <c r="AH71" s="63"/>
      <c r="AI71" s="2">
        <f t="shared" si="50"/>
        <v>3268.6</v>
      </c>
      <c r="AJ71" s="34">
        <f t="shared" ref="AJ71:AJ82" si="62">IF(AI71=0,IF(AI70=0,0,$AJ$46),AO30)</f>
        <v>13038</v>
      </c>
      <c r="AK71" s="57">
        <f>IF(AI71=0,AK70,AK70+365)</f>
        <v>53345</v>
      </c>
      <c r="AL71" s="130">
        <f t="shared" si="22"/>
        <v>0</v>
      </c>
      <c r="AM71" s="769">
        <f t="shared" si="32"/>
        <v>63</v>
      </c>
      <c r="AN71" s="770">
        <f t="shared" si="12"/>
        <v>47232</v>
      </c>
      <c r="AO71" s="105">
        <f t="shared" si="36"/>
        <v>0</v>
      </c>
      <c r="AP71" s="105">
        <f t="shared" si="13"/>
        <v>0</v>
      </c>
      <c r="AQ71" s="105">
        <f t="shared" si="42"/>
        <v>0</v>
      </c>
      <c r="AR71" s="105">
        <f t="shared" si="35"/>
        <v>0</v>
      </c>
      <c r="AS71" s="105">
        <f t="shared" si="43"/>
        <v>0</v>
      </c>
      <c r="AT71" s="105">
        <f t="shared" si="44"/>
        <v>0</v>
      </c>
      <c r="AU71" s="105">
        <f t="shared" si="45"/>
        <v>0</v>
      </c>
      <c r="AV71" s="105">
        <f t="shared" si="46"/>
        <v>0</v>
      </c>
      <c r="AW71" s="105">
        <f t="shared" si="47"/>
        <v>0</v>
      </c>
      <c r="AX71" s="108">
        <f t="shared" si="33"/>
        <v>0</v>
      </c>
      <c r="AY71" s="108">
        <f t="shared" si="16"/>
        <v>0</v>
      </c>
      <c r="AZ71" s="759">
        <f t="shared" si="37"/>
        <v>47232</v>
      </c>
      <c r="BA71" s="108">
        <f t="shared" si="37"/>
        <v>0</v>
      </c>
      <c r="BB71" s="2" t="e">
        <f t="shared" si="55"/>
        <v>#VALUE!</v>
      </c>
    </row>
    <row r="72" spans="1:54" s="16" customFormat="1" ht="12" x14ac:dyDescent="0.25">
      <c r="A72" s="2"/>
      <c r="B72" s="2"/>
      <c r="C72" s="2"/>
      <c r="D72" s="2"/>
      <c r="E72" s="767">
        <f t="shared" si="29"/>
        <v>64</v>
      </c>
      <c r="F72" s="768">
        <f t="shared" si="5"/>
        <v>47262</v>
      </c>
      <c r="G72" s="24">
        <f t="shared" si="60"/>
        <v>0</v>
      </c>
      <c r="H72" s="24">
        <f t="shared" si="7"/>
        <v>0</v>
      </c>
      <c r="I72" s="24">
        <f t="shared" si="27"/>
        <v>136563.25000000006</v>
      </c>
      <c r="J72" s="24">
        <f t="shared" si="61"/>
        <v>0</v>
      </c>
      <c r="K72" s="24">
        <f t="shared" si="8"/>
        <v>0</v>
      </c>
      <c r="L72" s="24">
        <f t="shared" si="18"/>
        <v>0</v>
      </c>
      <c r="M72" s="24">
        <f t="shared" si="30"/>
        <v>0</v>
      </c>
      <c r="N72" s="24">
        <f t="shared" si="19"/>
        <v>0</v>
      </c>
      <c r="O72" s="24">
        <f t="shared" si="20"/>
        <v>0</v>
      </c>
      <c r="P72" s="24">
        <f t="shared" si="21"/>
        <v>0</v>
      </c>
      <c r="Q72" s="24">
        <f t="shared" si="9"/>
        <v>0</v>
      </c>
      <c r="R72" s="36">
        <f t="shared" si="31"/>
        <v>0</v>
      </c>
      <c r="S72" s="36">
        <f t="shared" si="10"/>
        <v>0</v>
      </c>
      <c r="T72" s="2">
        <f t="shared" si="48"/>
        <v>2139.96</v>
      </c>
      <c r="U72" s="34">
        <f t="shared" si="49"/>
        <v>13038</v>
      </c>
      <c r="V72" s="57">
        <f t="shared" si="52"/>
        <v>53710</v>
      </c>
      <c r="W72" s="16">
        <f t="shared" si="54"/>
        <v>23</v>
      </c>
      <c r="X72" s="133" t="s">
        <v>96</v>
      </c>
      <c r="Y72" s="133" t="s">
        <v>97</v>
      </c>
      <c r="Z72" s="741"/>
      <c r="AA72" s="133" t="s">
        <v>98</v>
      </c>
      <c r="AB72" s="741"/>
      <c r="AC72" s="741"/>
      <c r="AD72" s="741"/>
      <c r="AE72" s="741"/>
      <c r="AF72" s="741"/>
      <c r="AG72" s="741"/>
      <c r="AH72" s="63"/>
      <c r="AI72" s="2">
        <f t="shared" si="50"/>
        <v>2979.29</v>
      </c>
      <c r="AJ72" s="34">
        <f t="shared" si="62"/>
        <v>13038</v>
      </c>
      <c r="AK72" s="57">
        <f t="shared" si="53"/>
        <v>53710</v>
      </c>
      <c r="AL72" s="130">
        <f t="shared" si="22"/>
        <v>0</v>
      </c>
      <c r="AM72" s="769">
        <f t="shared" si="32"/>
        <v>64</v>
      </c>
      <c r="AN72" s="770">
        <f t="shared" si="12"/>
        <v>47262</v>
      </c>
      <c r="AO72" s="105">
        <f t="shared" si="36"/>
        <v>0</v>
      </c>
      <c r="AP72" s="105">
        <f t="shared" si="13"/>
        <v>0</v>
      </c>
      <c r="AQ72" s="105">
        <f t="shared" si="42"/>
        <v>0</v>
      </c>
      <c r="AR72" s="105">
        <f t="shared" si="35"/>
        <v>0</v>
      </c>
      <c r="AS72" s="105">
        <f t="shared" si="43"/>
        <v>0</v>
      </c>
      <c r="AT72" s="105">
        <f t="shared" si="44"/>
        <v>0</v>
      </c>
      <c r="AU72" s="105">
        <f t="shared" si="45"/>
        <v>0</v>
      </c>
      <c r="AV72" s="105">
        <f t="shared" si="46"/>
        <v>0</v>
      </c>
      <c r="AW72" s="105">
        <f t="shared" si="47"/>
        <v>0</v>
      </c>
      <c r="AX72" s="108">
        <f t="shared" si="33"/>
        <v>0</v>
      </c>
      <c r="AY72" s="108">
        <f t="shared" si="16"/>
        <v>0</v>
      </c>
      <c r="AZ72" s="759">
        <f t="shared" ref="AZ72:BA107" si="63">F72</f>
        <v>47262</v>
      </c>
      <c r="BA72" s="108">
        <f t="shared" si="63"/>
        <v>0</v>
      </c>
      <c r="BB72" s="2" t="e">
        <f t="shared" si="55"/>
        <v>#VALUE!</v>
      </c>
    </row>
    <row r="73" spans="1:54" s="16" customFormat="1" ht="12" x14ac:dyDescent="0.25">
      <c r="A73" s="2"/>
      <c r="B73" s="2"/>
      <c r="C73" s="2"/>
      <c r="D73" s="2"/>
      <c r="E73" s="767">
        <f t="shared" si="29"/>
        <v>65</v>
      </c>
      <c r="F73" s="768">
        <f t="shared" ref="F73:F136" si="64">IF(DAY($AA$55)=29,DATE(YEAR($F$8),MONTH($F$8)+E73+1,1),IF(DAY($AA$55)=30,DATE(YEAR($F$8),MONTH($F$8)+E73+1,2),IF(DAY($AA$55)=31,DATE(YEAR($F$8),MONTH($F$8)+E73+1,3),DATE(YEAR($F$8),MONTH($F$8)+E73,DAY($F$8)))))</f>
        <v>47293</v>
      </c>
      <c r="G73" s="24">
        <f t="shared" si="60"/>
        <v>0</v>
      </c>
      <c r="H73" s="24">
        <f t="shared" ref="H73:H136" si="65">IF(AND(E73&gt;=$T$14,E73&lt;=$T$14+5),0,IF($C$9&gt;$AC$52,ROUND(Q72*$C$19*((F73-DATE(YEAR(F73),MONTH(F73),1)+1)/(DATE(YEAR(F73)+1,1,1)-DATE(YEAR(F73),1,1))+(EOMONTH(F72,0)-F72)/(DATE(YEAR(F72)+1,1,1)-DATE(YEAR(F72),1,1))),2),0))</f>
        <v>0</v>
      </c>
      <c r="I73" s="24">
        <f t="shared" si="27"/>
        <v>136563.25000000006</v>
      </c>
      <c r="J73" s="24">
        <f t="shared" si="61"/>
        <v>0</v>
      </c>
      <c r="K73" s="24">
        <f t="shared" ref="K73:K136" si="66">IF(S73=0,0,IF(S73=1,Q72,IF(Q72+L73+H73&gt;G72,G73-H73-L73,Q72)))</f>
        <v>0</v>
      </c>
      <c r="L73" s="24">
        <f t="shared" si="18"/>
        <v>0</v>
      </c>
      <c r="M73" s="24">
        <f t="shared" si="30"/>
        <v>0</v>
      </c>
      <c r="N73" s="24">
        <f t="shared" si="19"/>
        <v>0</v>
      </c>
      <c r="O73" s="24">
        <f t="shared" si="20"/>
        <v>0</v>
      </c>
      <c r="P73" s="24">
        <f t="shared" si="21"/>
        <v>0</v>
      </c>
      <c r="Q73" s="24">
        <f t="shared" ref="Q73:Q136" si="67">IF(OR(S73=1,Q72=0),0,Q72-K73)</f>
        <v>0</v>
      </c>
      <c r="R73" s="36">
        <f t="shared" si="31"/>
        <v>0</v>
      </c>
      <c r="S73" s="36">
        <f t="shared" ref="S73:S136" si="68">IF(ISERR(CEILING(FLOOR(NPER($C$19/12,-$AA$56,Q72),0.1),1))=TRUE,0,CEILING(FLOOR(NPER($C$19/12,-$AA$56,Q72),0.1),1))</f>
        <v>0</v>
      </c>
      <c r="T73" s="2">
        <f t="shared" si="48"/>
        <v>2086.1</v>
      </c>
      <c r="U73" s="34">
        <f t="shared" si="49"/>
        <v>13038</v>
      </c>
      <c r="V73" s="57">
        <f t="shared" si="52"/>
        <v>54075</v>
      </c>
      <c r="W73" s="16">
        <f t="shared" si="54"/>
        <v>24</v>
      </c>
      <c r="X73" s="170">
        <v>20000</v>
      </c>
      <c r="Y73" s="171">
        <v>220000</v>
      </c>
      <c r="Z73" s="741">
        <v>1</v>
      </c>
      <c r="AA73" s="741">
        <v>1</v>
      </c>
      <c r="AB73" s="741">
        <v>1</v>
      </c>
      <c r="AC73" s="741">
        <v>1</v>
      </c>
      <c r="AD73" s="741">
        <v>1</v>
      </c>
      <c r="AE73" s="741">
        <v>1</v>
      </c>
      <c r="AF73" s="741">
        <v>1</v>
      </c>
      <c r="AG73" s="741">
        <v>1</v>
      </c>
      <c r="AH73" s="63"/>
      <c r="AI73" s="2">
        <f t="shared" si="50"/>
        <v>2882.96</v>
      </c>
      <c r="AJ73" s="34">
        <f t="shared" si="62"/>
        <v>13038</v>
      </c>
      <c r="AK73" s="57">
        <f t="shared" si="53"/>
        <v>54075</v>
      </c>
      <c r="AL73" s="130">
        <f t="shared" si="22"/>
        <v>0</v>
      </c>
      <c r="AM73" s="769">
        <f t="shared" si="32"/>
        <v>65</v>
      </c>
      <c r="AN73" s="770">
        <f t="shared" ref="AN73:AN129" si="69">IF((OR(DAY($AA$55)=29,DAY($AA$55)=30,DAY($AA$55)=31)),(EDATE($C$9-3,AM73)),(IF((OR(DAY($AA$55)=1,DAY($AA$55)=2,DAY($AA$55)=3)),(EDATE($C$9,AM73)+3),EDATE($C$9,AM73))))</f>
        <v>47293</v>
      </c>
      <c r="AO73" s="105">
        <f t="shared" si="36"/>
        <v>0</v>
      </c>
      <c r="AP73" s="105">
        <f t="shared" ref="AP73:AP129" si="70">IF(AND(E73&gt;=$T$14,E73&lt;=$T$14+5),0,IF($C$9&gt;$AC$52,ROUND(AW72*$D$19*((AN73-DATE(YEAR(AN73),MONTH(AN73),1)+1)/(DATE(YEAR(AN73)+1,1,1)-DATE(YEAR(AN73),1,1))+(EOMONTH(AN72,0)-AN72)/(DATE(YEAR(AN72)+1,1,1)-DATE(YEAR(AN72),1,1))),2),0))</f>
        <v>0</v>
      </c>
      <c r="AQ73" s="105">
        <f t="shared" si="42"/>
        <v>0</v>
      </c>
      <c r="AR73" s="105">
        <f t="shared" si="35"/>
        <v>0</v>
      </c>
      <c r="AS73" s="105">
        <f t="shared" si="43"/>
        <v>0</v>
      </c>
      <c r="AT73" s="105">
        <f t="shared" si="44"/>
        <v>0</v>
      </c>
      <c r="AU73" s="105">
        <f t="shared" si="45"/>
        <v>0</v>
      </c>
      <c r="AV73" s="105">
        <f t="shared" si="46"/>
        <v>0</v>
      </c>
      <c r="AW73" s="105">
        <f t="shared" si="47"/>
        <v>0</v>
      </c>
      <c r="AX73" s="108">
        <f t="shared" si="33"/>
        <v>0</v>
      </c>
      <c r="AY73" s="108">
        <f t="shared" ref="AY73:AY129" si="71">IF(ISERR(CEILING(FLOOR(NPER($D$19/12,-$AC$56,AW72),0.1),1))=TRUE,0,CEILING(FLOOR(NPER($D$19/12,-$AC$56,AW72),0.1),1))</f>
        <v>0</v>
      </c>
      <c r="AZ73" s="759">
        <f t="shared" si="63"/>
        <v>47293</v>
      </c>
      <c r="BA73" s="108">
        <f t="shared" si="63"/>
        <v>0</v>
      </c>
      <c r="BB73" s="2" t="e">
        <f t="shared" si="55"/>
        <v>#VALUE!</v>
      </c>
    </row>
    <row r="74" spans="1:54" s="16" customFormat="1" ht="12" x14ac:dyDescent="0.25">
      <c r="A74" s="2"/>
      <c r="B74" s="2"/>
      <c r="C74" s="2"/>
      <c r="D74" s="2"/>
      <c r="E74" s="767">
        <f t="shared" si="29"/>
        <v>66</v>
      </c>
      <c r="F74" s="768">
        <f t="shared" si="64"/>
        <v>47323</v>
      </c>
      <c r="G74" s="24">
        <f t="shared" si="60"/>
        <v>0</v>
      </c>
      <c r="H74" s="24">
        <f t="shared" si="65"/>
        <v>0</v>
      </c>
      <c r="I74" s="24">
        <f t="shared" si="27"/>
        <v>136563.25000000006</v>
      </c>
      <c r="J74" s="24">
        <f t="shared" si="61"/>
        <v>0</v>
      </c>
      <c r="K74" s="24">
        <f t="shared" si="66"/>
        <v>0</v>
      </c>
      <c r="L74" s="24">
        <f t="shared" ref="L74:L137" si="72">IF(N74&gt;$C$29,$C$29-H74,IF(S74=0,0,O74))</f>
        <v>0</v>
      </c>
      <c r="M74" s="24">
        <f t="shared" si="30"/>
        <v>0</v>
      </c>
      <c r="N74" s="24">
        <f t="shared" si="19"/>
        <v>0</v>
      </c>
      <c r="O74" s="24">
        <f t="shared" ref="O74:O137" si="73">IF(S74=0,0,0)</f>
        <v>0</v>
      </c>
      <c r="P74" s="24">
        <f t="shared" ref="P74:P137" si="74">IF(S74=0,0,0)</f>
        <v>0</v>
      </c>
      <c r="Q74" s="24">
        <f t="shared" si="67"/>
        <v>0</v>
      </c>
      <c r="R74" s="36">
        <f t="shared" si="31"/>
        <v>0</v>
      </c>
      <c r="S74" s="36">
        <f t="shared" si="68"/>
        <v>0</v>
      </c>
      <c r="T74" s="2">
        <f t="shared" si="48"/>
        <v>1959.91</v>
      </c>
      <c r="U74" s="34">
        <f t="shared" si="49"/>
        <v>13038</v>
      </c>
      <c r="V74" s="57">
        <f t="shared" si="52"/>
        <v>54440</v>
      </c>
      <c r="W74" s="16">
        <f t="shared" si="54"/>
        <v>25</v>
      </c>
      <c r="X74" s="170">
        <v>20000</v>
      </c>
      <c r="Y74" s="171">
        <v>220000</v>
      </c>
      <c r="Z74" s="741">
        <v>1</v>
      </c>
      <c r="AA74" s="741">
        <v>1</v>
      </c>
      <c r="AB74" s="741">
        <v>1</v>
      </c>
      <c r="AC74" s="741">
        <v>1</v>
      </c>
      <c r="AD74" s="741">
        <v>1</v>
      </c>
      <c r="AE74" s="741">
        <v>1</v>
      </c>
      <c r="AF74" s="741">
        <v>1</v>
      </c>
      <c r="AG74" s="741">
        <v>1</v>
      </c>
      <c r="AH74" s="63"/>
      <c r="AI74" s="2">
        <f t="shared" si="50"/>
        <v>2685.45</v>
      </c>
      <c r="AJ74" s="34">
        <f t="shared" si="62"/>
        <v>13038</v>
      </c>
      <c r="AK74" s="57">
        <f t="shared" si="53"/>
        <v>54440</v>
      </c>
      <c r="AL74" s="130">
        <f t="shared" si="22"/>
        <v>0</v>
      </c>
      <c r="AM74" s="769">
        <f t="shared" si="32"/>
        <v>66</v>
      </c>
      <c r="AN74" s="770">
        <f t="shared" si="69"/>
        <v>47323</v>
      </c>
      <c r="AO74" s="105">
        <f t="shared" si="36"/>
        <v>0</v>
      </c>
      <c r="AP74" s="105">
        <f t="shared" si="70"/>
        <v>0</v>
      </c>
      <c r="AQ74" s="105">
        <f t="shared" si="42"/>
        <v>0</v>
      </c>
      <c r="AR74" s="105">
        <f t="shared" si="35"/>
        <v>0</v>
      </c>
      <c r="AS74" s="105">
        <f t="shared" si="43"/>
        <v>0</v>
      </c>
      <c r="AT74" s="105">
        <f t="shared" si="44"/>
        <v>0</v>
      </c>
      <c r="AU74" s="105">
        <f t="shared" si="45"/>
        <v>0</v>
      </c>
      <c r="AV74" s="105">
        <f t="shared" si="46"/>
        <v>0</v>
      </c>
      <c r="AW74" s="105">
        <f t="shared" si="47"/>
        <v>0</v>
      </c>
      <c r="AX74" s="108">
        <f t="shared" si="33"/>
        <v>0</v>
      </c>
      <c r="AY74" s="108">
        <f t="shared" si="71"/>
        <v>0</v>
      </c>
      <c r="AZ74" s="759">
        <f t="shared" si="63"/>
        <v>47323</v>
      </c>
      <c r="BA74" s="108">
        <f t="shared" si="63"/>
        <v>0</v>
      </c>
      <c r="BB74" s="2" t="e">
        <f t="shared" si="55"/>
        <v>#VALUE!</v>
      </c>
    </row>
    <row r="75" spans="1:54" s="16" customFormat="1" ht="12" x14ac:dyDescent="0.25">
      <c r="A75" s="2"/>
      <c r="B75" s="2"/>
      <c r="C75" s="2"/>
      <c r="D75" s="2"/>
      <c r="E75" s="767">
        <f t="shared" si="29"/>
        <v>67</v>
      </c>
      <c r="F75" s="768">
        <f t="shared" si="64"/>
        <v>47354</v>
      </c>
      <c r="G75" s="24">
        <f t="shared" si="60"/>
        <v>0</v>
      </c>
      <c r="H75" s="24">
        <f t="shared" si="65"/>
        <v>0</v>
      </c>
      <c r="I75" s="24">
        <f t="shared" ref="I75:I138" si="75">H75+I74</f>
        <v>136563.25000000006</v>
      </c>
      <c r="J75" s="24">
        <f t="shared" si="61"/>
        <v>0</v>
      </c>
      <c r="K75" s="24">
        <f t="shared" si="66"/>
        <v>0</v>
      </c>
      <c r="L75" s="24">
        <f t="shared" si="72"/>
        <v>0</v>
      </c>
      <c r="M75" s="24">
        <f t="shared" si="30"/>
        <v>0</v>
      </c>
      <c r="N75" s="24">
        <f t="shared" si="19"/>
        <v>0</v>
      </c>
      <c r="O75" s="24">
        <f t="shared" si="73"/>
        <v>0</v>
      </c>
      <c r="P75" s="24">
        <f t="shared" si="74"/>
        <v>0</v>
      </c>
      <c r="Q75" s="24">
        <f t="shared" si="67"/>
        <v>0</v>
      </c>
      <c r="R75" s="36">
        <f t="shared" si="31"/>
        <v>0</v>
      </c>
      <c r="S75" s="36">
        <f t="shared" si="68"/>
        <v>0</v>
      </c>
      <c r="T75" s="2">
        <f t="shared" si="48"/>
        <v>1654.14</v>
      </c>
      <c r="U75" s="34">
        <f t="shared" si="49"/>
        <v>13038</v>
      </c>
      <c r="V75" s="57">
        <f t="shared" si="52"/>
        <v>54805</v>
      </c>
      <c r="W75" s="16">
        <f t="shared" si="54"/>
        <v>26</v>
      </c>
      <c r="X75" s="170">
        <v>20000</v>
      </c>
      <c r="Y75" s="171">
        <v>220000</v>
      </c>
      <c r="Z75" s="741">
        <v>1</v>
      </c>
      <c r="AA75" s="741">
        <v>1</v>
      </c>
      <c r="AB75" s="741">
        <v>1</v>
      </c>
      <c r="AC75" s="741">
        <v>1</v>
      </c>
      <c r="AD75" s="741">
        <v>1</v>
      </c>
      <c r="AE75" s="741">
        <v>1</v>
      </c>
      <c r="AF75" s="741">
        <v>1</v>
      </c>
      <c r="AG75" s="741">
        <v>1</v>
      </c>
      <c r="AH75" s="63"/>
      <c r="AI75" s="2">
        <f t="shared" si="50"/>
        <v>2243.6999999999998</v>
      </c>
      <c r="AJ75" s="34">
        <f t="shared" si="62"/>
        <v>13038</v>
      </c>
      <c r="AK75" s="57">
        <f t="shared" si="53"/>
        <v>54805</v>
      </c>
      <c r="AL75" s="130">
        <f t="shared" ref="AL75:AL109" si="76">IF(OR(AO75="",AO75=0),0,1)</f>
        <v>0</v>
      </c>
      <c r="AM75" s="769">
        <f t="shared" si="32"/>
        <v>67</v>
      </c>
      <c r="AN75" s="770">
        <f t="shared" si="69"/>
        <v>47354</v>
      </c>
      <c r="AO75" s="105">
        <f t="shared" si="36"/>
        <v>0</v>
      </c>
      <c r="AP75" s="105">
        <f t="shared" si="70"/>
        <v>0</v>
      </c>
      <c r="AQ75" s="105">
        <f t="shared" si="42"/>
        <v>0</v>
      </c>
      <c r="AR75" s="105">
        <f t="shared" si="35"/>
        <v>0</v>
      </c>
      <c r="AS75" s="105">
        <f t="shared" si="43"/>
        <v>0</v>
      </c>
      <c r="AT75" s="105">
        <f t="shared" si="44"/>
        <v>0</v>
      </c>
      <c r="AU75" s="105">
        <f t="shared" si="45"/>
        <v>0</v>
      </c>
      <c r="AV75" s="105">
        <f t="shared" si="46"/>
        <v>0</v>
      </c>
      <c r="AW75" s="105">
        <f t="shared" si="47"/>
        <v>0</v>
      </c>
      <c r="AX75" s="108">
        <f t="shared" si="33"/>
        <v>0</v>
      </c>
      <c r="AY75" s="108">
        <f t="shared" si="71"/>
        <v>0</v>
      </c>
      <c r="AZ75" s="759">
        <f t="shared" si="63"/>
        <v>47354</v>
      </c>
      <c r="BA75" s="108">
        <f t="shared" si="63"/>
        <v>0</v>
      </c>
      <c r="BB75" s="2" t="e">
        <f t="shared" si="55"/>
        <v>#VALUE!</v>
      </c>
    </row>
    <row r="76" spans="1:54" s="16" customFormat="1" ht="12" x14ac:dyDescent="0.25">
      <c r="A76" s="2"/>
      <c r="B76" s="2"/>
      <c r="C76" s="2"/>
      <c r="D76" s="2"/>
      <c r="E76" s="767">
        <f t="shared" ref="E76:E139" si="77">E75+1</f>
        <v>68</v>
      </c>
      <c r="F76" s="768">
        <f t="shared" si="64"/>
        <v>47385</v>
      </c>
      <c r="G76" s="24">
        <f t="shared" si="60"/>
        <v>0</v>
      </c>
      <c r="H76" s="24">
        <f t="shared" si="65"/>
        <v>0</v>
      </c>
      <c r="I76" s="24">
        <f t="shared" si="75"/>
        <v>136563.25000000006</v>
      </c>
      <c r="J76" s="24">
        <f t="shared" si="61"/>
        <v>0</v>
      </c>
      <c r="K76" s="24">
        <f t="shared" si="66"/>
        <v>0</v>
      </c>
      <c r="L76" s="24">
        <f t="shared" si="72"/>
        <v>0</v>
      </c>
      <c r="M76" s="24">
        <f t="shared" si="30"/>
        <v>0</v>
      </c>
      <c r="N76" s="24">
        <f t="shared" si="19"/>
        <v>0</v>
      </c>
      <c r="O76" s="24">
        <f t="shared" si="73"/>
        <v>0</v>
      </c>
      <c r="P76" s="24">
        <f t="shared" si="74"/>
        <v>0</v>
      </c>
      <c r="Q76" s="24">
        <f t="shared" si="67"/>
        <v>0</v>
      </c>
      <c r="R76" s="36">
        <f t="shared" ref="R76" si="78">IF((R75-1)&lt;0,0,R75-1)</f>
        <v>0</v>
      </c>
      <c r="S76" s="36">
        <f t="shared" si="68"/>
        <v>0</v>
      </c>
      <c r="T76" s="2">
        <f t="shared" si="48"/>
        <v>1697.14</v>
      </c>
      <c r="U76" s="34">
        <f t="shared" si="49"/>
        <v>13038</v>
      </c>
      <c r="V76" s="57">
        <f t="shared" si="52"/>
        <v>55170</v>
      </c>
      <c r="W76" s="16">
        <f t="shared" si="54"/>
        <v>27</v>
      </c>
      <c r="X76" s="170">
        <v>220001</v>
      </c>
      <c r="Y76" s="171">
        <v>500000</v>
      </c>
      <c r="Z76" s="741">
        <v>1</v>
      </c>
      <c r="AA76" s="741">
        <v>1</v>
      </c>
      <c r="AB76" s="741">
        <v>1</v>
      </c>
      <c r="AC76" s="741">
        <v>1</v>
      </c>
      <c r="AD76" s="741">
        <v>1</v>
      </c>
      <c r="AE76" s="741">
        <v>1</v>
      </c>
      <c r="AF76" s="741">
        <v>1</v>
      </c>
      <c r="AG76" s="741">
        <v>1</v>
      </c>
      <c r="AH76" s="63"/>
      <c r="AI76" s="2">
        <f t="shared" si="50"/>
        <v>2274.16</v>
      </c>
      <c r="AJ76" s="34">
        <f t="shared" si="62"/>
        <v>13038</v>
      </c>
      <c r="AK76" s="57">
        <f t="shared" si="53"/>
        <v>55170</v>
      </c>
      <c r="AL76" s="130">
        <f t="shared" si="76"/>
        <v>0</v>
      </c>
      <c r="AM76" s="769">
        <f t="shared" ref="AM76:AM129" si="79">AM75+1</f>
        <v>68</v>
      </c>
      <c r="AN76" s="770">
        <f t="shared" si="69"/>
        <v>47385</v>
      </c>
      <c r="AO76" s="105">
        <f t="shared" si="36"/>
        <v>0</v>
      </c>
      <c r="AP76" s="105">
        <f t="shared" si="70"/>
        <v>0</v>
      </c>
      <c r="AQ76" s="105">
        <f t="shared" si="42"/>
        <v>0</v>
      </c>
      <c r="AR76" s="105">
        <f t="shared" si="35"/>
        <v>0</v>
      </c>
      <c r="AS76" s="105">
        <f t="shared" si="43"/>
        <v>0</v>
      </c>
      <c r="AT76" s="105">
        <f t="shared" si="44"/>
        <v>0</v>
      </c>
      <c r="AU76" s="105">
        <f t="shared" si="45"/>
        <v>0</v>
      </c>
      <c r="AV76" s="105">
        <f t="shared" si="46"/>
        <v>0</v>
      </c>
      <c r="AW76" s="105">
        <f t="shared" si="47"/>
        <v>0</v>
      </c>
      <c r="AX76" s="108">
        <f t="shared" ref="AX76:AX129" si="80">IF((AX75-1)&lt;0,0,AX75-1)</f>
        <v>0</v>
      </c>
      <c r="AY76" s="108">
        <f t="shared" si="71"/>
        <v>0</v>
      </c>
      <c r="AZ76" s="759">
        <f t="shared" si="63"/>
        <v>47385</v>
      </c>
      <c r="BA76" s="108">
        <f t="shared" si="63"/>
        <v>0</v>
      </c>
      <c r="BB76" s="2" t="e">
        <f t="shared" si="55"/>
        <v>#VALUE!</v>
      </c>
    </row>
    <row r="77" spans="1:54" s="16" customFormat="1" ht="12" x14ac:dyDescent="0.25">
      <c r="A77" s="2"/>
      <c r="B77" s="2"/>
      <c r="C77" s="2"/>
      <c r="D77" s="2"/>
      <c r="E77" s="767">
        <f t="shared" si="77"/>
        <v>69</v>
      </c>
      <c r="F77" s="768">
        <f t="shared" si="64"/>
        <v>47415</v>
      </c>
      <c r="G77" s="24">
        <f t="shared" si="60"/>
        <v>0</v>
      </c>
      <c r="H77" s="24">
        <f t="shared" si="65"/>
        <v>0</v>
      </c>
      <c r="I77" s="24">
        <f t="shared" si="75"/>
        <v>136563.25000000006</v>
      </c>
      <c r="J77" s="24">
        <f t="shared" si="61"/>
        <v>0</v>
      </c>
      <c r="K77" s="24">
        <f t="shared" si="66"/>
        <v>0</v>
      </c>
      <c r="L77" s="24">
        <f t="shared" si="72"/>
        <v>0</v>
      </c>
      <c r="M77" s="24">
        <f t="shared" si="30"/>
        <v>0</v>
      </c>
      <c r="N77" s="24">
        <f t="shared" si="19"/>
        <v>0</v>
      </c>
      <c r="O77" s="24">
        <f t="shared" si="73"/>
        <v>0</v>
      </c>
      <c r="P77" s="24">
        <f t="shared" si="74"/>
        <v>0</v>
      </c>
      <c r="Q77" s="24">
        <f t="shared" si="67"/>
        <v>0</v>
      </c>
      <c r="R77" s="36">
        <f>IF((R76-1)&lt;0,0,R76-1)</f>
        <v>0</v>
      </c>
      <c r="S77" s="36">
        <f t="shared" si="68"/>
        <v>0</v>
      </c>
      <c r="T77" s="2">
        <f t="shared" si="48"/>
        <v>1513.28</v>
      </c>
      <c r="U77" s="34">
        <f t="shared" si="49"/>
        <v>13038</v>
      </c>
      <c r="V77" s="57">
        <f t="shared" si="52"/>
        <v>55535</v>
      </c>
      <c r="W77" s="16">
        <f t="shared" si="54"/>
        <v>28</v>
      </c>
      <c r="X77" s="171">
        <v>500001</v>
      </c>
      <c r="Y77" s="171">
        <v>1000000</v>
      </c>
      <c r="Z77" s="741">
        <v>1</v>
      </c>
      <c r="AA77" s="741">
        <v>1</v>
      </c>
      <c r="AB77" s="741">
        <v>1</v>
      </c>
      <c r="AC77" s="741">
        <v>1</v>
      </c>
      <c r="AD77" s="741">
        <v>1</v>
      </c>
      <c r="AE77" s="741">
        <v>1</v>
      </c>
      <c r="AF77" s="741">
        <v>1</v>
      </c>
      <c r="AG77" s="741">
        <v>1</v>
      </c>
      <c r="AH77" s="63"/>
      <c r="AI77" s="2">
        <f t="shared" si="50"/>
        <v>1998.2</v>
      </c>
      <c r="AJ77" s="34">
        <f t="shared" si="62"/>
        <v>13038</v>
      </c>
      <c r="AK77" s="57">
        <f t="shared" si="53"/>
        <v>55535</v>
      </c>
      <c r="AL77" s="130">
        <f t="shared" si="76"/>
        <v>0</v>
      </c>
      <c r="AM77" s="769">
        <f t="shared" si="79"/>
        <v>69</v>
      </c>
      <c r="AN77" s="770">
        <f t="shared" si="69"/>
        <v>47415</v>
      </c>
      <c r="AO77" s="105">
        <f t="shared" si="36"/>
        <v>0</v>
      </c>
      <c r="AP77" s="105">
        <f t="shared" si="70"/>
        <v>0</v>
      </c>
      <c r="AQ77" s="105">
        <f t="shared" si="42"/>
        <v>0</v>
      </c>
      <c r="AR77" s="105">
        <f t="shared" si="35"/>
        <v>0</v>
      </c>
      <c r="AS77" s="105">
        <f t="shared" si="43"/>
        <v>0</v>
      </c>
      <c r="AT77" s="105">
        <f t="shared" si="44"/>
        <v>0</v>
      </c>
      <c r="AU77" s="105">
        <f t="shared" si="45"/>
        <v>0</v>
      </c>
      <c r="AV77" s="105">
        <f t="shared" si="46"/>
        <v>0</v>
      </c>
      <c r="AW77" s="105">
        <f t="shared" si="47"/>
        <v>0</v>
      </c>
      <c r="AX77" s="108">
        <f t="shared" si="80"/>
        <v>0</v>
      </c>
      <c r="AY77" s="108">
        <f t="shared" si="71"/>
        <v>0</v>
      </c>
      <c r="AZ77" s="759">
        <f t="shared" si="63"/>
        <v>47415</v>
      </c>
      <c r="BA77" s="108">
        <f t="shared" si="63"/>
        <v>0</v>
      </c>
      <c r="BB77" s="2" t="e">
        <f t="shared" si="55"/>
        <v>#VALUE!</v>
      </c>
    </row>
    <row r="78" spans="1:54" s="16" customFormat="1" ht="12" x14ac:dyDescent="0.25">
      <c r="A78" s="2"/>
      <c r="B78" s="2"/>
      <c r="C78" s="2"/>
      <c r="D78" s="2"/>
      <c r="E78" s="767">
        <f t="shared" si="77"/>
        <v>70</v>
      </c>
      <c r="F78" s="768">
        <f t="shared" si="64"/>
        <v>47446</v>
      </c>
      <c r="G78" s="24">
        <f t="shared" si="60"/>
        <v>0</v>
      </c>
      <c r="H78" s="24">
        <f t="shared" si="65"/>
        <v>0</v>
      </c>
      <c r="I78" s="24">
        <f t="shared" si="75"/>
        <v>136563.25000000006</v>
      </c>
      <c r="J78" s="24">
        <f t="shared" si="61"/>
        <v>0</v>
      </c>
      <c r="K78" s="24">
        <f t="shared" si="66"/>
        <v>0</v>
      </c>
      <c r="L78" s="24">
        <f t="shared" si="72"/>
        <v>0</v>
      </c>
      <c r="M78" s="24">
        <f t="shared" si="30"/>
        <v>0</v>
      </c>
      <c r="N78" s="24">
        <f t="shared" si="19"/>
        <v>0</v>
      </c>
      <c r="O78" s="24">
        <f t="shared" si="73"/>
        <v>0</v>
      </c>
      <c r="P78" s="24">
        <f t="shared" si="74"/>
        <v>0</v>
      </c>
      <c r="Q78" s="24">
        <f t="shared" si="67"/>
        <v>0</v>
      </c>
      <c r="R78" s="36">
        <f t="shared" ref="R78:R141" si="81">IF((R77-1)&lt;0,0,R77-1)</f>
        <v>0</v>
      </c>
      <c r="S78" s="36">
        <f t="shared" si="68"/>
        <v>0</v>
      </c>
      <c r="T78" s="2">
        <f t="shared" si="48"/>
        <v>1426.87</v>
      </c>
      <c r="U78" s="34">
        <f t="shared" si="49"/>
        <v>13038</v>
      </c>
      <c r="V78" s="57">
        <f t="shared" si="52"/>
        <v>55900</v>
      </c>
      <c r="W78" s="16">
        <f t="shared" si="54"/>
        <v>29</v>
      </c>
      <c r="X78" s="171">
        <v>1000001</v>
      </c>
      <c r="Y78" s="171">
        <v>5000000</v>
      </c>
      <c r="Z78" s="741">
        <v>1</v>
      </c>
      <c r="AA78" s="741">
        <v>1</v>
      </c>
      <c r="AB78" s="741">
        <v>1</v>
      </c>
      <c r="AC78" s="741">
        <v>1</v>
      </c>
      <c r="AD78" s="741">
        <v>1</v>
      </c>
      <c r="AE78" s="741">
        <v>1</v>
      </c>
      <c r="AF78" s="741">
        <v>1</v>
      </c>
      <c r="AG78" s="741">
        <v>1</v>
      </c>
      <c r="AH78" s="63"/>
      <c r="AI78" s="2">
        <f t="shared" si="50"/>
        <v>1850.09</v>
      </c>
      <c r="AJ78" s="34">
        <f t="shared" si="62"/>
        <v>13038</v>
      </c>
      <c r="AK78" s="57">
        <f t="shared" si="53"/>
        <v>55900</v>
      </c>
      <c r="AL78" s="130">
        <f t="shared" si="76"/>
        <v>0</v>
      </c>
      <c r="AM78" s="769">
        <f t="shared" si="79"/>
        <v>70</v>
      </c>
      <c r="AN78" s="770">
        <f t="shared" si="69"/>
        <v>47446</v>
      </c>
      <c r="AO78" s="105">
        <f t="shared" si="36"/>
        <v>0</v>
      </c>
      <c r="AP78" s="105">
        <f t="shared" si="70"/>
        <v>0</v>
      </c>
      <c r="AQ78" s="105">
        <f t="shared" si="42"/>
        <v>0</v>
      </c>
      <c r="AR78" s="105">
        <f t="shared" si="35"/>
        <v>0</v>
      </c>
      <c r="AS78" s="105">
        <f t="shared" si="43"/>
        <v>0</v>
      </c>
      <c r="AT78" s="105">
        <f t="shared" si="44"/>
        <v>0</v>
      </c>
      <c r="AU78" s="105">
        <f t="shared" si="45"/>
        <v>0</v>
      </c>
      <c r="AV78" s="105">
        <f t="shared" si="46"/>
        <v>0</v>
      </c>
      <c r="AW78" s="105">
        <f t="shared" si="47"/>
        <v>0</v>
      </c>
      <c r="AX78" s="108">
        <f t="shared" si="80"/>
        <v>0</v>
      </c>
      <c r="AY78" s="108">
        <f t="shared" si="71"/>
        <v>0</v>
      </c>
      <c r="AZ78" s="759">
        <f t="shared" si="63"/>
        <v>47446</v>
      </c>
      <c r="BA78" s="108">
        <f t="shared" si="63"/>
        <v>0</v>
      </c>
      <c r="BB78" s="2" t="e">
        <f t="shared" si="55"/>
        <v>#VALUE!</v>
      </c>
    </row>
    <row r="79" spans="1:54" s="16" customFormat="1" ht="12" x14ac:dyDescent="0.25">
      <c r="A79" s="53"/>
      <c r="C79" s="2"/>
      <c r="D79" s="13"/>
      <c r="E79" s="767">
        <f t="shared" si="77"/>
        <v>71</v>
      </c>
      <c r="F79" s="768">
        <f t="shared" si="64"/>
        <v>47476</v>
      </c>
      <c r="G79" s="24">
        <f t="shared" si="60"/>
        <v>0</v>
      </c>
      <c r="H79" s="24">
        <f t="shared" si="65"/>
        <v>0</v>
      </c>
      <c r="I79" s="24">
        <f t="shared" si="75"/>
        <v>136563.25000000006</v>
      </c>
      <c r="J79" s="24">
        <f t="shared" si="61"/>
        <v>0</v>
      </c>
      <c r="K79" s="24">
        <f t="shared" si="66"/>
        <v>0</v>
      </c>
      <c r="L79" s="24">
        <f t="shared" si="72"/>
        <v>0</v>
      </c>
      <c r="M79" s="24">
        <f t="shared" si="30"/>
        <v>0</v>
      </c>
      <c r="N79" s="24">
        <f t="shared" si="19"/>
        <v>0</v>
      </c>
      <c r="O79" s="24">
        <f t="shared" si="73"/>
        <v>0</v>
      </c>
      <c r="P79" s="24">
        <f t="shared" si="74"/>
        <v>0</v>
      </c>
      <c r="Q79" s="24">
        <f t="shared" si="67"/>
        <v>0</v>
      </c>
      <c r="R79" s="36">
        <f t="shared" si="81"/>
        <v>0</v>
      </c>
      <c r="S79" s="36">
        <f t="shared" si="68"/>
        <v>0</v>
      </c>
      <c r="T79" s="2">
        <f t="shared" si="48"/>
        <v>1246.8599999999999</v>
      </c>
      <c r="U79" s="34">
        <f t="shared" si="49"/>
        <v>13038</v>
      </c>
      <c r="V79" s="57">
        <f t="shared" si="52"/>
        <v>56265</v>
      </c>
      <c r="W79" s="16">
        <f t="shared" si="54"/>
        <v>30</v>
      </c>
      <c r="X79" s="16" t="s">
        <v>101</v>
      </c>
      <c r="Y79" s="16">
        <v>1500000</v>
      </c>
      <c r="Z79" s="16">
        <v>2</v>
      </c>
      <c r="AA79" s="16">
        <v>2</v>
      </c>
      <c r="AB79" s="16">
        <v>2</v>
      </c>
      <c r="AC79" s="16">
        <v>2</v>
      </c>
      <c r="AD79" s="16">
        <v>2</v>
      </c>
      <c r="AE79" s="16">
        <v>2</v>
      </c>
      <c r="AF79" s="16">
        <v>2</v>
      </c>
      <c r="AG79" s="16">
        <v>2</v>
      </c>
      <c r="AH79" s="63"/>
      <c r="AI79" s="2">
        <f t="shared" si="50"/>
        <v>1579.83</v>
      </c>
      <c r="AJ79" s="34">
        <f t="shared" si="62"/>
        <v>13038</v>
      </c>
      <c r="AK79" s="57">
        <f t="shared" si="53"/>
        <v>56265</v>
      </c>
      <c r="AL79" s="130">
        <f t="shared" si="76"/>
        <v>0</v>
      </c>
      <c r="AM79" s="769">
        <f t="shared" si="79"/>
        <v>71</v>
      </c>
      <c r="AN79" s="770">
        <f t="shared" si="69"/>
        <v>47476</v>
      </c>
      <c r="AO79" s="105">
        <f t="shared" si="36"/>
        <v>0</v>
      </c>
      <c r="AP79" s="105">
        <f t="shared" si="70"/>
        <v>0</v>
      </c>
      <c r="AQ79" s="105">
        <f t="shared" si="42"/>
        <v>0</v>
      </c>
      <c r="AR79" s="105">
        <f t="shared" si="35"/>
        <v>0</v>
      </c>
      <c r="AS79" s="105">
        <f t="shared" si="43"/>
        <v>0</v>
      </c>
      <c r="AT79" s="105">
        <f t="shared" si="44"/>
        <v>0</v>
      </c>
      <c r="AU79" s="105">
        <f t="shared" si="45"/>
        <v>0</v>
      </c>
      <c r="AV79" s="105">
        <f t="shared" si="46"/>
        <v>0</v>
      </c>
      <c r="AW79" s="105">
        <f t="shared" si="47"/>
        <v>0</v>
      </c>
      <c r="AX79" s="108">
        <f t="shared" si="80"/>
        <v>0</v>
      </c>
      <c r="AY79" s="108">
        <f t="shared" si="71"/>
        <v>0</v>
      </c>
      <c r="AZ79" s="759">
        <f t="shared" si="63"/>
        <v>47476</v>
      </c>
      <c r="BA79" s="108">
        <f t="shared" si="63"/>
        <v>0</v>
      </c>
      <c r="BB79" s="2" t="e">
        <f t="shared" si="55"/>
        <v>#VALUE!</v>
      </c>
    </row>
    <row r="80" spans="1:54" s="16" customFormat="1" ht="12" x14ac:dyDescent="0.25">
      <c r="A80" s="53"/>
      <c r="B80" s="2"/>
      <c r="C80" s="2"/>
      <c r="D80" s="2"/>
      <c r="E80" s="767">
        <f t="shared" si="77"/>
        <v>72</v>
      </c>
      <c r="F80" s="768">
        <f t="shared" si="64"/>
        <v>47507</v>
      </c>
      <c r="G80" s="24">
        <f t="shared" si="60"/>
        <v>0</v>
      </c>
      <c r="H80" s="24">
        <f t="shared" si="65"/>
        <v>0</v>
      </c>
      <c r="I80" s="24">
        <f t="shared" si="75"/>
        <v>136563.25000000006</v>
      </c>
      <c r="J80" s="24">
        <f t="shared" si="61"/>
        <v>0</v>
      </c>
      <c r="K80" s="24">
        <f t="shared" si="66"/>
        <v>0</v>
      </c>
      <c r="L80" s="24">
        <f t="shared" si="72"/>
        <v>0</v>
      </c>
      <c r="M80" s="24">
        <f t="shared" si="30"/>
        <v>0</v>
      </c>
      <c r="N80" s="24">
        <f t="shared" si="19"/>
        <v>0</v>
      </c>
      <c r="O80" s="24">
        <f t="shared" si="73"/>
        <v>0</v>
      </c>
      <c r="P80" s="24">
        <f t="shared" si="74"/>
        <v>0</v>
      </c>
      <c r="Q80" s="24">
        <f t="shared" si="67"/>
        <v>0</v>
      </c>
      <c r="R80" s="36">
        <f t="shared" si="81"/>
        <v>0</v>
      </c>
      <c r="S80" s="36">
        <f t="shared" si="68"/>
        <v>0</v>
      </c>
      <c r="T80" s="2">
        <f t="shared" si="48"/>
        <v>1146.6199999999999</v>
      </c>
      <c r="U80" s="34">
        <f t="shared" si="49"/>
        <v>13038</v>
      </c>
      <c r="V80" s="57">
        <f t="shared" si="52"/>
        <v>56630</v>
      </c>
      <c r="W80" s="16">
        <f t="shared" si="54"/>
        <v>31</v>
      </c>
      <c r="Z80" s="16">
        <f t="shared" ref="Z80:AF80" si="82">1000/1.7</f>
        <v>588.23529411764707</v>
      </c>
      <c r="AA80" s="16">
        <f t="shared" si="82"/>
        <v>588.23529411764707</v>
      </c>
      <c r="AB80" s="16">
        <f t="shared" si="82"/>
        <v>588.23529411764707</v>
      </c>
      <c r="AC80" s="16">
        <f t="shared" si="82"/>
        <v>588.23529411764707</v>
      </c>
      <c r="AD80" s="16">
        <f t="shared" si="82"/>
        <v>588.23529411764707</v>
      </c>
      <c r="AE80" s="16">
        <f t="shared" si="82"/>
        <v>588.23529411764707</v>
      </c>
      <c r="AF80" s="16">
        <f t="shared" si="82"/>
        <v>588.23529411764707</v>
      </c>
      <c r="AG80" s="16">
        <f>1000/1.7</f>
        <v>588.23529411764707</v>
      </c>
      <c r="AH80" s="63">
        <f>600/1.4</f>
        <v>428.57142857142861</v>
      </c>
      <c r="AI80" s="2">
        <f t="shared" si="50"/>
        <v>1409.64</v>
      </c>
      <c r="AJ80" s="34">
        <f t="shared" si="62"/>
        <v>13038</v>
      </c>
      <c r="AK80" s="57">
        <f t="shared" si="53"/>
        <v>56630</v>
      </c>
      <c r="AL80" s="130">
        <f t="shared" si="76"/>
        <v>0</v>
      </c>
      <c r="AM80" s="769">
        <f t="shared" si="79"/>
        <v>72</v>
      </c>
      <c r="AN80" s="770">
        <f t="shared" si="69"/>
        <v>47507</v>
      </c>
      <c r="AO80" s="105">
        <f t="shared" si="36"/>
        <v>0</v>
      </c>
      <c r="AP80" s="105">
        <f t="shared" si="70"/>
        <v>0</v>
      </c>
      <c r="AQ80" s="105">
        <f t="shared" si="42"/>
        <v>0</v>
      </c>
      <c r="AR80" s="105">
        <f t="shared" si="35"/>
        <v>0</v>
      </c>
      <c r="AS80" s="105">
        <f t="shared" si="43"/>
        <v>0</v>
      </c>
      <c r="AT80" s="105">
        <f t="shared" si="44"/>
        <v>0</v>
      </c>
      <c r="AU80" s="105">
        <f t="shared" si="45"/>
        <v>0</v>
      </c>
      <c r="AV80" s="105">
        <f t="shared" si="46"/>
        <v>0</v>
      </c>
      <c r="AW80" s="105">
        <f t="shared" si="47"/>
        <v>0</v>
      </c>
      <c r="AX80" s="108">
        <f t="shared" si="80"/>
        <v>0</v>
      </c>
      <c r="AY80" s="108">
        <f t="shared" si="71"/>
        <v>0</v>
      </c>
      <c r="AZ80" s="759">
        <f t="shared" si="63"/>
        <v>47507</v>
      </c>
      <c r="BA80" s="108">
        <f t="shared" si="63"/>
        <v>0</v>
      </c>
      <c r="BB80" s="2" t="e">
        <f t="shared" si="55"/>
        <v>#VALUE!</v>
      </c>
    </row>
    <row r="81" spans="1:54" s="16" customFormat="1" ht="12" x14ac:dyDescent="0.25">
      <c r="A81" s="2"/>
      <c r="B81" s="2"/>
      <c r="C81" s="1"/>
      <c r="D81" s="1"/>
      <c r="E81" s="767">
        <f t="shared" si="77"/>
        <v>73</v>
      </c>
      <c r="F81" s="768">
        <f t="shared" si="64"/>
        <v>47538</v>
      </c>
      <c r="G81" s="24">
        <f t="shared" si="60"/>
        <v>0</v>
      </c>
      <c r="H81" s="24">
        <f t="shared" si="65"/>
        <v>0</v>
      </c>
      <c r="I81" s="24">
        <f t="shared" si="75"/>
        <v>136563.25000000006</v>
      </c>
      <c r="J81" s="24">
        <f t="shared" si="61"/>
        <v>0</v>
      </c>
      <c r="K81" s="24">
        <f t="shared" si="66"/>
        <v>0</v>
      </c>
      <c r="L81" s="24">
        <f t="shared" si="72"/>
        <v>0</v>
      </c>
      <c r="M81" s="24">
        <f t="shared" si="30"/>
        <v>0</v>
      </c>
      <c r="N81" s="24">
        <f t="shared" si="19"/>
        <v>0</v>
      </c>
      <c r="O81" s="24">
        <f t="shared" si="73"/>
        <v>0</v>
      </c>
      <c r="P81" s="24">
        <f t="shared" si="74"/>
        <v>0</v>
      </c>
      <c r="Q81" s="24">
        <f t="shared" si="67"/>
        <v>0</v>
      </c>
      <c r="R81" s="36">
        <f t="shared" si="81"/>
        <v>0</v>
      </c>
      <c r="S81" s="36">
        <f t="shared" si="68"/>
        <v>0</v>
      </c>
      <c r="T81" s="2">
        <f t="shared" si="48"/>
        <v>1002.95</v>
      </c>
      <c r="U81" s="34">
        <f t="shared" si="49"/>
        <v>13038</v>
      </c>
      <c r="V81" s="57">
        <f t="shared" si="52"/>
        <v>56995</v>
      </c>
      <c r="W81" s="16">
        <f t="shared" si="54"/>
        <v>32</v>
      </c>
      <c r="Z81" s="143">
        <f t="shared" ref="Z81:AG81" si="83">$C$7*IF($C$7&gt;=$X$78,Z78,IF($C$7&gt;=$X$77,Z77,IF($C$7&gt;=$X$76,Z76,IF($C$7&gt;=$X$75,Z75,IF($C$7&gt;=$X$74,Z74,Z73)))))</f>
        <v>300000</v>
      </c>
      <c r="AA81" s="143">
        <f t="shared" si="83"/>
        <v>300000</v>
      </c>
      <c r="AB81" s="143">
        <f t="shared" si="83"/>
        <v>300000</v>
      </c>
      <c r="AC81" s="143">
        <f t="shared" si="83"/>
        <v>300000</v>
      </c>
      <c r="AD81" s="143">
        <f t="shared" si="83"/>
        <v>300000</v>
      </c>
      <c r="AE81" s="143">
        <f t="shared" si="83"/>
        <v>300000</v>
      </c>
      <c r="AF81" s="143">
        <f t="shared" si="83"/>
        <v>300000</v>
      </c>
      <c r="AG81" s="143">
        <f t="shared" si="83"/>
        <v>300000</v>
      </c>
      <c r="AI81" s="2">
        <f t="shared" si="50"/>
        <v>1183.48</v>
      </c>
      <c r="AJ81" s="34">
        <f t="shared" si="62"/>
        <v>13038</v>
      </c>
      <c r="AK81" s="57">
        <f t="shared" si="53"/>
        <v>56995</v>
      </c>
      <c r="AL81" s="130">
        <f t="shared" si="76"/>
        <v>0</v>
      </c>
      <c r="AM81" s="769">
        <f t="shared" si="79"/>
        <v>73</v>
      </c>
      <c r="AN81" s="770">
        <f t="shared" si="69"/>
        <v>47538</v>
      </c>
      <c r="AO81" s="105">
        <f t="shared" si="36"/>
        <v>0</v>
      </c>
      <c r="AP81" s="105">
        <f t="shared" si="70"/>
        <v>0</v>
      </c>
      <c r="AQ81" s="105">
        <f t="shared" si="42"/>
        <v>0</v>
      </c>
      <c r="AR81" s="105">
        <f t="shared" si="35"/>
        <v>0</v>
      </c>
      <c r="AS81" s="105">
        <f t="shared" si="43"/>
        <v>0</v>
      </c>
      <c r="AT81" s="105">
        <f t="shared" si="44"/>
        <v>0</v>
      </c>
      <c r="AU81" s="105">
        <f t="shared" si="45"/>
        <v>0</v>
      </c>
      <c r="AV81" s="105">
        <f t="shared" si="46"/>
        <v>0</v>
      </c>
      <c r="AW81" s="105">
        <f t="shared" si="47"/>
        <v>0</v>
      </c>
      <c r="AX81" s="108">
        <f t="shared" si="80"/>
        <v>0</v>
      </c>
      <c r="AY81" s="108">
        <f t="shared" si="71"/>
        <v>0</v>
      </c>
      <c r="AZ81" s="759">
        <f t="shared" si="63"/>
        <v>47538</v>
      </c>
      <c r="BA81" s="108">
        <f t="shared" si="63"/>
        <v>0</v>
      </c>
      <c r="BB81" s="2" t="e">
        <f t="shared" si="55"/>
        <v>#VALUE!</v>
      </c>
    </row>
    <row r="82" spans="1:54" s="16" customFormat="1" ht="12" x14ac:dyDescent="0.25">
      <c r="A82" s="2"/>
      <c r="B82" s="2"/>
      <c r="C82" s="1"/>
      <c r="D82" s="1"/>
      <c r="E82" s="767">
        <f t="shared" si="77"/>
        <v>74</v>
      </c>
      <c r="F82" s="768">
        <f t="shared" si="64"/>
        <v>47566</v>
      </c>
      <c r="G82" s="24">
        <f t="shared" si="60"/>
        <v>0</v>
      </c>
      <c r="H82" s="24">
        <f t="shared" si="65"/>
        <v>0</v>
      </c>
      <c r="I82" s="24">
        <f t="shared" si="75"/>
        <v>136563.25000000006</v>
      </c>
      <c r="J82" s="24">
        <f t="shared" si="61"/>
        <v>0</v>
      </c>
      <c r="K82" s="24">
        <f t="shared" si="66"/>
        <v>0</v>
      </c>
      <c r="L82" s="24">
        <f t="shared" si="72"/>
        <v>0</v>
      </c>
      <c r="M82" s="24">
        <f t="shared" si="30"/>
        <v>0</v>
      </c>
      <c r="N82" s="24">
        <f t="shared" si="19"/>
        <v>0</v>
      </c>
      <c r="O82" s="24">
        <f t="shared" si="73"/>
        <v>0</v>
      </c>
      <c r="P82" s="24">
        <f t="shared" si="74"/>
        <v>0</v>
      </c>
      <c r="Q82" s="24">
        <f t="shared" si="67"/>
        <v>0</v>
      </c>
      <c r="R82" s="36">
        <f t="shared" si="81"/>
        <v>0</v>
      </c>
      <c r="S82" s="36">
        <f t="shared" si="68"/>
        <v>0</v>
      </c>
      <c r="T82" s="2">
        <f t="shared" si="48"/>
        <v>828.98</v>
      </c>
      <c r="U82" s="34">
        <f t="shared" si="49"/>
        <v>13038</v>
      </c>
      <c r="V82" s="57">
        <f t="shared" si="52"/>
        <v>57360</v>
      </c>
      <c r="W82" s="16">
        <f t="shared" si="54"/>
        <v>33</v>
      </c>
      <c r="AI82" s="2">
        <f t="shared" si="50"/>
        <v>922.18</v>
      </c>
      <c r="AJ82" s="34">
        <f t="shared" si="62"/>
        <v>13038</v>
      </c>
      <c r="AK82" s="57">
        <f>IF(AI82=0,AK81,AK81+365)</f>
        <v>57360</v>
      </c>
      <c r="AL82" s="130">
        <f t="shared" si="76"/>
        <v>0</v>
      </c>
      <c r="AM82" s="769">
        <f t="shared" si="79"/>
        <v>74</v>
      </c>
      <c r="AN82" s="770">
        <f t="shared" si="69"/>
        <v>47566</v>
      </c>
      <c r="AO82" s="105">
        <f t="shared" si="36"/>
        <v>0</v>
      </c>
      <c r="AP82" s="105">
        <f t="shared" si="70"/>
        <v>0</v>
      </c>
      <c r="AQ82" s="105">
        <f t="shared" si="42"/>
        <v>0</v>
      </c>
      <c r="AR82" s="105">
        <f t="shared" si="35"/>
        <v>0</v>
      </c>
      <c r="AS82" s="105">
        <f t="shared" si="43"/>
        <v>0</v>
      </c>
      <c r="AT82" s="105">
        <f t="shared" si="44"/>
        <v>0</v>
      </c>
      <c r="AU82" s="105">
        <f t="shared" si="45"/>
        <v>0</v>
      </c>
      <c r="AV82" s="105">
        <f t="shared" si="46"/>
        <v>0</v>
      </c>
      <c r="AW82" s="105">
        <f t="shared" si="47"/>
        <v>0</v>
      </c>
      <c r="AX82" s="108">
        <f t="shared" si="80"/>
        <v>0</v>
      </c>
      <c r="AY82" s="108">
        <f t="shared" si="71"/>
        <v>0</v>
      </c>
      <c r="AZ82" s="759">
        <f t="shared" si="63"/>
        <v>47566</v>
      </c>
      <c r="BA82" s="108">
        <f t="shared" si="63"/>
        <v>0</v>
      </c>
      <c r="BB82" s="2" t="e">
        <f t="shared" si="55"/>
        <v>#VALUE!</v>
      </c>
    </row>
    <row r="83" spans="1:54" s="16" customFormat="1" ht="12" x14ac:dyDescent="0.25">
      <c r="A83" s="2"/>
      <c r="B83" s="2"/>
      <c r="C83" s="1"/>
      <c r="D83" s="1"/>
      <c r="E83" s="767">
        <f t="shared" si="77"/>
        <v>75</v>
      </c>
      <c r="F83" s="768">
        <f t="shared" si="64"/>
        <v>47597</v>
      </c>
      <c r="G83" s="24">
        <f t="shared" si="60"/>
        <v>0</v>
      </c>
      <c r="H83" s="24">
        <f t="shared" si="65"/>
        <v>0</v>
      </c>
      <c r="I83" s="24">
        <f t="shared" si="75"/>
        <v>136563.25000000006</v>
      </c>
      <c r="J83" s="24">
        <f t="shared" si="61"/>
        <v>0</v>
      </c>
      <c r="K83" s="24">
        <f t="shared" si="66"/>
        <v>0</v>
      </c>
      <c r="L83" s="24">
        <f t="shared" si="72"/>
        <v>0</v>
      </c>
      <c r="M83" s="24">
        <f t="shared" si="30"/>
        <v>0</v>
      </c>
      <c r="N83" s="24">
        <f t="shared" si="19"/>
        <v>0</v>
      </c>
      <c r="O83" s="24">
        <f t="shared" si="73"/>
        <v>0</v>
      </c>
      <c r="P83" s="24">
        <f t="shared" si="74"/>
        <v>0</v>
      </c>
      <c r="Q83" s="24">
        <f t="shared" si="67"/>
        <v>0</v>
      </c>
      <c r="R83" s="36">
        <f t="shared" si="81"/>
        <v>0</v>
      </c>
      <c r="S83" s="36">
        <f t="shared" si="68"/>
        <v>0</v>
      </c>
      <c r="T83" s="2">
        <f t="shared" si="48"/>
        <v>707.04</v>
      </c>
      <c r="U83" s="34">
        <f t="shared" si="49"/>
        <v>13038</v>
      </c>
      <c r="V83" s="57">
        <f t="shared" si="52"/>
        <v>57725</v>
      </c>
      <c r="W83" s="16">
        <f t="shared" si="54"/>
        <v>34</v>
      </c>
      <c r="X83" s="903" t="s">
        <v>111</v>
      </c>
      <c r="Y83" s="903"/>
      <c r="Z83" s="145" t="s">
        <v>456</v>
      </c>
      <c r="AA83" s="145" t="s">
        <v>457</v>
      </c>
      <c r="AB83" s="145" t="s">
        <v>458</v>
      </c>
      <c r="AC83" s="145" t="s">
        <v>459</v>
      </c>
      <c r="AD83" s="145" t="s">
        <v>460</v>
      </c>
      <c r="AI83" s="2">
        <f t="shared" si="50"/>
        <v>717.27</v>
      </c>
      <c r="AJ83" s="34">
        <f>IF(AI83=0,IF(AI82=0,0,$AJ$46),AO42)</f>
        <v>13038</v>
      </c>
      <c r="AK83" s="57">
        <f t="shared" si="53"/>
        <v>57725</v>
      </c>
      <c r="AL83" s="130">
        <f t="shared" si="76"/>
        <v>0</v>
      </c>
      <c r="AM83" s="769">
        <f t="shared" si="79"/>
        <v>75</v>
      </c>
      <c r="AN83" s="770">
        <f t="shared" si="69"/>
        <v>47597</v>
      </c>
      <c r="AO83" s="105">
        <f t="shared" si="36"/>
        <v>0</v>
      </c>
      <c r="AP83" s="105">
        <f t="shared" si="70"/>
        <v>0</v>
      </c>
      <c r="AQ83" s="105">
        <f t="shared" si="42"/>
        <v>0</v>
      </c>
      <c r="AR83" s="105">
        <f t="shared" si="35"/>
        <v>0</v>
      </c>
      <c r="AS83" s="105">
        <f t="shared" si="43"/>
        <v>0</v>
      </c>
      <c r="AT83" s="105">
        <f t="shared" si="44"/>
        <v>0</v>
      </c>
      <c r="AU83" s="105">
        <f t="shared" si="45"/>
        <v>0</v>
      </c>
      <c r="AV83" s="105">
        <f t="shared" si="46"/>
        <v>0</v>
      </c>
      <c r="AW83" s="105">
        <f t="shared" si="47"/>
        <v>0</v>
      </c>
      <c r="AX83" s="108">
        <f t="shared" si="80"/>
        <v>0</v>
      </c>
      <c r="AY83" s="108">
        <f t="shared" si="71"/>
        <v>0</v>
      </c>
      <c r="AZ83" s="759">
        <f t="shared" si="63"/>
        <v>47597</v>
      </c>
      <c r="BA83" s="108">
        <f t="shared" si="63"/>
        <v>0</v>
      </c>
      <c r="BB83" s="2" t="e">
        <f t="shared" si="55"/>
        <v>#VALUE!</v>
      </c>
    </row>
    <row r="84" spans="1:54" s="16" customFormat="1" ht="12" x14ac:dyDescent="0.25">
      <c r="A84" s="2"/>
      <c r="B84" s="2"/>
      <c r="C84" s="1"/>
      <c r="D84" s="1"/>
      <c r="E84" s="767">
        <f t="shared" si="77"/>
        <v>76</v>
      </c>
      <c r="F84" s="768">
        <f t="shared" si="64"/>
        <v>47627</v>
      </c>
      <c r="G84" s="24">
        <f t="shared" si="60"/>
        <v>0</v>
      </c>
      <c r="H84" s="24">
        <f t="shared" si="65"/>
        <v>0</v>
      </c>
      <c r="I84" s="24">
        <f t="shared" si="75"/>
        <v>136563.25000000006</v>
      </c>
      <c r="J84" s="24">
        <f t="shared" si="61"/>
        <v>0</v>
      </c>
      <c r="K84" s="24">
        <f t="shared" si="66"/>
        <v>0</v>
      </c>
      <c r="L84" s="24">
        <f t="shared" si="72"/>
        <v>0</v>
      </c>
      <c r="M84" s="24">
        <f t="shared" si="30"/>
        <v>0</v>
      </c>
      <c r="N84" s="24">
        <f t="shared" si="19"/>
        <v>0</v>
      </c>
      <c r="O84" s="24">
        <f t="shared" si="73"/>
        <v>0</v>
      </c>
      <c r="P84" s="24">
        <f t="shared" si="74"/>
        <v>0</v>
      </c>
      <c r="Q84" s="24">
        <f t="shared" si="67"/>
        <v>0</v>
      </c>
      <c r="R84" s="36">
        <f t="shared" si="81"/>
        <v>0</v>
      </c>
      <c r="S84" s="36">
        <f t="shared" si="68"/>
        <v>0</v>
      </c>
      <c r="T84" s="2">
        <f t="shared" si="48"/>
        <v>537.29</v>
      </c>
      <c r="U84" s="34">
        <f t="shared" si="49"/>
        <v>13038</v>
      </c>
      <c r="V84" s="57">
        <f t="shared" si="52"/>
        <v>58090</v>
      </c>
      <c r="W84" s="16">
        <f t="shared" si="54"/>
        <v>35</v>
      </c>
      <c r="X84" s="133" t="s">
        <v>96</v>
      </c>
      <c r="Y84" s="133" t="s">
        <v>97</v>
      </c>
      <c r="Z84" s="133" t="s">
        <v>98</v>
      </c>
      <c r="AA84" s="741"/>
      <c r="AB84" s="741"/>
      <c r="AC84" s="741"/>
      <c r="AD84" s="741"/>
      <c r="AI84" s="2">
        <f t="shared" si="50"/>
        <v>462.23</v>
      </c>
      <c r="AJ84" s="34">
        <f>IF(AI84=0,IF(AI83=0,0,$AJ$46),AO43)</f>
        <v>13038</v>
      </c>
      <c r="AK84" s="57">
        <f t="shared" si="53"/>
        <v>58090</v>
      </c>
      <c r="AL84" s="130">
        <f t="shared" si="76"/>
        <v>0</v>
      </c>
      <c r="AM84" s="769">
        <f t="shared" si="79"/>
        <v>76</v>
      </c>
      <c r="AN84" s="770">
        <f t="shared" si="69"/>
        <v>47627</v>
      </c>
      <c r="AO84" s="105">
        <f t="shared" si="36"/>
        <v>0</v>
      </c>
      <c r="AP84" s="105">
        <f t="shared" si="70"/>
        <v>0</v>
      </c>
      <c r="AQ84" s="105">
        <f t="shared" si="42"/>
        <v>0</v>
      </c>
      <c r="AR84" s="105">
        <f t="shared" si="35"/>
        <v>0</v>
      </c>
      <c r="AS84" s="105">
        <f t="shared" si="43"/>
        <v>0</v>
      </c>
      <c r="AT84" s="105">
        <f t="shared" si="44"/>
        <v>0</v>
      </c>
      <c r="AU84" s="105">
        <f t="shared" si="45"/>
        <v>0</v>
      </c>
      <c r="AV84" s="105">
        <f t="shared" si="46"/>
        <v>0</v>
      </c>
      <c r="AW84" s="105">
        <f t="shared" si="47"/>
        <v>0</v>
      </c>
      <c r="AX84" s="108">
        <f t="shared" si="80"/>
        <v>0</v>
      </c>
      <c r="AY84" s="108">
        <f t="shared" si="71"/>
        <v>0</v>
      </c>
      <c r="AZ84" s="759">
        <f t="shared" si="63"/>
        <v>47627</v>
      </c>
      <c r="BA84" s="108">
        <f t="shared" si="63"/>
        <v>0</v>
      </c>
      <c r="BB84" s="2" t="e">
        <f t="shared" si="55"/>
        <v>#VALUE!</v>
      </c>
    </row>
    <row r="85" spans="1:54" s="16" customFormat="1" ht="12.6" thickBot="1" x14ac:dyDescent="0.3">
      <c r="A85" s="2"/>
      <c r="B85" s="2"/>
      <c r="C85" s="1"/>
      <c r="D85" s="1"/>
      <c r="E85" s="767">
        <f t="shared" si="77"/>
        <v>77</v>
      </c>
      <c r="F85" s="768">
        <f t="shared" si="64"/>
        <v>47658</v>
      </c>
      <c r="G85" s="24">
        <f t="shared" si="60"/>
        <v>0</v>
      </c>
      <c r="H85" s="24">
        <f t="shared" si="65"/>
        <v>0</v>
      </c>
      <c r="I85" s="24">
        <f t="shared" si="75"/>
        <v>136563.25000000006</v>
      </c>
      <c r="J85" s="24">
        <f t="shared" si="61"/>
        <v>0</v>
      </c>
      <c r="K85" s="24">
        <f t="shared" si="66"/>
        <v>0</v>
      </c>
      <c r="L85" s="24">
        <f t="shared" si="72"/>
        <v>0</v>
      </c>
      <c r="M85" s="24">
        <f t="shared" si="30"/>
        <v>0</v>
      </c>
      <c r="N85" s="24">
        <f t="shared" si="19"/>
        <v>0</v>
      </c>
      <c r="O85" s="24">
        <f t="shared" si="73"/>
        <v>0</v>
      </c>
      <c r="P85" s="24">
        <f t="shared" si="74"/>
        <v>0</v>
      </c>
      <c r="Q85" s="24">
        <f t="shared" si="67"/>
        <v>0</v>
      </c>
      <c r="R85" s="36">
        <f t="shared" si="81"/>
        <v>0</v>
      </c>
      <c r="S85" s="36">
        <f t="shared" si="68"/>
        <v>0</v>
      </c>
      <c r="T85" s="2">
        <f t="shared" si="48"/>
        <v>400.2</v>
      </c>
      <c r="U85" s="34">
        <f t="shared" si="49"/>
        <v>-11438.103881278661</v>
      </c>
      <c r="V85" s="57">
        <f t="shared" si="52"/>
        <v>58455</v>
      </c>
      <c r="W85" s="16">
        <f t="shared" si="54"/>
        <v>36</v>
      </c>
      <c r="X85" s="170">
        <v>20000</v>
      </c>
      <c r="Y85" s="171">
        <v>220000</v>
      </c>
      <c r="Z85" s="652">
        <v>1.42</v>
      </c>
      <c r="AA85" s="652">
        <v>1.4</v>
      </c>
      <c r="AB85" s="652">
        <v>1.35</v>
      </c>
      <c r="AC85" s="741"/>
      <c r="AD85" s="741"/>
      <c r="AE85" s="16">
        <f>IF($C$10&gt;48,AB85,IF($C$94&gt;36,AA85,Z85))</f>
        <v>1.42</v>
      </c>
      <c r="AI85" s="2">
        <f t="shared" si="50"/>
        <v>233.05</v>
      </c>
      <c r="AJ85" s="34">
        <f>IF(AI85=0,IF(AI84=0,0,$AJ$46),AO44)</f>
        <v>12215.599999999966</v>
      </c>
      <c r="AK85" s="57">
        <f t="shared" si="53"/>
        <v>58455</v>
      </c>
      <c r="AL85" s="130">
        <f t="shared" si="76"/>
        <v>0</v>
      </c>
      <c r="AM85" s="769">
        <f t="shared" si="79"/>
        <v>77</v>
      </c>
      <c r="AN85" s="770">
        <f t="shared" si="69"/>
        <v>47658</v>
      </c>
      <c r="AO85" s="105">
        <f t="shared" si="36"/>
        <v>0</v>
      </c>
      <c r="AP85" s="105">
        <f t="shared" si="70"/>
        <v>0</v>
      </c>
      <c r="AQ85" s="105">
        <f t="shared" si="42"/>
        <v>0</v>
      </c>
      <c r="AR85" s="105">
        <f t="shared" si="35"/>
        <v>0</v>
      </c>
      <c r="AS85" s="105">
        <f t="shared" si="43"/>
        <v>0</v>
      </c>
      <c r="AT85" s="105">
        <f t="shared" si="44"/>
        <v>0</v>
      </c>
      <c r="AU85" s="105">
        <f t="shared" si="45"/>
        <v>0</v>
      </c>
      <c r="AV85" s="105">
        <f t="shared" si="46"/>
        <v>0</v>
      </c>
      <c r="AW85" s="105">
        <f t="shared" si="47"/>
        <v>0</v>
      </c>
      <c r="AX85" s="108">
        <f t="shared" si="80"/>
        <v>0</v>
      </c>
      <c r="AY85" s="108">
        <f t="shared" si="71"/>
        <v>0</v>
      </c>
      <c r="AZ85" s="759">
        <f t="shared" si="63"/>
        <v>47658</v>
      </c>
      <c r="BA85" s="108">
        <f t="shared" si="63"/>
        <v>0</v>
      </c>
      <c r="BB85" s="2" t="e">
        <f t="shared" si="55"/>
        <v>#VALUE!</v>
      </c>
    </row>
    <row r="86" spans="1:54" s="16" customFormat="1" ht="12.6" thickBot="1" x14ac:dyDescent="0.3">
      <c r="A86" s="2"/>
      <c r="B86" s="2"/>
      <c r="C86" s="1"/>
      <c r="D86" s="1"/>
      <c r="E86" s="767">
        <f t="shared" si="77"/>
        <v>78</v>
      </c>
      <c r="F86" s="768">
        <f t="shared" si="64"/>
        <v>47688</v>
      </c>
      <c r="G86" s="24">
        <f t="shared" si="60"/>
        <v>0</v>
      </c>
      <c r="H86" s="24">
        <f t="shared" si="65"/>
        <v>0</v>
      </c>
      <c r="I86" s="24">
        <f t="shared" si="75"/>
        <v>136563.25000000006</v>
      </c>
      <c r="J86" s="24">
        <f t="shared" si="61"/>
        <v>0</v>
      </c>
      <c r="K86" s="24">
        <f t="shared" si="66"/>
        <v>0</v>
      </c>
      <c r="L86" s="24">
        <f t="shared" si="72"/>
        <v>0</v>
      </c>
      <c r="M86" s="24">
        <f t="shared" si="30"/>
        <v>0</v>
      </c>
      <c r="N86" s="24">
        <f t="shared" si="19"/>
        <v>0</v>
      </c>
      <c r="O86" s="24">
        <f t="shared" si="73"/>
        <v>0</v>
      </c>
      <c r="P86" s="24">
        <f t="shared" si="74"/>
        <v>0</v>
      </c>
      <c r="Q86" s="24">
        <f t="shared" si="67"/>
        <v>0</v>
      </c>
      <c r="R86" s="36">
        <f t="shared" si="81"/>
        <v>0</v>
      </c>
      <c r="S86" s="36">
        <f t="shared" si="68"/>
        <v>0</v>
      </c>
      <c r="T86" s="2">
        <f t="shared" si="48"/>
        <v>0</v>
      </c>
      <c r="U86" s="34">
        <f t="shared" si="49"/>
        <v>0</v>
      </c>
      <c r="V86" s="57">
        <f t="shared" si="52"/>
        <v>58455</v>
      </c>
      <c r="W86" s="16">
        <f t="shared" si="54"/>
        <v>37</v>
      </c>
      <c r="X86" s="170">
        <v>20000</v>
      </c>
      <c r="Y86" s="171">
        <v>220000</v>
      </c>
      <c r="Z86" s="652">
        <v>1.42</v>
      </c>
      <c r="AA86" s="652">
        <v>1.4</v>
      </c>
      <c r="AB86" s="652">
        <v>1.35</v>
      </c>
      <c r="AC86" s="741"/>
      <c r="AD86" s="741"/>
      <c r="AE86" s="16">
        <f>IF($C$10&gt;48,AB86,IF($C$94&gt;36,AA86,Z86))</f>
        <v>1.42</v>
      </c>
      <c r="AI86" s="2">
        <f t="shared" si="50"/>
        <v>0</v>
      </c>
      <c r="AJ86" s="34">
        <f>IF(AI86=0,IF(AI85=0,0,$AJ$46),AO45)</f>
        <v>0</v>
      </c>
      <c r="AK86" s="57">
        <f t="shared" si="53"/>
        <v>58455</v>
      </c>
      <c r="AL86" s="130">
        <f t="shared" si="76"/>
        <v>0</v>
      </c>
      <c r="AM86" s="769">
        <f t="shared" si="79"/>
        <v>78</v>
      </c>
      <c r="AN86" s="770">
        <f t="shared" si="69"/>
        <v>47688</v>
      </c>
      <c r="AO86" s="105">
        <f t="shared" si="36"/>
        <v>0</v>
      </c>
      <c r="AP86" s="105">
        <f t="shared" si="70"/>
        <v>0</v>
      </c>
      <c r="AQ86" s="105">
        <f t="shared" si="42"/>
        <v>0</v>
      </c>
      <c r="AR86" s="105">
        <f t="shared" ref="AR86:AR129" si="84">IF(AT86&gt;$D$29,$D$29-AP86,IF(AY86=0,0,AV86)+BN135)</f>
        <v>0</v>
      </c>
      <c r="AS86" s="105">
        <f t="shared" si="43"/>
        <v>0</v>
      </c>
      <c r="AT86" s="105">
        <f t="shared" si="44"/>
        <v>0</v>
      </c>
      <c r="AU86" s="105">
        <f t="shared" si="45"/>
        <v>0</v>
      </c>
      <c r="AV86" s="105">
        <f t="shared" si="46"/>
        <v>0</v>
      </c>
      <c r="AW86" s="105">
        <f t="shared" si="47"/>
        <v>0</v>
      </c>
      <c r="AX86" s="108">
        <f t="shared" si="80"/>
        <v>0</v>
      </c>
      <c r="AY86" s="108">
        <f t="shared" si="71"/>
        <v>0</v>
      </c>
      <c r="AZ86" s="759">
        <f t="shared" si="63"/>
        <v>47688</v>
      </c>
      <c r="BA86" s="108">
        <f t="shared" si="63"/>
        <v>0</v>
      </c>
      <c r="BB86" s="2" t="e">
        <f t="shared" si="55"/>
        <v>#VALUE!</v>
      </c>
    </row>
    <row r="87" spans="1:54" s="16" customFormat="1" ht="12.6" thickBot="1" x14ac:dyDescent="0.3">
      <c r="A87" s="2"/>
      <c r="B87" s="13">
        <f>H87</f>
        <v>0</v>
      </c>
      <c r="C87" s="801">
        <f>K87</f>
        <v>0</v>
      </c>
      <c r="D87" s="1"/>
      <c r="E87" s="767">
        <f t="shared" si="77"/>
        <v>79</v>
      </c>
      <c r="F87" s="768">
        <f t="shared" si="64"/>
        <v>47719</v>
      </c>
      <c r="G87" s="24">
        <f t="shared" si="60"/>
        <v>0</v>
      </c>
      <c r="H87" s="24">
        <f t="shared" si="65"/>
        <v>0</v>
      </c>
      <c r="I87" s="24">
        <f t="shared" si="75"/>
        <v>136563.25000000006</v>
      </c>
      <c r="J87" s="24">
        <f t="shared" si="61"/>
        <v>0</v>
      </c>
      <c r="K87" s="24">
        <f t="shared" si="66"/>
        <v>0</v>
      </c>
      <c r="L87" s="24">
        <f t="shared" si="72"/>
        <v>0</v>
      </c>
      <c r="M87" s="24">
        <f t="shared" ref="M87:M150" si="85">O86-L86</f>
        <v>0</v>
      </c>
      <c r="N87" s="24">
        <f t="shared" ref="N87:N150" si="86">H87+O87</f>
        <v>0</v>
      </c>
      <c r="O87" s="24">
        <f t="shared" si="73"/>
        <v>0</v>
      </c>
      <c r="P87" s="24">
        <f t="shared" si="74"/>
        <v>0</v>
      </c>
      <c r="Q87" s="24">
        <f t="shared" si="67"/>
        <v>0</v>
      </c>
      <c r="R87" s="36">
        <f t="shared" si="81"/>
        <v>0</v>
      </c>
      <c r="S87" s="36">
        <f t="shared" si="68"/>
        <v>0</v>
      </c>
      <c r="T87" s="2">
        <f t="shared" si="48"/>
        <v>0</v>
      </c>
      <c r="U87" s="34">
        <f t="shared" si="49"/>
        <v>0</v>
      </c>
      <c r="V87" s="57">
        <f t="shared" si="52"/>
        <v>58455</v>
      </c>
      <c r="W87" s="16">
        <f t="shared" si="54"/>
        <v>38</v>
      </c>
      <c r="X87" s="170">
        <v>20000</v>
      </c>
      <c r="Y87" s="171">
        <v>220000</v>
      </c>
      <c r="Z87" s="652">
        <v>1.42</v>
      </c>
      <c r="AA87" s="652">
        <v>1.4</v>
      </c>
      <c r="AB87" s="652">
        <v>1.35</v>
      </c>
      <c r="AC87" s="741"/>
      <c r="AD87" s="741"/>
      <c r="AE87" s="16">
        <f>IF($C$10&gt;48,AB87,IF($C$94&gt;36,AA87,Z87))</f>
        <v>1.42</v>
      </c>
      <c r="AI87" s="2">
        <f t="shared" si="50"/>
        <v>0</v>
      </c>
      <c r="AJ87" s="34">
        <f>IF(AI87=0,IF(AI86=0,0,$AJ$46),AO46)</f>
        <v>0</v>
      </c>
      <c r="AK87" s="57">
        <f t="shared" si="53"/>
        <v>58455</v>
      </c>
      <c r="AL87" s="130">
        <f t="shared" si="76"/>
        <v>0</v>
      </c>
      <c r="AM87" s="769">
        <f t="shared" si="79"/>
        <v>79</v>
      </c>
      <c r="AN87" s="770">
        <f t="shared" si="69"/>
        <v>47719</v>
      </c>
      <c r="AO87" s="105">
        <f t="shared" si="36"/>
        <v>0</v>
      </c>
      <c r="AP87" s="105">
        <f t="shared" si="70"/>
        <v>0</v>
      </c>
      <c r="AQ87" s="105">
        <f t="shared" si="42"/>
        <v>0</v>
      </c>
      <c r="AR87" s="105">
        <f t="shared" si="84"/>
        <v>0</v>
      </c>
      <c r="AS87" s="105">
        <f t="shared" si="43"/>
        <v>0</v>
      </c>
      <c r="AT87" s="105">
        <f t="shared" si="44"/>
        <v>0</v>
      </c>
      <c r="AU87" s="105">
        <f t="shared" si="45"/>
        <v>0</v>
      </c>
      <c r="AV87" s="105">
        <f t="shared" si="46"/>
        <v>0</v>
      </c>
      <c r="AW87" s="105">
        <f t="shared" si="47"/>
        <v>0</v>
      </c>
      <c r="AX87" s="108">
        <f t="shared" si="80"/>
        <v>0</v>
      </c>
      <c r="AY87" s="108">
        <f t="shared" si="71"/>
        <v>0</v>
      </c>
      <c r="AZ87" s="759">
        <f t="shared" si="63"/>
        <v>47719</v>
      </c>
      <c r="BA87" s="108">
        <f t="shared" si="63"/>
        <v>0</v>
      </c>
      <c r="BB87" s="2" t="e">
        <f t="shared" si="55"/>
        <v>#VALUE!</v>
      </c>
    </row>
    <row r="88" spans="1:54" s="16" customFormat="1" ht="12.6" thickBot="1" x14ac:dyDescent="0.3">
      <c r="A88" s="2"/>
      <c r="B88" s="2"/>
      <c r="C88" s="1"/>
      <c r="D88" s="1"/>
      <c r="E88" s="767">
        <f t="shared" si="77"/>
        <v>80</v>
      </c>
      <c r="F88" s="768">
        <f t="shared" si="64"/>
        <v>47750</v>
      </c>
      <c r="G88" s="24">
        <f t="shared" si="60"/>
        <v>0</v>
      </c>
      <c r="H88" s="24">
        <f t="shared" si="65"/>
        <v>0</v>
      </c>
      <c r="I88" s="24">
        <f t="shared" si="75"/>
        <v>136563.25000000006</v>
      </c>
      <c r="J88" s="24">
        <f t="shared" si="61"/>
        <v>0</v>
      </c>
      <c r="K88" s="24">
        <f t="shared" si="66"/>
        <v>0</v>
      </c>
      <c r="L88" s="24">
        <f t="shared" si="72"/>
        <v>0</v>
      </c>
      <c r="M88" s="24">
        <f t="shared" si="85"/>
        <v>0</v>
      </c>
      <c r="N88" s="24">
        <f t="shared" si="86"/>
        <v>0</v>
      </c>
      <c r="O88" s="24">
        <f t="shared" si="73"/>
        <v>0</v>
      </c>
      <c r="P88" s="24">
        <f t="shared" si="74"/>
        <v>0</v>
      </c>
      <c r="Q88" s="24">
        <f t="shared" si="67"/>
        <v>0</v>
      </c>
      <c r="R88" s="36">
        <f t="shared" si="81"/>
        <v>0</v>
      </c>
      <c r="S88" s="36">
        <f t="shared" si="68"/>
        <v>0</v>
      </c>
      <c r="T88" s="2">
        <f t="shared" si="48"/>
        <v>0</v>
      </c>
      <c r="U88" s="34">
        <f t="shared" si="49"/>
        <v>0</v>
      </c>
      <c r="V88" s="57">
        <f t="shared" si="52"/>
        <v>58455</v>
      </c>
      <c r="W88" s="16">
        <f t="shared" si="54"/>
        <v>39</v>
      </c>
      <c r="X88" s="170">
        <v>220001</v>
      </c>
      <c r="Y88" s="171">
        <v>500000</v>
      </c>
      <c r="Z88" s="652">
        <v>0.97</v>
      </c>
      <c r="AA88" s="652">
        <v>0.95</v>
      </c>
      <c r="AB88" s="652">
        <v>0.93</v>
      </c>
      <c r="AC88" s="741"/>
      <c r="AD88" s="741"/>
      <c r="AE88" s="16">
        <f>IF($C$10&gt;48,AB88,IF($C$94&gt;36,AA88,Z88))</f>
        <v>0.97</v>
      </c>
      <c r="AI88" s="2">
        <f>IF(AND(AM48&gt;=$T$14,AM48&lt;=$T$14+5),0,IF($C$9&gt;$AC$52,ROUND(AW46*$AI$46/(DATEVALUE(CONCATENATE("01/01/",YEAR(AN48)+1))-DATEVALUE(CONCATENATE("01/01/",YEAR(AN48))))*(AN48-AN46),2),0))</f>
        <v>0</v>
      </c>
      <c r="AJ88" s="34">
        <f t="shared" ref="AJ88:AJ108" si="87">IF(AI88=0,IF(AI87=0,0,$AJ$46),AO48)</f>
        <v>0</v>
      </c>
      <c r="AK88" s="57">
        <f t="shared" si="53"/>
        <v>58455</v>
      </c>
      <c r="AL88" s="130">
        <f t="shared" si="76"/>
        <v>0</v>
      </c>
      <c r="AM88" s="769">
        <f t="shared" si="79"/>
        <v>80</v>
      </c>
      <c r="AN88" s="770">
        <f t="shared" si="69"/>
        <v>47750</v>
      </c>
      <c r="AO88" s="105">
        <f t="shared" si="36"/>
        <v>0</v>
      </c>
      <c r="AP88" s="105">
        <f t="shared" si="70"/>
        <v>0</v>
      </c>
      <c r="AQ88" s="105">
        <f t="shared" si="42"/>
        <v>0</v>
      </c>
      <c r="AR88" s="105">
        <f t="shared" si="84"/>
        <v>0</v>
      </c>
      <c r="AS88" s="105">
        <f t="shared" si="43"/>
        <v>0</v>
      </c>
      <c r="AT88" s="105">
        <f t="shared" si="44"/>
        <v>0</v>
      </c>
      <c r="AU88" s="105">
        <f t="shared" si="45"/>
        <v>0</v>
      </c>
      <c r="AV88" s="105">
        <f t="shared" si="46"/>
        <v>0</v>
      </c>
      <c r="AW88" s="105">
        <f t="shared" si="47"/>
        <v>0</v>
      </c>
      <c r="AX88" s="108">
        <f t="shared" si="80"/>
        <v>0</v>
      </c>
      <c r="AY88" s="108">
        <f t="shared" si="71"/>
        <v>0</v>
      </c>
      <c r="AZ88" s="759">
        <f t="shared" si="63"/>
        <v>47750</v>
      </c>
      <c r="BA88" s="108">
        <f t="shared" si="63"/>
        <v>0</v>
      </c>
      <c r="BB88" s="2" t="e">
        <f t="shared" si="55"/>
        <v>#VALUE!</v>
      </c>
    </row>
    <row r="89" spans="1:54" s="16" customFormat="1" ht="12.6" thickBot="1" x14ac:dyDescent="0.3">
      <c r="A89" s="2"/>
      <c r="B89" s="2"/>
      <c r="C89" s="1"/>
      <c r="D89" s="1"/>
      <c r="E89" s="767">
        <f t="shared" si="77"/>
        <v>81</v>
      </c>
      <c r="F89" s="768">
        <f t="shared" si="64"/>
        <v>47780</v>
      </c>
      <c r="G89" s="24">
        <f t="shared" si="60"/>
        <v>0</v>
      </c>
      <c r="H89" s="24">
        <f t="shared" si="65"/>
        <v>0</v>
      </c>
      <c r="I89" s="24">
        <f t="shared" si="75"/>
        <v>136563.25000000006</v>
      </c>
      <c r="J89" s="24">
        <f t="shared" si="61"/>
        <v>0</v>
      </c>
      <c r="K89" s="24">
        <f t="shared" si="66"/>
        <v>0</v>
      </c>
      <c r="L89" s="24">
        <f t="shared" si="72"/>
        <v>0</v>
      </c>
      <c r="M89" s="24">
        <f t="shared" si="85"/>
        <v>0</v>
      </c>
      <c r="N89" s="24">
        <f t="shared" si="86"/>
        <v>0</v>
      </c>
      <c r="O89" s="24">
        <f t="shared" si="73"/>
        <v>0</v>
      </c>
      <c r="P89" s="24">
        <f t="shared" si="74"/>
        <v>0</v>
      </c>
      <c r="Q89" s="24">
        <f t="shared" si="67"/>
        <v>0</v>
      </c>
      <c r="R89" s="36">
        <f t="shared" si="81"/>
        <v>0</v>
      </c>
      <c r="S89" s="36">
        <f t="shared" si="68"/>
        <v>0</v>
      </c>
      <c r="T89" s="2">
        <f t="shared" si="48"/>
        <v>0</v>
      </c>
      <c r="U89" s="34">
        <f t="shared" si="49"/>
        <v>0</v>
      </c>
      <c r="V89" s="57">
        <f t="shared" si="52"/>
        <v>58455</v>
      </c>
      <c r="W89" s="16">
        <f t="shared" si="54"/>
        <v>40</v>
      </c>
      <c r="X89" s="171">
        <v>500001</v>
      </c>
      <c r="Y89" s="171">
        <v>1000000</v>
      </c>
      <c r="Z89" s="652">
        <v>1.52</v>
      </c>
      <c r="AA89" s="652">
        <v>1.52</v>
      </c>
      <c r="AB89" s="652">
        <v>1.52</v>
      </c>
      <c r="AC89" s="652">
        <v>1.52</v>
      </c>
      <c r="AD89" s="652">
        <v>1.52</v>
      </c>
      <c r="AE89" s="16">
        <f>IF($C$10&gt;72,AD89,IF($C$10&gt;60,AC89,IF($C$10&gt;48,AB89,IF($C$94&gt;36,AA89,Z89))))</f>
        <v>1.52</v>
      </c>
      <c r="AI89" s="2">
        <f t="shared" ref="AI89:AI149" si="88">IF(AND(AM49&gt;=$T$14,AM49&lt;=$T$14+5),0,IF($C$9&gt;$AC$52,ROUND(AW48*$AI$46/(DATEVALUE(CONCATENATE("01/01/",YEAR(AN49)+1))-DATEVALUE(CONCATENATE("01/01/",YEAR(AN49))))*(AN49-AN48),2),0))</f>
        <v>0</v>
      </c>
      <c r="AJ89" s="34">
        <f t="shared" si="87"/>
        <v>0</v>
      </c>
      <c r="AK89" s="57">
        <f t="shared" si="53"/>
        <v>58455</v>
      </c>
      <c r="AL89" s="130">
        <f t="shared" si="76"/>
        <v>0</v>
      </c>
      <c r="AM89" s="769">
        <f t="shared" si="79"/>
        <v>81</v>
      </c>
      <c r="AN89" s="770">
        <f t="shared" si="69"/>
        <v>47780</v>
      </c>
      <c r="AO89" s="105">
        <f t="shared" si="36"/>
        <v>0</v>
      </c>
      <c r="AP89" s="105">
        <f t="shared" si="70"/>
        <v>0</v>
      </c>
      <c r="AQ89" s="105">
        <f t="shared" si="42"/>
        <v>0</v>
      </c>
      <c r="AR89" s="105">
        <f t="shared" si="84"/>
        <v>0</v>
      </c>
      <c r="AS89" s="105">
        <f t="shared" si="43"/>
        <v>0</v>
      </c>
      <c r="AT89" s="105">
        <f t="shared" si="44"/>
        <v>0</v>
      </c>
      <c r="AU89" s="105">
        <f t="shared" si="45"/>
        <v>0</v>
      </c>
      <c r="AV89" s="105">
        <f t="shared" si="46"/>
        <v>0</v>
      </c>
      <c r="AW89" s="105">
        <f t="shared" si="47"/>
        <v>0</v>
      </c>
      <c r="AX89" s="108">
        <f t="shared" si="80"/>
        <v>0</v>
      </c>
      <c r="AY89" s="108">
        <f t="shared" si="71"/>
        <v>0</v>
      </c>
      <c r="AZ89" s="759">
        <f t="shared" si="63"/>
        <v>47780</v>
      </c>
      <c r="BA89" s="108">
        <f t="shared" si="63"/>
        <v>0</v>
      </c>
      <c r="BB89" s="2" t="e">
        <f t="shared" si="55"/>
        <v>#VALUE!</v>
      </c>
    </row>
    <row r="90" spans="1:54" s="16" customFormat="1" ht="12.6" thickBot="1" x14ac:dyDescent="0.3">
      <c r="A90" s="2"/>
      <c r="B90" s="2"/>
      <c r="C90" s="1"/>
      <c r="D90" s="1"/>
      <c r="E90" s="767">
        <f t="shared" si="77"/>
        <v>82</v>
      </c>
      <c r="F90" s="768">
        <f t="shared" si="64"/>
        <v>47811</v>
      </c>
      <c r="G90" s="24">
        <f t="shared" si="60"/>
        <v>0</v>
      </c>
      <c r="H90" s="24">
        <f t="shared" si="65"/>
        <v>0</v>
      </c>
      <c r="I90" s="24">
        <f t="shared" si="75"/>
        <v>136563.25000000006</v>
      </c>
      <c r="J90" s="24">
        <f t="shared" si="61"/>
        <v>0</v>
      </c>
      <c r="K90" s="24">
        <f t="shared" si="66"/>
        <v>0</v>
      </c>
      <c r="L90" s="24">
        <f t="shared" si="72"/>
        <v>0</v>
      </c>
      <c r="M90" s="24">
        <f t="shared" si="85"/>
        <v>0</v>
      </c>
      <c r="N90" s="24">
        <f t="shared" si="86"/>
        <v>0</v>
      </c>
      <c r="O90" s="24">
        <f t="shared" si="73"/>
        <v>0</v>
      </c>
      <c r="P90" s="24">
        <f t="shared" si="74"/>
        <v>0</v>
      </c>
      <c r="Q90" s="24">
        <f t="shared" si="67"/>
        <v>0</v>
      </c>
      <c r="R90" s="36">
        <f t="shared" si="81"/>
        <v>0</v>
      </c>
      <c r="S90" s="36">
        <f t="shared" si="68"/>
        <v>0</v>
      </c>
      <c r="T90" s="2">
        <f t="shared" si="48"/>
        <v>0</v>
      </c>
      <c r="U90" s="34">
        <f t="shared" si="49"/>
        <v>0</v>
      </c>
      <c r="V90" s="57">
        <f t="shared" si="52"/>
        <v>58455</v>
      </c>
      <c r="W90" s="16">
        <f t="shared" si="54"/>
        <v>41</v>
      </c>
      <c r="X90" s="171">
        <v>1000001</v>
      </c>
      <c r="Y90" s="171">
        <v>5000000</v>
      </c>
      <c r="Z90" s="652">
        <v>1.25</v>
      </c>
      <c r="AA90" s="652">
        <v>1.25</v>
      </c>
      <c r="AB90" s="652">
        <v>1.25</v>
      </c>
      <c r="AC90" s="652">
        <v>1.25</v>
      </c>
      <c r="AD90" s="652">
        <v>1.25</v>
      </c>
      <c r="AE90" s="16">
        <f>IF($C$10&gt;72,AD90,IF($C$10&gt;60,AC90,IF($C$10&gt;48,AB90,IF($C$94&gt;36,AA90,Z90))))</f>
        <v>1.25</v>
      </c>
      <c r="AI90" s="2">
        <f t="shared" si="88"/>
        <v>0</v>
      </c>
      <c r="AJ90" s="34">
        <f t="shared" si="87"/>
        <v>0</v>
      </c>
      <c r="AK90" s="57">
        <f t="shared" si="53"/>
        <v>58455</v>
      </c>
      <c r="AL90" s="130">
        <f t="shared" si="76"/>
        <v>0</v>
      </c>
      <c r="AM90" s="769">
        <f t="shared" si="79"/>
        <v>82</v>
      </c>
      <c r="AN90" s="770">
        <f t="shared" si="69"/>
        <v>47811</v>
      </c>
      <c r="AO90" s="105">
        <f t="shared" si="36"/>
        <v>0</v>
      </c>
      <c r="AP90" s="105">
        <f t="shared" si="70"/>
        <v>0</v>
      </c>
      <c r="AQ90" s="105">
        <f t="shared" si="42"/>
        <v>0</v>
      </c>
      <c r="AR90" s="105">
        <f t="shared" si="84"/>
        <v>0</v>
      </c>
      <c r="AS90" s="105">
        <f t="shared" si="43"/>
        <v>0</v>
      </c>
      <c r="AT90" s="105">
        <f t="shared" si="44"/>
        <v>0</v>
      </c>
      <c r="AU90" s="105">
        <f t="shared" si="45"/>
        <v>0</v>
      </c>
      <c r="AV90" s="105">
        <f t="shared" si="46"/>
        <v>0</v>
      </c>
      <c r="AW90" s="105">
        <f t="shared" si="47"/>
        <v>0</v>
      </c>
      <c r="AX90" s="108">
        <f t="shared" si="80"/>
        <v>0</v>
      </c>
      <c r="AY90" s="108">
        <f t="shared" si="71"/>
        <v>0</v>
      </c>
      <c r="AZ90" s="759">
        <f t="shared" si="63"/>
        <v>47811</v>
      </c>
      <c r="BA90" s="108">
        <f t="shared" si="63"/>
        <v>0</v>
      </c>
      <c r="BB90" s="2" t="e">
        <f t="shared" si="55"/>
        <v>#VALUE!</v>
      </c>
    </row>
    <row r="91" spans="1:54" s="16" customFormat="1" ht="12" x14ac:dyDescent="0.25">
      <c r="A91" s="2"/>
      <c r="B91" s="2"/>
      <c r="C91" s="1"/>
      <c r="D91" s="1"/>
      <c r="E91" s="767">
        <f t="shared" si="77"/>
        <v>83</v>
      </c>
      <c r="F91" s="768">
        <f t="shared" si="64"/>
        <v>47841</v>
      </c>
      <c r="G91" s="24">
        <f t="shared" si="60"/>
        <v>0</v>
      </c>
      <c r="H91" s="24">
        <f t="shared" si="65"/>
        <v>0</v>
      </c>
      <c r="I91" s="24">
        <f t="shared" si="75"/>
        <v>136563.25000000006</v>
      </c>
      <c r="J91" s="24">
        <f t="shared" si="61"/>
        <v>0</v>
      </c>
      <c r="K91" s="24">
        <f t="shared" si="66"/>
        <v>0</v>
      </c>
      <c r="L91" s="24">
        <f t="shared" si="72"/>
        <v>0</v>
      </c>
      <c r="M91" s="24">
        <f t="shared" si="85"/>
        <v>0</v>
      </c>
      <c r="N91" s="24">
        <f t="shared" si="86"/>
        <v>0</v>
      </c>
      <c r="O91" s="24">
        <f t="shared" si="73"/>
        <v>0</v>
      </c>
      <c r="P91" s="24">
        <f t="shared" si="74"/>
        <v>0</v>
      </c>
      <c r="Q91" s="24">
        <f t="shared" si="67"/>
        <v>0</v>
      </c>
      <c r="R91" s="36">
        <f t="shared" si="81"/>
        <v>0</v>
      </c>
      <c r="S91" s="36">
        <f t="shared" si="68"/>
        <v>0</v>
      </c>
      <c r="T91" s="2">
        <f t="shared" si="48"/>
        <v>0</v>
      </c>
      <c r="U91" s="34">
        <f t="shared" si="49"/>
        <v>0</v>
      </c>
      <c r="V91" s="57">
        <f t="shared" si="52"/>
        <v>58455</v>
      </c>
      <c r="W91" s="16">
        <f t="shared" si="54"/>
        <v>42</v>
      </c>
      <c r="AI91" s="2">
        <f t="shared" si="88"/>
        <v>0</v>
      </c>
      <c r="AJ91" s="34">
        <f t="shared" si="87"/>
        <v>0</v>
      </c>
      <c r="AK91" s="57">
        <f t="shared" si="53"/>
        <v>58455</v>
      </c>
      <c r="AL91" s="130">
        <f t="shared" si="76"/>
        <v>0</v>
      </c>
      <c r="AM91" s="769">
        <f t="shared" si="79"/>
        <v>83</v>
      </c>
      <c r="AN91" s="770">
        <f t="shared" si="69"/>
        <v>47841</v>
      </c>
      <c r="AO91" s="105">
        <f t="shared" si="36"/>
        <v>0</v>
      </c>
      <c r="AP91" s="105">
        <f t="shared" si="70"/>
        <v>0</v>
      </c>
      <c r="AQ91" s="105">
        <f t="shared" si="42"/>
        <v>0</v>
      </c>
      <c r="AR91" s="105">
        <f t="shared" si="84"/>
        <v>0</v>
      </c>
      <c r="AS91" s="105">
        <f t="shared" si="43"/>
        <v>0</v>
      </c>
      <c r="AT91" s="105">
        <f t="shared" si="44"/>
        <v>0</v>
      </c>
      <c r="AU91" s="105">
        <f t="shared" si="45"/>
        <v>0</v>
      </c>
      <c r="AV91" s="105">
        <f t="shared" si="46"/>
        <v>0</v>
      </c>
      <c r="AW91" s="105">
        <f t="shared" si="47"/>
        <v>0</v>
      </c>
      <c r="AX91" s="108">
        <f t="shared" si="80"/>
        <v>0</v>
      </c>
      <c r="AY91" s="108">
        <f t="shared" si="71"/>
        <v>0</v>
      </c>
      <c r="AZ91" s="759">
        <f t="shared" si="63"/>
        <v>47841</v>
      </c>
      <c r="BA91" s="108">
        <f t="shared" si="63"/>
        <v>0</v>
      </c>
      <c r="BB91" s="2" t="e">
        <f t="shared" si="55"/>
        <v>#VALUE!</v>
      </c>
    </row>
    <row r="92" spans="1:54" s="16" customFormat="1" ht="12" x14ac:dyDescent="0.25">
      <c r="A92" s="2"/>
      <c r="B92" s="2"/>
      <c r="C92" s="1"/>
      <c r="D92" s="1"/>
      <c r="E92" s="767">
        <f t="shared" si="77"/>
        <v>84</v>
      </c>
      <c r="F92" s="768">
        <f t="shared" si="64"/>
        <v>47872</v>
      </c>
      <c r="G92" s="24">
        <f t="shared" si="60"/>
        <v>0</v>
      </c>
      <c r="H92" s="24">
        <f t="shared" si="65"/>
        <v>0</v>
      </c>
      <c r="I92" s="24">
        <f t="shared" si="75"/>
        <v>136563.25000000006</v>
      </c>
      <c r="J92" s="24">
        <f t="shared" si="61"/>
        <v>0</v>
      </c>
      <c r="K92" s="24">
        <f t="shared" si="66"/>
        <v>0</v>
      </c>
      <c r="L92" s="24">
        <f t="shared" si="72"/>
        <v>0</v>
      </c>
      <c r="M92" s="24">
        <f t="shared" si="85"/>
        <v>0</v>
      </c>
      <c r="N92" s="24">
        <f t="shared" si="86"/>
        <v>0</v>
      </c>
      <c r="O92" s="24">
        <f t="shared" si="73"/>
        <v>0</v>
      </c>
      <c r="P92" s="24">
        <f t="shared" si="74"/>
        <v>0</v>
      </c>
      <c r="Q92" s="24">
        <f t="shared" si="67"/>
        <v>0</v>
      </c>
      <c r="R92" s="36">
        <f t="shared" si="81"/>
        <v>0</v>
      </c>
      <c r="S92" s="36">
        <f t="shared" si="68"/>
        <v>0</v>
      </c>
      <c r="T92" s="2">
        <f t="shared" si="48"/>
        <v>0</v>
      </c>
      <c r="U92" s="34">
        <f t="shared" si="49"/>
        <v>0</v>
      </c>
      <c r="V92" s="57">
        <f t="shared" si="52"/>
        <v>58455</v>
      </c>
      <c r="W92" s="16">
        <f t="shared" si="54"/>
        <v>43</v>
      </c>
      <c r="X92" s="903" t="s">
        <v>115</v>
      </c>
      <c r="Y92" s="903"/>
      <c r="Z92" s="145" t="s">
        <v>456</v>
      </c>
      <c r="AA92" s="145" t="s">
        <v>457</v>
      </c>
      <c r="AB92" s="145" t="s">
        <v>458</v>
      </c>
      <c r="AC92" s="145" t="s">
        <v>459</v>
      </c>
      <c r="AD92" s="145" t="s">
        <v>460</v>
      </c>
      <c r="AI92" s="2">
        <f t="shared" si="88"/>
        <v>0</v>
      </c>
      <c r="AJ92" s="34">
        <f t="shared" si="87"/>
        <v>0</v>
      </c>
      <c r="AK92" s="57">
        <f t="shared" si="53"/>
        <v>58455</v>
      </c>
      <c r="AL92" s="130">
        <f t="shared" si="76"/>
        <v>0</v>
      </c>
      <c r="AM92" s="769">
        <f t="shared" si="79"/>
        <v>84</v>
      </c>
      <c r="AN92" s="770">
        <f t="shared" si="69"/>
        <v>47872</v>
      </c>
      <c r="AO92" s="105">
        <f t="shared" si="36"/>
        <v>0</v>
      </c>
      <c r="AP92" s="105">
        <f t="shared" si="70"/>
        <v>0</v>
      </c>
      <c r="AQ92" s="105">
        <f t="shared" si="42"/>
        <v>0</v>
      </c>
      <c r="AR92" s="105">
        <f t="shared" si="84"/>
        <v>0</v>
      </c>
      <c r="AS92" s="105">
        <f t="shared" si="43"/>
        <v>0</v>
      </c>
      <c r="AT92" s="105">
        <f t="shared" si="44"/>
        <v>0</v>
      </c>
      <c r="AU92" s="105">
        <f t="shared" si="45"/>
        <v>0</v>
      </c>
      <c r="AV92" s="105">
        <f t="shared" si="46"/>
        <v>0</v>
      </c>
      <c r="AW92" s="105">
        <f t="shared" si="47"/>
        <v>0</v>
      </c>
      <c r="AX92" s="108">
        <f t="shared" si="80"/>
        <v>0</v>
      </c>
      <c r="AY92" s="108">
        <f t="shared" si="71"/>
        <v>0</v>
      </c>
      <c r="AZ92" s="759">
        <f t="shared" si="63"/>
        <v>47872</v>
      </c>
      <c r="BA92" s="108">
        <f t="shared" si="63"/>
        <v>0</v>
      </c>
      <c r="BB92" s="2" t="e">
        <f t="shared" si="55"/>
        <v>#VALUE!</v>
      </c>
    </row>
    <row r="93" spans="1:54" s="16" customFormat="1" ht="12" x14ac:dyDescent="0.25">
      <c r="A93" s="2"/>
      <c r="B93" s="2"/>
      <c r="C93" s="1"/>
      <c r="D93" s="1"/>
      <c r="E93" s="767">
        <f t="shared" si="77"/>
        <v>85</v>
      </c>
      <c r="F93" s="768">
        <f t="shared" si="64"/>
        <v>47903</v>
      </c>
      <c r="G93" s="24">
        <f t="shared" si="60"/>
        <v>0</v>
      </c>
      <c r="H93" s="24">
        <f t="shared" si="65"/>
        <v>0</v>
      </c>
      <c r="I93" s="24">
        <f t="shared" si="75"/>
        <v>136563.25000000006</v>
      </c>
      <c r="J93" s="24">
        <f t="shared" si="61"/>
        <v>0</v>
      </c>
      <c r="K93" s="24">
        <f t="shared" si="66"/>
        <v>0</v>
      </c>
      <c r="L93" s="24">
        <f t="shared" si="72"/>
        <v>0</v>
      </c>
      <c r="M93" s="24">
        <f t="shared" si="85"/>
        <v>0</v>
      </c>
      <c r="N93" s="24">
        <f t="shared" si="86"/>
        <v>0</v>
      </c>
      <c r="O93" s="24">
        <f t="shared" si="73"/>
        <v>0</v>
      </c>
      <c r="P93" s="24">
        <f t="shared" si="74"/>
        <v>0</v>
      </c>
      <c r="Q93" s="24">
        <f t="shared" si="67"/>
        <v>0</v>
      </c>
      <c r="R93" s="36">
        <f t="shared" si="81"/>
        <v>0</v>
      </c>
      <c r="S93" s="36">
        <f t="shared" si="68"/>
        <v>0</v>
      </c>
      <c r="T93" s="2">
        <f t="shared" si="48"/>
        <v>0</v>
      </c>
      <c r="U93" s="34">
        <f t="shared" si="49"/>
        <v>0</v>
      </c>
      <c r="V93" s="57">
        <f t="shared" si="52"/>
        <v>58455</v>
      </c>
      <c r="W93" s="16">
        <f t="shared" si="54"/>
        <v>44</v>
      </c>
      <c r="X93" s="133" t="s">
        <v>96</v>
      </c>
      <c r="Y93" s="133" t="s">
        <v>97</v>
      </c>
      <c r="Z93" s="133" t="s">
        <v>98</v>
      </c>
      <c r="AA93" s="741"/>
      <c r="AB93" s="741"/>
      <c r="AC93" s="741"/>
      <c r="AD93" s="741"/>
      <c r="AI93" s="2">
        <f t="shared" si="88"/>
        <v>0</v>
      </c>
      <c r="AJ93" s="34">
        <f t="shared" si="87"/>
        <v>0</v>
      </c>
      <c r="AK93" s="57">
        <f t="shared" si="53"/>
        <v>58455</v>
      </c>
      <c r="AL93" s="130">
        <f t="shared" si="76"/>
        <v>0</v>
      </c>
      <c r="AM93" s="769">
        <f t="shared" si="79"/>
        <v>85</v>
      </c>
      <c r="AN93" s="770">
        <f t="shared" si="69"/>
        <v>47903</v>
      </c>
      <c r="AO93" s="105">
        <f t="shared" si="36"/>
        <v>0</v>
      </c>
      <c r="AP93" s="105">
        <f t="shared" si="70"/>
        <v>0</v>
      </c>
      <c r="AQ93" s="105">
        <f t="shared" si="42"/>
        <v>0</v>
      </c>
      <c r="AR93" s="105">
        <f t="shared" si="84"/>
        <v>0</v>
      </c>
      <c r="AS93" s="105">
        <f t="shared" si="43"/>
        <v>0</v>
      </c>
      <c r="AT93" s="105">
        <f t="shared" si="44"/>
        <v>0</v>
      </c>
      <c r="AU93" s="105">
        <f t="shared" si="45"/>
        <v>0</v>
      </c>
      <c r="AV93" s="105">
        <f t="shared" si="46"/>
        <v>0</v>
      </c>
      <c r="AW93" s="105">
        <f t="shared" si="47"/>
        <v>0</v>
      </c>
      <c r="AX93" s="108">
        <f t="shared" si="80"/>
        <v>0</v>
      </c>
      <c r="AY93" s="108">
        <f t="shared" si="71"/>
        <v>0</v>
      </c>
      <c r="AZ93" s="759">
        <f t="shared" si="63"/>
        <v>47903</v>
      </c>
      <c r="BA93" s="108">
        <f t="shared" si="63"/>
        <v>0</v>
      </c>
      <c r="BB93" s="2" t="e">
        <f>IF(AND(E48&gt;=$T$14,E48&lt;=$T$14+5),0,IF($C$9&gt;$AC$52,ROUND(AW46*IF($D$23="",0,$D$23)/(DATEVALUE(CONCATENATE("01/01/",YEAR(AN48)+1))-DATEVALUE(CONCATENATE("01/01/",YEAR(AN48))))*(AN48-AN46),2),0))</f>
        <v>#VALUE!</v>
      </c>
    </row>
    <row r="94" spans="1:54" s="16" customFormat="1" ht="12.6" thickBot="1" x14ac:dyDescent="0.3">
      <c r="A94" s="2"/>
      <c r="B94" s="2"/>
      <c r="C94" s="1"/>
      <c r="D94" s="1"/>
      <c r="E94" s="767">
        <f t="shared" si="77"/>
        <v>86</v>
      </c>
      <c r="F94" s="768">
        <f t="shared" si="64"/>
        <v>47931</v>
      </c>
      <c r="G94" s="24">
        <f t="shared" si="60"/>
        <v>0</v>
      </c>
      <c r="H94" s="24">
        <f t="shared" si="65"/>
        <v>0</v>
      </c>
      <c r="I94" s="24">
        <f t="shared" si="75"/>
        <v>136563.25000000006</v>
      </c>
      <c r="J94" s="24">
        <f t="shared" si="61"/>
        <v>0</v>
      </c>
      <c r="K94" s="24">
        <f t="shared" si="66"/>
        <v>0</v>
      </c>
      <c r="L94" s="24">
        <f t="shared" si="72"/>
        <v>0</v>
      </c>
      <c r="M94" s="24">
        <f t="shared" si="85"/>
        <v>0</v>
      </c>
      <c r="N94" s="24">
        <f t="shared" si="86"/>
        <v>0</v>
      </c>
      <c r="O94" s="24">
        <f t="shared" si="73"/>
        <v>0</v>
      </c>
      <c r="P94" s="24">
        <f t="shared" si="74"/>
        <v>0</v>
      </c>
      <c r="Q94" s="24">
        <f t="shared" si="67"/>
        <v>0</v>
      </c>
      <c r="R94" s="36">
        <f t="shared" si="81"/>
        <v>0</v>
      </c>
      <c r="S94" s="36">
        <f t="shared" si="68"/>
        <v>0</v>
      </c>
      <c r="T94" s="2">
        <f t="shared" si="48"/>
        <v>0</v>
      </c>
      <c r="U94" s="34">
        <f t="shared" si="49"/>
        <v>0</v>
      </c>
      <c r="V94" s="57">
        <f t="shared" si="52"/>
        <v>58455</v>
      </c>
      <c r="W94" s="16">
        <f t="shared" si="54"/>
        <v>45</v>
      </c>
      <c r="X94" s="170">
        <v>20000</v>
      </c>
      <c r="Y94" s="171">
        <v>220000</v>
      </c>
      <c r="Z94" s="652">
        <v>1.7</v>
      </c>
      <c r="AA94" s="652">
        <v>1.7</v>
      </c>
      <c r="AB94" s="652">
        <v>1.7</v>
      </c>
      <c r="AC94" s="741"/>
      <c r="AD94" s="741"/>
      <c r="AI94" s="2">
        <f t="shared" si="88"/>
        <v>0</v>
      </c>
      <c r="AJ94" s="34">
        <f t="shared" si="87"/>
        <v>0</v>
      </c>
      <c r="AK94" s="57">
        <f t="shared" si="53"/>
        <v>58455</v>
      </c>
      <c r="AL94" s="130">
        <f t="shared" si="76"/>
        <v>0</v>
      </c>
      <c r="AM94" s="769">
        <f t="shared" si="79"/>
        <v>86</v>
      </c>
      <c r="AN94" s="770">
        <f t="shared" si="69"/>
        <v>47931</v>
      </c>
      <c r="AO94" s="105">
        <f t="shared" si="36"/>
        <v>0</v>
      </c>
      <c r="AP94" s="105">
        <f t="shared" si="70"/>
        <v>0</v>
      </c>
      <c r="AQ94" s="105">
        <f t="shared" si="42"/>
        <v>0</v>
      </c>
      <c r="AR94" s="105">
        <f t="shared" si="84"/>
        <v>0</v>
      </c>
      <c r="AS94" s="105">
        <f t="shared" si="43"/>
        <v>0</v>
      </c>
      <c r="AT94" s="105">
        <f t="shared" si="44"/>
        <v>0</v>
      </c>
      <c r="AU94" s="105">
        <f t="shared" si="45"/>
        <v>0</v>
      </c>
      <c r="AV94" s="105">
        <f t="shared" si="46"/>
        <v>0</v>
      </c>
      <c r="AW94" s="105">
        <f t="shared" si="47"/>
        <v>0</v>
      </c>
      <c r="AX94" s="108">
        <f t="shared" si="80"/>
        <v>0</v>
      </c>
      <c r="AY94" s="108">
        <f t="shared" si="71"/>
        <v>0</v>
      </c>
      <c r="AZ94" s="759">
        <f t="shared" si="63"/>
        <v>47931</v>
      </c>
      <c r="BA94" s="108">
        <f t="shared" si="63"/>
        <v>0</v>
      </c>
      <c r="BB94" s="2" t="e">
        <f t="shared" ref="BB94:BB152" si="89">IF(AND(E49&gt;=$T$14,E49&lt;=$T$14+5),0,IF($C$9&gt;$AC$52,ROUND(AW48*IF($D$23="",0,$D$23)/(DATEVALUE(CONCATENATE("01/01/",YEAR(AN49)+1))-DATEVALUE(CONCATENATE("01/01/",YEAR(AN49))))*(AN49-AN48),2),0))</f>
        <v>#VALUE!</v>
      </c>
    </row>
    <row r="95" spans="1:54" s="16" customFormat="1" ht="12.6" thickBot="1" x14ac:dyDescent="0.3">
      <c r="A95" s="2"/>
      <c r="B95" s="2"/>
      <c r="C95" s="1"/>
      <c r="D95" s="1"/>
      <c r="E95" s="767">
        <f t="shared" si="77"/>
        <v>87</v>
      </c>
      <c r="F95" s="768">
        <f t="shared" si="64"/>
        <v>47962</v>
      </c>
      <c r="G95" s="24">
        <f t="shared" si="60"/>
        <v>0</v>
      </c>
      <c r="H95" s="24">
        <f t="shared" si="65"/>
        <v>0</v>
      </c>
      <c r="I95" s="24">
        <f t="shared" si="75"/>
        <v>136563.25000000006</v>
      </c>
      <c r="J95" s="24">
        <f t="shared" si="61"/>
        <v>0</v>
      </c>
      <c r="K95" s="24">
        <f t="shared" si="66"/>
        <v>0</v>
      </c>
      <c r="L95" s="24">
        <f t="shared" si="72"/>
        <v>0</v>
      </c>
      <c r="M95" s="24">
        <f t="shared" si="85"/>
        <v>0</v>
      </c>
      <c r="N95" s="24">
        <f t="shared" si="86"/>
        <v>0</v>
      </c>
      <c r="O95" s="24">
        <f t="shared" si="73"/>
        <v>0</v>
      </c>
      <c r="P95" s="24">
        <f t="shared" si="74"/>
        <v>0</v>
      </c>
      <c r="Q95" s="24">
        <f t="shared" si="67"/>
        <v>0</v>
      </c>
      <c r="R95" s="36">
        <f t="shared" si="81"/>
        <v>0</v>
      </c>
      <c r="S95" s="36">
        <f t="shared" si="68"/>
        <v>0</v>
      </c>
      <c r="T95" s="2">
        <f t="shared" si="48"/>
        <v>0</v>
      </c>
      <c r="U95" s="34">
        <f t="shared" si="49"/>
        <v>0</v>
      </c>
      <c r="V95" s="57">
        <f t="shared" si="52"/>
        <v>58455</v>
      </c>
      <c r="W95" s="16">
        <f t="shared" si="54"/>
        <v>46</v>
      </c>
      <c r="X95" s="170">
        <v>20000</v>
      </c>
      <c r="Y95" s="171">
        <v>220000</v>
      </c>
      <c r="Z95" s="652">
        <v>1.7</v>
      </c>
      <c r="AA95" s="652">
        <v>1.7</v>
      </c>
      <c r="AB95" s="652">
        <v>1.7</v>
      </c>
      <c r="AC95" s="741"/>
      <c r="AD95" s="741"/>
      <c r="AI95" s="2">
        <f t="shared" si="88"/>
        <v>0</v>
      </c>
      <c r="AJ95" s="34">
        <f t="shared" si="87"/>
        <v>0</v>
      </c>
      <c r="AK95" s="57">
        <f t="shared" si="53"/>
        <v>58455</v>
      </c>
      <c r="AL95" s="130">
        <f t="shared" si="76"/>
        <v>0</v>
      </c>
      <c r="AM95" s="769">
        <f t="shared" si="79"/>
        <v>87</v>
      </c>
      <c r="AN95" s="770">
        <f t="shared" si="69"/>
        <v>47962</v>
      </c>
      <c r="AO95" s="105">
        <f t="shared" si="36"/>
        <v>0</v>
      </c>
      <c r="AP95" s="105">
        <f t="shared" si="70"/>
        <v>0</v>
      </c>
      <c r="AQ95" s="105">
        <f t="shared" si="42"/>
        <v>0</v>
      </c>
      <c r="AR95" s="105">
        <f t="shared" si="84"/>
        <v>0</v>
      </c>
      <c r="AS95" s="105">
        <f t="shared" si="43"/>
        <v>0</v>
      </c>
      <c r="AT95" s="105">
        <f t="shared" si="44"/>
        <v>0</v>
      </c>
      <c r="AU95" s="105">
        <f t="shared" si="45"/>
        <v>0</v>
      </c>
      <c r="AV95" s="105">
        <f t="shared" si="46"/>
        <v>0</v>
      </c>
      <c r="AW95" s="105">
        <f t="shared" si="47"/>
        <v>0</v>
      </c>
      <c r="AX95" s="108">
        <f t="shared" si="80"/>
        <v>0</v>
      </c>
      <c r="AY95" s="108">
        <f t="shared" si="71"/>
        <v>0</v>
      </c>
      <c r="AZ95" s="759">
        <f t="shared" si="63"/>
        <v>47962</v>
      </c>
      <c r="BA95" s="108">
        <f t="shared" si="63"/>
        <v>0</v>
      </c>
      <c r="BB95" s="2" t="e">
        <f t="shared" si="89"/>
        <v>#VALUE!</v>
      </c>
    </row>
    <row r="96" spans="1:54" s="16" customFormat="1" ht="12.6" thickBot="1" x14ac:dyDescent="0.3">
      <c r="A96" s="2"/>
      <c r="B96" s="2"/>
      <c r="C96" s="1"/>
      <c r="D96" s="1"/>
      <c r="E96" s="767">
        <f t="shared" si="77"/>
        <v>88</v>
      </c>
      <c r="F96" s="768">
        <f t="shared" si="64"/>
        <v>47992</v>
      </c>
      <c r="G96" s="24">
        <f t="shared" si="60"/>
        <v>0</v>
      </c>
      <c r="H96" s="24">
        <f t="shared" si="65"/>
        <v>0</v>
      </c>
      <c r="I96" s="24">
        <f t="shared" si="75"/>
        <v>136563.25000000006</v>
      </c>
      <c r="J96" s="24">
        <f t="shared" si="61"/>
        <v>0</v>
      </c>
      <c r="K96" s="24">
        <f t="shared" si="66"/>
        <v>0</v>
      </c>
      <c r="L96" s="24">
        <f t="shared" si="72"/>
        <v>0</v>
      </c>
      <c r="M96" s="24">
        <f t="shared" si="85"/>
        <v>0</v>
      </c>
      <c r="N96" s="24">
        <f t="shared" si="86"/>
        <v>0</v>
      </c>
      <c r="O96" s="24">
        <f t="shared" si="73"/>
        <v>0</v>
      </c>
      <c r="P96" s="24">
        <f t="shared" si="74"/>
        <v>0</v>
      </c>
      <c r="Q96" s="24">
        <f t="shared" si="67"/>
        <v>0</v>
      </c>
      <c r="R96" s="36">
        <f t="shared" si="81"/>
        <v>0</v>
      </c>
      <c r="S96" s="36">
        <f t="shared" si="68"/>
        <v>0</v>
      </c>
      <c r="T96" s="2">
        <f t="shared" si="48"/>
        <v>0</v>
      </c>
      <c r="U96" s="34">
        <f t="shared" si="49"/>
        <v>0</v>
      </c>
      <c r="V96" s="57">
        <f t="shared" si="52"/>
        <v>58455</v>
      </c>
      <c r="W96" s="16">
        <f t="shared" si="54"/>
        <v>47</v>
      </c>
      <c r="X96" s="170">
        <v>20000</v>
      </c>
      <c r="Y96" s="171">
        <v>220000</v>
      </c>
      <c r="Z96" s="652">
        <v>1.7</v>
      </c>
      <c r="AA96" s="652">
        <v>1.7</v>
      </c>
      <c r="AB96" s="652">
        <v>1.7</v>
      </c>
      <c r="AC96" s="741"/>
      <c r="AD96" s="741"/>
      <c r="AI96" s="2">
        <f t="shared" si="88"/>
        <v>0</v>
      </c>
      <c r="AJ96" s="34">
        <f t="shared" si="87"/>
        <v>0</v>
      </c>
      <c r="AK96" s="57">
        <f t="shared" si="53"/>
        <v>58455</v>
      </c>
      <c r="AL96" s="130">
        <f t="shared" si="76"/>
        <v>0</v>
      </c>
      <c r="AM96" s="769">
        <f t="shared" si="79"/>
        <v>88</v>
      </c>
      <c r="AN96" s="770">
        <f t="shared" si="69"/>
        <v>47992</v>
      </c>
      <c r="AO96" s="105">
        <f t="shared" si="36"/>
        <v>0</v>
      </c>
      <c r="AP96" s="105">
        <f t="shared" si="70"/>
        <v>0</v>
      </c>
      <c r="AQ96" s="105">
        <f t="shared" si="42"/>
        <v>0</v>
      </c>
      <c r="AR96" s="105">
        <f t="shared" si="84"/>
        <v>0</v>
      </c>
      <c r="AS96" s="105">
        <f t="shared" si="43"/>
        <v>0</v>
      </c>
      <c r="AT96" s="105">
        <f t="shared" si="44"/>
        <v>0</v>
      </c>
      <c r="AU96" s="105">
        <f t="shared" si="45"/>
        <v>0</v>
      </c>
      <c r="AV96" s="105">
        <f t="shared" si="46"/>
        <v>0</v>
      </c>
      <c r="AW96" s="105">
        <f t="shared" si="47"/>
        <v>0</v>
      </c>
      <c r="AX96" s="108">
        <f t="shared" si="80"/>
        <v>0</v>
      </c>
      <c r="AY96" s="108">
        <f t="shared" si="71"/>
        <v>0</v>
      </c>
      <c r="AZ96" s="759">
        <f t="shared" si="63"/>
        <v>47992</v>
      </c>
      <c r="BA96" s="108">
        <f t="shared" si="63"/>
        <v>0</v>
      </c>
      <c r="BB96" s="2" t="e">
        <f t="shared" si="89"/>
        <v>#VALUE!</v>
      </c>
    </row>
    <row r="97" spans="1:1207" s="16" customFormat="1" ht="12.6" thickBot="1" x14ac:dyDescent="0.3">
      <c r="A97" s="2"/>
      <c r="B97" s="2"/>
      <c r="C97" s="1"/>
      <c r="D97" s="1"/>
      <c r="E97" s="767">
        <f t="shared" si="77"/>
        <v>89</v>
      </c>
      <c r="F97" s="768">
        <f t="shared" si="64"/>
        <v>48023</v>
      </c>
      <c r="G97" s="24">
        <f t="shared" si="60"/>
        <v>0</v>
      </c>
      <c r="H97" s="24">
        <f t="shared" si="65"/>
        <v>0</v>
      </c>
      <c r="I97" s="24">
        <f t="shared" si="75"/>
        <v>136563.25000000006</v>
      </c>
      <c r="J97" s="24">
        <f t="shared" si="61"/>
        <v>0</v>
      </c>
      <c r="K97" s="24">
        <f t="shared" si="66"/>
        <v>0</v>
      </c>
      <c r="L97" s="24">
        <f t="shared" si="72"/>
        <v>0</v>
      </c>
      <c r="M97" s="24">
        <f t="shared" si="85"/>
        <v>0</v>
      </c>
      <c r="N97" s="24">
        <f t="shared" si="86"/>
        <v>0</v>
      </c>
      <c r="O97" s="24">
        <f t="shared" si="73"/>
        <v>0</v>
      </c>
      <c r="P97" s="24">
        <f t="shared" si="74"/>
        <v>0</v>
      </c>
      <c r="Q97" s="24">
        <f t="shared" si="67"/>
        <v>0</v>
      </c>
      <c r="R97" s="36">
        <f t="shared" si="81"/>
        <v>0</v>
      </c>
      <c r="S97" s="36">
        <f t="shared" si="68"/>
        <v>0</v>
      </c>
      <c r="T97" s="2">
        <f t="shared" si="48"/>
        <v>0</v>
      </c>
      <c r="U97" s="34">
        <f t="shared" si="49"/>
        <v>0</v>
      </c>
      <c r="V97" s="57">
        <f t="shared" si="52"/>
        <v>58455</v>
      </c>
      <c r="W97" s="16">
        <f t="shared" si="54"/>
        <v>48</v>
      </c>
      <c r="X97" s="170">
        <v>220001</v>
      </c>
      <c r="Y97" s="171">
        <v>500000</v>
      </c>
      <c r="Z97" s="652">
        <v>0.97</v>
      </c>
      <c r="AA97" s="652">
        <v>0.95</v>
      </c>
      <c r="AB97" s="652">
        <v>0.93</v>
      </c>
      <c r="AC97" s="741"/>
      <c r="AD97" s="741"/>
      <c r="AI97" s="2">
        <f t="shared" si="88"/>
        <v>0</v>
      </c>
      <c r="AJ97" s="34">
        <f t="shared" si="87"/>
        <v>0</v>
      </c>
      <c r="AK97" s="57">
        <f t="shared" si="53"/>
        <v>58455</v>
      </c>
      <c r="AL97" s="130">
        <f t="shared" si="76"/>
        <v>0</v>
      </c>
      <c r="AM97" s="769">
        <f t="shared" si="79"/>
        <v>89</v>
      </c>
      <c r="AN97" s="770">
        <f t="shared" si="69"/>
        <v>48023</v>
      </c>
      <c r="AO97" s="105">
        <f t="shared" si="36"/>
        <v>0</v>
      </c>
      <c r="AP97" s="105">
        <f t="shared" si="70"/>
        <v>0</v>
      </c>
      <c r="AQ97" s="105">
        <f t="shared" si="42"/>
        <v>0</v>
      </c>
      <c r="AR97" s="105">
        <f t="shared" si="84"/>
        <v>0</v>
      </c>
      <c r="AS97" s="105">
        <f t="shared" si="43"/>
        <v>0</v>
      </c>
      <c r="AT97" s="105">
        <f t="shared" si="44"/>
        <v>0</v>
      </c>
      <c r="AU97" s="105">
        <f t="shared" si="45"/>
        <v>0</v>
      </c>
      <c r="AV97" s="105">
        <f t="shared" si="46"/>
        <v>0</v>
      </c>
      <c r="AW97" s="105">
        <f t="shared" si="47"/>
        <v>0</v>
      </c>
      <c r="AX97" s="108">
        <f t="shared" si="80"/>
        <v>0</v>
      </c>
      <c r="AY97" s="108">
        <f t="shared" si="71"/>
        <v>0</v>
      </c>
      <c r="AZ97" s="759">
        <f t="shared" si="63"/>
        <v>48023</v>
      </c>
      <c r="BA97" s="108">
        <f t="shared" si="63"/>
        <v>0</v>
      </c>
      <c r="BB97" s="2" t="e">
        <f t="shared" si="89"/>
        <v>#VALUE!</v>
      </c>
    </row>
    <row r="98" spans="1:1207" s="16" customFormat="1" ht="12.6" thickBot="1" x14ac:dyDescent="0.3">
      <c r="A98" s="2"/>
      <c r="B98" s="2"/>
      <c r="C98" s="1"/>
      <c r="D98" s="1"/>
      <c r="E98" s="767">
        <f t="shared" si="77"/>
        <v>90</v>
      </c>
      <c r="F98" s="768">
        <f t="shared" si="64"/>
        <v>48053</v>
      </c>
      <c r="G98" s="24">
        <f t="shared" si="60"/>
        <v>0</v>
      </c>
      <c r="H98" s="24">
        <f t="shared" si="65"/>
        <v>0</v>
      </c>
      <c r="I98" s="24">
        <f t="shared" si="75"/>
        <v>136563.25000000006</v>
      </c>
      <c r="J98" s="24">
        <f t="shared" si="61"/>
        <v>0</v>
      </c>
      <c r="K98" s="24">
        <f t="shared" si="66"/>
        <v>0</v>
      </c>
      <c r="L98" s="24">
        <f t="shared" si="72"/>
        <v>0</v>
      </c>
      <c r="M98" s="24">
        <f t="shared" si="85"/>
        <v>0</v>
      </c>
      <c r="N98" s="24">
        <f t="shared" si="86"/>
        <v>0</v>
      </c>
      <c r="O98" s="24">
        <f t="shared" si="73"/>
        <v>0</v>
      </c>
      <c r="P98" s="24">
        <f t="shared" si="74"/>
        <v>0</v>
      </c>
      <c r="Q98" s="24">
        <f t="shared" si="67"/>
        <v>0</v>
      </c>
      <c r="R98" s="36">
        <f t="shared" si="81"/>
        <v>0</v>
      </c>
      <c r="S98" s="36">
        <f t="shared" si="68"/>
        <v>0</v>
      </c>
      <c r="T98" s="2">
        <f t="shared" si="48"/>
        <v>0</v>
      </c>
      <c r="U98" s="34">
        <f t="shared" si="49"/>
        <v>0</v>
      </c>
      <c r="V98" s="57">
        <f t="shared" si="52"/>
        <v>58455</v>
      </c>
      <c r="W98" s="16">
        <f t="shared" si="54"/>
        <v>49</v>
      </c>
      <c r="X98" s="171">
        <v>500001</v>
      </c>
      <c r="Y98" s="171">
        <v>1000000</v>
      </c>
      <c r="Z98" s="652">
        <v>1.26</v>
      </c>
      <c r="AA98" s="652">
        <v>1.26</v>
      </c>
      <c r="AB98" s="652">
        <v>1.26</v>
      </c>
      <c r="AC98" s="652">
        <v>1.26</v>
      </c>
      <c r="AD98" s="652">
        <v>1.26</v>
      </c>
      <c r="AI98" s="2">
        <f t="shared" si="88"/>
        <v>0</v>
      </c>
      <c r="AJ98" s="34">
        <f t="shared" si="87"/>
        <v>0</v>
      </c>
      <c r="AK98" s="57">
        <f t="shared" si="53"/>
        <v>58455</v>
      </c>
      <c r="AL98" s="130">
        <f t="shared" si="76"/>
        <v>0</v>
      </c>
      <c r="AM98" s="769">
        <f t="shared" si="79"/>
        <v>90</v>
      </c>
      <c r="AN98" s="770">
        <f t="shared" si="69"/>
        <v>48053</v>
      </c>
      <c r="AO98" s="105">
        <f t="shared" si="36"/>
        <v>0</v>
      </c>
      <c r="AP98" s="105">
        <f t="shared" si="70"/>
        <v>0</v>
      </c>
      <c r="AQ98" s="105">
        <f t="shared" si="42"/>
        <v>0</v>
      </c>
      <c r="AR98" s="105">
        <f t="shared" si="84"/>
        <v>0</v>
      </c>
      <c r="AS98" s="105">
        <f t="shared" si="43"/>
        <v>0</v>
      </c>
      <c r="AT98" s="105">
        <f t="shared" si="44"/>
        <v>0</v>
      </c>
      <c r="AU98" s="105">
        <f t="shared" si="45"/>
        <v>0</v>
      </c>
      <c r="AV98" s="105">
        <f t="shared" si="46"/>
        <v>0</v>
      </c>
      <c r="AW98" s="105">
        <f t="shared" si="47"/>
        <v>0</v>
      </c>
      <c r="AX98" s="108">
        <f t="shared" si="80"/>
        <v>0</v>
      </c>
      <c r="AY98" s="108">
        <f t="shared" si="71"/>
        <v>0</v>
      </c>
      <c r="AZ98" s="759">
        <f t="shared" si="63"/>
        <v>48053</v>
      </c>
      <c r="BA98" s="108">
        <f t="shared" si="63"/>
        <v>0</v>
      </c>
      <c r="BB98" s="2" t="e">
        <f t="shared" si="89"/>
        <v>#VALUE!</v>
      </c>
    </row>
    <row r="99" spans="1:1207" s="16" customFormat="1" ht="12.6" thickBot="1" x14ac:dyDescent="0.3">
      <c r="A99" s="2"/>
      <c r="B99" s="2"/>
      <c r="C99" s="1"/>
      <c r="D99" s="1"/>
      <c r="E99" s="767">
        <f t="shared" si="77"/>
        <v>91</v>
      </c>
      <c r="F99" s="768">
        <f t="shared" si="64"/>
        <v>48084</v>
      </c>
      <c r="G99" s="24">
        <f t="shared" si="60"/>
        <v>0</v>
      </c>
      <c r="H99" s="24">
        <f t="shared" si="65"/>
        <v>0</v>
      </c>
      <c r="I99" s="24">
        <f t="shared" si="75"/>
        <v>136563.25000000006</v>
      </c>
      <c r="J99" s="24">
        <f t="shared" si="61"/>
        <v>0</v>
      </c>
      <c r="K99" s="24">
        <f t="shared" si="66"/>
        <v>0</v>
      </c>
      <c r="L99" s="24">
        <f t="shared" si="72"/>
        <v>0</v>
      </c>
      <c r="M99" s="24">
        <f t="shared" si="85"/>
        <v>0</v>
      </c>
      <c r="N99" s="24">
        <f t="shared" si="86"/>
        <v>0</v>
      </c>
      <c r="O99" s="24">
        <f t="shared" si="73"/>
        <v>0</v>
      </c>
      <c r="P99" s="24">
        <f t="shared" si="74"/>
        <v>0</v>
      </c>
      <c r="Q99" s="24">
        <f t="shared" si="67"/>
        <v>0</v>
      </c>
      <c r="R99" s="36">
        <f t="shared" si="81"/>
        <v>0</v>
      </c>
      <c r="S99" s="36">
        <f t="shared" si="68"/>
        <v>0</v>
      </c>
      <c r="T99" s="2">
        <f t="shared" si="48"/>
        <v>0</v>
      </c>
      <c r="U99" s="34">
        <f t="shared" si="49"/>
        <v>0</v>
      </c>
      <c r="V99" s="57">
        <f t="shared" si="52"/>
        <v>58455</v>
      </c>
      <c r="W99" s="16">
        <f t="shared" si="54"/>
        <v>50</v>
      </c>
      <c r="X99" s="171">
        <v>1000001</v>
      </c>
      <c r="Y99" s="171">
        <v>5000000</v>
      </c>
      <c r="Z99" s="652">
        <v>0.83</v>
      </c>
      <c r="AA99" s="652">
        <v>0.83</v>
      </c>
      <c r="AB99" s="652">
        <v>0.83</v>
      </c>
      <c r="AC99" s="652">
        <v>0.83</v>
      </c>
      <c r="AD99" s="652">
        <v>0.83</v>
      </c>
      <c r="AI99" s="2">
        <f t="shared" si="88"/>
        <v>0</v>
      </c>
      <c r="AJ99" s="34">
        <f t="shared" si="87"/>
        <v>0</v>
      </c>
      <c r="AK99" s="57">
        <f t="shared" si="53"/>
        <v>58455</v>
      </c>
      <c r="AL99" s="130">
        <f t="shared" si="76"/>
        <v>0</v>
      </c>
      <c r="AM99" s="769">
        <f t="shared" si="79"/>
        <v>91</v>
      </c>
      <c r="AN99" s="770">
        <f t="shared" si="69"/>
        <v>48084</v>
      </c>
      <c r="AO99" s="105">
        <f t="shared" si="36"/>
        <v>0</v>
      </c>
      <c r="AP99" s="105">
        <f t="shared" si="70"/>
        <v>0</v>
      </c>
      <c r="AQ99" s="105">
        <f t="shared" si="42"/>
        <v>0</v>
      </c>
      <c r="AR99" s="105">
        <f t="shared" si="84"/>
        <v>0</v>
      </c>
      <c r="AS99" s="105">
        <f t="shared" si="43"/>
        <v>0</v>
      </c>
      <c r="AT99" s="105">
        <f t="shared" si="44"/>
        <v>0</v>
      </c>
      <c r="AU99" s="105">
        <f t="shared" si="45"/>
        <v>0</v>
      </c>
      <c r="AV99" s="105">
        <f t="shared" si="46"/>
        <v>0</v>
      </c>
      <c r="AW99" s="105">
        <f t="shared" si="47"/>
        <v>0</v>
      </c>
      <c r="AX99" s="108">
        <f t="shared" si="80"/>
        <v>0</v>
      </c>
      <c r="AY99" s="108">
        <f t="shared" si="71"/>
        <v>0</v>
      </c>
      <c r="AZ99" s="759">
        <f t="shared" si="63"/>
        <v>48084</v>
      </c>
      <c r="BA99" s="108">
        <f t="shared" si="63"/>
        <v>0</v>
      </c>
      <c r="BB99" s="2" t="e">
        <f t="shared" si="89"/>
        <v>#VALUE!</v>
      </c>
    </row>
    <row r="100" spans="1:1207" s="16" customFormat="1" ht="12" x14ac:dyDescent="0.25">
      <c r="A100" s="2"/>
      <c r="B100" s="2"/>
      <c r="C100" s="1"/>
      <c r="D100" s="1"/>
      <c r="E100" s="767">
        <f t="shared" si="77"/>
        <v>92</v>
      </c>
      <c r="F100" s="768">
        <f t="shared" si="64"/>
        <v>48115</v>
      </c>
      <c r="G100" s="24">
        <f t="shared" si="60"/>
        <v>0</v>
      </c>
      <c r="H100" s="24">
        <f t="shared" si="65"/>
        <v>0</v>
      </c>
      <c r="I100" s="24">
        <f t="shared" si="75"/>
        <v>136563.25000000006</v>
      </c>
      <c r="J100" s="24">
        <f t="shared" si="61"/>
        <v>0</v>
      </c>
      <c r="K100" s="24">
        <f t="shared" si="66"/>
        <v>0</v>
      </c>
      <c r="L100" s="24">
        <f t="shared" si="72"/>
        <v>0</v>
      </c>
      <c r="M100" s="24">
        <f t="shared" si="85"/>
        <v>0</v>
      </c>
      <c r="N100" s="24">
        <f t="shared" si="86"/>
        <v>0</v>
      </c>
      <c r="O100" s="24">
        <f t="shared" si="73"/>
        <v>0</v>
      </c>
      <c r="P100" s="24">
        <f t="shared" si="74"/>
        <v>0</v>
      </c>
      <c r="Q100" s="24">
        <f t="shared" si="67"/>
        <v>0</v>
      </c>
      <c r="R100" s="36">
        <f t="shared" si="81"/>
        <v>0</v>
      </c>
      <c r="S100" s="36">
        <f t="shared" si="68"/>
        <v>0</v>
      </c>
      <c r="T100" s="2">
        <f t="shared" si="48"/>
        <v>0</v>
      </c>
      <c r="U100" s="34">
        <f t="shared" si="49"/>
        <v>0</v>
      </c>
      <c r="V100" s="57">
        <f t="shared" si="52"/>
        <v>58455</v>
      </c>
      <c r="W100" s="16">
        <f t="shared" si="54"/>
        <v>51</v>
      </c>
      <c r="AI100" s="2">
        <f t="shared" si="88"/>
        <v>0</v>
      </c>
      <c r="AJ100" s="34">
        <f t="shared" si="87"/>
        <v>0</v>
      </c>
      <c r="AK100" s="57">
        <f t="shared" si="53"/>
        <v>58455</v>
      </c>
      <c r="AL100" s="130">
        <f t="shared" si="76"/>
        <v>0</v>
      </c>
      <c r="AM100" s="769">
        <f t="shared" si="79"/>
        <v>92</v>
      </c>
      <c r="AN100" s="770">
        <f t="shared" si="69"/>
        <v>48115</v>
      </c>
      <c r="AO100" s="105">
        <f t="shared" si="36"/>
        <v>0</v>
      </c>
      <c r="AP100" s="105">
        <f t="shared" si="70"/>
        <v>0</v>
      </c>
      <c r="AQ100" s="105">
        <f t="shared" si="42"/>
        <v>0</v>
      </c>
      <c r="AR100" s="105">
        <f t="shared" si="84"/>
        <v>0</v>
      </c>
      <c r="AS100" s="105">
        <f t="shared" si="43"/>
        <v>0</v>
      </c>
      <c r="AT100" s="105">
        <f t="shared" si="44"/>
        <v>0</v>
      </c>
      <c r="AU100" s="105">
        <f t="shared" si="45"/>
        <v>0</v>
      </c>
      <c r="AV100" s="105">
        <f t="shared" si="46"/>
        <v>0</v>
      </c>
      <c r="AW100" s="105">
        <f t="shared" si="47"/>
        <v>0</v>
      </c>
      <c r="AX100" s="108">
        <f t="shared" si="80"/>
        <v>0</v>
      </c>
      <c r="AY100" s="108">
        <f t="shared" si="71"/>
        <v>0</v>
      </c>
      <c r="AZ100" s="759">
        <f t="shared" si="63"/>
        <v>48115</v>
      </c>
      <c r="BA100" s="108">
        <f t="shared" si="63"/>
        <v>0</v>
      </c>
      <c r="BB100" s="2" t="e">
        <f t="shared" si="89"/>
        <v>#VALUE!</v>
      </c>
    </row>
    <row r="101" spans="1:1207" s="16" customFormat="1" ht="12" x14ac:dyDescent="0.25">
      <c r="A101" s="2"/>
      <c r="B101" s="2"/>
      <c r="C101" s="1"/>
      <c r="D101" s="1"/>
      <c r="E101" s="767">
        <f t="shared" si="77"/>
        <v>93</v>
      </c>
      <c r="F101" s="768">
        <f t="shared" si="64"/>
        <v>48145</v>
      </c>
      <c r="G101" s="24">
        <f t="shared" si="60"/>
        <v>0</v>
      </c>
      <c r="H101" s="24">
        <f t="shared" si="65"/>
        <v>0</v>
      </c>
      <c r="I101" s="24">
        <f t="shared" si="75"/>
        <v>136563.25000000006</v>
      </c>
      <c r="J101" s="24">
        <f t="shared" si="61"/>
        <v>0</v>
      </c>
      <c r="K101" s="24">
        <f t="shared" si="66"/>
        <v>0</v>
      </c>
      <c r="L101" s="24">
        <f t="shared" si="72"/>
        <v>0</v>
      </c>
      <c r="M101" s="24">
        <f t="shared" si="85"/>
        <v>0</v>
      </c>
      <c r="N101" s="24">
        <f t="shared" si="86"/>
        <v>0</v>
      </c>
      <c r="O101" s="24">
        <f t="shared" si="73"/>
        <v>0</v>
      </c>
      <c r="P101" s="24">
        <f t="shared" si="74"/>
        <v>0</v>
      </c>
      <c r="Q101" s="24">
        <f t="shared" si="67"/>
        <v>0</v>
      </c>
      <c r="R101" s="36">
        <f t="shared" si="81"/>
        <v>0</v>
      </c>
      <c r="S101" s="36">
        <f t="shared" si="68"/>
        <v>0</v>
      </c>
      <c r="T101" s="2">
        <f t="shared" si="48"/>
        <v>0</v>
      </c>
      <c r="U101" s="34">
        <f t="shared" si="49"/>
        <v>0</v>
      </c>
      <c r="V101" s="57">
        <f t="shared" si="52"/>
        <v>58455</v>
      </c>
      <c r="W101" s="16">
        <f t="shared" si="54"/>
        <v>52</v>
      </c>
      <c r="AI101" s="2">
        <f t="shared" si="88"/>
        <v>0</v>
      </c>
      <c r="AJ101" s="34">
        <f t="shared" si="87"/>
        <v>0</v>
      </c>
      <c r="AK101" s="57">
        <f t="shared" si="53"/>
        <v>58455</v>
      </c>
      <c r="AL101" s="130">
        <f t="shared" si="76"/>
        <v>0</v>
      </c>
      <c r="AM101" s="769">
        <f t="shared" si="79"/>
        <v>93</v>
      </c>
      <c r="AN101" s="770">
        <f t="shared" si="69"/>
        <v>48145</v>
      </c>
      <c r="AO101" s="105">
        <f t="shared" si="36"/>
        <v>0</v>
      </c>
      <c r="AP101" s="105">
        <f t="shared" si="70"/>
        <v>0</v>
      </c>
      <c r="AQ101" s="105">
        <f t="shared" si="42"/>
        <v>0</v>
      </c>
      <c r="AR101" s="105">
        <f t="shared" si="84"/>
        <v>0</v>
      </c>
      <c r="AS101" s="105">
        <f t="shared" si="43"/>
        <v>0</v>
      </c>
      <c r="AT101" s="105">
        <f t="shared" si="44"/>
        <v>0</v>
      </c>
      <c r="AU101" s="105">
        <f t="shared" si="45"/>
        <v>0</v>
      </c>
      <c r="AV101" s="105">
        <f t="shared" si="46"/>
        <v>0</v>
      </c>
      <c r="AW101" s="105">
        <f t="shared" si="47"/>
        <v>0</v>
      </c>
      <c r="AX101" s="108">
        <f t="shared" si="80"/>
        <v>0</v>
      </c>
      <c r="AY101" s="108">
        <f t="shared" si="71"/>
        <v>0</v>
      </c>
      <c r="AZ101" s="759">
        <f t="shared" si="63"/>
        <v>48145</v>
      </c>
      <c r="BA101" s="108">
        <f t="shared" si="63"/>
        <v>0</v>
      </c>
      <c r="BB101" s="2" t="e">
        <f t="shared" si="89"/>
        <v>#VALUE!</v>
      </c>
    </row>
    <row r="102" spans="1:1207" s="16" customFormat="1" ht="12" x14ac:dyDescent="0.25">
      <c r="A102" s="2"/>
      <c r="B102" s="2"/>
      <c r="C102" s="1"/>
      <c r="D102" s="1"/>
      <c r="E102" s="767">
        <f t="shared" si="77"/>
        <v>94</v>
      </c>
      <c r="F102" s="768">
        <f t="shared" si="64"/>
        <v>48176</v>
      </c>
      <c r="G102" s="24">
        <f t="shared" si="60"/>
        <v>0</v>
      </c>
      <c r="H102" s="24">
        <f t="shared" si="65"/>
        <v>0</v>
      </c>
      <c r="I102" s="24">
        <f t="shared" si="75"/>
        <v>136563.25000000006</v>
      </c>
      <c r="J102" s="24">
        <f t="shared" si="61"/>
        <v>0</v>
      </c>
      <c r="K102" s="24">
        <f t="shared" si="66"/>
        <v>0</v>
      </c>
      <c r="L102" s="24">
        <f t="shared" si="72"/>
        <v>0</v>
      </c>
      <c r="M102" s="24">
        <f t="shared" si="85"/>
        <v>0</v>
      </c>
      <c r="N102" s="24">
        <f t="shared" si="86"/>
        <v>0</v>
      </c>
      <c r="O102" s="24">
        <f t="shared" si="73"/>
        <v>0</v>
      </c>
      <c r="P102" s="24">
        <f t="shared" si="74"/>
        <v>0</v>
      </c>
      <c r="Q102" s="24">
        <f t="shared" si="67"/>
        <v>0</v>
      </c>
      <c r="R102" s="36">
        <f t="shared" si="81"/>
        <v>0</v>
      </c>
      <c r="S102" s="36">
        <f t="shared" si="68"/>
        <v>0</v>
      </c>
      <c r="T102" s="2">
        <f t="shared" si="48"/>
        <v>0</v>
      </c>
      <c r="U102" s="34">
        <f t="shared" si="49"/>
        <v>0</v>
      </c>
      <c r="V102" s="57">
        <f t="shared" si="52"/>
        <v>58455</v>
      </c>
      <c r="W102" s="16">
        <f t="shared" si="54"/>
        <v>53</v>
      </c>
      <c r="AI102" s="2">
        <f t="shared" si="88"/>
        <v>0</v>
      </c>
      <c r="AJ102" s="34">
        <f t="shared" si="87"/>
        <v>0</v>
      </c>
      <c r="AK102" s="57">
        <f t="shared" si="53"/>
        <v>58455</v>
      </c>
      <c r="AL102" s="130">
        <f t="shared" si="76"/>
        <v>0</v>
      </c>
      <c r="AM102" s="769">
        <f t="shared" si="79"/>
        <v>94</v>
      </c>
      <c r="AN102" s="770">
        <f t="shared" si="69"/>
        <v>48176</v>
      </c>
      <c r="AO102" s="105">
        <f t="shared" si="36"/>
        <v>0</v>
      </c>
      <c r="AP102" s="105">
        <f t="shared" si="70"/>
        <v>0</v>
      </c>
      <c r="AQ102" s="105">
        <f t="shared" si="42"/>
        <v>0</v>
      </c>
      <c r="AR102" s="105">
        <f t="shared" si="84"/>
        <v>0</v>
      </c>
      <c r="AS102" s="105">
        <f t="shared" si="43"/>
        <v>0</v>
      </c>
      <c r="AT102" s="105">
        <f t="shared" si="44"/>
        <v>0</v>
      </c>
      <c r="AU102" s="105">
        <f t="shared" si="45"/>
        <v>0</v>
      </c>
      <c r="AV102" s="105">
        <f t="shared" si="46"/>
        <v>0</v>
      </c>
      <c r="AW102" s="105">
        <f t="shared" si="47"/>
        <v>0</v>
      </c>
      <c r="AX102" s="108">
        <f t="shared" si="80"/>
        <v>0</v>
      </c>
      <c r="AY102" s="108">
        <f t="shared" si="71"/>
        <v>0</v>
      </c>
      <c r="AZ102" s="759">
        <f t="shared" si="63"/>
        <v>48176</v>
      </c>
      <c r="BA102" s="108">
        <f t="shared" si="63"/>
        <v>0</v>
      </c>
      <c r="BB102" s="2" t="e">
        <f t="shared" si="89"/>
        <v>#VALUE!</v>
      </c>
    </row>
    <row r="103" spans="1:1207" s="16" customFormat="1" ht="12" x14ac:dyDescent="0.25">
      <c r="A103" s="2"/>
      <c r="B103" s="2"/>
      <c r="C103" s="1"/>
      <c r="D103" s="1"/>
      <c r="E103" s="767">
        <f t="shared" si="77"/>
        <v>95</v>
      </c>
      <c r="F103" s="768">
        <f t="shared" si="64"/>
        <v>48206</v>
      </c>
      <c r="G103" s="24">
        <f t="shared" si="60"/>
        <v>0</v>
      </c>
      <c r="H103" s="24">
        <f t="shared" si="65"/>
        <v>0</v>
      </c>
      <c r="I103" s="24">
        <f t="shared" si="75"/>
        <v>136563.25000000006</v>
      </c>
      <c r="J103" s="24">
        <f t="shared" si="61"/>
        <v>0</v>
      </c>
      <c r="K103" s="24">
        <f t="shared" si="66"/>
        <v>0</v>
      </c>
      <c r="L103" s="24">
        <f t="shared" si="72"/>
        <v>0</v>
      </c>
      <c r="M103" s="24">
        <f t="shared" si="85"/>
        <v>0</v>
      </c>
      <c r="N103" s="24">
        <f t="shared" si="86"/>
        <v>0</v>
      </c>
      <c r="O103" s="24">
        <f t="shared" si="73"/>
        <v>0</v>
      </c>
      <c r="P103" s="24">
        <f t="shared" si="74"/>
        <v>0</v>
      </c>
      <c r="Q103" s="24">
        <f t="shared" si="67"/>
        <v>0</v>
      </c>
      <c r="R103" s="36">
        <f t="shared" si="81"/>
        <v>0</v>
      </c>
      <c r="S103" s="36">
        <f t="shared" si="68"/>
        <v>0</v>
      </c>
      <c r="T103" s="2">
        <f t="shared" si="48"/>
        <v>0</v>
      </c>
      <c r="U103" s="34">
        <f t="shared" si="49"/>
        <v>0</v>
      </c>
      <c r="V103" s="57">
        <f t="shared" si="52"/>
        <v>58455</v>
      </c>
      <c r="W103" s="16">
        <f t="shared" si="54"/>
        <v>54</v>
      </c>
      <c r="AI103" s="2">
        <f t="shared" si="88"/>
        <v>0</v>
      </c>
      <c r="AJ103" s="34">
        <f t="shared" si="87"/>
        <v>0</v>
      </c>
      <c r="AK103" s="57">
        <f t="shared" si="53"/>
        <v>58455</v>
      </c>
      <c r="AL103" s="130">
        <f t="shared" si="76"/>
        <v>0</v>
      </c>
      <c r="AM103" s="769">
        <f t="shared" si="79"/>
        <v>95</v>
      </c>
      <c r="AN103" s="770">
        <f t="shared" si="69"/>
        <v>48206</v>
      </c>
      <c r="AO103" s="105">
        <f t="shared" ref="AO103:AO129" si="90">IF(AX102=1,AR103+AP103+AQ103,IF(AW102+AR103+AP103&gt;AO102,$D$29,IF(AW102=0,0,AW102+AR103+AP103+AP135)))</f>
        <v>0</v>
      </c>
      <c r="AP103" s="105">
        <f t="shared" si="70"/>
        <v>0</v>
      </c>
      <c r="AQ103" s="105">
        <f t="shared" si="42"/>
        <v>0</v>
      </c>
      <c r="AR103" s="105">
        <f t="shared" si="84"/>
        <v>0</v>
      </c>
      <c r="AS103" s="105">
        <f t="shared" si="43"/>
        <v>0</v>
      </c>
      <c r="AT103" s="105">
        <f t="shared" si="44"/>
        <v>0</v>
      </c>
      <c r="AU103" s="105">
        <f t="shared" si="45"/>
        <v>0</v>
      </c>
      <c r="AV103" s="105">
        <f t="shared" si="46"/>
        <v>0</v>
      </c>
      <c r="AW103" s="105">
        <f t="shared" si="47"/>
        <v>0</v>
      </c>
      <c r="AX103" s="108">
        <f t="shared" si="80"/>
        <v>0</v>
      </c>
      <c r="AY103" s="108">
        <f t="shared" si="71"/>
        <v>0</v>
      </c>
      <c r="AZ103" s="759">
        <f t="shared" si="63"/>
        <v>48206</v>
      </c>
      <c r="BA103" s="108">
        <f t="shared" si="63"/>
        <v>0</v>
      </c>
      <c r="BB103" s="2" t="e">
        <f t="shared" si="89"/>
        <v>#VALUE!</v>
      </c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2"/>
      <c r="LX103" s="2"/>
      <c r="LY103" s="2"/>
      <c r="LZ103" s="2"/>
      <c r="MA103" s="2"/>
      <c r="MB103" s="2"/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  <c r="MQ103" s="2"/>
      <c r="MR103" s="2"/>
      <c r="MS103" s="2"/>
      <c r="MT103" s="2"/>
      <c r="MU103" s="2"/>
      <c r="MV103" s="2"/>
      <c r="MW103" s="2"/>
      <c r="MX103" s="2"/>
      <c r="MY103" s="2"/>
      <c r="MZ103" s="2"/>
      <c r="NA103" s="2"/>
      <c r="NB103" s="2"/>
      <c r="NC103" s="2"/>
      <c r="ND103" s="2"/>
      <c r="NE103" s="2"/>
      <c r="NF103" s="2"/>
      <c r="NG103" s="2"/>
      <c r="NH103" s="2"/>
      <c r="NI103" s="2"/>
      <c r="NJ103" s="2"/>
      <c r="NK103" s="2"/>
      <c r="NL103" s="2"/>
      <c r="NM103" s="2"/>
      <c r="NN103" s="2"/>
      <c r="NO103" s="2"/>
      <c r="NP103" s="2"/>
      <c r="NQ103" s="2"/>
      <c r="NR103" s="2"/>
      <c r="NS103" s="2"/>
      <c r="NT103" s="2"/>
      <c r="NU103" s="2"/>
      <c r="NV103" s="2"/>
      <c r="NW103" s="2"/>
      <c r="NX103" s="2"/>
      <c r="NY103" s="2"/>
      <c r="NZ103" s="2"/>
      <c r="OA103" s="2"/>
      <c r="OB103" s="2"/>
      <c r="OC103" s="2"/>
      <c r="OD103" s="2"/>
      <c r="OE103" s="2"/>
      <c r="OF103" s="2"/>
      <c r="OG103" s="2"/>
      <c r="OH103" s="2"/>
      <c r="OI103" s="2"/>
      <c r="OJ103" s="2"/>
      <c r="OK103" s="2"/>
      <c r="OL103" s="2"/>
      <c r="OM103" s="2"/>
      <c r="ON103" s="2"/>
      <c r="OO103" s="2"/>
      <c r="OP103" s="2"/>
      <c r="OQ103" s="2"/>
      <c r="OR103" s="2"/>
      <c r="OS103" s="2"/>
      <c r="OT103" s="2"/>
      <c r="OU103" s="2"/>
      <c r="OV103" s="2"/>
      <c r="OW103" s="2"/>
      <c r="OX103" s="2"/>
      <c r="OY103" s="2"/>
      <c r="OZ103" s="2"/>
      <c r="PA103" s="2"/>
      <c r="PB103" s="2"/>
      <c r="PC103" s="2"/>
      <c r="PD103" s="2"/>
      <c r="PE103" s="2"/>
      <c r="PF103" s="2"/>
      <c r="PG103" s="2"/>
      <c r="PH103" s="2"/>
      <c r="PI103" s="2"/>
      <c r="PJ103" s="2"/>
      <c r="PK103" s="2"/>
      <c r="PL103" s="2"/>
      <c r="PM103" s="2"/>
      <c r="PN103" s="2"/>
      <c r="PO103" s="2"/>
      <c r="PP103" s="2"/>
      <c r="PQ103" s="2"/>
      <c r="PR103" s="2"/>
      <c r="PS103" s="2"/>
      <c r="PT103" s="2"/>
      <c r="PU103" s="2"/>
      <c r="PV103" s="2"/>
      <c r="PW103" s="2"/>
      <c r="PX103" s="2"/>
      <c r="PY103" s="2"/>
      <c r="PZ103" s="2"/>
      <c r="QA103" s="2"/>
      <c r="QB103" s="2"/>
      <c r="QC103" s="2"/>
      <c r="QD103" s="2"/>
      <c r="QE103" s="2"/>
      <c r="QF103" s="2"/>
      <c r="QG103" s="2"/>
      <c r="QH103" s="2"/>
      <c r="QI103" s="2"/>
      <c r="QJ103" s="2"/>
      <c r="QK103" s="2"/>
      <c r="QL103" s="2"/>
      <c r="QM103" s="2"/>
      <c r="QN103" s="2"/>
      <c r="QO103" s="2"/>
      <c r="QP103" s="2"/>
      <c r="QQ103" s="2"/>
      <c r="QR103" s="2"/>
      <c r="QS103" s="2"/>
      <c r="QT103" s="2"/>
      <c r="QU103" s="2"/>
      <c r="QV103" s="2"/>
      <c r="QW103" s="2"/>
      <c r="QX103" s="2"/>
      <c r="QY103" s="2"/>
      <c r="QZ103" s="2"/>
      <c r="RA103" s="2"/>
      <c r="RB103" s="2"/>
      <c r="RC103" s="2"/>
      <c r="RD103" s="2"/>
      <c r="RE103" s="2"/>
      <c r="RF103" s="2"/>
      <c r="RG103" s="2"/>
      <c r="RH103" s="2"/>
      <c r="RI103" s="2"/>
      <c r="RJ103" s="2"/>
      <c r="RK103" s="2"/>
      <c r="RL103" s="2"/>
      <c r="RM103" s="2"/>
      <c r="RN103" s="2"/>
      <c r="RO103" s="2"/>
      <c r="RP103" s="2"/>
      <c r="RQ103" s="2"/>
      <c r="RR103" s="2"/>
      <c r="RS103" s="2"/>
      <c r="RT103" s="2"/>
      <c r="RU103" s="2"/>
      <c r="RV103" s="2"/>
      <c r="RW103" s="2"/>
      <c r="RX103" s="2"/>
      <c r="RY103" s="2"/>
      <c r="RZ103" s="2"/>
      <c r="SA103" s="2"/>
      <c r="SB103" s="2"/>
      <c r="SC103" s="2"/>
      <c r="SD103" s="2"/>
      <c r="SE103" s="2"/>
      <c r="SF103" s="2"/>
      <c r="SG103" s="2"/>
      <c r="SH103" s="2"/>
      <c r="SI103" s="2"/>
      <c r="SJ103" s="2"/>
      <c r="SK103" s="2"/>
      <c r="SL103" s="2"/>
      <c r="SM103" s="2"/>
      <c r="SN103" s="2"/>
      <c r="SO103" s="2"/>
      <c r="SP103" s="2"/>
      <c r="SQ103" s="2"/>
      <c r="SR103" s="2"/>
      <c r="SS103" s="2"/>
      <c r="ST103" s="2"/>
      <c r="SU103" s="2"/>
      <c r="SV103" s="2"/>
      <c r="SW103" s="2"/>
      <c r="SX103" s="2"/>
      <c r="SY103" s="2"/>
      <c r="SZ103" s="2"/>
      <c r="TA103" s="2"/>
      <c r="TB103" s="2"/>
      <c r="TC103" s="2"/>
      <c r="TD103" s="2"/>
      <c r="TE103" s="2"/>
      <c r="TF103" s="2"/>
      <c r="TG103" s="2"/>
      <c r="TH103" s="2"/>
      <c r="TI103" s="2"/>
      <c r="TJ103" s="2"/>
      <c r="TK103" s="2"/>
      <c r="TL103" s="2"/>
      <c r="TM103" s="2"/>
      <c r="TN103" s="2"/>
      <c r="TO103" s="2"/>
      <c r="TP103" s="2"/>
      <c r="TQ103" s="2"/>
      <c r="TR103" s="2"/>
      <c r="TS103" s="2"/>
      <c r="TT103" s="2"/>
      <c r="TU103" s="2"/>
      <c r="TV103" s="2"/>
      <c r="TW103" s="2"/>
      <c r="TX103" s="2"/>
      <c r="TY103" s="2"/>
      <c r="TZ103" s="2"/>
      <c r="UA103" s="2"/>
      <c r="UB103" s="2"/>
      <c r="UC103" s="2"/>
      <c r="UD103" s="2"/>
      <c r="UE103" s="2"/>
      <c r="UF103" s="2"/>
      <c r="UG103" s="2"/>
      <c r="UH103" s="2"/>
      <c r="UI103" s="2"/>
      <c r="UJ103" s="2"/>
      <c r="UK103" s="2"/>
      <c r="UL103" s="2"/>
      <c r="UM103" s="2"/>
      <c r="UN103" s="2"/>
      <c r="UO103" s="2"/>
      <c r="UP103" s="2"/>
      <c r="UQ103" s="2"/>
      <c r="UR103" s="2"/>
      <c r="US103" s="2"/>
      <c r="UT103" s="2"/>
      <c r="UU103" s="2"/>
      <c r="UV103" s="2"/>
      <c r="UW103" s="2"/>
      <c r="UX103" s="2"/>
      <c r="UY103" s="2"/>
      <c r="UZ103" s="2"/>
      <c r="VA103" s="2"/>
      <c r="VB103" s="2"/>
      <c r="VC103" s="2"/>
      <c r="VD103" s="2"/>
      <c r="VE103" s="2"/>
      <c r="VF103" s="2"/>
      <c r="VG103" s="2"/>
      <c r="VH103" s="2"/>
      <c r="VI103" s="2"/>
      <c r="VJ103" s="2"/>
      <c r="VK103" s="2"/>
      <c r="VL103" s="2"/>
      <c r="VM103" s="2"/>
      <c r="VN103" s="2"/>
      <c r="VO103" s="2"/>
      <c r="VP103" s="2"/>
      <c r="VQ103" s="2"/>
      <c r="VR103" s="2"/>
      <c r="VS103" s="2"/>
      <c r="VT103" s="2"/>
      <c r="VU103" s="2"/>
      <c r="VV103" s="2"/>
      <c r="VW103" s="2"/>
      <c r="VX103" s="2"/>
      <c r="VY103" s="2"/>
      <c r="VZ103" s="2"/>
      <c r="WA103" s="2"/>
      <c r="WB103" s="2"/>
      <c r="WC103" s="2"/>
      <c r="WD103" s="2"/>
      <c r="WE103" s="2"/>
      <c r="WF103" s="2"/>
      <c r="WG103" s="2"/>
      <c r="WH103" s="2"/>
      <c r="WI103" s="2"/>
      <c r="WJ103" s="2"/>
      <c r="WK103" s="2"/>
      <c r="WL103" s="2"/>
      <c r="WM103" s="2"/>
      <c r="WN103" s="2"/>
      <c r="WO103" s="2"/>
      <c r="WP103" s="2"/>
      <c r="WQ103" s="2"/>
      <c r="WR103" s="2"/>
      <c r="WS103" s="2"/>
      <c r="WT103" s="2"/>
      <c r="WU103" s="2"/>
      <c r="WV103" s="2"/>
      <c r="WW103" s="2"/>
      <c r="WX103" s="2"/>
      <c r="WY103" s="2"/>
      <c r="WZ103" s="2"/>
      <c r="XA103" s="2"/>
      <c r="XB103" s="2"/>
      <c r="XC103" s="2"/>
      <c r="XD103" s="2"/>
      <c r="XE103" s="2"/>
      <c r="XF103" s="2"/>
      <c r="XG103" s="2"/>
      <c r="XH103" s="2"/>
      <c r="XI103" s="2"/>
      <c r="XJ103" s="2"/>
      <c r="XK103" s="2"/>
      <c r="XL103" s="2"/>
      <c r="XM103" s="2"/>
      <c r="XN103" s="2"/>
      <c r="XO103" s="2"/>
      <c r="XP103" s="2"/>
      <c r="XQ103" s="2"/>
      <c r="XR103" s="2"/>
      <c r="XS103" s="2"/>
      <c r="XT103" s="2"/>
      <c r="XU103" s="2"/>
      <c r="XV103" s="2"/>
      <c r="XW103" s="2"/>
      <c r="XX103" s="2"/>
      <c r="XY103" s="2"/>
      <c r="XZ103" s="2"/>
      <c r="YA103" s="2"/>
      <c r="YB103" s="2"/>
      <c r="YC103" s="2"/>
      <c r="YD103" s="2"/>
      <c r="YE103" s="2"/>
      <c r="YF103" s="2"/>
      <c r="YG103" s="2"/>
      <c r="YH103" s="2"/>
      <c r="YI103" s="2"/>
      <c r="YJ103" s="2"/>
      <c r="YK103" s="2"/>
      <c r="YL103" s="2"/>
      <c r="YM103" s="2"/>
      <c r="YN103" s="2"/>
      <c r="YO103" s="2"/>
      <c r="YP103" s="2"/>
      <c r="YQ103" s="2"/>
      <c r="YR103" s="2"/>
      <c r="YS103" s="2"/>
      <c r="YT103" s="2"/>
      <c r="YU103" s="2"/>
      <c r="YV103" s="2"/>
      <c r="YW103" s="2"/>
      <c r="YX103" s="2"/>
      <c r="YY103" s="2"/>
      <c r="YZ103" s="2"/>
      <c r="ZA103" s="2"/>
      <c r="ZB103" s="2"/>
      <c r="ZC103" s="2"/>
      <c r="ZD103" s="2"/>
      <c r="ZE103" s="2"/>
      <c r="ZF103" s="2"/>
      <c r="ZG103" s="2"/>
      <c r="ZH103" s="2"/>
      <c r="ZI103" s="2"/>
      <c r="ZJ103" s="2"/>
      <c r="ZK103" s="2"/>
      <c r="ZL103" s="2"/>
      <c r="ZM103" s="2"/>
      <c r="ZN103" s="2"/>
      <c r="ZO103" s="2"/>
      <c r="ZP103" s="2"/>
      <c r="ZQ103" s="2"/>
      <c r="ZR103" s="2"/>
      <c r="ZS103" s="2"/>
      <c r="ZT103" s="2"/>
      <c r="ZU103" s="2"/>
      <c r="ZV103" s="2"/>
      <c r="ZW103" s="2"/>
      <c r="ZX103" s="2"/>
      <c r="ZY103" s="2"/>
      <c r="ZZ103" s="2"/>
      <c r="AAA103" s="2"/>
      <c r="AAB103" s="2"/>
      <c r="AAC103" s="2"/>
      <c r="AAD103" s="2"/>
      <c r="AAE103" s="2"/>
      <c r="AAF103" s="2"/>
      <c r="AAG103" s="2"/>
      <c r="AAH103" s="2"/>
      <c r="AAI103" s="2"/>
      <c r="AAJ103" s="2"/>
      <c r="AAK103" s="2"/>
      <c r="AAL103" s="2"/>
      <c r="AAM103" s="2"/>
      <c r="AAN103" s="2"/>
      <c r="AAO103" s="2"/>
      <c r="AAP103" s="2"/>
      <c r="AAQ103" s="2"/>
      <c r="AAR103" s="2"/>
      <c r="AAS103" s="2"/>
      <c r="AAT103" s="2"/>
      <c r="AAU103" s="2"/>
      <c r="AAV103" s="2"/>
      <c r="AAW103" s="2"/>
      <c r="AAX103" s="2"/>
      <c r="AAY103" s="2"/>
      <c r="AAZ103" s="2"/>
      <c r="ABA103" s="2"/>
      <c r="ABB103" s="2"/>
      <c r="ABC103" s="2"/>
      <c r="ABD103" s="2"/>
      <c r="ABE103" s="2"/>
      <c r="ABF103" s="2"/>
      <c r="ABG103" s="2"/>
      <c r="ABH103" s="2"/>
      <c r="ABI103" s="2"/>
      <c r="ABJ103" s="2"/>
      <c r="ABK103" s="2"/>
      <c r="ABL103" s="2"/>
      <c r="ABM103" s="2"/>
      <c r="ABN103" s="2"/>
      <c r="ABO103" s="2"/>
      <c r="ABP103" s="2"/>
      <c r="ABQ103" s="2"/>
      <c r="ABR103" s="2"/>
      <c r="ABS103" s="2"/>
      <c r="ABT103" s="2"/>
      <c r="ABU103" s="2"/>
      <c r="ABV103" s="2"/>
      <c r="ABW103" s="2"/>
      <c r="ABX103" s="2"/>
      <c r="ABY103" s="2"/>
      <c r="ABZ103" s="2"/>
      <c r="ACA103" s="2"/>
      <c r="ACB103" s="2"/>
      <c r="ACC103" s="2"/>
      <c r="ACD103" s="2"/>
      <c r="ACE103" s="2"/>
      <c r="ACF103" s="2"/>
      <c r="ACG103" s="2"/>
      <c r="ACH103" s="2"/>
      <c r="ACI103" s="2"/>
      <c r="ACJ103" s="2"/>
      <c r="ACK103" s="2"/>
      <c r="ACL103" s="2"/>
      <c r="ACM103" s="2"/>
      <c r="ACN103" s="2"/>
      <c r="ACO103" s="2"/>
      <c r="ACP103" s="2"/>
      <c r="ACQ103" s="2"/>
      <c r="ACR103" s="2"/>
      <c r="ACS103" s="2"/>
      <c r="ACT103" s="2"/>
      <c r="ACU103" s="2"/>
      <c r="ACV103" s="2"/>
      <c r="ACW103" s="2"/>
      <c r="ACX103" s="2"/>
      <c r="ACY103" s="2"/>
      <c r="ACZ103" s="2"/>
      <c r="ADA103" s="2"/>
      <c r="ADB103" s="2"/>
      <c r="ADC103" s="2"/>
      <c r="ADD103" s="2"/>
      <c r="ADE103" s="2"/>
      <c r="ADF103" s="2"/>
      <c r="ADG103" s="2"/>
      <c r="ADH103" s="2"/>
      <c r="ADI103" s="2"/>
      <c r="ADJ103" s="2"/>
      <c r="ADK103" s="2"/>
      <c r="ADL103" s="2"/>
      <c r="ADM103" s="2"/>
      <c r="ADN103" s="2"/>
      <c r="ADO103" s="2"/>
      <c r="ADP103" s="2"/>
      <c r="ADQ103" s="2"/>
      <c r="ADR103" s="2"/>
      <c r="ADS103" s="2"/>
      <c r="ADT103" s="2"/>
      <c r="ADU103" s="2"/>
      <c r="ADV103" s="2"/>
      <c r="ADW103" s="2"/>
      <c r="ADX103" s="2"/>
      <c r="ADY103" s="2"/>
      <c r="ADZ103" s="2"/>
      <c r="AEA103" s="2"/>
      <c r="AEB103" s="2"/>
      <c r="AEC103" s="2"/>
      <c r="AED103" s="2"/>
      <c r="AEE103" s="2"/>
      <c r="AEF103" s="2"/>
      <c r="AEG103" s="2"/>
      <c r="AEH103" s="2"/>
      <c r="AEI103" s="2"/>
      <c r="AEJ103" s="2"/>
      <c r="AEK103" s="2"/>
      <c r="AEL103" s="2"/>
      <c r="AEM103" s="2"/>
      <c r="AEN103" s="2"/>
      <c r="AEO103" s="2"/>
      <c r="AEP103" s="2"/>
      <c r="AEQ103" s="2"/>
      <c r="AER103" s="2"/>
      <c r="AES103" s="2"/>
      <c r="AET103" s="2"/>
      <c r="AEU103" s="2"/>
      <c r="AEV103" s="2"/>
      <c r="AEW103" s="2"/>
      <c r="AEX103" s="2"/>
      <c r="AEY103" s="2"/>
      <c r="AEZ103" s="2"/>
      <c r="AFA103" s="2"/>
      <c r="AFB103" s="2"/>
      <c r="AFC103" s="2"/>
      <c r="AFD103" s="2"/>
      <c r="AFE103" s="2"/>
      <c r="AFF103" s="2"/>
      <c r="AFG103" s="2"/>
      <c r="AFH103" s="2"/>
      <c r="AFI103" s="2"/>
      <c r="AFJ103" s="2"/>
      <c r="AFK103" s="2"/>
      <c r="AFL103" s="2"/>
      <c r="AFM103" s="2"/>
      <c r="AFN103" s="2"/>
      <c r="AFO103" s="2"/>
      <c r="AFP103" s="2"/>
      <c r="AFQ103" s="2"/>
      <c r="AFR103" s="2"/>
      <c r="AFS103" s="2"/>
      <c r="AFT103" s="2"/>
      <c r="AFU103" s="2"/>
      <c r="AFV103" s="2"/>
      <c r="AFW103" s="2"/>
      <c r="AFX103" s="2"/>
      <c r="AFY103" s="2"/>
      <c r="AFZ103" s="2"/>
      <c r="AGA103" s="2"/>
      <c r="AGB103" s="2"/>
      <c r="AGC103" s="2"/>
      <c r="AGD103" s="2"/>
      <c r="AGE103" s="2"/>
      <c r="AGF103" s="2"/>
      <c r="AGG103" s="2"/>
      <c r="AGH103" s="2"/>
      <c r="AGI103" s="2"/>
      <c r="AGJ103" s="2"/>
      <c r="AGK103" s="2"/>
      <c r="AGL103" s="2"/>
      <c r="AGM103" s="2"/>
      <c r="AGN103" s="2"/>
      <c r="AGO103" s="2"/>
      <c r="AGP103" s="2"/>
      <c r="AGQ103" s="2"/>
      <c r="AGR103" s="2"/>
      <c r="AGS103" s="2"/>
      <c r="AGT103" s="2"/>
      <c r="AGU103" s="2"/>
      <c r="AGV103" s="2"/>
      <c r="AGW103" s="2"/>
      <c r="AGX103" s="2"/>
      <c r="AGY103" s="2"/>
      <c r="AGZ103" s="2"/>
      <c r="AHA103" s="2"/>
      <c r="AHB103" s="2"/>
      <c r="AHC103" s="2"/>
      <c r="AHD103" s="2"/>
      <c r="AHE103" s="2"/>
      <c r="AHF103" s="2"/>
      <c r="AHG103" s="2"/>
      <c r="AHH103" s="2"/>
      <c r="AHI103" s="2"/>
      <c r="AHJ103" s="2"/>
      <c r="AHK103" s="2"/>
      <c r="AHL103" s="2"/>
      <c r="AHM103" s="2"/>
      <c r="AHN103" s="2"/>
      <c r="AHO103" s="2"/>
      <c r="AHP103" s="2"/>
      <c r="AHQ103" s="2"/>
      <c r="AHR103" s="2"/>
      <c r="AHS103" s="2"/>
      <c r="AHT103" s="2"/>
      <c r="AHU103" s="2"/>
      <c r="AHV103" s="2"/>
      <c r="AHW103" s="2"/>
      <c r="AHX103" s="2"/>
      <c r="AHY103" s="2"/>
      <c r="AHZ103" s="2"/>
      <c r="AIA103" s="2"/>
      <c r="AIB103" s="2"/>
      <c r="AIC103" s="2"/>
      <c r="AID103" s="2"/>
      <c r="AIE103" s="2"/>
      <c r="AIF103" s="2"/>
      <c r="AIG103" s="2"/>
      <c r="AIH103" s="2"/>
      <c r="AII103" s="2"/>
      <c r="AIJ103" s="2"/>
      <c r="AIK103" s="2"/>
      <c r="AIL103" s="2"/>
      <c r="AIM103" s="2"/>
      <c r="AIN103" s="2"/>
      <c r="AIO103" s="2"/>
      <c r="AIP103" s="2"/>
      <c r="AIQ103" s="2"/>
      <c r="AIR103" s="2"/>
      <c r="AIS103" s="2"/>
      <c r="AIT103" s="2"/>
      <c r="AIU103" s="2"/>
      <c r="AIV103" s="2"/>
      <c r="AIW103" s="2"/>
      <c r="AIX103" s="2"/>
      <c r="AIY103" s="2"/>
      <c r="AIZ103" s="2"/>
      <c r="AJA103" s="2"/>
      <c r="AJB103" s="2"/>
      <c r="AJC103" s="2"/>
      <c r="AJD103" s="2"/>
      <c r="AJE103" s="2"/>
      <c r="AJF103" s="2"/>
      <c r="AJG103" s="2"/>
      <c r="AJH103" s="2"/>
      <c r="AJI103" s="2"/>
      <c r="AJJ103" s="2"/>
      <c r="AJK103" s="2"/>
      <c r="AJL103" s="2"/>
      <c r="AJM103" s="2"/>
      <c r="AJN103" s="2"/>
      <c r="AJO103" s="2"/>
      <c r="AJP103" s="2"/>
      <c r="AJQ103" s="2"/>
      <c r="AJR103" s="2"/>
      <c r="AJS103" s="2"/>
      <c r="AJT103" s="2"/>
      <c r="AJU103" s="2"/>
      <c r="AJV103" s="2"/>
      <c r="AJW103" s="2"/>
      <c r="AJX103" s="2"/>
      <c r="AJY103" s="2"/>
      <c r="AJZ103" s="2"/>
      <c r="AKA103" s="2"/>
      <c r="AKB103" s="2"/>
      <c r="AKC103" s="2"/>
      <c r="AKD103" s="2"/>
      <c r="AKE103" s="2"/>
      <c r="AKF103" s="2"/>
      <c r="AKG103" s="2"/>
      <c r="AKH103" s="2"/>
      <c r="AKI103" s="2"/>
      <c r="AKJ103" s="2"/>
      <c r="AKK103" s="2"/>
      <c r="AKL103" s="2"/>
      <c r="AKM103" s="2"/>
      <c r="AKN103" s="2"/>
      <c r="AKO103" s="2"/>
      <c r="AKP103" s="2"/>
      <c r="AKQ103" s="2"/>
      <c r="AKR103" s="2"/>
      <c r="AKS103" s="2"/>
      <c r="AKT103" s="2"/>
      <c r="AKU103" s="2"/>
      <c r="AKV103" s="2"/>
      <c r="AKW103" s="2"/>
      <c r="AKX103" s="2"/>
      <c r="AKY103" s="2"/>
      <c r="AKZ103" s="2"/>
      <c r="ALA103" s="2"/>
      <c r="ALB103" s="2"/>
      <c r="ALC103" s="2"/>
      <c r="ALD103" s="2"/>
      <c r="ALE103" s="2"/>
      <c r="ALF103" s="2"/>
      <c r="ALG103" s="2"/>
      <c r="ALH103" s="2"/>
      <c r="ALI103" s="2"/>
      <c r="ALJ103" s="2"/>
      <c r="ALK103" s="2"/>
      <c r="ALL103" s="2"/>
      <c r="ALM103" s="2"/>
      <c r="ALN103" s="2"/>
      <c r="ALO103" s="2"/>
      <c r="ALP103" s="2"/>
      <c r="ALQ103" s="2"/>
      <c r="ALR103" s="2"/>
      <c r="ALS103" s="2"/>
      <c r="ALT103" s="2"/>
      <c r="ALU103" s="2"/>
      <c r="ALV103" s="2"/>
      <c r="ALW103" s="2"/>
      <c r="ALX103" s="2"/>
      <c r="ALY103" s="2"/>
      <c r="ALZ103" s="2"/>
      <c r="AMA103" s="2"/>
      <c r="AMB103" s="2"/>
      <c r="AMC103" s="2"/>
      <c r="AMD103" s="2"/>
      <c r="AME103" s="2"/>
      <c r="AMF103" s="2"/>
      <c r="AMG103" s="2"/>
      <c r="AMH103" s="2"/>
      <c r="AMI103" s="2"/>
      <c r="AMJ103" s="2"/>
      <c r="AMK103" s="2"/>
      <c r="AML103" s="2"/>
      <c r="AMM103" s="2"/>
      <c r="AMN103" s="2"/>
      <c r="AMO103" s="2"/>
      <c r="AMP103" s="2"/>
      <c r="AMQ103" s="2"/>
      <c r="AMR103" s="2"/>
      <c r="AMS103" s="2"/>
      <c r="AMT103" s="2"/>
      <c r="AMU103" s="2"/>
      <c r="AMV103" s="2"/>
      <c r="AMW103" s="2"/>
      <c r="AMX103" s="2"/>
      <c r="AMY103" s="2"/>
      <c r="AMZ103" s="2"/>
      <c r="ANA103" s="2"/>
      <c r="ANB103" s="2"/>
      <c r="ANC103" s="2"/>
      <c r="AND103" s="2"/>
      <c r="ANE103" s="2"/>
      <c r="ANF103" s="2"/>
      <c r="ANG103" s="2"/>
      <c r="ANH103" s="2"/>
      <c r="ANI103" s="2"/>
      <c r="ANJ103" s="2"/>
      <c r="ANK103" s="2"/>
      <c r="ANL103" s="2"/>
      <c r="ANM103" s="2"/>
      <c r="ANN103" s="2"/>
      <c r="ANO103" s="2"/>
      <c r="ANP103" s="2"/>
      <c r="ANQ103" s="2"/>
      <c r="ANR103" s="2"/>
      <c r="ANS103" s="2"/>
      <c r="ANT103" s="2"/>
      <c r="ANU103" s="2"/>
      <c r="ANV103" s="2"/>
      <c r="ANW103" s="2"/>
      <c r="ANX103" s="2"/>
      <c r="ANY103" s="2"/>
      <c r="ANZ103" s="2"/>
      <c r="AOA103" s="2"/>
      <c r="AOB103" s="2"/>
      <c r="AOC103" s="2"/>
      <c r="AOD103" s="2"/>
      <c r="AOE103" s="2"/>
      <c r="AOF103" s="2"/>
      <c r="AOG103" s="2"/>
      <c r="AOH103" s="2"/>
      <c r="AOI103" s="2"/>
      <c r="AOJ103" s="2"/>
      <c r="AOK103" s="2"/>
      <c r="AOL103" s="2"/>
      <c r="AOM103" s="2"/>
      <c r="AON103" s="2"/>
      <c r="AOO103" s="2"/>
      <c r="AOP103" s="2"/>
      <c r="AOQ103" s="2"/>
      <c r="AOR103" s="2"/>
      <c r="AOS103" s="2"/>
      <c r="AOT103" s="2"/>
      <c r="AOU103" s="2"/>
      <c r="AOV103" s="2"/>
      <c r="AOW103" s="2"/>
      <c r="AOX103" s="2"/>
      <c r="AOY103" s="2"/>
      <c r="AOZ103" s="2"/>
      <c r="APA103" s="2"/>
      <c r="APB103" s="2"/>
      <c r="APC103" s="2"/>
      <c r="APD103" s="2"/>
      <c r="APE103" s="2"/>
      <c r="APF103" s="2"/>
      <c r="APG103" s="2"/>
      <c r="APH103" s="2"/>
      <c r="API103" s="2"/>
      <c r="APJ103" s="2"/>
      <c r="APK103" s="2"/>
      <c r="APL103" s="2"/>
      <c r="APM103" s="2"/>
      <c r="APN103" s="2"/>
      <c r="APO103" s="2"/>
      <c r="APP103" s="2"/>
      <c r="APQ103" s="2"/>
      <c r="APR103" s="2"/>
      <c r="APS103" s="2"/>
      <c r="APT103" s="2"/>
      <c r="APU103" s="2"/>
      <c r="APV103" s="2"/>
      <c r="APW103" s="2"/>
      <c r="APX103" s="2"/>
      <c r="APY103" s="2"/>
      <c r="APZ103" s="2"/>
      <c r="AQA103" s="2"/>
      <c r="AQB103" s="2"/>
      <c r="AQC103" s="2"/>
      <c r="AQD103" s="2"/>
      <c r="AQE103" s="2"/>
      <c r="AQF103" s="2"/>
      <c r="AQG103" s="2"/>
      <c r="AQH103" s="2"/>
      <c r="AQI103" s="2"/>
      <c r="AQJ103" s="2"/>
      <c r="AQK103" s="2"/>
      <c r="AQL103" s="2"/>
      <c r="AQM103" s="2"/>
      <c r="AQN103" s="2"/>
      <c r="AQO103" s="2"/>
      <c r="AQP103" s="2"/>
      <c r="AQQ103" s="2"/>
      <c r="AQR103" s="2"/>
      <c r="AQS103" s="2"/>
      <c r="AQT103" s="2"/>
      <c r="AQU103" s="2"/>
      <c r="AQV103" s="2"/>
      <c r="AQW103" s="2"/>
      <c r="AQX103" s="2"/>
      <c r="AQY103" s="2"/>
      <c r="AQZ103" s="2"/>
      <c r="ARA103" s="2"/>
      <c r="ARB103" s="2"/>
      <c r="ARC103" s="2"/>
      <c r="ARD103" s="2"/>
      <c r="ARE103" s="2"/>
      <c r="ARF103" s="2"/>
      <c r="ARG103" s="2"/>
      <c r="ARH103" s="2"/>
      <c r="ARI103" s="2"/>
      <c r="ARJ103" s="2"/>
      <c r="ARK103" s="2"/>
      <c r="ARL103" s="2"/>
      <c r="ARM103" s="2"/>
      <c r="ARN103" s="2"/>
      <c r="ARO103" s="2"/>
      <c r="ARP103" s="2"/>
      <c r="ARQ103" s="2"/>
      <c r="ARR103" s="2"/>
      <c r="ARS103" s="2"/>
      <c r="ART103" s="2"/>
      <c r="ARU103" s="2"/>
      <c r="ARV103" s="2"/>
      <c r="ARW103" s="2"/>
      <c r="ARX103" s="2"/>
      <c r="ARY103" s="2"/>
      <c r="ARZ103" s="2"/>
      <c r="ASA103" s="2"/>
      <c r="ASB103" s="2"/>
      <c r="ASC103" s="2"/>
      <c r="ASD103" s="2"/>
      <c r="ASE103" s="2"/>
      <c r="ASF103" s="2"/>
      <c r="ASG103" s="2"/>
      <c r="ASH103" s="2"/>
      <c r="ASI103" s="2"/>
      <c r="ASJ103" s="2"/>
      <c r="ASK103" s="2"/>
      <c r="ASL103" s="2"/>
      <c r="ASM103" s="2"/>
      <c r="ASN103" s="2"/>
      <c r="ASO103" s="2"/>
      <c r="ASP103" s="2"/>
      <c r="ASQ103" s="2"/>
      <c r="ASR103" s="2"/>
      <c r="ASS103" s="2"/>
      <c r="AST103" s="2"/>
      <c r="ASU103" s="2"/>
      <c r="ASV103" s="2"/>
      <c r="ASW103" s="2"/>
      <c r="ASX103" s="2"/>
      <c r="ASY103" s="2"/>
      <c r="ASZ103" s="2"/>
      <c r="ATA103" s="2"/>
      <c r="ATB103" s="2"/>
      <c r="ATC103" s="2"/>
      <c r="ATD103" s="2"/>
      <c r="ATE103" s="2"/>
      <c r="ATF103" s="2"/>
      <c r="ATG103" s="2"/>
      <c r="ATH103" s="2"/>
      <c r="ATI103" s="2"/>
      <c r="ATJ103" s="2"/>
      <c r="ATK103" s="2"/>
    </row>
    <row r="104" spans="1:1207" ht="12" x14ac:dyDescent="0.25">
      <c r="E104" s="767">
        <f t="shared" si="77"/>
        <v>96</v>
      </c>
      <c r="F104" s="768">
        <f t="shared" si="64"/>
        <v>48237</v>
      </c>
      <c r="G104" s="24">
        <f t="shared" si="60"/>
        <v>0</v>
      </c>
      <c r="H104" s="24">
        <f t="shared" si="65"/>
        <v>0</v>
      </c>
      <c r="I104" s="24">
        <f t="shared" si="75"/>
        <v>136563.25000000006</v>
      </c>
      <c r="J104" s="24">
        <f t="shared" si="61"/>
        <v>0</v>
      </c>
      <c r="K104" s="24">
        <f t="shared" si="66"/>
        <v>0</v>
      </c>
      <c r="L104" s="24">
        <f t="shared" si="72"/>
        <v>0</v>
      </c>
      <c r="M104" s="24">
        <f t="shared" si="85"/>
        <v>0</v>
      </c>
      <c r="N104" s="24">
        <f t="shared" si="86"/>
        <v>0</v>
      </c>
      <c r="O104" s="24">
        <f t="shared" si="73"/>
        <v>0</v>
      </c>
      <c r="P104" s="24">
        <f t="shared" si="74"/>
        <v>0</v>
      </c>
      <c r="Q104" s="24">
        <f t="shared" si="67"/>
        <v>0</v>
      </c>
      <c r="R104" s="36">
        <f t="shared" si="81"/>
        <v>0</v>
      </c>
      <c r="S104" s="36">
        <f t="shared" si="68"/>
        <v>0</v>
      </c>
      <c r="T104" s="2">
        <f t="shared" si="48"/>
        <v>0</v>
      </c>
      <c r="U104" s="34">
        <f t="shared" si="49"/>
        <v>0</v>
      </c>
      <c r="V104" s="57">
        <f t="shared" si="52"/>
        <v>58455</v>
      </c>
      <c r="W104" s="16">
        <f t="shared" si="54"/>
        <v>55</v>
      </c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2">
        <f t="shared" si="88"/>
        <v>0</v>
      </c>
      <c r="AJ104" s="34">
        <f t="shared" si="87"/>
        <v>0</v>
      </c>
      <c r="AK104" s="57">
        <f t="shared" si="53"/>
        <v>58455</v>
      </c>
      <c r="AL104" s="130">
        <f t="shared" si="76"/>
        <v>0</v>
      </c>
      <c r="AM104" s="769">
        <f t="shared" si="79"/>
        <v>96</v>
      </c>
      <c r="AN104" s="770">
        <f t="shared" si="69"/>
        <v>48237</v>
      </c>
      <c r="AO104" s="105">
        <f t="shared" si="90"/>
        <v>0</v>
      </c>
      <c r="AP104" s="105">
        <f t="shared" si="70"/>
        <v>0</v>
      </c>
      <c r="AQ104" s="105">
        <f t="shared" si="42"/>
        <v>0</v>
      </c>
      <c r="AR104" s="105">
        <f t="shared" si="84"/>
        <v>0</v>
      </c>
      <c r="AS104" s="105">
        <f t="shared" si="43"/>
        <v>0</v>
      </c>
      <c r="AT104" s="105">
        <f t="shared" si="44"/>
        <v>0</v>
      </c>
      <c r="AU104" s="105">
        <f t="shared" si="45"/>
        <v>0</v>
      </c>
      <c r="AV104" s="105">
        <f t="shared" si="46"/>
        <v>0</v>
      </c>
      <c r="AW104" s="105">
        <f t="shared" si="47"/>
        <v>0</v>
      </c>
      <c r="AX104" s="108">
        <f t="shared" si="80"/>
        <v>0</v>
      </c>
      <c r="AY104" s="108">
        <f t="shared" si="71"/>
        <v>0</v>
      </c>
      <c r="AZ104" s="759">
        <f t="shared" si="63"/>
        <v>48237</v>
      </c>
      <c r="BA104" s="108">
        <f t="shared" si="63"/>
        <v>0</v>
      </c>
      <c r="BB104" s="2" t="e">
        <f t="shared" si="89"/>
        <v>#VALUE!</v>
      </c>
    </row>
    <row r="105" spans="1:1207" ht="12" x14ac:dyDescent="0.25">
      <c r="E105" s="767">
        <f t="shared" si="77"/>
        <v>97</v>
      </c>
      <c r="F105" s="768">
        <f t="shared" si="64"/>
        <v>48268</v>
      </c>
      <c r="G105" s="24">
        <f t="shared" si="60"/>
        <v>0</v>
      </c>
      <c r="H105" s="24">
        <f t="shared" si="65"/>
        <v>0</v>
      </c>
      <c r="I105" s="24">
        <f t="shared" si="75"/>
        <v>136563.25000000006</v>
      </c>
      <c r="J105" s="24">
        <f t="shared" si="61"/>
        <v>0</v>
      </c>
      <c r="K105" s="24">
        <f t="shared" si="66"/>
        <v>0</v>
      </c>
      <c r="L105" s="24">
        <f t="shared" si="72"/>
        <v>0</v>
      </c>
      <c r="M105" s="24">
        <f t="shared" si="85"/>
        <v>0</v>
      </c>
      <c r="N105" s="24">
        <f t="shared" si="86"/>
        <v>0</v>
      </c>
      <c r="O105" s="24">
        <f t="shared" si="73"/>
        <v>0</v>
      </c>
      <c r="P105" s="24">
        <f t="shared" si="74"/>
        <v>0</v>
      </c>
      <c r="Q105" s="24">
        <f t="shared" si="67"/>
        <v>0</v>
      </c>
      <c r="R105" s="36">
        <f t="shared" si="81"/>
        <v>0</v>
      </c>
      <c r="S105" s="36">
        <f t="shared" si="68"/>
        <v>0</v>
      </c>
      <c r="T105" s="2">
        <f t="shared" si="48"/>
        <v>0</v>
      </c>
      <c r="U105" s="34">
        <f t="shared" si="49"/>
        <v>0</v>
      </c>
      <c r="V105" s="57">
        <f t="shared" si="52"/>
        <v>58455</v>
      </c>
      <c r="W105" s="16">
        <f t="shared" si="54"/>
        <v>56</v>
      </c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2">
        <f t="shared" si="88"/>
        <v>0</v>
      </c>
      <c r="AJ105" s="34">
        <f t="shared" si="87"/>
        <v>0</v>
      </c>
      <c r="AK105" s="57">
        <f t="shared" si="53"/>
        <v>58455</v>
      </c>
      <c r="AL105" s="130">
        <f t="shared" si="76"/>
        <v>0</v>
      </c>
      <c r="AM105" s="769">
        <f t="shared" si="79"/>
        <v>97</v>
      </c>
      <c r="AN105" s="770">
        <f t="shared" si="69"/>
        <v>48268</v>
      </c>
      <c r="AO105" s="105">
        <f t="shared" si="90"/>
        <v>0</v>
      </c>
      <c r="AP105" s="105">
        <f t="shared" si="70"/>
        <v>0</v>
      </c>
      <c r="AQ105" s="105">
        <f t="shared" si="42"/>
        <v>0</v>
      </c>
      <c r="AR105" s="105">
        <f t="shared" si="84"/>
        <v>0</v>
      </c>
      <c r="AS105" s="105">
        <f t="shared" si="43"/>
        <v>0</v>
      </c>
      <c r="AT105" s="105">
        <f t="shared" si="44"/>
        <v>0</v>
      </c>
      <c r="AU105" s="105">
        <f t="shared" si="45"/>
        <v>0</v>
      </c>
      <c r="AV105" s="105">
        <f t="shared" si="46"/>
        <v>0</v>
      </c>
      <c r="AW105" s="105">
        <f t="shared" si="47"/>
        <v>0</v>
      </c>
      <c r="AX105" s="108">
        <f t="shared" si="80"/>
        <v>0</v>
      </c>
      <c r="AY105" s="108">
        <f t="shared" si="71"/>
        <v>0</v>
      </c>
      <c r="AZ105" s="759">
        <f t="shared" si="63"/>
        <v>48268</v>
      </c>
      <c r="BA105" s="108">
        <f t="shared" si="63"/>
        <v>0</v>
      </c>
      <c r="BB105" s="2" t="e">
        <f t="shared" si="89"/>
        <v>#VALUE!</v>
      </c>
    </row>
    <row r="106" spans="1:1207" ht="12" x14ac:dyDescent="0.25">
      <c r="E106" s="767">
        <f t="shared" si="77"/>
        <v>98</v>
      </c>
      <c r="F106" s="768">
        <f t="shared" si="64"/>
        <v>48297</v>
      </c>
      <c r="G106" s="24">
        <f t="shared" si="60"/>
        <v>0</v>
      </c>
      <c r="H106" s="24">
        <f t="shared" si="65"/>
        <v>0</v>
      </c>
      <c r="I106" s="24">
        <f t="shared" si="75"/>
        <v>136563.25000000006</v>
      </c>
      <c r="J106" s="24">
        <f t="shared" si="61"/>
        <v>0</v>
      </c>
      <c r="K106" s="24">
        <f t="shared" si="66"/>
        <v>0</v>
      </c>
      <c r="L106" s="24">
        <f t="shared" si="72"/>
        <v>0</v>
      </c>
      <c r="M106" s="24">
        <f t="shared" si="85"/>
        <v>0</v>
      </c>
      <c r="N106" s="24">
        <f t="shared" si="86"/>
        <v>0</v>
      </c>
      <c r="O106" s="24">
        <f t="shared" si="73"/>
        <v>0</v>
      </c>
      <c r="P106" s="24">
        <f t="shared" si="74"/>
        <v>0</v>
      </c>
      <c r="Q106" s="24">
        <f t="shared" si="67"/>
        <v>0</v>
      </c>
      <c r="R106" s="36">
        <f t="shared" si="81"/>
        <v>0</v>
      </c>
      <c r="S106" s="36">
        <f t="shared" si="68"/>
        <v>0</v>
      </c>
      <c r="T106" s="2">
        <f t="shared" si="48"/>
        <v>0</v>
      </c>
      <c r="U106" s="34">
        <f t="shared" si="49"/>
        <v>0</v>
      </c>
      <c r="V106" s="57">
        <f t="shared" si="52"/>
        <v>58455</v>
      </c>
      <c r="W106" s="16">
        <f t="shared" si="54"/>
        <v>57</v>
      </c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2">
        <f t="shared" si="88"/>
        <v>0</v>
      </c>
      <c r="AJ106" s="34">
        <f t="shared" si="87"/>
        <v>0</v>
      </c>
      <c r="AK106" s="57">
        <f t="shared" si="53"/>
        <v>58455</v>
      </c>
      <c r="AL106" s="130">
        <f t="shared" si="76"/>
        <v>0</v>
      </c>
      <c r="AM106" s="769">
        <f t="shared" si="79"/>
        <v>98</v>
      </c>
      <c r="AN106" s="770">
        <f t="shared" si="69"/>
        <v>48297</v>
      </c>
      <c r="AO106" s="105">
        <f t="shared" si="90"/>
        <v>0</v>
      </c>
      <c r="AP106" s="105">
        <f t="shared" si="70"/>
        <v>0</v>
      </c>
      <c r="AQ106" s="105">
        <f t="shared" si="42"/>
        <v>0</v>
      </c>
      <c r="AR106" s="105">
        <f t="shared" si="84"/>
        <v>0</v>
      </c>
      <c r="AS106" s="105">
        <f t="shared" si="43"/>
        <v>0</v>
      </c>
      <c r="AT106" s="105">
        <f t="shared" si="44"/>
        <v>0</v>
      </c>
      <c r="AU106" s="105">
        <f t="shared" si="45"/>
        <v>0</v>
      </c>
      <c r="AV106" s="105">
        <f t="shared" si="46"/>
        <v>0</v>
      </c>
      <c r="AW106" s="105">
        <f t="shared" si="47"/>
        <v>0</v>
      </c>
      <c r="AX106" s="108">
        <f t="shared" si="80"/>
        <v>0</v>
      </c>
      <c r="AY106" s="108">
        <f t="shared" si="71"/>
        <v>0</v>
      </c>
      <c r="AZ106" s="759">
        <f t="shared" si="63"/>
        <v>48297</v>
      </c>
      <c r="BA106" s="108">
        <f t="shared" si="63"/>
        <v>0</v>
      </c>
      <c r="BB106" s="2" t="e">
        <f t="shared" si="89"/>
        <v>#VALUE!</v>
      </c>
    </row>
    <row r="107" spans="1:1207" ht="12" x14ac:dyDescent="0.25">
      <c r="E107" s="767">
        <f t="shared" si="77"/>
        <v>99</v>
      </c>
      <c r="F107" s="768">
        <f t="shared" si="64"/>
        <v>48328</v>
      </c>
      <c r="G107" s="24">
        <f t="shared" si="60"/>
        <v>0</v>
      </c>
      <c r="H107" s="24">
        <f t="shared" si="65"/>
        <v>0</v>
      </c>
      <c r="I107" s="24">
        <f t="shared" si="75"/>
        <v>136563.25000000006</v>
      </c>
      <c r="J107" s="24">
        <f t="shared" si="61"/>
        <v>0</v>
      </c>
      <c r="K107" s="24">
        <f t="shared" si="66"/>
        <v>0</v>
      </c>
      <c r="L107" s="24">
        <f t="shared" si="72"/>
        <v>0</v>
      </c>
      <c r="M107" s="24">
        <f t="shared" si="85"/>
        <v>0</v>
      </c>
      <c r="N107" s="24">
        <f t="shared" si="86"/>
        <v>0</v>
      </c>
      <c r="O107" s="24">
        <f t="shared" si="73"/>
        <v>0</v>
      </c>
      <c r="P107" s="24">
        <f t="shared" si="74"/>
        <v>0</v>
      </c>
      <c r="Q107" s="24">
        <f t="shared" si="67"/>
        <v>0</v>
      </c>
      <c r="R107" s="36">
        <f t="shared" si="81"/>
        <v>0</v>
      </c>
      <c r="S107" s="36">
        <f t="shared" si="68"/>
        <v>0</v>
      </c>
      <c r="T107" s="2">
        <f t="shared" si="48"/>
        <v>0</v>
      </c>
      <c r="U107" s="34">
        <f t="shared" si="49"/>
        <v>0</v>
      </c>
      <c r="V107" s="57">
        <f t="shared" si="52"/>
        <v>58455</v>
      </c>
      <c r="W107" s="16">
        <f t="shared" si="54"/>
        <v>58</v>
      </c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2">
        <f t="shared" si="88"/>
        <v>0</v>
      </c>
      <c r="AJ107" s="34">
        <f t="shared" si="87"/>
        <v>0</v>
      </c>
      <c r="AK107" s="57">
        <f t="shared" si="53"/>
        <v>58455</v>
      </c>
      <c r="AL107" s="130">
        <f t="shared" si="76"/>
        <v>0</v>
      </c>
      <c r="AM107" s="769">
        <f t="shared" si="79"/>
        <v>99</v>
      </c>
      <c r="AN107" s="770">
        <f t="shared" si="69"/>
        <v>48328</v>
      </c>
      <c r="AO107" s="105">
        <f t="shared" si="90"/>
        <v>0</v>
      </c>
      <c r="AP107" s="105">
        <f t="shared" si="70"/>
        <v>0</v>
      </c>
      <c r="AQ107" s="105">
        <f t="shared" si="42"/>
        <v>0</v>
      </c>
      <c r="AR107" s="105">
        <f t="shared" si="84"/>
        <v>0</v>
      </c>
      <c r="AS107" s="105">
        <f t="shared" si="43"/>
        <v>0</v>
      </c>
      <c r="AT107" s="105">
        <f t="shared" si="44"/>
        <v>0</v>
      </c>
      <c r="AU107" s="105">
        <f t="shared" si="45"/>
        <v>0</v>
      </c>
      <c r="AV107" s="105">
        <f t="shared" si="46"/>
        <v>0</v>
      </c>
      <c r="AW107" s="105">
        <f t="shared" si="47"/>
        <v>0</v>
      </c>
      <c r="AX107" s="108">
        <f t="shared" si="80"/>
        <v>0</v>
      </c>
      <c r="AY107" s="108">
        <f t="shared" si="71"/>
        <v>0</v>
      </c>
      <c r="AZ107" s="759">
        <f t="shared" si="63"/>
        <v>48328</v>
      </c>
      <c r="BA107" s="108">
        <f t="shared" si="63"/>
        <v>0</v>
      </c>
      <c r="BB107" s="2" t="e">
        <f t="shared" si="89"/>
        <v>#VALUE!</v>
      </c>
    </row>
    <row r="108" spans="1:1207" ht="12" x14ac:dyDescent="0.25">
      <c r="E108" s="767">
        <f t="shared" si="77"/>
        <v>100</v>
      </c>
      <c r="F108" s="768">
        <f t="shared" si="64"/>
        <v>48358</v>
      </c>
      <c r="G108" s="24">
        <f t="shared" si="60"/>
        <v>0</v>
      </c>
      <c r="H108" s="24">
        <f t="shared" si="65"/>
        <v>0</v>
      </c>
      <c r="I108" s="24">
        <f t="shared" si="75"/>
        <v>136563.25000000006</v>
      </c>
      <c r="J108" s="24">
        <f t="shared" si="61"/>
        <v>0</v>
      </c>
      <c r="K108" s="24">
        <f t="shared" si="66"/>
        <v>0</v>
      </c>
      <c r="L108" s="24">
        <f t="shared" si="72"/>
        <v>0</v>
      </c>
      <c r="M108" s="24">
        <f t="shared" si="85"/>
        <v>0</v>
      </c>
      <c r="N108" s="24">
        <f t="shared" si="86"/>
        <v>0</v>
      </c>
      <c r="O108" s="24">
        <f t="shared" si="73"/>
        <v>0</v>
      </c>
      <c r="P108" s="24">
        <f t="shared" si="74"/>
        <v>0</v>
      </c>
      <c r="Q108" s="24">
        <f t="shared" si="67"/>
        <v>0</v>
      </c>
      <c r="R108" s="36">
        <f t="shared" si="81"/>
        <v>0</v>
      </c>
      <c r="S108" s="36">
        <f t="shared" si="68"/>
        <v>0</v>
      </c>
      <c r="T108" s="2">
        <f t="shared" si="48"/>
        <v>0</v>
      </c>
      <c r="U108" s="34">
        <f t="shared" si="49"/>
        <v>0</v>
      </c>
      <c r="V108" s="57">
        <f t="shared" si="52"/>
        <v>58455</v>
      </c>
      <c r="W108" s="16">
        <f t="shared" si="54"/>
        <v>59</v>
      </c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2">
        <f t="shared" si="88"/>
        <v>0</v>
      </c>
      <c r="AJ108" s="34">
        <f t="shared" si="87"/>
        <v>0</v>
      </c>
      <c r="AK108" s="57">
        <f t="shared" si="53"/>
        <v>58455</v>
      </c>
      <c r="AL108" s="130">
        <f t="shared" si="76"/>
        <v>0</v>
      </c>
      <c r="AM108" s="769">
        <f t="shared" si="79"/>
        <v>100</v>
      </c>
      <c r="AN108" s="770">
        <f t="shared" si="69"/>
        <v>48358</v>
      </c>
      <c r="AO108" s="105">
        <f t="shared" si="90"/>
        <v>0</v>
      </c>
      <c r="AP108" s="105">
        <f t="shared" si="70"/>
        <v>0</v>
      </c>
      <c r="AQ108" s="105">
        <f t="shared" si="42"/>
        <v>0</v>
      </c>
      <c r="AR108" s="105">
        <f t="shared" si="84"/>
        <v>0</v>
      </c>
      <c r="AS108" s="105">
        <f t="shared" si="43"/>
        <v>0</v>
      </c>
      <c r="AT108" s="105">
        <f t="shared" si="44"/>
        <v>0</v>
      </c>
      <c r="AU108" s="105">
        <f t="shared" si="45"/>
        <v>0</v>
      </c>
      <c r="AV108" s="105">
        <f t="shared" si="46"/>
        <v>0</v>
      </c>
      <c r="AW108" s="105">
        <f t="shared" si="47"/>
        <v>0</v>
      </c>
      <c r="AX108" s="108">
        <f t="shared" si="80"/>
        <v>0</v>
      </c>
      <c r="AY108" s="108">
        <f t="shared" si="71"/>
        <v>0</v>
      </c>
      <c r="AZ108" s="759">
        <f t="shared" ref="AZ108:BA110" si="91">F158</f>
        <v>49880</v>
      </c>
      <c r="BA108" s="108">
        <f t="shared" si="91"/>
        <v>0</v>
      </c>
      <c r="BB108" s="2" t="e">
        <f t="shared" si="89"/>
        <v>#VALUE!</v>
      </c>
    </row>
    <row r="109" spans="1:1207" ht="12" x14ac:dyDescent="0.25">
      <c r="E109" s="767">
        <f t="shared" si="77"/>
        <v>101</v>
      </c>
      <c r="F109" s="768">
        <f t="shared" si="64"/>
        <v>48389</v>
      </c>
      <c r="G109" s="24">
        <f t="shared" si="60"/>
        <v>0</v>
      </c>
      <c r="H109" s="24">
        <f t="shared" si="65"/>
        <v>0</v>
      </c>
      <c r="I109" s="24">
        <f t="shared" si="75"/>
        <v>136563.25000000006</v>
      </c>
      <c r="J109" s="24">
        <f t="shared" si="61"/>
        <v>0</v>
      </c>
      <c r="K109" s="24">
        <f t="shared" si="66"/>
        <v>0</v>
      </c>
      <c r="L109" s="24">
        <f t="shared" si="72"/>
        <v>0</v>
      </c>
      <c r="M109" s="24">
        <f t="shared" si="85"/>
        <v>0</v>
      </c>
      <c r="N109" s="24">
        <f t="shared" si="86"/>
        <v>0</v>
      </c>
      <c r="O109" s="24">
        <f t="shared" si="73"/>
        <v>0</v>
      </c>
      <c r="P109" s="24">
        <f t="shared" si="74"/>
        <v>0</v>
      </c>
      <c r="Q109" s="24">
        <f t="shared" si="67"/>
        <v>0</v>
      </c>
      <c r="R109" s="36">
        <f t="shared" si="81"/>
        <v>0</v>
      </c>
      <c r="S109" s="36">
        <f t="shared" si="68"/>
        <v>0</v>
      </c>
      <c r="T109" s="2">
        <f t="shared" si="48"/>
        <v>0</v>
      </c>
      <c r="U109" s="34">
        <f>IF(U108&lt;0,0,IF(T109=0,IF(T108=0,0,$U$46),G68)-IF(AND(T109&gt;0,T110=0),$C$26,0))</f>
        <v>0</v>
      </c>
      <c r="V109" s="57">
        <f t="shared" si="52"/>
        <v>58455</v>
      </c>
      <c r="W109" s="16">
        <f t="shared" si="54"/>
        <v>60</v>
      </c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2">
        <f t="shared" si="88"/>
        <v>0</v>
      </c>
      <c r="AJ109" s="34">
        <f>IF(AI109=0,IF(AI108=0,0,$AJ$46),AO69)</f>
        <v>0</v>
      </c>
      <c r="AK109" s="57">
        <f>IF(AI109=0,AK108,AK108+365)</f>
        <v>58455</v>
      </c>
      <c r="AL109" s="130">
        <f t="shared" si="76"/>
        <v>0</v>
      </c>
      <c r="AM109" s="769">
        <f t="shared" si="79"/>
        <v>101</v>
      </c>
      <c r="AN109" s="770">
        <f t="shared" si="69"/>
        <v>48389</v>
      </c>
      <c r="AO109" s="105">
        <f t="shared" si="90"/>
        <v>0</v>
      </c>
      <c r="AP109" s="105">
        <f t="shared" si="70"/>
        <v>0</v>
      </c>
      <c r="AQ109" s="105">
        <f t="shared" si="42"/>
        <v>0</v>
      </c>
      <c r="AR109" s="105">
        <f t="shared" si="84"/>
        <v>0</v>
      </c>
      <c r="AS109" s="105">
        <f t="shared" si="43"/>
        <v>0</v>
      </c>
      <c r="AT109" s="105">
        <f t="shared" si="44"/>
        <v>0</v>
      </c>
      <c r="AU109" s="105">
        <f t="shared" si="45"/>
        <v>0</v>
      </c>
      <c r="AV109" s="105">
        <f t="shared" si="46"/>
        <v>0</v>
      </c>
      <c r="AW109" s="105">
        <f t="shared" si="47"/>
        <v>0</v>
      </c>
      <c r="AX109" s="108">
        <f t="shared" si="80"/>
        <v>0</v>
      </c>
      <c r="AY109" s="108">
        <f t="shared" si="71"/>
        <v>0</v>
      </c>
      <c r="AZ109" s="759">
        <f t="shared" si="91"/>
        <v>49911</v>
      </c>
      <c r="BA109" s="108">
        <f t="shared" si="91"/>
        <v>0</v>
      </c>
      <c r="BB109" s="2" t="e">
        <f t="shared" si="89"/>
        <v>#VALUE!</v>
      </c>
    </row>
    <row r="110" spans="1:1207" ht="12" x14ac:dyDescent="0.25">
      <c r="E110" s="767">
        <f t="shared" si="77"/>
        <v>102</v>
      </c>
      <c r="F110" s="768">
        <f t="shared" si="64"/>
        <v>48419</v>
      </c>
      <c r="G110" s="24">
        <f t="shared" si="60"/>
        <v>0</v>
      </c>
      <c r="H110" s="24">
        <f t="shared" si="65"/>
        <v>0</v>
      </c>
      <c r="I110" s="24">
        <f t="shared" si="75"/>
        <v>136563.25000000006</v>
      </c>
      <c r="J110" s="24">
        <f t="shared" si="61"/>
        <v>0</v>
      </c>
      <c r="K110" s="24">
        <f t="shared" si="66"/>
        <v>0</v>
      </c>
      <c r="L110" s="24">
        <f t="shared" si="72"/>
        <v>0</v>
      </c>
      <c r="M110" s="24">
        <f t="shared" si="85"/>
        <v>0</v>
      </c>
      <c r="N110" s="24">
        <f t="shared" si="86"/>
        <v>0</v>
      </c>
      <c r="O110" s="24">
        <f t="shared" si="73"/>
        <v>0</v>
      </c>
      <c r="P110" s="24">
        <f t="shared" si="74"/>
        <v>0</v>
      </c>
      <c r="Q110" s="24">
        <f t="shared" si="67"/>
        <v>0</v>
      </c>
      <c r="R110" s="36">
        <f t="shared" si="81"/>
        <v>0</v>
      </c>
      <c r="S110" s="36">
        <f t="shared" si="68"/>
        <v>0</v>
      </c>
      <c r="T110" s="2">
        <f t="shared" si="48"/>
        <v>0</v>
      </c>
      <c r="U110" s="34">
        <f>IF(U109&lt;0,0,IF(T110=0,IF(T109=0,0,$U$46),G69)-IF(AND(T110&gt;0,T111=0),$C$26,0))</f>
        <v>0</v>
      </c>
      <c r="V110" s="57">
        <f t="shared" si="52"/>
        <v>58455</v>
      </c>
      <c r="W110" s="16">
        <f t="shared" si="54"/>
        <v>61</v>
      </c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2">
        <f t="shared" si="88"/>
        <v>0</v>
      </c>
      <c r="AJ110" s="34">
        <f>IF(AI110=0,IF(AI109=0,0,$AJ$46),AO70)</f>
        <v>0</v>
      </c>
      <c r="AK110" s="57">
        <f>IF(AI110=0,AK109,AK109+365)</f>
        <v>58455</v>
      </c>
      <c r="AL110" s="130"/>
      <c r="AM110" s="769">
        <f t="shared" si="79"/>
        <v>102</v>
      </c>
      <c r="AN110" s="770">
        <f t="shared" si="69"/>
        <v>48419</v>
      </c>
      <c r="AO110" s="105">
        <f t="shared" si="90"/>
        <v>0</v>
      </c>
      <c r="AP110" s="105">
        <f t="shared" si="70"/>
        <v>0</v>
      </c>
      <c r="AQ110" s="105">
        <f t="shared" si="42"/>
        <v>0</v>
      </c>
      <c r="AR110" s="105">
        <f t="shared" si="84"/>
        <v>0</v>
      </c>
      <c r="AS110" s="105">
        <f t="shared" si="43"/>
        <v>0</v>
      </c>
      <c r="AT110" s="105">
        <f t="shared" si="44"/>
        <v>0</v>
      </c>
      <c r="AU110" s="105">
        <f t="shared" si="45"/>
        <v>0</v>
      </c>
      <c r="AV110" s="105">
        <f t="shared" si="46"/>
        <v>0</v>
      </c>
      <c r="AW110" s="105">
        <f t="shared" si="47"/>
        <v>0</v>
      </c>
      <c r="AX110" s="108">
        <f t="shared" si="80"/>
        <v>0</v>
      </c>
      <c r="AY110" s="108">
        <f t="shared" si="71"/>
        <v>0</v>
      </c>
      <c r="AZ110" s="759" t="str">
        <f t="shared" si="91"/>
        <v>Итого</v>
      </c>
      <c r="BA110" s="108">
        <f t="shared" si="91"/>
        <v>488542.24999999988</v>
      </c>
      <c r="BB110" s="2" t="e">
        <f t="shared" si="89"/>
        <v>#VALUE!</v>
      </c>
    </row>
    <row r="111" spans="1:1207" ht="12" x14ac:dyDescent="0.25">
      <c r="E111" s="767">
        <f t="shared" si="77"/>
        <v>103</v>
      </c>
      <c r="F111" s="768">
        <f t="shared" si="64"/>
        <v>48450</v>
      </c>
      <c r="G111" s="24">
        <f t="shared" si="60"/>
        <v>0</v>
      </c>
      <c r="H111" s="24">
        <f t="shared" si="65"/>
        <v>0</v>
      </c>
      <c r="I111" s="24">
        <f t="shared" si="75"/>
        <v>136563.25000000006</v>
      </c>
      <c r="J111" s="24">
        <f t="shared" si="61"/>
        <v>0</v>
      </c>
      <c r="K111" s="24">
        <f t="shared" si="66"/>
        <v>0</v>
      </c>
      <c r="L111" s="24">
        <f t="shared" si="72"/>
        <v>0</v>
      </c>
      <c r="M111" s="24">
        <f t="shared" si="85"/>
        <v>0</v>
      </c>
      <c r="N111" s="24">
        <f t="shared" si="86"/>
        <v>0</v>
      </c>
      <c r="O111" s="24">
        <f t="shared" si="73"/>
        <v>0</v>
      </c>
      <c r="P111" s="24">
        <f t="shared" si="74"/>
        <v>0</v>
      </c>
      <c r="Q111" s="24">
        <f t="shared" si="67"/>
        <v>0</v>
      </c>
      <c r="R111" s="36">
        <f t="shared" si="81"/>
        <v>0</v>
      </c>
      <c r="S111" s="36">
        <f t="shared" si="68"/>
        <v>0</v>
      </c>
      <c r="T111" s="2">
        <f t="shared" si="48"/>
        <v>0</v>
      </c>
      <c r="U111" s="34">
        <f t="shared" ref="U111:U174" si="92">IF(U110&lt;0,0,IF(T111=0,IF(T110=0,0,$U$46),G70)-IF(AND(T111&gt;0,T112=0),$C$26,0))</f>
        <v>0</v>
      </c>
      <c r="V111" s="57">
        <f t="shared" si="52"/>
        <v>58455</v>
      </c>
      <c r="W111" s="16">
        <f t="shared" si="54"/>
        <v>62</v>
      </c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2">
        <f t="shared" si="88"/>
        <v>0</v>
      </c>
      <c r="AJ111" s="34">
        <f t="shared" ref="AJ111:AJ149" si="93">IF(AI111=0,IF(AI110=0,0,$AJ$46),AO71)</f>
        <v>0</v>
      </c>
      <c r="AK111" s="57">
        <f t="shared" ref="AK111:AK149" si="94">IF(AI111=0,AK110,AK110+365)</f>
        <v>58455</v>
      </c>
      <c r="AL111" s="130"/>
      <c r="AM111" s="769">
        <f t="shared" si="79"/>
        <v>103</v>
      </c>
      <c r="AN111" s="770">
        <f t="shared" si="69"/>
        <v>48450</v>
      </c>
      <c r="AO111" s="105">
        <f t="shared" si="90"/>
        <v>0</v>
      </c>
      <c r="AP111" s="105">
        <f t="shared" si="70"/>
        <v>0</v>
      </c>
      <c r="AQ111" s="105">
        <f t="shared" si="42"/>
        <v>0</v>
      </c>
      <c r="AR111" s="105">
        <f t="shared" si="84"/>
        <v>0</v>
      </c>
      <c r="AS111" s="105">
        <f t="shared" si="43"/>
        <v>0</v>
      </c>
      <c r="AT111" s="105">
        <f t="shared" si="44"/>
        <v>0</v>
      </c>
      <c r="AU111" s="105">
        <f t="shared" si="45"/>
        <v>0</v>
      </c>
      <c r="AV111" s="105">
        <f t="shared" si="46"/>
        <v>0</v>
      </c>
      <c r="AW111" s="105">
        <f t="shared" si="47"/>
        <v>0</v>
      </c>
      <c r="AX111" s="108">
        <f t="shared" si="80"/>
        <v>0</v>
      </c>
      <c r="AY111" s="108">
        <f t="shared" si="71"/>
        <v>0</v>
      </c>
      <c r="AZ111" s="759"/>
      <c r="BA111" s="108">
        <f>G161</f>
        <v>0</v>
      </c>
      <c r="BB111" s="2" t="e">
        <f t="shared" si="89"/>
        <v>#VALUE!</v>
      </c>
    </row>
    <row r="112" spans="1:1207" ht="12" x14ac:dyDescent="0.25">
      <c r="E112" s="767">
        <f t="shared" si="77"/>
        <v>104</v>
      </c>
      <c r="F112" s="768">
        <f t="shared" si="64"/>
        <v>48481</v>
      </c>
      <c r="G112" s="24">
        <f t="shared" si="60"/>
        <v>0</v>
      </c>
      <c r="H112" s="24">
        <f t="shared" si="65"/>
        <v>0</v>
      </c>
      <c r="I112" s="24">
        <f t="shared" si="75"/>
        <v>136563.25000000006</v>
      </c>
      <c r="J112" s="24">
        <f t="shared" si="61"/>
        <v>0</v>
      </c>
      <c r="K112" s="24">
        <f t="shared" si="66"/>
        <v>0</v>
      </c>
      <c r="L112" s="24">
        <f t="shared" si="72"/>
        <v>0</v>
      </c>
      <c r="M112" s="24">
        <f t="shared" si="85"/>
        <v>0</v>
      </c>
      <c r="N112" s="24">
        <f t="shared" si="86"/>
        <v>0</v>
      </c>
      <c r="O112" s="24">
        <f t="shared" si="73"/>
        <v>0</v>
      </c>
      <c r="P112" s="24">
        <f t="shared" si="74"/>
        <v>0</v>
      </c>
      <c r="Q112" s="24">
        <f t="shared" si="67"/>
        <v>0</v>
      </c>
      <c r="R112" s="36">
        <f t="shared" si="81"/>
        <v>0</v>
      </c>
      <c r="S112" s="36">
        <f t="shared" si="68"/>
        <v>0</v>
      </c>
      <c r="T112" s="2">
        <f t="shared" si="48"/>
        <v>0</v>
      </c>
      <c r="U112" s="34">
        <f t="shared" si="92"/>
        <v>0</v>
      </c>
      <c r="V112" s="57">
        <f t="shared" si="52"/>
        <v>58455</v>
      </c>
      <c r="W112" s="16">
        <f t="shared" si="54"/>
        <v>63</v>
      </c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2">
        <f t="shared" si="88"/>
        <v>0</v>
      </c>
      <c r="AJ112" s="34">
        <f t="shared" si="93"/>
        <v>0</v>
      </c>
      <c r="AK112" s="57">
        <f t="shared" si="94"/>
        <v>58455</v>
      </c>
      <c r="AL112" s="130"/>
      <c r="AM112" s="769">
        <f t="shared" si="79"/>
        <v>104</v>
      </c>
      <c r="AN112" s="770">
        <f t="shared" si="69"/>
        <v>48481</v>
      </c>
      <c r="AO112" s="105">
        <f t="shared" si="90"/>
        <v>0</v>
      </c>
      <c r="AP112" s="105">
        <f t="shared" si="70"/>
        <v>0</v>
      </c>
      <c r="AQ112" s="105">
        <f t="shared" ref="AQ112:AQ129" si="95">IF(AY112=0,0,IF(AY112=1,AW111,IF(AW111+AR112+AP112&gt;AO111,AO112-AP112-AR112,AW111)))</f>
        <v>0</v>
      </c>
      <c r="AR112" s="105">
        <f t="shared" si="84"/>
        <v>0</v>
      </c>
      <c r="AS112" s="105">
        <f t="shared" ref="AS112:AS129" si="96">AU111-AR111</f>
        <v>0</v>
      </c>
      <c r="AT112" s="105">
        <f t="shared" ref="AT112:AT129" si="97">AP112+AU112</f>
        <v>0</v>
      </c>
      <c r="AU112" s="105">
        <f t="shared" ref="AU112:AU129" si="98">IF(AY112=0,0,0)</f>
        <v>0</v>
      </c>
      <c r="AV112" s="105">
        <f t="shared" ref="AV112:AV129" si="99">IF(AY112=0,0,0)</f>
        <v>0</v>
      </c>
      <c r="AW112" s="105">
        <f t="shared" ref="AW112:AW129" si="100">IF(OR(AY112=1,AW111=0),0,AW111-AQ112)</f>
        <v>0</v>
      </c>
      <c r="AX112" s="108">
        <f t="shared" si="80"/>
        <v>0</v>
      </c>
      <c r="AY112" s="108">
        <f t="shared" si="71"/>
        <v>0</v>
      </c>
      <c r="AZ112" s="759"/>
      <c r="BA112" s="108">
        <f>G162</f>
        <v>0</v>
      </c>
      <c r="BB112" s="2" t="e">
        <f t="shared" si="89"/>
        <v>#VALUE!</v>
      </c>
    </row>
    <row r="113" spans="5:54" ht="12" x14ac:dyDescent="0.25">
      <c r="E113" s="767">
        <f t="shared" si="77"/>
        <v>105</v>
      </c>
      <c r="F113" s="768">
        <f t="shared" si="64"/>
        <v>48511</v>
      </c>
      <c r="G113" s="24">
        <f t="shared" si="60"/>
        <v>0</v>
      </c>
      <c r="H113" s="24">
        <f t="shared" si="65"/>
        <v>0</v>
      </c>
      <c r="I113" s="24">
        <f t="shared" si="75"/>
        <v>136563.25000000006</v>
      </c>
      <c r="J113" s="24">
        <f t="shared" si="61"/>
        <v>0</v>
      </c>
      <c r="K113" s="24">
        <f t="shared" si="66"/>
        <v>0</v>
      </c>
      <c r="L113" s="24">
        <f t="shared" si="72"/>
        <v>0</v>
      </c>
      <c r="M113" s="24">
        <f t="shared" si="85"/>
        <v>0</v>
      </c>
      <c r="N113" s="24">
        <f t="shared" si="86"/>
        <v>0</v>
      </c>
      <c r="O113" s="24">
        <f t="shared" si="73"/>
        <v>0</v>
      </c>
      <c r="P113" s="24">
        <f t="shared" si="74"/>
        <v>0</v>
      </c>
      <c r="Q113" s="24">
        <f t="shared" si="67"/>
        <v>0</v>
      </c>
      <c r="R113" s="36">
        <f t="shared" si="81"/>
        <v>0</v>
      </c>
      <c r="S113" s="36">
        <f t="shared" si="68"/>
        <v>0</v>
      </c>
      <c r="T113" s="2">
        <f t="shared" si="48"/>
        <v>0</v>
      </c>
      <c r="U113" s="34">
        <f t="shared" si="92"/>
        <v>0</v>
      </c>
      <c r="V113" s="57">
        <f t="shared" si="52"/>
        <v>58455</v>
      </c>
      <c r="W113" s="16">
        <f t="shared" si="54"/>
        <v>64</v>
      </c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2">
        <f t="shared" si="88"/>
        <v>0</v>
      </c>
      <c r="AJ113" s="34">
        <f t="shared" si="93"/>
        <v>0</v>
      </c>
      <c r="AK113" s="57">
        <f t="shared" si="94"/>
        <v>58455</v>
      </c>
      <c r="AL113" s="130"/>
      <c r="AM113" s="769">
        <f t="shared" si="79"/>
        <v>105</v>
      </c>
      <c r="AN113" s="770">
        <f t="shared" si="69"/>
        <v>48511</v>
      </c>
      <c r="AO113" s="105">
        <f t="shared" si="90"/>
        <v>0</v>
      </c>
      <c r="AP113" s="105">
        <f t="shared" si="70"/>
        <v>0</v>
      </c>
      <c r="AQ113" s="105">
        <f t="shared" si="95"/>
        <v>0</v>
      </c>
      <c r="AR113" s="105">
        <f t="shared" si="84"/>
        <v>0</v>
      </c>
      <c r="AS113" s="105">
        <f t="shared" si="96"/>
        <v>0</v>
      </c>
      <c r="AT113" s="105">
        <f t="shared" si="97"/>
        <v>0</v>
      </c>
      <c r="AU113" s="105">
        <f t="shared" si="98"/>
        <v>0</v>
      </c>
      <c r="AV113" s="105">
        <f t="shared" si="99"/>
        <v>0</v>
      </c>
      <c r="AW113" s="105">
        <f t="shared" si="100"/>
        <v>0</v>
      </c>
      <c r="AX113" s="108">
        <f t="shared" si="80"/>
        <v>0</v>
      </c>
      <c r="AY113" s="108">
        <f t="shared" si="71"/>
        <v>0</v>
      </c>
      <c r="AZ113" s="759"/>
      <c r="BA113" s="108">
        <f>G163</f>
        <v>0</v>
      </c>
      <c r="BB113" s="2" t="e">
        <f t="shared" si="89"/>
        <v>#VALUE!</v>
      </c>
    </row>
    <row r="114" spans="5:54" ht="12" x14ac:dyDescent="0.25">
      <c r="E114" s="767">
        <f t="shared" si="77"/>
        <v>106</v>
      </c>
      <c r="F114" s="768">
        <f t="shared" si="64"/>
        <v>48542</v>
      </c>
      <c r="G114" s="24">
        <f t="shared" si="60"/>
        <v>0</v>
      </c>
      <c r="H114" s="24">
        <f t="shared" si="65"/>
        <v>0</v>
      </c>
      <c r="I114" s="24">
        <f t="shared" si="75"/>
        <v>136563.25000000006</v>
      </c>
      <c r="J114" s="24">
        <f t="shared" si="61"/>
        <v>0</v>
      </c>
      <c r="K114" s="24">
        <f t="shared" si="66"/>
        <v>0</v>
      </c>
      <c r="L114" s="24">
        <f t="shared" si="72"/>
        <v>0</v>
      </c>
      <c r="M114" s="24">
        <f t="shared" si="85"/>
        <v>0</v>
      </c>
      <c r="N114" s="24">
        <f t="shared" si="86"/>
        <v>0</v>
      </c>
      <c r="O114" s="24">
        <f t="shared" si="73"/>
        <v>0</v>
      </c>
      <c r="P114" s="24">
        <f t="shared" si="74"/>
        <v>0</v>
      </c>
      <c r="Q114" s="24">
        <f t="shared" si="67"/>
        <v>0</v>
      </c>
      <c r="R114" s="36">
        <f t="shared" si="81"/>
        <v>0</v>
      </c>
      <c r="S114" s="36">
        <f t="shared" si="68"/>
        <v>0</v>
      </c>
      <c r="T114" s="2">
        <f t="shared" ref="T114:T177" si="101">IF(AND(E73&gt;=$T$14,E73&lt;=$T$14+5),0,IF($C$9&gt;$AC$52,ROUND(Q72*$T$46/(DATEVALUE(CONCATENATE("01/01/",YEAR(F73)+1))-DATEVALUE(CONCATENATE("01/01/",YEAR(F73))))*(F73-F72),2),0))</f>
        <v>0</v>
      </c>
      <c r="U114" s="34">
        <f t="shared" si="92"/>
        <v>0</v>
      </c>
      <c r="V114" s="57">
        <f t="shared" si="52"/>
        <v>58455</v>
      </c>
      <c r="W114" s="16">
        <f t="shared" si="54"/>
        <v>65</v>
      </c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2">
        <f t="shared" si="88"/>
        <v>0</v>
      </c>
      <c r="AJ114" s="34">
        <f t="shared" si="93"/>
        <v>0</v>
      </c>
      <c r="AK114" s="57">
        <f t="shared" si="94"/>
        <v>58455</v>
      </c>
      <c r="AL114" s="130"/>
      <c r="AM114" s="769">
        <f t="shared" si="79"/>
        <v>106</v>
      </c>
      <c r="AN114" s="770">
        <f t="shared" si="69"/>
        <v>48542</v>
      </c>
      <c r="AO114" s="105">
        <f t="shared" si="90"/>
        <v>0</v>
      </c>
      <c r="AP114" s="105">
        <f t="shared" si="70"/>
        <v>0</v>
      </c>
      <c r="AQ114" s="105">
        <f t="shared" si="95"/>
        <v>0</v>
      </c>
      <c r="AR114" s="105">
        <f t="shared" si="84"/>
        <v>0</v>
      </c>
      <c r="AS114" s="105">
        <f t="shared" si="96"/>
        <v>0</v>
      </c>
      <c r="AT114" s="105">
        <f t="shared" si="97"/>
        <v>0</v>
      </c>
      <c r="AU114" s="105">
        <f t="shared" si="98"/>
        <v>0</v>
      </c>
      <c r="AV114" s="105">
        <f t="shared" si="99"/>
        <v>0</v>
      </c>
      <c r="AW114" s="105">
        <f t="shared" si="100"/>
        <v>0</v>
      </c>
      <c r="AX114" s="108">
        <f t="shared" si="80"/>
        <v>0</v>
      </c>
      <c r="AY114" s="108">
        <f t="shared" si="71"/>
        <v>0</v>
      </c>
      <c r="AZ114" s="759"/>
      <c r="BA114" s="108">
        <f>G164</f>
        <v>0</v>
      </c>
      <c r="BB114" s="2" t="e">
        <f t="shared" si="89"/>
        <v>#VALUE!</v>
      </c>
    </row>
    <row r="115" spans="5:54" ht="12" x14ac:dyDescent="0.25">
      <c r="E115" s="767">
        <f t="shared" si="77"/>
        <v>107</v>
      </c>
      <c r="F115" s="768">
        <f t="shared" si="64"/>
        <v>48572</v>
      </c>
      <c r="G115" s="24">
        <f t="shared" si="60"/>
        <v>0</v>
      </c>
      <c r="H115" s="24">
        <f t="shared" si="65"/>
        <v>0</v>
      </c>
      <c r="I115" s="24">
        <f t="shared" si="75"/>
        <v>136563.25000000006</v>
      </c>
      <c r="J115" s="24">
        <f t="shared" si="61"/>
        <v>0</v>
      </c>
      <c r="K115" s="24">
        <f t="shared" si="66"/>
        <v>0</v>
      </c>
      <c r="L115" s="24">
        <f t="shared" si="72"/>
        <v>0</v>
      </c>
      <c r="M115" s="24">
        <f t="shared" si="85"/>
        <v>0</v>
      </c>
      <c r="N115" s="24">
        <f t="shared" si="86"/>
        <v>0</v>
      </c>
      <c r="O115" s="24">
        <f t="shared" si="73"/>
        <v>0</v>
      </c>
      <c r="P115" s="24">
        <f t="shared" si="74"/>
        <v>0</v>
      </c>
      <c r="Q115" s="24">
        <f t="shared" si="67"/>
        <v>0</v>
      </c>
      <c r="R115" s="36">
        <f t="shared" si="81"/>
        <v>0</v>
      </c>
      <c r="S115" s="36">
        <f t="shared" si="68"/>
        <v>0</v>
      </c>
      <c r="T115" s="2">
        <f t="shared" si="101"/>
        <v>0</v>
      </c>
      <c r="U115" s="34">
        <f t="shared" si="92"/>
        <v>0</v>
      </c>
      <c r="V115" s="57">
        <f t="shared" ref="V115:V178" si="102">IF(T115=0,V114,V114+365)</f>
        <v>58455</v>
      </c>
      <c r="W115" s="16">
        <f t="shared" si="54"/>
        <v>66</v>
      </c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2">
        <f t="shared" si="88"/>
        <v>0</v>
      </c>
      <c r="AJ115" s="34">
        <f t="shared" si="93"/>
        <v>0</v>
      </c>
      <c r="AK115" s="57">
        <f t="shared" si="94"/>
        <v>58455</v>
      </c>
      <c r="AL115" s="130"/>
      <c r="AM115" s="769">
        <f t="shared" si="79"/>
        <v>107</v>
      </c>
      <c r="AN115" s="770">
        <f t="shared" si="69"/>
        <v>48572</v>
      </c>
      <c r="AO115" s="105">
        <f t="shared" si="90"/>
        <v>0</v>
      </c>
      <c r="AP115" s="105">
        <f t="shared" si="70"/>
        <v>0</v>
      </c>
      <c r="AQ115" s="105">
        <f t="shared" si="95"/>
        <v>0</v>
      </c>
      <c r="AR115" s="105">
        <f t="shared" si="84"/>
        <v>0</v>
      </c>
      <c r="AS115" s="105">
        <f t="shared" si="96"/>
        <v>0</v>
      </c>
      <c r="AT115" s="105">
        <f t="shared" si="97"/>
        <v>0</v>
      </c>
      <c r="AU115" s="105">
        <f t="shared" si="98"/>
        <v>0</v>
      </c>
      <c r="AV115" s="105">
        <f t="shared" si="99"/>
        <v>0</v>
      </c>
      <c r="AW115" s="105">
        <f t="shared" si="100"/>
        <v>0</v>
      </c>
      <c r="AX115" s="108">
        <f t="shared" si="80"/>
        <v>0</v>
      </c>
      <c r="AY115" s="108">
        <f t="shared" si="71"/>
        <v>0</v>
      </c>
      <c r="AZ115" s="759"/>
      <c r="BA115" s="108">
        <f>G165</f>
        <v>0</v>
      </c>
      <c r="BB115" s="2" t="e">
        <f t="shared" si="89"/>
        <v>#VALUE!</v>
      </c>
    </row>
    <row r="116" spans="5:54" ht="12" x14ac:dyDescent="0.25">
      <c r="E116" s="767">
        <f t="shared" si="77"/>
        <v>108</v>
      </c>
      <c r="F116" s="768">
        <f t="shared" si="64"/>
        <v>48603</v>
      </c>
      <c r="G116" s="24">
        <f t="shared" si="60"/>
        <v>0</v>
      </c>
      <c r="H116" s="24">
        <f t="shared" si="65"/>
        <v>0</v>
      </c>
      <c r="I116" s="24">
        <f t="shared" si="75"/>
        <v>136563.25000000006</v>
      </c>
      <c r="J116" s="24">
        <f t="shared" si="61"/>
        <v>0</v>
      </c>
      <c r="K116" s="24">
        <f t="shared" si="66"/>
        <v>0</v>
      </c>
      <c r="L116" s="24">
        <f t="shared" si="72"/>
        <v>0</v>
      </c>
      <c r="M116" s="24">
        <f t="shared" si="85"/>
        <v>0</v>
      </c>
      <c r="N116" s="24">
        <f t="shared" si="86"/>
        <v>0</v>
      </c>
      <c r="O116" s="24">
        <f t="shared" si="73"/>
        <v>0</v>
      </c>
      <c r="P116" s="24">
        <f t="shared" si="74"/>
        <v>0</v>
      </c>
      <c r="Q116" s="24">
        <f t="shared" si="67"/>
        <v>0</v>
      </c>
      <c r="R116" s="36">
        <f t="shared" si="81"/>
        <v>0</v>
      </c>
      <c r="S116" s="36">
        <f t="shared" si="68"/>
        <v>0</v>
      </c>
      <c r="T116" s="2">
        <f t="shared" si="101"/>
        <v>0</v>
      </c>
      <c r="U116" s="34">
        <f t="shared" si="92"/>
        <v>0</v>
      </c>
      <c r="V116" s="57">
        <f t="shared" si="102"/>
        <v>58455</v>
      </c>
      <c r="W116" s="16">
        <f>W115+1</f>
        <v>67</v>
      </c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2">
        <f t="shared" si="88"/>
        <v>0</v>
      </c>
      <c r="AJ116" s="34">
        <f t="shared" si="93"/>
        <v>0</v>
      </c>
      <c r="AK116" s="57">
        <f t="shared" si="94"/>
        <v>58455</v>
      </c>
      <c r="AL116" s="130"/>
      <c r="AM116" s="769">
        <f t="shared" si="79"/>
        <v>108</v>
      </c>
      <c r="AN116" s="770">
        <f t="shared" si="69"/>
        <v>48603</v>
      </c>
      <c r="AO116" s="105">
        <f t="shared" si="90"/>
        <v>0</v>
      </c>
      <c r="AP116" s="105">
        <f t="shared" si="70"/>
        <v>0</v>
      </c>
      <c r="AQ116" s="105">
        <f t="shared" si="95"/>
        <v>0</v>
      </c>
      <c r="AR116" s="105">
        <f t="shared" si="84"/>
        <v>0</v>
      </c>
      <c r="AS116" s="105">
        <f t="shared" si="96"/>
        <v>0</v>
      </c>
      <c r="AT116" s="105">
        <f t="shared" si="97"/>
        <v>0</v>
      </c>
      <c r="AU116" s="105">
        <f t="shared" si="98"/>
        <v>0</v>
      </c>
      <c r="AV116" s="105">
        <f t="shared" si="99"/>
        <v>0</v>
      </c>
      <c r="AW116" s="105">
        <f t="shared" si="100"/>
        <v>0</v>
      </c>
      <c r="AX116" s="108">
        <f t="shared" si="80"/>
        <v>0</v>
      </c>
      <c r="AY116" s="108">
        <f t="shared" si="71"/>
        <v>0</v>
      </c>
      <c r="AZ116" s="795" t="s">
        <v>67</v>
      </c>
      <c r="BA116" s="152" t="e">
        <f>XIRR(BA7:BA115,AZ7:AZ115)</f>
        <v>#VALUE!</v>
      </c>
      <c r="BB116" s="2" t="e">
        <f t="shared" si="89"/>
        <v>#VALUE!</v>
      </c>
    </row>
    <row r="117" spans="5:54" ht="12" x14ac:dyDescent="0.25">
      <c r="E117" s="767">
        <f t="shared" si="77"/>
        <v>109</v>
      </c>
      <c r="F117" s="768">
        <f t="shared" si="64"/>
        <v>48634</v>
      </c>
      <c r="G117" s="24">
        <f t="shared" si="60"/>
        <v>0</v>
      </c>
      <c r="H117" s="24">
        <f t="shared" si="65"/>
        <v>0</v>
      </c>
      <c r="I117" s="24">
        <f t="shared" si="75"/>
        <v>136563.25000000006</v>
      </c>
      <c r="J117" s="24">
        <f t="shared" si="61"/>
        <v>0</v>
      </c>
      <c r="K117" s="24">
        <f t="shared" si="66"/>
        <v>0</v>
      </c>
      <c r="L117" s="24">
        <f t="shared" si="72"/>
        <v>0</v>
      </c>
      <c r="M117" s="24">
        <f t="shared" si="85"/>
        <v>0</v>
      </c>
      <c r="N117" s="24">
        <f t="shared" si="86"/>
        <v>0</v>
      </c>
      <c r="O117" s="24">
        <f t="shared" si="73"/>
        <v>0</v>
      </c>
      <c r="P117" s="24">
        <f t="shared" si="74"/>
        <v>0</v>
      </c>
      <c r="Q117" s="24">
        <f t="shared" si="67"/>
        <v>0</v>
      </c>
      <c r="R117" s="36">
        <f t="shared" si="81"/>
        <v>0</v>
      </c>
      <c r="S117" s="36">
        <f t="shared" si="68"/>
        <v>0</v>
      </c>
      <c r="T117" s="2">
        <f t="shared" si="101"/>
        <v>0</v>
      </c>
      <c r="U117" s="34">
        <f t="shared" si="92"/>
        <v>0</v>
      </c>
      <c r="V117" s="57">
        <f t="shared" si="102"/>
        <v>58455</v>
      </c>
      <c r="W117" s="16">
        <f>W116+1</f>
        <v>68</v>
      </c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2">
        <f t="shared" si="88"/>
        <v>0</v>
      </c>
      <c r="AJ117" s="34">
        <f t="shared" si="93"/>
        <v>0</v>
      </c>
      <c r="AK117" s="57">
        <f t="shared" si="94"/>
        <v>58455</v>
      </c>
      <c r="AL117" s="130"/>
      <c r="AM117" s="769">
        <f t="shared" si="79"/>
        <v>109</v>
      </c>
      <c r="AN117" s="770">
        <f t="shared" si="69"/>
        <v>48634</v>
      </c>
      <c r="AO117" s="105">
        <f t="shared" si="90"/>
        <v>0</v>
      </c>
      <c r="AP117" s="105">
        <f t="shared" si="70"/>
        <v>0</v>
      </c>
      <c r="AQ117" s="105">
        <f t="shared" si="95"/>
        <v>0</v>
      </c>
      <c r="AR117" s="105">
        <f t="shared" si="84"/>
        <v>0</v>
      </c>
      <c r="AS117" s="105">
        <f t="shared" si="96"/>
        <v>0</v>
      </c>
      <c r="AT117" s="105">
        <f t="shared" si="97"/>
        <v>0</v>
      </c>
      <c r="AU117" s="105">
        <f t="shared" si="98"/>
        <v>0</v>
      </c>
      <c r="AV117" s="105">
        <f t="shared" si="99"/>
        <v>0</v>
      </c>
      <c r="AW117" s="105">
        <f t="shared" si="100"/>
        <v>0</v>
      </c>
      <c r="AX117" s="108">
        <f t="shared" si="80"/>
        <v>0</v>
      </c>
      <c r="AY117" s="108">
        <f t="shared" si="71"/>
        <v>0</v>
      </c>
      <c r="BB117" s="2" t="e">
        <f t="shared" si="89"/>
        <v>#VALUE!</v>
      </c>
    </row>
    <row r="118" spans="5:54" ht="12" x14ac:dyDescent="0.25">
      <c r="E118" s="767">
        <f t="shared" si="77"/>
        <v>110</v>
      </c>
      <c r="F118" s="768">
        <f t="shared" si="64"/>
        <v>48662</v>
      </c>
      <c r="G118" s="24">
        <f t="shared" si="60"/>
        <v>0</v>
      </c>
      <c r="H118" s="24">
        <f t="shared" si="65"/>
        <v>0</v>
      </c>
      <c r="I118" s="24">
        <f t="shared" si="75"/>
        <v>136563.25000000006</v>
      </c>
      <c r="J118" s="24">
        <f t="shared" si="61"/>
        <v>0</v>
      </c>
      <c r="K118" s="24">
        <f t="shared" si="66"/>
        <v>0</v>
      </c>
      <c r="L118" s="24">
        <f t="shared" si="72"/>
        <v>0</v>
      </c>
      <c r="M118" s="24">
        <f t="shared" si="85"/>
        <v>0</v>
      </c>
      <c r="N118" s="24">
        <f t="shared" si="86"/>
        <v>0</v>
      </c>
      <c r="O118" s="24">
        <f t="shared" si="73"/>
        <v>0</v>
      </c>
      <c r="P118" s="24">
        <f t="shared" si="74"/>
        <v>0</v>
      </c>
      <c r="Q118" s="24">
        <f t="shared" si="67"/>
        <v>0</v>
      </c>
      <c r="R118" s="36">
        <f t="shared" si="81"/>
        <v>0</v>
      </c>
      <c r="S118" s="36">
        <f t="shared" si="68"/>
        <v>0</v>
      </c>
      <c r="T118" s="2">
        <f t="shared" si="101"/>
        <v>0</v>
      </c>
      <c r="U118" s="34">
        <f t="shared" si="92"/>
        <v>0</v>
      </c>
      <c r="V118" s="57">
        <f t="shared" si="102"/>
        <v>58455</v>
      </c>
      <c r="W118" s="16">
        <f t="shared" ref="W118:W180" si="103">W117+1</f>
        <v>69</v>
      </c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2">
        <f t="shared" si="88"/>
        <v>0</v>
      </c>
      <c r="AJ118" s="34">
        <f t="shared" si="93"/>
        <v>0</v>
      </c>
      <c r="AK118" s="57">
        <f t="shared" si="94"/>
        <v>58455</v>
      </c>
      <c r="AL118" s="130"/>
      <c r="AM118" s="769">
        <f t="shared" si="79"/>
        <v>110</v>
      </c>
      <c r="AN118" s="770">
        <f t="shared" si="69"/>
        <v>48662</v>
      </c>
      <c r="AO118" s="105">
        <f t="shared" si="90"/>
        <v>0</v>
      </c>
      <c r="AP118" s="105">
        <f t="shared" si="70"/>
        <v>0</v>
      </c>
      <c r="AQ118" s="105">
        <f t="shared" si="95"/>
        <v>0</v>
      </c>
      <c r="AR118" s="105">
        <f t="shared" si="84"/>
        <v>0</v>
      </c>
      <c r="AS118" s="105">
        <f t="shared" si="96"/>
        <v>0</v>
      </c>
      <c r="AT118" s="105">
        <f t="shared" si="97"/>
        <v>0</v>
      </c>
      <c r="AU118" s="105">
        <f t="shared" si="98"/>
        <v>0</v>
      </c>
      <c r="AV118" s="105">
        <f t="shared" si="99"/>
        <v>0</v>
      </c>
      <c r="AW118" s="105">
        <f t="shared" si="100"/>
        <v>0</v>
      </c>
      <c r="AX118" s="108">
        <f t="shared" si="80"/>
        <v>0</v>
      </c>
      <c r="AY118" s="108">
        <f t="shared" si="71"/>
        <v>0</v>
      </c>
      <c r="BB118" s="2" t="e">
        <f t="shared" si="89"/>
        <v>#VALUE!</v>
      </c>
    </row>
    <row r="119" spans="5:54" ht="12" x14ac:dyDescent="0.25">
      <c r="E119" s="767">
        <f t="shared" si="77"/>
        <v>111</v>
      </c>
      <c r="F119" s="768">
        <f t="shared" si="64"/>
        <v>48693</v>
      </c>
      <c r="G119" s="24">
        <f t="shared" si="60"/>
        <v>0</v>
      </c>
      <c r="H119" s="24">
        <f t="shared" si="65"/>
        <v>0</v>
      </c>
      <c r="I119" s="24">
        <f t="shared" si="75"/>
        <v>136563.25000000006</v>
      </c>
      <c r="J119" s="24">
        <f t="shared" si="61"/>
        <v>0</v>
      </c>
      <c r="K119" s="24">
        <f t="shared" si="66"/>
        <v>0</v>
      </c>
      <c r="L119" s="24">
        <f t="shared" si="72"/>
        <v>0</v>
      </c>
      <c r="M119" s="24">
        <f t="shared" si="85"/>
        <v>0</v>
      </c>
      <c r="N119" s="24">
        <f t="shared" si="86"/>
        <v>0</v>
      </c>
      <c r="O119" s="24">
        <f t="shared" si="73"/>
        <v>0</v>
      </c>
      <c r="P119" s="24">
        <f t="shared" si="74"/>
        <v>0</v>
      </c>
      <c r="Q119" s="24">
        <f t="shared" si="67"/>
        <v>0</v>
      </c>
      <c r="R119" s="36">
        <f t="shared" si="81"/>
        <v>0</v>
      </c>
      <c r="S119" s="36">
        <f t="shared" si="68"/>
        <v>0</v>
      </c>
      <c r="T119" s="2">
        <f t="shared" si="101"/>
        <v>0</v>
      </c>
      <c r="U119" s="34">
        <f t="shared" si="92"/>
        <v>0</v>
      </c>
      <c r="V119" s="57">
        <f t="shared" si="102"/>
        <v>58455</v>
      </c>
      <c r="W119" s="16">
        <f t="shared" si="103"/>
        <v>70</v>
      </c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2">
        <f t="shared" si="88"/>
        <v>0</v>
      </c>
      <c r="AJ119" s="34">
        <f t="shared" si="93"/>
        <v>0</v>
      </c>
      <c r="AK119" s="57">
        <f t="shared" si="94"/>
        <v>58455</v>
      </c>
      <c r="AL119" s="130"/>
      <c r="AM119" s="769">
        <f t="shared" si="79"/>
        <v>111</v>
      </c>
      <c r="AN119" s="770">
        <f t="shared" si="69"/>
        <v>48693</v>
      </c>
      <c r="AO119" s="105">
        <f t="shared" si="90"/>
        <v>0</v>
      </c>
      <c r="AP119" s="105">
        <f t="shared" si="70"/>
        <v>0</v>
      </c>
      <c r="AQ119" s="105">
        <f t="shared" si="95"/>
        <v>0</v>
      </c>
      <c r="AR119" s="105">
        <f t="shared" si="84"/>
        <v>0</v>
      </c>
      <c r="AS119" s="105">
        <f t="shared" si="96"/>
        <v>0</v>
      </c>
      <c r="AT119" s="105">
        <f t="shared" si="97"/>
        <v>0</v>
      </c>
      <c r="AU119" s="105">
        <f t="shared" si="98"/>
        <v>0</v>
      </c>
      <c r="AV119" s="105">
        <f t="shared" si="99"/>
        <v>0</v>
      </c>
      <c r="AW119" s="105">
        <f t="shared" si="100"/>
        <v>0</v>
      </c>
      <c r="AX119" s="108">
        <f t="shared" si="80"/>
        <v>0</v>
      </c>
      <c r="AY119" s="108">
        <f t="shared" si="71"/>
        <v>0</v>
      </c>
      <c r="BB119" s="2" t="e">
        <f t="shared" si="89"/>
        <v>#VALUE!</v>
      </c>
    </row>
    <row r="120" spans="5:54" ht="12" x14ac:dyDescent="0.25">
      <c r="E120" s="767">
        <f t="shared" si="77"/>
        <v>112</v>
      </c>
      <c r="F120" s="768">
        <f t="shared" si="64"/>
        <v>48723</v>
      </c>
      <c r="G120" s="24">
        <f t="shared" si="60"/>
        <v>0</v>
      </c>
      <c r="H120" s="24">
        <f t="shared" si="65"/>
        <v>0</v>
      </c>
      <c r="I120" s="24">
        <f t="shared" si="75"/>
        <v>136563.25000000006</v>
      </c>
      <c r="J120" s="24">
        <f t="shared" si="61"/>
        <v>0</v>
      </c>
      <c r="K120" s="24">
        <f t="shared" si="66"/>
        <v>0</v>
      </c>
      <c r="L120" s="24">
        <f t="shared" si="72"/>
        <v>0</v>
      </c>
      <c r="M120" s="24">
        <f t="shared" si="85"/>
        <v>0</v>
      </c>
      <c r="N120" s="24">
        <f t="shared" si="86"/>
        <v>0</v>
      </c>
      <c r="O120" s="24">
        <f t="shared" si="73"/>
        <v>0</v>
      </c>
      <c r="P120" s="24">
        <f t="shared" si="74"/>
        <v>0</v>
      </c>
      <c r="Q120" s="24">
        <f t="shared" si="67"/>
        <v>0</v>
      </c>
      <c r="R120" s="36">
        <f t="shared" si="81"/>
        <v>0</v>
      </c>
      <c r="S120" s="36">
        <f t="shared" si="68"/>
        <v>0</v>
      </c>
      <c r="T120" s="2">
        <f t="shared" si="101"/>
        <v>0</v>
      </c>
      <c r="U120" s="34">
        <f t="shared" si="92"/>
        <v>0</v>
      </c>
      <c r="V120" s="57">
        <f t="shared" si="102"/>
        <v>58455</v>
      </c>
      <c r="W120" s="16">
        <f t="shared" si="103"/>
        <v>71</v>
      </c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2">
        <f t="shared" si="88"/>
        <v>0</v>
      </c>
      <c r="AJ120" s="34">
        <f t="shared" si="93"/>
        <v>0</v>
      </c>
      <c r="AK120" s="57">
        <f t="shared" si="94"/>
        <v>58455</v>
      </c>
      <c r="AL120" s="130"/>
      <c r="AM120" s="769">
        <f t="shared" si="79"/>
        <v>112</v>
      </c>
      <c r="AN120" s="770">
        <f t="shared" si="69"/>
        <v>48723</v>
      </c>
      <c r="AO120" s="105">
        <f t="shared" si="90"/>
        <v>0</v>
      </c>
      <c r="AP120" s="105">
        <f t="shared" si="70"/>
        <v>0</v>
      </c>
      <c r="AQ120" s="105">
        <f t="shared" si="95"/>
        <v>0</v>
      </c>
      <c r="AR120" s="105">
        <f t="shared" si="84"/>
        <v>0</v>
      </c>
      <c r="AS120" s="105">
        <f t="shared" si="96"/>
        <v>0</v>
      </c>
      <c r="AT120" s="105">
        <f t="shared" si="97"/>
        <v>0</v>
      </c>
      <c r="AU120" s="105">
        <f t="shared" si="98"/>
        <v>0</v>
      </c>
      <c r="AV120" s="105">
        <f t="shared" si="99"/>
        <v>0</v>
      </c>
      <c r="AW120" s="105">
        <f t="shared" si="100"/>
        <v>0</v>
      </c>
      <c r="AX120" s="108">
        <f t="shared" si="80"/>
        <v>0</v>
      </c>
      <c r="AY120" s="108">
        <f t="shared" si="71"/>
        <v>0</v>
      </c>
      <c r="BB120" s="2" t="e">
        <f t="shared" si="89"/>
        <v>#VALUE!</v>
      </c>
    </row>
    <row r="121" spans="5:54" ht="12" x14ac:dyDescent="0.25">
      <c r="E121" s="767">
        <f t="shared" si="77"/>
        <v>113</v>
      </c>
      <c r="F121" s="768">
        <f t="shared" si="64"/>
        <v>48754</v>
      </c>
      <c r="G121" s="24">
        <f t="shared" si="60"/>
        <v>0</v>
      </c>
      <c r="H121" s="24">
        <f t="shared" si="65"/>
        <v>0</v>
      </c>
      <c r="I121" s="24">
        <f t="shared" si="75"/>
        <v>136563.25000000006</v>
      </c>
      <c r="J121" s="24">
        <f t="shared" si="61"/>
        <v>0</v>
      </c>
      <c r="K121" s="24">
        <f t="shared" si="66"/>
        <v>0</v>
      </c>
      <c r="L121" s="24">
        <f t="shared" si="72"/>
        <v>0</v>
      </c>
      <c r="M121" s="24">
        <f t="shared" si="85"/>
        <v>0</v>
      </c>
      <c r="N121" s="24">
        <f t="shared" si="86"/>
        <v>0</v>
      </c>
      <c r="O121" s="24">
        <f t="shared" si="73"/>
        <v>0</v>
      </c>
      <c r="P121" s="24">
        <f t="shared" si="74"/>
        <v>0</v>
      </c>
      <c r="Q121" s="24">
        <f t="shared" si="67"/>
        <v>0</v>
      </c>
      <c r="R121" s="36">
        <f t="shared" si="81"/>
        <v>0</v>
      </c>
      <c r="S121" s="36">
        <f t="shared" si="68"/>
        <v>0</v>
      </c>
      <c r="T121" s="2">
        <f t="shared" si="101"/>
        <v>0</v>
      </c>
      <c r="U121" s="34">
        <f t="shared" si="92"/>
        <v>0</v>
      </c>
      <c r="V121" s="57">
        <f t="shared" si="102"/>
        <v>58455</v>
      </c>
      <c r="W121" s="16">
        <f t="shared" si="103"/>
        <v>72</v>
      </c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2">
        <f t="shared" si="88"/>
        <v>0</v>
      </c>
      <c r="AJ121" s="34">
        <f t="shared" si="93"/>
        <v>0</v>
      </c>
      <c r="AK121" s="57">
        <f t="shared" si="94"/>
        <v>58455</v>
      </c>
      <c r="AL121" s="130"/>
      <c r="AM121" s="769">
        <f t="shared" si="79"/>
        <v>113</v>
      </c>
      <c r="AN121" s="770">
        <f t="shared" si="69"/>
        <v>48754</v>
      </c>
      <c r="AO121" s="105">
        <f t="shared" si="90"/>
        <v>0</v>
      </c>
      <c r="AP121" s="105">
        <f t="shared" si="70"/>
        <v>0</v>
      </c>
      <c r="AQ121" s="105">
        <f t="shared" si="95"/>
        <v>0</v>
      </c>
      <c r="AR121" s="105">
        <f t="shared" si="84"/>
        <v>0</v>
      </c>
      <c r="AS121" s="105">
        <f t="shared" si="96"/>
        <v>0</v>
      </c>
      <c r="AT121" s="105">
        <f t="shared" si="97"/>
        <v>0</v>
      </c>
      <c r="AU121" s="105">
        <f t="shared" si="98"/>
        <v>0</v>
      </c>
      <c r="AV121" s="105">
        <f t="shared" si="99"/>
        <v>0</v>
      </c>
      <c r="AW121" s="105">
        <f t="shared" si="100"/>
        <v>0</v>
      </c>
      <c r="AX121" s="108">
        <f t="shared" si="80"/>
        <v>0</v>
      </c>
      <c r="AY121" s="108">
        <f t="shared" si="71"/>
        <v>0</v>
      </c>
      <c r="BB121" s="2" t="e">
        <f t="shared" si="89"/>
        <v>#VALUE!</v>
      </c>
    </row>
    <row r="122" spans="5:54" ht="12" x14ac:dyDescent="0.25">
      <c r="E122" s="767">
        <f t="shared" si="77"/>
        <v>114</v>
      </c>
      <c r="F122" s="768">
        <f t="shared" si="64"/>
        <v>48784</v>
      </c>
      <c r="G122" s="24">
        <f t="shared" si="60"/>
        <v>0</v>
      </c>
      <c r="H122" s="24">
        <f t="shared" si="65"/>
        <v>0</v>
      </c>
      <c r="I122" s="24">
        <f t="shared" si="75"/>
        <v>136563.25000000006</v>
      </c>
      <c r="J122" s="24">
        <f t="shared" si="61"/>
        <v>0</v>
      </c>
      <c r="K122" s="24">
        <f t="shared" si="66"/>
        <v>0</v>
      </c>
      <c r="L122" s="24">
        <f t="shared" si="72"/>
        <v>0</v>
      </c>
      <c r="M122" s="24">
        <f t="shared" si="85"/>
        <v>0</v>
      </c>
      <c r="N122" s="24">
        <f t="shared" si="86"/>
        <v>0</v>
      </c>
      <c r="O122" s="24">
        <f t="shared" si="73"/>
        <v>0</v>
      </c>
      <c r="P122" s="24">
        <f t="shared" si="74"/>
        <v>0</v>
      </c>
      <c r="Q122" s="24">
        <f t="shared" si="67"/>
        <v>0</v>
      </c>
      <c r="R122" s="36">
        <f t="shared" si="81"/>
        <v>0</v>
      </c>
      <c r="S122" s="36">
        <f t="shared" si="68"/>
        <v>0</v>
      </c>
      <c r="T122" s="2">
        <f t="shared" si="101"/>
        <v>0</v>
      </c>
      <c r="U122" s="34">
        <f t="shared" si="92"/>
        <v>0</v>
      </c>
      <c r="V122" s="57">
        <f t="shared" si="102"/>
        <v>58455</v>
      </c>
      <c r="W122" s="16">
        <f t="shared" si="103"/>
        <v>73</v>
      </c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2">
        <f t="shared" si="88"/>
        <v>0</v>
      </c>
      <c r="AJ122" s="34">
        <f t="shared" si="93"/>
        <v>0</v>
      </c>
      <c r="AK122" s="57">
        <f t="shared" si="94"/>
        <v>58455</v>
      </c>
      <c r="AL122" s="130"/>
      <c r="AM122" s="769">
        <f t="shared" si="79"/>
        <v>114</v>
      </c>
      <c r="AN122" s="770">
        <f t="shared" si="69"/>
        <v>48784</v>
      </c>
      <c r="AO122" s="105">
        <f t="shared" si="90"/>
        <v>0</v>
      </c>
      <c r="AP122" s="105">
        <f t="shared" si="70"/>
        <v>0</v>
      </c>
      <c r="AQ122" s="105">
        <f t="shared" si="95"/>
        <v>0</v>
      </c>
      <c r="AR122" s="105">
        <f t="shared" si="84"/>
        <v>0</v>
      </c>
      <c r="AS122" s="105">
        <f t="shared" si="96"/>
        <v>0</v>
      </c>
      <c r="AT122" s="105">
        <f t="shared" si="97"/>
        <v>0</v>
      </c>
      <c r="AU122" s="105">
        <f t="shared" si="98"/>
        <v>0</v>
      </c>
      <c r="AV122" s="105">
        <f t="shared" si="99"/>
        <v>0</v>
      </c>
      <c r="AW122" s="105">
        <f t="shared" si="100"/>
        <v>0</v>
      </c>
      <c r="AX122" s="108">
        <f t="shared" si="80"/>
        <v>0</v>
      </c>
      <c r="AY122" s="108">
        <f t="shared" si="71"/>
        <v>0</v>
      </c>
      <c r="BB122" s="2" t="e">
        <f t="shared" si="89"/>
        <v>#VALUE!</v>
      </c>
    </row>
    <row r="123" spans="5:54" ht="12" x14ac:dyDescent="0.25">
      <c r="E123" s="767">
        <f t="shared" si="77"/>
        <v>115</v>
      </c>
      <c r="F123" s="768">
        <f t="shared" si="64"/>
        <v>48815</v>
      </c>
      <c r="G123" s="24">
        <f t="shared" si="60"/>
        <v>0</v>
      </c>
      <c r="H123" s="24">
        <f t="shared" si="65"/>
        <v>0</v>
      </c>
      <c r="I123" s="24">
        <f t="shared" si="75"/>
        <v>136563.25000000006</v>
      </c>
      <c r="J123" s="24">
        <f t="shared" si="61"/>
        <v>0</v>
      </c>
      <c r="K123" s="24">
        <f t="shared" si="66"/>
        <v>0</v>
      </c>
      <c r="L123" s="24">
        <f t="shared" si="72"/>
        <v>0</v>
      </c>
      <c r="M123" s="24">
        <f t="shared" si="85"/>
        <v>0</v>
      </c>
      <c r="N123" s="24">
        <f t="shared" si="86"/>
        <v>0</v>
      </c>
      <c r="O123" s="24">
        <f t="shared" si="73"/>
        <v>0</v>
      </c>
      <c r="P123" s="24">
        <f t="shared" si="74"/>
        <v>0</v>
      </c>
      <c r="Q123" s="24">
        <f t="shared" si="67"/>
        <v>0</v>
      </c>
      <c r="R123" s="36">
        <f t="shared" si="81"/>
        <v>0</v>
      </c>
      <c r="S123" s="36">
        <f t="shared" si="68"/>
        <v>0</v>
      </c>
      <c r="T123" s="2">
        <f t="shared" si="101"/>
        <v>0</v>
      </c>
      <c r="U123" s="34">
        <f t="shared" si="92"/>
        <v>0</v>
      </c>
      <c r="V123" s="57">
        <f t="shared" si="102"/>
        <v>58455</v>
      </c>
      <c r="W123" s="16">
        <f t="shared" si="103"/>
        <v>74</v>
      </c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2">
        <f t="shared" si="88"/>
        <v>0</v>
      </c>
      <c r="AJ123" s="34">
        <f t="shared" si="93"/>
        <v>0</v>
      </c>
      <c r="AK123" s="57">
        <f t="shared" si="94"/>
        <v>58455</v>
      </c>
      <c r="AL123" s="130"/>
      <c r="AM123" s="769">
        <f t="shared" si="79"/>
        <v>115</v>
      </c>
      <c r="AN123" s="770">
        <f t="shared" si="69"/>
        <v>48815</v>
      </c>
      <c r="AO123" s="105">
        <f t="shared" si="90"/>
        <v>0</v>
      </c>
      <c r="AP123" s="105">
        <f t="shared" si="70"/>
        <v>0</v>
      </c>
      <c r="AQ123" s="105">
        <f t="shared" si="95"/>
        <v>0</v>
      </c>
      <c r="AR123" s="105">
        <f t="shared" si="84"/>
        <v>0</v>
      </c>
      <c r="AS123" s="105">
        <f t="shared" si="96"/>
        <v>0</v>
      </c>
      <c r="AT123" s="105">
        <f t="shared" si="97"/>
        <v>0</v>
      </c>
      <c r="AU123" s="105">
        <f t="shared" si="98"/>
        <v>0</v>
      </c>
      <c r="AV123" s="105">
        <f t="shared" si="99"/>
        <v>0</v>
      </c>
      <c r="AW123" s="105">
        <f t="shared" si="100"/>
        <v>0</v>
      </c>
      <c r="AX123" s="108">
        <f t="shared" si="80"/>
        <v>0</v>
      </c>
      <c r="AY123" s="108">
        <f t="shared" si="71"/>
        <v>0</v>
      </c>
      <c r="BB123" s="2" t="e">
        <f t="shared" si="89"/>
        <v>#VALUE!</v>
      </c>
    </row>
    <row r="124" spans="5:54" ht="12" x14ac:dyDescent="0.25">
      <c r="E124" s="767">
        <f t="shared" si="77"/>
        <v>116</v>
      </c>
      <c r="F124" s="768">
        <f t="shared" si="64"/>
        <v>48846</v>
      </c>
      <c r="G124" s="24">
        <f t="shared" si="60"/>
        <v>0</v>
      </c>
      <c r="H124" s="24">
        <f t="shared" si="65"/>
        <v>0</v>
      </c>
      <c r="I124" s="24">
        <f t="shared" si="75"/>
        <v>136563.25000000006</v>
      </c>
      <c r="J124" s="24">
        <f t="shared" si="61"/>
        <v>0</v>
      </c>
      <c r="K124" s="24">
        <f t="shared" si="66"/>
        <v>0</v>
      </c>
      <c r="L124" s="24">
        <f t="shared" si="72"/>
        <v>0</v>
      </c>
      <c r="M124" s="24">
        <f t="shared" si="85"/>
        <v>0</v>
      </c>
      <c r="N124" s="24">
        <f t="shared" si="86"/>
        <v>0</v>
      </c>
      <c r="O124" s="24">
        <f t="shared" si="73"/>
        <v>0</v>
      </c>
      <c r="P124" s="24">
        <f t="shared" si="74"/>
        <v>0</v>
      </c>
      <c r="Q124" s="24">
        <f t="shared" si="67"/>
        <v>0</v>
      </c>
      <c r="R124" s="36">
        <f t="shared" si="81"/>
        <v>0</v>
      </c>
      <c r="S124" s="36">
        <f t="shared" si="68"/>
        <v>0</v>
      </c>
      <c r="T124" s="2">
        <f t="shared" si="101"/>
        <v>0</v>
      </c>
      <c r="U124" s="34">
        <f t="shared" si="92"/>
        <v>0</v>
      </c>
      <c r="V124" s="57">
        <f t="shared" si="102"/>
        <v>58455</v>
      </c>
      <c r="W124" s="16">
        <f t="shared" si="103"/>
        <v>75</v>
      </c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2">
        <f t="shared" si="88"/>
        <v>0</v>
      </c>
      <c r="AJ124" s="34">
        <f t="shared" si="93"/>
        <v>0</v>
      </c>
      <c r="AK124" s="57">
        <f t="shared" si="94"/>
        <v>58455</v>
      </c>
      <c r="AL124" s="130"/>
      <c r="AM124" s="769">
        <f t="shared" si="79"/>
        <v>116</v>
      </c>
      <c r="AN124" s="770">
        <f t="shared" si="69"/>
        <v>48846</v>
      </c>
      <c r="AO124" s="105">
        <f t="shared" si="90"/>
        <v>0</v>
      </c>
      <c r="AP124" s="105">
        <f t="shared" si="70"/>
        <v>0</v>
      </c>
      <c r="AQ124" s="105">
        <f t="shared" si="95"/>
        <v>0</v>
      </c>
      <c r="AR124" s="105">
        <f t="shared" si="84"/>
        <v>0</v>
      </c>
      <c r="AS124" s="105">
        <f t="shared" si="96"/>
        <v>0</v>
      </c>
      <c r="AT124" s="105">
        <f t="shared" si="97"/>
        <v>0</v>
      </c>
      <c r="AU124" s="105">
        <f t="shared" si="98"/>
        <v>0</v>
      </c>
      <c r="AV124" s="105">
        <f t="shared" si="99"/>
        <v>0</v>
      </c>
      <c r="AW124" s="105">
        <f t="shared" si="100"/>
        <v>0</v>
      </c>
      <c r="AX124" s="108">
        <f t="shared" si="80"/>
        <v>0</v>
      </c>
      <c r="AY124" s="108">
        <f t="shared" si="71"/>
        <v>0</v>
      </c>
      <c r="BB124" s="2" t="e">
        <f t="shared" si="89"/>
        <v>#VALUE!</v>
      </c>
    </row>
    <row r="125" spans="5:54" ht="12" x14ac:dyDescent="0.25">
      <c r="E125" s="767">
        <f t="shared" si="77"/>
        <v>117</v>
      </c>
      <c r="F125" s="768">
        <f t="shared" si="64"/>
        <v>48876</v>
      </c>
      <c r="G125" s="24">
        <f t="shared" si="60"/>
        <v>0</v>
      </c>
      <c r="H125" s="24">
        <f t="shared" si="65"/>
        <v>0</v>
      </c>
      <c r="I125" s="24">
        <f t="shared" si="75"/>
        <v>136563.25000000006</v>
      </c>
      <c r="J125" s="24">
        <f t="shared" si="61"/>
        <v>0</v>
      </c>
      <c r="K125" s="24">
        <f t="shared" si="66"/>
        <v>0</v>
      </c>
      <c r="L125" s="24">
        <f t="shared" si="72"/>
        <v>0</v>
      </c>
      <c r="M125" s="24">
        <f t="shared" si="85"/>
        <v>0</v>
      </c>
      <c r="N125" s="24">
        <f t="shared" si="86"/>
        <v>0</v>
      </c>
      <c r="O125" s="24">
        <f t="shared" si="73"/>
        <v>0</v>
      </c>
      <c r="P125" s="24">
        <f t="shared" si="74"/>
        <v>0</v>
      </c>
      <c r="Q125" s="24">
        <f t="shared" si="67"/>
        <v>0</v>
      </c>
      <c r="R125" s="36">
        <f t="shared" si="81"/>
        <v>0</v>
      </c>
      <c r="S125" s="36">
        <f t="shared" si="68"/>
        <v>0</v>
      </c>
      <c r="T125" s="2">
        <f t="shared" si="101"/>
        <v>0</v>
      </c>
      <c r="U125" s="34">
        <f t="shared" si="92"/>
        <v>0</v>
      </c>
      <c r="V125" s="57">
        <f t="shared" si="102"/>
        <v>58455</v>
      </c>
      <c r="W125" s="16">
        <f t="shared" si="103"/>
        <v>76</v>
      </c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2">
        <f t="shared" si="88"/>
        <v>0</v>
      </c>
      <c r="AJ125" s="34">
        <f t="shared" si="93"/>
        <v>0</v>
      </c>
      <c r="AK125" s="57">
        <f t="shared" si="94"/>
        <v>58455</v>
      </c>
      <c r="AL125" s="130"/>
      <c r="AM125" s="769">
        <f t="shared" si="79"/>
        <v>117</v>
      </c>
      <c r="AN125" s="770">
        <f t="shared" si="69"/>
        <v>48876</v>
      </c>
      <c r="AO125" s="105">
        <f t="shared" si="90"/>
        <v>0</v>
      </c>
      <c r="AP125" s="105">
        <f t="shared" si="70"/>
        <v>0</v>
      </c>
      <c r="AQ125" s="105">
        <f t="shared" si="95"/>
        <v>0</v>
      </c>
      <c r="AR125" s="105">
        <f t="shared" si="84"/>
        <v>0</v>
      </c>
      <c r="AS125" s="105">
        <f t="shared" si="96"/>
        <v>0</v>
      </c>
      <c r="AT125" s="105">
        <f t="shared" si="97"/>
        <v>0</v>
      </c>
      <c r="AU125" s="105">
        <f t="shared" si="98"/>
        <v>0</v>
      </c>
      <c r="AV125" s="105">
        <f t="shared" si="99"/>
        <v>0</v>
      </c>
      <c r="AW125" s="105">
        <f t="shared" si="100"/>
        <v>0</v>
      </c>
      <c r="AX125" s="108">
        <f t="shared" si="80"/>
        <v>0</v>
      </c>
      <c r="AY125" s="108">
        <f t="shared" si="71"/>
        <v>0</v>
      </c>
      <c r="BB125" s="2" t="e">
        <f t="shared" si="89"/>
        <v>#VALUE!</v>
      </c>
    </row>
    <row r="126" spans="5:54" ht="12" x14ac:dyDescent="0.25">
      <c r="E126" s="767">
        <f t="shared" si="77"/>
        <v>118</v>
      </c>
      <c r="F126" s="768">
        <f t="shared" si="64"/>
        <v>48907</v>
      </c>
      <c r="G126" s="24">
        <f t="shared" si="60"/>
        <v>0</v>
      </c>
      <c r="H126" s="24">
        <f t="shared" si="65"/>
        <v>0</v>
      </c>
      <c r="I126" s="24">
        <f t="shared" si="75"/>
        <v>136563.25000000006</v>
      </c>
      <c r="J126" s="24">
        <f t="shared" si="61"/>
        <v>0</v>
      </c>
      <c r="K126" s="24">
        <f t="shared" si="66"/>
        <v>0</v>
      </c>
      <c r="L126" s="24">
        <f t="shared" si="72"/>
        <v>0</v>
      </c>
      <c r="M126" s="24">
        <f t="shared" si="85"/>
        <v>0</v>
      </c>
      <c r="N126" s="24">
        <f t="shared" si="86"/>
        <v>0</v>
      </c>
      <c r="O126" s="24">
        <f t="shared" si="73"/>
        <v>0</v>
      </c>
      <c r="P126" s="24">
        <f t="shared" si="74"/>
        <v>0</v>
      </c>
      <c r="Q126" s="24">
        <f t="shared" si="67"/>
        <v>0</v>
      </c>
      <c r="R126" s="36">
        <f t="shared" si="81"/>
        <v>0</v>
      </c>
      <c r="S126" s="36">
        <f t="shared" si="68"/>
        <v>0</v>
      </c>
      <c r="T126" s="2">
        <f t="shared" si="101"/>
        <v>0</v>
      </c>
      <c r="U126" s="34">
        <f t="shared" si="92"/>
        <v>0</v>
      </c>
      <c r="V126" s="57">
        <f t="shared" si="102"/>
        <v>58455</v>
      </c>
      <c r="W126" s="16">
        <f t="shared" si="103"/>
        <v>77</v>
      </c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2">
        <f t="shared" si="88"/>
        <v>0</v>
      </c>
      <c r="AJ126" s="34">
        <f t="shared" si="93"/>
        <v>0</v>
      </c>
      <c r="AK126" s="57">
        <f t="shared" si="94"/>
        <v>58455</v>
      </c>
      <c r="AL126" s="130"/>
      <c r="AM126" s="769">
        <f t="shared" si="79"/>
        <v>118</v>
      </c>
      <c r="AN126" s="770">
        <f t="shared" si="69"/>
        <v>48907</v>
      </c>
      <c r="AO126" s="105">
        <f t="shared" si="90"/>
        <v>0</v>
      </c>
      <c r="AP126" s="105">
        <f t="shared" si="70"/>
        <v>0</v>
      </c>
      <c r="AQ126" s="105">
        <f t="shared" si="95"/>
        <v>0</v>
      </c>
      <c r="AR126" s="105">
        <f t="shared" si="84"/>
        <v>0</v>
      </c>
      <c r="AS126" s="105">
        <f t="shared" si="96"/>
        <v>0</v>
      </c>
      <c r="AT126" s="105">
        <f t="shared" si="97"/>
        <v>0</v>
      </c>
      <c r="AU126" s="105">
        <f t="shared" si="98"/>
        <v>0</v>
      </c>
      <c r="AV126" s="105">
        <f t="shared" si="99"/>
        <v>0</v>
      </c>
      <c r="AW126" s="105">
        <f t="shared" si="100"/>
        <v>0</v>
      </c>
      <c r="AX126" s="108">
        <f t="shared" si="80"/>
        <v>0</v>
      </c>
      <c r="AY126" s="108">
        <f t="shared" si="71"/>
        <v>0</v>
      </c>
      <c r="BB126" s="2" t="e">
        <f t="shared" si="89"/>
        <v>#VALUE!</v>
      </c>
    </row>
    <row r="127" spans="5:54" ht="12" x14ac:dyDescent="0.25">
      <c r="E127" s="767">
        <f t="shared" si="77"/>
        <v>119</v>
      </c>
      <c r="F127" s="768">
        <f t="shared" si="64"/>
        <v>48937</v>
      </c>
      <c r="G127" s="24">
        <f t="shared" si="60"/>
        <v>0</v>
      </c>
      <c r="H127" s="24">
        <f t="shared" si="65"/>
        <v>0</v>
      </c>
      <c r="I127" s="24">
        <f t="shared" si="75"/>
        <v>136563.25000000006</v>
      </c>
      <c r="J127" s="24">
        <f t="shared" si="61"/>
        <v>0</v>
      </c>
      <c r="K127" s="24">
        <f t="shared" si="66"/>
        <v>0</v>
      </c>
      <c r="L127" s="24">
        <f t="shared" si="72"/>
        <v>0</v>
      </c>
      <c r="M127" s="24">
        <f t="shared" si="85"/>
        <v>0</v>
      </c>
      <c r="N127" s="24">
        <f t="shared" si="86"/>
        <v>0</v>
      </c>
      <c r="O127" s="24">
        <f t="shared" si="73"/>
        <v>0</v>
      </c>
      <c r="P127" s="24">
        <f t="shared" si="74"/>
        <v>0</v>
      </c>
      <c r="Q127" s="24">
        <f t="shared" si="67"/>
        <v>0</v>
      </c>
      <c r="R127" s="36">
        <f t="shared" si="81"/>
        <v>0</v>
      </c>
      <c r="S127" s="36">
        <f t="shared" si="68"/>
        <v>0</v>
      </c>
      <c r="T127" s="2">
        <f t="shared" si="101"/>
        <v>0</v>
      </c>
      <c r="U127" s="34">
        <f t="shared" si="92"/>
        <v>0</v>
      </c>
      <c r="V127" s="57">
        <f t="shared" si="102"/>
        <v>58455</v>
      </c>
      <c r="W127" s="16">
        <f t="shared" si="103"/>
        <v>78</v>
      </c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2">
        <f t="shared" si="88"/>
        <v>0</v>
      </c>
      <c r="AJ127" s="34">
        <f t="shared" si="93"/>
        <v>0</v>
      </c>
      <c r="AK127" s="57">
        <f t="shared" si="94"/>
        <v>58455</v>
      </c>
      <c r="AL127" s="130"/>
      <c r="AM127" s="769">
        <f t="shared" si="79"/>
        <v>119</v>
      </c>
      <c r="AN127" s="770">
        <f t="shared" si="69"/>
        <v>48937</v>
      </c>
      <c r="AO127" s="105">
        <f t="shared" si="90"/>
        <v>0</v>
      </c>
      <c r="AP127" s="105">
        <f t="shared" si="70"/>
        <v>0</v>
      </c>
      <c r="AQ127" s="105">
        <f t="shared" si="95"/>
        <v>0</v>
      </c>
      <c r="AR127" s="105">
        <f t="shared" si="84"/>
        <v>0</v>
      </c>
      <c r="AS127" s="105">
        <f t="shared" si="96"/>
        <v>0</v>
      </c>
      <c r="AT127" s="105">
        <f t="shared" si="97"/>
        <v>0</v>
      </c>
      <c r="AU127" s="105">
        <f t="shared" si="98"/>
        <v>0</v>
      </c>
      <c r="AV127" s="105">
        <f t="shared" si="99"/>
        <v>0</v>
      </c>
      <c r="AW127" s="105">
        <f t="shared" si="100"/>
        <v>0</v>
      </c>
      <c r="AX127" s="108">
        <f t="shared" si="80"/>
        <v>0</v>
      </c>
      <c r="AY127" s="108">
        <f t="shared" si="71"/>
        <v>0</v>
      </c>
      <c r="BB127" s="2" t="e">
        <f t="shared" si="89"/>
        <v>#VALUE!</v>
      </c>
    </row>
    <row r="128" spans="5:54" ht="12" x14ac:dyDescent="0.25">
      <c r="E128" s="767">
        <f t="shared" si="77"/>
        <v>120</v>
      </c>
      <c r="F128" s="768">
        <f t="shared" si="64"/>
        <v>48968</v>
      </c>
      <c r="G128" s="24">
        <f t="shared" si="60"/>
        <v>0</v>
      </c>
      <c r="H128" s="24">
        <f t="shared" si="65"/>
        <v>0</v>
      </c>
      <c r="I128" s="24">
        <f t="shared" si="75"/>
        <v>136563.25000000006</v>
      </c>
      <c r="J128" s="24">
        <f t="shared" si="61"/>
        <v>0</v>
      </c>
      <c r="K128" s="24">
        <f t="shared" si="66"/>
        <v>0</v>
      </c>
      <c r="L128" s="24">
        <f t="shared" si="72"/>
        <v>0</v>
      </c>
      <c r="M128" s="24">
        <f t="shared" si="85"/>
        <v>0</v>
      </c>
      <c r="N128" s="24">
        <f t="shared" si="86"/>
        <v>0</v>
      </c>
      <c r="O128" s="24">
        <f t="shared" si="73"/>
        <v>0</v>
      </c>
      <c r="P128" s="24">
        <f t="shared" si="74"/>
        <v>0</v>
      </c>
      <c r="Q128" s="24">
        <f t="shared" si="67"/>
        <v>0</v>
      </c>
      <c r="R128" s="36">
        <f t="shared" si="81"/>
        <v>0</v>
      </c>
      <c r="S128" s="36">
        <f t="shared" si="68"/>
        <v>0</v>
      </c>
      <c r="T128" s="2">
        <f t="shared" si="101"/>
        <v>0</v>
      </c>
      <c r="U128" s="34">
        <f t="shared" si="92"/>
        <v>0</v>
      </c>
      <c r="V128" s="57">
        <f t="shared" si="102"/>
        <v>58455</v>
      </c>
      <c r="W128" s="16">
        <f t="shared" si="103"/>
        <v>79</v>
      </c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2">
        <f t="shared" si="88"/>
        <v>0</v>
      </c>
      <c r="AJ128" s="34">
        <f t="shared" si="93"/>
        <v>0</v>
      </c>
      <c r="AK128" s="57">
        <f t="shared" si="94"/>
        <v>58455</v>
      </c>
      <c r="AM128" s="769">
        <f t="shared" si="79"/>
        <v>120</v>
      </c>
      <c r="AN128" s="770">
        <f t="shared" si="69"/>
        <v>48968</v>
      </c>
      <c r="AO128" s="105">
        <f t="shared" si="90"/>
        <v>0</v>
      </c>
      <c r="AP128" s="105">
        <f t="shared" si="70"/>
        <v>0</v>
      </c>
      <c r="AQ128" s="105">
        <f t="shared" si="95"/>
        <v>0</v>
      </c>
      <c r="AR128" s="105">
        <f t="shared" si="84"/>
        <v>0</v>
      </c>
      <c r="AS128" s="105">
        <f t="shared" si="96"/>
        <v>0</v>
      </c>
      <c r="AT128" s="105">
        <f t="shared" si="97"/>
        <v>0</v>
      </c>
      <c r="AU128" s="105">
        <f t="shared" si="98"/>
        <v>0</v>
      </c>
      <c r="AV128" s="105">
        <f t="shared" si="99"/>
        <v>0</v>
      </c>
      <c r="AW128" s="105">
        <f t="shared" si="100"/>
        <v>0</v>
      </c>
      <c r="AX128" s="108">
        <f t="shared" si="80"/>
        <v>0</v>
      </c>
      <c r="AY128" s="108">
        <f t="shared" si="71"/>
        <v>0</v>
      </c>
      <c r="BB128" s="2" t="e">
        <f t="shared" si="89"/>
        <v>#VALUE!</v>
      </c>
    </row>
    <row r="129" spans="5:54" ht="12" x14ac:dyDescent="0.25">
      <c r="E129" s="767">
        <f t="shared" si="77"/>
        <v>121</v>
      </c>
      <c r="F129" s="768">
        <f t="shared" si="64"/>
        <v>48999</v>
      </c>
      <c r="G129" s="24">
        <f t="shared" si="60"/>
        <v>0</v>
      </c>
      <c r="H129" s="24">
        <f t="shared" si="65"/>
        <v>0</v>
      </c>
      <c r="I129" s="24">
        <f t="shared" si="75"/>
        <v>136563.25000000006</v>
      </c>
      <c r="J129" s="24">
        <f t="shared" si="61"/>
        <v>0</v>
      </c>
      <c r="K129" s="24">
        <f t="shared" si="66"/>
        <v>0</v>
      </c>
      <c r="L129" s="24">
        <f t="shared" si="72"/>
        <v>0</v>
      </c>
      <c r="M129" s="24">
        <f t="shared" si="85"/>
        <v>0</v>
      </c>
      <c r="N129" s="24">
        <f t="shared" si="86"/>
        <v>0</v>
      </c>
      <c r="O129" s="24">
        <f t="shared" si="73"/>
        <v>0</v>
      </c>
      <c r="P129" s="24">
        <f t="shared" si="74"/>
        <v>0</v>
      </c>
      <c r="Q129" s="24">
        <f t="shared" si="67"/>
        <v>0</v>
      </c>
      <c r="R129" s="36">
        <f t="shared" si="81"/>
        <v>0</v>
      </c>
      <c r="S129" s="36">
        <f t="shared" si="68"/>
        <v>0</v>
      </c>
      <c r="T129" s="2">
        <f t="shared" si="101"/>
        <v>0</v>
      </c>
      <c r="U129" s="34">
        <f t="shared" si="92"/>
        <v>0</v>
      </c>
      <c r="V129" s="57">
        <f t="shared" si="102"/>
        <v>58455</v>
      </c>
      <c r="W129" s="16">
        <f t="shared" si="103"/>
        <v>80</v>
      </c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60"/>
      <c r="AI129" s="2">
        <f t="shared" si="88"/>
        <v>0</v>
      </c>
      <c r="AJ129" s="34">
        <f t="shared" si="93"/>
        <v>0</v>
      </c>
      <c r="AK129" s="57">
        <f t="shared" si="94"/>
        <v>58455</v>
      </c>
      <c r="AM129" s="769">
        <f t="shared" si="79"/>
        <v>121</v>
      </c>
      <c r="AN129" s="770">
        <f t="shared" si="69"/>
        <v>48999</v>
      </c>
      <c r="AO129" s="105">
        <f t="shared" si="90"/>
        <v>0</v>
      </c>
      <c r="AP129" s="105">
        <f t="shared" si="70"/>
        <v>0</v>
      </c>
      <c r="AQ129" s="105">
        <f t="shared" si="95"/>
        <v>0</v>
      </c>
      <c r="AR129" s="105">
        <f t="shared" si="84"/>
        <v>0</v>
      </c>
      <c r="AS129" s="105">
        <f t="shared" si="96"/>
        <v>0</v>
      </c>
      <c r="AT129" s="105">
        <f t="shared" si="97"/>
        <v>0</v>
      </c>
      <c r="AU129" s="105">
        <f t="shared" si="98"/>
        <v>0</v>
      </c>
      <c r="AV129" s="105">
        <f t="shared" si="99"/>
        <v>0</v>
      </c>
      <c r="AW129" s="105">
        <f t="shared" si="100"/>
        <v>0</v>
      </c>
      <c r="AX129" s="108">
        <f t="shared" si="80"/>
        <v>0</v>
      </c>
      <c r="AY129" s="108">
        <f t="shared" si="71"/>
        <v>0</v>
      </c>
      <c r="BB129" s="2" t="e">
        <f t="shared" si="89"/>
        <v>#VALUE!</v>
      </c>
    </row>
    <row r="130" spans="5:54" ht="12" x14ac:dyDescent="0.25">
      <c r="E130" s="767">
        <f t="shared" si="77"/>
        <v>122</v>
      </c>
      <c r="F130" s="768">
        <f t="shared" si="64"/>
        <v>49027</v>
      </c>
      <c r="G130" s="24">
        <f t="shared" si="60"/>
        <v>0</v>
      </c>
      <c r="H130" s="24">
        <f t="shared" si="65"/>
        <v>0</v>
      </c>
      <c r="I130" s="24">
        <f t="shared" si="75"/>
        <v>136563.25000000006</v>
      </c>
      <c r="J130" s="24">
        <f t="shared" si="61"/>
        <v>0</v>
      </c>
      <c r="K130" s="24">
        <f t="shared" si="66"/>
        <v>0</v>
      </c>
      <c r="L130" s="24">
        <f t="shared" si="72"/>
        <v>0</v>
      </c>
      <c r="M130" s="24">
        <f t="shared" si="85"/>
        <v>0</v>
      </c>
      <c r="N130" s="24">
        <f t="shared" si="86"/>
        <v>0</v>
      </c>
      <c r="O130" s="24">
        <f t="shared" si="73"/>
        <v>0</v>
      </c>
      <c r="P130" s="24">
        <f t="shared" si="74"/>
        <v>0</v>
      </c>
      <c r="Q130" s="24">
        <f t="shared" si="67"/>
        <v>0</v>
      </c>
      <c r="R130" s="36">
        <f t="shared" si="81"/>
        <v>0</v>
      </c>
      <c r="S130" s="36">
        <f t="shared" si="68"/>
        <v>0</v>
      </c>
      <c r="T130" s="2">
        <f t="shared" si="101"/>
        <v>0</v>
      </c>
      <c r="U130" s="34">
        <f t="shared" si="92"/>
        <v>0</v>
      </c>
      <c r="V130" s="57">
        <f t="shared" si="102"/>
        <v>58455</v>
      </c>
      <c r="W130" s="16">
        <f t="shared" si="103"/>
        <v>81</v>
      </c>
      <c r="X130" s="16"/>
      <c r="Y130" s="16"/>
      <c r="Z130" s="16"/>
      <c r="AA130" s="16"/>
      <c r="AB130" s="16"/>
      <c r="AC130" s="16"/>
      <c r="AD130" s="16"/>
      <c r="AE130" s="16"/>
      <c r="AF130" s="16"/>
      <c r="AI130" s="2">
        <f t="shared" si="88"/>
        <v>0</v>
      </c>
      <c r="AJ130" s="34">
        <f t="shared" si="93"/>
        <v>0</v>
      </c>
      <c r="AK130" s="57">
        <f t="shared" si="94"/>
        <v>58455</v>
      </c>
      <c r="BB130" s="2" t="e">
        <f t="shared" si="89"/>
        <v>#VALUE!</v>
      </c>
    </row>
    <row r="131" spans="5:54" ht="12" x14ac:dyDescent="0.25">
      <c r="E131" s="767">
        <f t="shared" si="77"/>
        <v>123</v>
      </c>
      <c r="F131" s="768">
        <f t="shared" si="64"/>
        <v>49058</v>
      </c>
      <c r="G131" s="24">
        <f t="shared" si="60"/>
        <v>0</v>
      </c>
      <c r="H131" s="24">
        <f t="shared" si="65"/>
        <v>0</v>
      </c>
      <c r="I131" s="24">
        <f t="shared" si="75"/>
        <v>136563.25000000006</v>
      </c>
      <c r="J131" s="24">
        <f t="shared" si="61"/>
        <v>0</v>
      </c>
      <c r="K131" s="24">
        <f t="shared" si="66"/>
        <v>0</v>
      </c>
      <c r="L131" s="24">
        <f t="shared" si="72"/>
        <v>0</v>
      </c>
      <c r="M131" s="24">
        <f t="shared" si="85"/>
        <v>0</v>
      </c>
      <c r="N131" s="24">
        <f t="shared" si="86"/>
        <v>0</v>
      </c>
      <c r="O131" s="24">
        <f t="shared" si="73"/>
        <v>0</v>
      </c>
      <c r="P131" s="24">
        <f t="shared" si="74"/>
        <v>0</v>
      </c>
      <c r="Q131" s="24">
        <f t="shared" si="67"/>
        <v>0</v>
      </c>
      <c r="R131" s="36">
        <f t="shared" si="81"/>
        <v>0</v>
      </c>
      <c r="S131" s="36">
        <f t="shared" si="68"/>
        <v>0</v>
      </c>
      <c r="T131" s="2">
        <f t="shared" si="101"/>
        <v>0</v>
      </c>
      <c r="U131" s="34">
        <f t="shared" si="92"/>
        <v>0</v>
      </c>
      <c r="V131" s="57">
        <f t="shared" si="102"/>
        <v>58455</v>
      </c>
      <c r="W131" s="16">
        <f t="shared" si="103"/>
        <v>82</v>
      </c>
      <c r="X131" s="16"/>
      <c r="Y131" s="16"/>
      <c r="Z131" s="16"/>
      <c r="AA131" s="16"/>
      <c r="AB131" s="796"/>
      <c r="AC131" s="796"/>
      <c r="AD131" s="796"/>
      <c r="AE131" s="796"/>
      <c r="AI131" s="2">
        <f t="shared" si="88"/>
        <v>0</v>
      </c>
      <c r="AJ131" s="34">
        <f t="shared" si="93"/>
        <v>0</v>
      </c>
      <c r="AK131" s="57">
        <f t="shared" si="94"/>
        <v>58455</v>
      </c>
      <c r="AM131" s="797"/>
      <c r="AN131" s="795" t="s">
        <v>7</v>
      </c>
      <c r="AO131" s="798">
        <f>(SUM(AO9:AO129)-IF(CODE(C18)=209,BN58,0))</f>
        <v>468545.6</v>
      </c>
      <c r="AP131" s="798">
        <f>(SUM(AP9:AP129)-IF(CODE(D18)=209,BO58,0))</f>
        <v>131566.59999999998</v>
      </c>
      <c r="AQ131" s="798">
        <f>SUM(AQ9:AQ129)</f>
        <v>336979</v>
      </c>
      <c r="AR131" s="105">
        <f>IF(AT131&gt;$D$29,$D$29-AP131,IF(AY110=0,0,AV131)+BN158)</f>
        <v>0</v>
      </c>
      <c r="AS131" s="799"/>
      <c r="AT131" s="799"/>
      <c r="AU131" s="799"/>
      <c r="AV131" s="799"/>
      <c r="AW131" s="799"/>
      <c r="BB131" s="2" t="e">
        <f t="shared" si="89"/>
        <v>#VALUE!</v>
      </c>
    </row>
    <row r="132" spans="5:54" x14ac:dyDescent="0.25">
      <c r="E132" s="767">
        <f t="shared" si="77"/>
        <v>124</v>
      </c>
      <c r="F132" s="768">
        <f t="shared" si="64"/>
        <v>49088</v>
      </c>
      <c r="G132" s="24">
        <f t="shared" si="60"/>
        <v>0</v>
      </c>
      <c r="H132" s="24">
        <f t="shared" si="65"/>
        <v>0</v>
      </c>
      <c r="I132" s="24">
        <f t="shared" si="75"/>
        <v>136563.25000000006</v>
      </c>
      <c r="J132" s="24">
        <f t="shared" si="61"/>
        <v>0</v>
      </c>
      <c r="K132" s="24">
        <f t="shared" si="66"/>
        <v>0</v>
      </c>
      <c r="L132" s="24">
        <f t="shared" si="72"/>
        <v>0</v>
      </c>
      <c r="M132" s="24">
        <f t="shared" si="85"/>
        <v>0</v>
      </c>
      <c r="N132" s="24">
        <f t="shared" si="86"/>
        <v>0</v>
      </c>
      <c r="O132" s="24">
        <f t="shared" si="73"/>
        <v>0</v>
      </c>
      <c r="P132" s="24">
        <f t="shared" si="74"/>
        <v>0</v>
      </c>
      <c r="Q132" s="24">
        <f t="shared" si="67"/>
        <v>0</v>
      </c>
      <c r="R132" s="36">
        <f t="shared" si="81"/>
        <v>0</v>
      </c>
      <c r="S132" s="36">
        <f t="shared" si="68"/>
        <v>0</v>
      </c>
      <c r="T132" s="2">
        <f t="shared" si="101"/>
        <v>0</v>
      </c>
      <c r="U132" s="34">
        <f t="shared" si="92"/>
        <v>0</v>
      </c>
      <c r="V132" s="57">
        <f t="shared" si="102"/>
        <v>58455</v>
      </c>
      <c r="W132" s="16">
        <f t="shared" si="103"/>
        <v>83</v>
      </c>
      <c r="AI132" s="2">
        <f t="shared" si="88"/>
        <v>0</v>
      </c>
      <c r="AJ132" s="34">
        <f t="shared" si="93"/>
        <v>0</v>
      </c>
      <c r="AK132" s="57">
        <f t="shared" si="94"/>
        <v>58455</v>
      </c>
      <c r="BB132" s="2" t="e">
        <f t="shared" si="89"/>
        <v>#VALUE!</v>
      </c>
    </row>
    <row r="133" spans="5:54" x14ac:dyDescent="0.25">
      <c r="E133" s="767">
        <f t="shared" si="77"/>
        <v>125</v>
      </c>
      <c r="F133" s="768">
        <f t="shared" si="64"/>
        <v>49119</v>
      </c>
      <c r="G133" s="24">
        <f t="shared" ref="G133:G159" si="104">IF(AND(E133&gt;=$T$14,E133&lt;=$T$14+5),$T$15,IF(AND(Q132+L133+H133&gt;G132,G132&lt;&gt;0),$C$29,IF(Q132=0,0,Q132+L133+H133+H134)))+IF(AND(E133=$C$10,$C$22&lt;&gt;"Нет"),MIN((I133-I133/$C$19*$C$23),Q132+H133-G132),0)</f>
        <v>0</v>
      </c>
      <c r="H133" s="24">
        <f t="shared" si="65"/>
        <v>0</v>
      </c>
      <c r="I133" s="24">
        <f t="shared" si="75"/>
        <v>136563.25000000006</v>
      </c>
      <c r="J133" s="24">
        <f t="shared" ref="J133:J159" si="105">IF(AND(E133=$C$10,$C$22&lt;&gt;"Нет"),MIN((I133-I133/$C$19*$C$23),Q132+H133-G132),0)</f>
        <v>0</v>
      </c>
      <c r="K133" s="24">
        <f t="shared" si="66"/>
        <v>0</v>
      </c>
      <c r="L133" s="24">
        <f t="shared" si="72"/>
        <v>0</v>
      </c>
      <c r="M133" s="24">
        <f t="shared" si="85"/>
        <v>0</v>
      </c>
      <c r="N133" s="24">
        <f t="shared" si="86"/>
        <v>0</v>
      </c>
      <c r="O133" s="24">
        <f t="shared" si="73"/>
        <v>0</v>
      </c>
      <c r="P133" s="24">
        <f t="shared" si="74"/>
        <v>0</v>
      </c>
      <c r="Q133" s="24">
        <f t="shared" si="67"/>
        <v>0</v>
      </c>
      <c r="R133" s="36">
        <f t="shared" si="81"/>
        <v>0</v>
      </c>
      <c r="S133" s="36">
        <f t="shared" si="68"/>
        <v>0</v>
      </c>
      <c r="T133" s="2">
        <f t="shared" si="101"/>
        <v>0</v>
      </c>
      <c r="U133" s="34">
        <f t="shared" si="92"/>
        <v>0</v>
      </c>
      <c r="V133" s="57">
        <f t="shared" si="102"/>
        <v>58455</v>
      </c>
      <c r="W133" s="16">
        <f t="shared" si="103"/>
        <v>84</v>
      </c>
      <c r="AI133" s="2">
        <f t="shared" si="88"/>
        <v>0</v>
      </c>
      <c r="AJ133" s="34">
        <f t="shared" si="93"/>
        <v>0</v>
      </c>
      <c r="AK133" s="57">
        <f t="shared" si="94"/>
        <v>58455</v>
      </c>
      <c r="BB133" s="2" t="e">
        <f t="shared" si="89"/>
        <v>#VALUE!</v>
      </c>
    </row>
    <row r="134" spans="5:54" x14ac:dyDescent="0.25">
      <c r="E134" s="767">
        <f t="shared" si="77"/>
        <v>126</v>
      </c>
      <c r="F134" s="768">
        <f t="shared" si="64"/>
        <v>49149</v>
      </c>
      <c r="G134" s="24">
        <f t="shared" si="104"/>
        <v>0</v>
      </c>
      <c r="H134" s="24">
        <f t="shared" si="65"/>
        <v>0</v>
      </c>
      <c r="I134" s="24">
        <f t="shared" si="75"/>
        <v>136563.25000000006</v>
      </c>
      <c r="J134" s="24">
        <f t="shared" si="105"/>
        <v>0</v>
      </c>
      <c r="K134" s="24">
        <f t="shared" si="66"/>
        <v>0</v>
      </c>
      <c r="L134" s="24">
        <f t="shared" si="72"/>
        <v>0</v>
      </c>
      <c r="M134" s="24">
        <f t="shared" si="85"/>
        <v>0</v>
      </c>
      <c r="N134" s="24">
        <f t="shared" si="86"/>
        <v>0</v>
      </c>
      <c r="O134" s="24">
        <f t="shared" si="73"/>
        <v>0</v>
      </c>
      <c r="P134" s="24">
        <f t="shared" si="74"/>
        <v>0</v>
      </c>
      <c r="Q134" s="24">
        <f t="shared" si="67"/>
        <v>0</v>
      </c>
      <c r="R134" s="36">
        <f t="shared" si="81"/>
        <v>0</v>
      </c>
      <c r="S134" s="36">
        <f t="shared" si="68"/>
        <v>0</v>
      </c>
      <c r="T134" s="2">
        <f t="shared" si="101"/>
        <v>0</v>
      </c>
      <c r="U134" s="34">
        <f t="shared" si="92"/>
        <v>0</v>
      </c>
      <c r="V134" s="57">
        <f t="shared" si="102"/>
        <v>58455</v>
      </c>
      <c r="W134" s="16">
        <f t="shared" si="103"/>
        <v>85</v>
      </c>
      <c r="AI134" s="2">
        <f t="shared" si="88"/>
        <v>0</v>
      </c>
      <c r="AJ134" s="34">
        <f t="shared" si="93"/>
        <v>0</v>
      </c>
      <c r="AK134" s="57">
        <f t="shared" si="94"/>
        <v>58455</v>
      </c>
      <c r="BB134" s="2" t="e">
        <f t="shared" si="89"/>
        <v>#VALUE!</v>
      </c>
    </row>
    <row r="135" spans="5:54" x14ac:dyDescent="0.25">
      <c r="E135" s="767">
        <f t="shared" si="77"/>
        <v>127</v>
      </c>
      <c r="F135" s="768">
        <f t="shared" si="64"/>
        <v>49180</v>
      </c>
      <c r="G135" s="24">
        <f t="shared" si="104"/>
        <v>0</v>
      </c>
      <c r="H135" s="24">
        <f t="shared" si="65"/>
        <v>0</v>
      </c>
      <c r="I135" s="24">
        <f t="shared" si="75"/>
        <v>136563.25000000006</v>
      </c>
      <c r="J135" s="24">
        <f t="shared" si="105"/>
        <v>0</v>
      </c>
      <c r="K135" s="24">
        <f t="shared" si="66"/>
        <v>0</v>
      </c>
      <c r="L135" s="24">
        <f t="shared" si="72"/>
        <v>0</v>
      </c>
      <c r="M135" s="24">
        <f t="shared" si="85"/>
        <v>0</v>
      </c>
      <c r="N135" s="24">
        <f t="shared" si="86"/>
        <v>0</v>
      </c>
      <c r="O135" s="24">
        <f t="shared" si="73"/>
        <v>0</v>
      </c>
      <c r="P135" s="24">
        <f t="shared" si="74"/>
        <v>0</v>
      </c>
      <c r="Q135" s="24">
        <f t="shared" si="67"/>
        <v>0</v>
      </c>
      <c r="R135" s="36">
        <f t="shared" si="81"/>
        <v>0</v>
      </c>
      <c r="S135" s="36">
        <f t="shared" si="68"/>
        <v>0</v>
      </c>
      <c r="T135" s="2">
        <f t="shared" si="101"/>
        <v>0</v>
      </c>
      <c r="U135" s="34">
        <f t="shared" si="92"/>
        <v>0</v>
      </c>
      <c r="V135" s="57">
        <f t="shared" si="102"/>
        <v>58455</v>
      </c>
      <c r="W135" s="16">
        <f t="shared" si="103"/>
        <v>86</v>
      </c>
      <c r="AI135" s="2">
        <f t="shared" si="88"/>
        <v>0</v>
      </c>
      <c r="AJ135" s="34">
        <f t="shared" si="93"/>
        <v>0</v>
      </c>
      <c r="AK135" s="57">
        <f t="shared" si="94"/>
        <v>58455</v>
      </c>
      <c r="BB135" s="2" t="e">
        <f t="shared" si="89"/>
        <v>#VALUE!</v>
      </c>
    </row>
    <row r="136" spans="5:54" x14ac:dyDescent="0.25">
      <c r="E136" s="767">
        <f t="shared" si="77"/>
        <v>128</v>
      </c>
      <c r="F136" s="768">
        <f t="shared" si="64"/>
        <v>49211</v>
      </c>
      <c r="G136" s="24">
        <f t="shared" si="104"/>
        <v>0</v>
      </c>
      <c r="H136" s="24">
        <f t="shared" si="65"/>
        <v>0</v>
      </c>
      <c r="I136" s="24">
        <f t="shared" si="75"/>
        <v>136563.25000000006</v>
      </c>
      <c r="J136" s="24">
        <f t="shared" si="105"/>
        <v>0</v>
      </c>
      <c r="K136" s="24">
        <f t="shared" si="66"/>
        <v>0</v>
      </c>
      <c r="L136" s="24">
        <f t="shared" si="72"/>
        <v>0</v>
      </c>
      <c r="M136" s="24">
        <f t="shared" si="85"/>
        <v>0</v>
      </c>
      <c r="N136" s="24">
        <f t="shared" si="86"/>
        <v>0</v>
      </c>
      <c r="O136" s="24">
        <f t="shared" si="73"/>
        <v>0</v>
      </c>
      <c r="P136" s="24">
        <f t="shared" si="74"/>
        <v>0</v>
      </c>
      <c r="Q136" s="24">
        <f t="shared" si="67"/>
        <v>0</v>
      </c>
      <c r="R136" s="36">
        <f t="shared" si="81"/>
        <v>0</v>
      </c>
      <c r="S136" s="36">
        <f t="shared" si="68"/>
        <v>0</v>
      </c>
      <c r="T136" s="2">
        <f t="shared" si="101"/>
        <v>0</v>
      </c>
      <c r="U136" s="34">
        <f t="shared" si="92"/>
        <v>0</v>
      </c>
      <c r="V136" s="57">
        <f t="shared" si="102"/>
        <v>58455</v>
      </c>
      <c r="W136" s="16">
        <f t="shared" si="103"/>
        <v>87</v>
      </c>
      <c r="AI136" s="2">
        <f t="shared" si="88"/>
        <v>0</v>
      </c>
      <c r="AJ136" s="34">
        <f t="shared" si="93"/>
        <v>0</v>
      </c>
      <c r="AK136" s="57">
        <f t="shared" si="94"/>
        <v>58455</v>
      </c>
      <c r="BB136" s="2" t="e">
        <f t="shared" si="89"/>
        <v>#VALUE!</v>
      </c>
    </row>
    <row r="137" spans="5:54" x14ac:dyDescent="0.25">
      <c r="E137" s="767">
        <f t="shared" si="77"/>
        <v>129</v>
      </c>
      <c r="F137" s="768">
        <f t="shared" ref="F137:F159" si="106">IF(DAY($AA$55)=29,DATE(YEAR($F$8),MONTH($F$8)+E137+1,1),IF(DAY($AA$55)=30,DATE(YEAR($F$8),MONTH($F$8)+E137+1,2),IF(DAY($AA$55)=31,DATE(YEAR($F$8),MONTH($F$8)+E137+1,3),DATE(YEAR($F$8),MONTH($F$8)+E137,DAY($F$8)))))</f>
        <v>49241</v>
      </c>
      <c r="G137" s="24">
        <f t="shared" si="104"/>
        <v>0</v>
      </c>
      <c r="H137" s="24">
        <f t="shared" ref="H137:H159" si="107">IF(AND(E137&gt;=$T$14,E137&lt;=$T$14+5),0,IF($C$9&gt;$AC$52,ROUND(Q136*$C$19*((F137-DATE(YEAR(F137),MONTH(F137),1)+1)/(DATE(YEAR(F137)+1,1,1)-DATE(YEAR(F137),1,1))+(EOMONTH(F136,0)-F136)/(DATE(YEAR(F136)+1,1,1)-DATE(YEAR(F136),1,1))),2),0))</f>
        <v>0</v>
      </c>
      <c r="I137" s="24">
        <f t="shared" si="75"/>
        <v>136563.25000000006</v>
      </c>
      <c r="J137" s="24">
        <f t="shared" si="105"/>
        <v>0</v>
      </c>
      <c r="K137" s="24">
        <f t="shared" ref="K137:K159" si="108">IF(S137=0,0,IF(S137=1,Q136,IF(Q136+L137+H137&gt;G136,G137-H137-L137,Q136)))</f>
        <v>0</v>
      </c>
      <c r="L137" s="24">
        <f t="shared" si="72"/>
        <v>0</v>
      </c>
      <c r="M137" s="24">
        <f t="shared" si="85"/>
        <v>0</v>
      </c>
      <c r="N137" s="24">
        <f t="shared" si="86"/>
        <v>0</v>
      </c>
      <c r="O137" s="24">
        <f t="shared" si="73"/>
        <v>0</v>
      </c>
      <c r="P137" s="24">
        <f t="shared" si="74"/>
        <v>0</v>
      </c>
      <c r="Q137" s="24">
        <f t="shared" ref="Q137:Q159" si="109">IF(OR(S137=1,Q136=0),0,Q136-K137)</f>
        <v>0</v>
      </c>
      <c r="R137" s="36">
        <f t="shared" si="81"/>
        <v>0</v>
      </c>
      <c r="S137" s="36">
        <f t="shared" ref="S137:S159" si="110">IF(ISERR(CEILING(FLOOR(NPER($C$19/12,-$AA$56,Q136),0.1),1))=TRUE,0,CEILING(FLOOR(NPER($C$19/12,-$AA$56,Q136),0.1),1))</f>
        <v>0</v>
      </c>
      <c r="T137" s="2">
        <f t="shared" si="101"/>
        <v>0</v>
      </c>
      <c r="U137" s="34">
        <f t="shared" si="92"/>
        <v>0</v>
      </c>
      <c r="V137" s="57">
        <f t="shared" si="102"/>
        <v>58455</v>
      </c>
      <c r="W137" s="16">
        <f t="shared" si="103"/>
        <v>88</v>
      </c>
      <c r="AI137" s="2">
        <f t="shared" si="88"/>
        <v>0</v>
      </c>
      <c r="AJ137" s="34">
        <f t="shared" si="93"/>
        <v>0</v>
      </c>
      <c r="AK137" s="57">
        <f t="shared" si="94"/>
        <v>58455</v>
      </c>
      <c r="BB137" s="2" t="e">
        <f t="shared" si="89"/>
        <v>#VALUE!</v>
      </c>
    </row>
    <row r="138" spans="5:54" x14ac:dyDescent="0.25">
      <c r="E138" s="767">
        <f t="shared" si="77"/>
        <v>130</v>
      </c>
      <c r="F138" s="768">
        <f t="shared" si="106"/>
        <v>49272</v>
      </c>
      <c r="G138" s="24">
        <f t="shared" si="104"/>
        <v>0</v>
      </c>
      <c r="H138" s="24">
        <f t="shared" si="107"/>
        <v>0</v>
      </c>
      <c r="I138" s="24">
        <f t="shared" si="75"/>
        <v>136563.25000000006</v>
      </c>
      <c r="J138" s="24">
        <f t="shared" si="105"/>
        <v>0</v>
      </c>
      <c r="K138" s="24">
        <f t="shared" si="108"/>
        <v>0</v>
      </c>
      <c r="L138" s="24">
        <f t="shared" ref="L138:L159" si="111">IF(N138&gt;$C$29,$C$29-H138,IF(S138=0,0,O138))</f>
        <v>0</v>
      </c>
      <c r="M138" s="24">
        <f t="shared" si="85"/>
        <v>0</v>
      </c>
      <c r="N138" s="24">
        <f t="shared" si="86"/>
        <v>0</v>
      </c>
      <c r="O138" s="24">
        <f t="shared" ref="O138:O156" si="112">IF(S138=0,0,0)</f>
        <v>0</v>
      </c>
      <c r="P138" s="24">
        <f t="shared" ref="P138:P159" si="113">IF(S138=0,0,0)</f>
        <v>0</v>
      </c>
      <c r="Q138" s="24">
        <f t="shared" si="109"/>
        <v>0</v>
      </c>
      <c r="R138" s="36">
        <f t="shared" si="81"/>
        <v>0</v>
      </c>
      <c r="S138" s="36">
        <f t="shared" si="110"/>
        <v>0</v>
      </c>
      <c r="T138" s="2">
        <f t="shared" si="101"/>
        <v>0</v>
      </c>
      <c r="U138" s="34">
        <f t="shared" si="92"/>
        <v>0</v>
      </c>
      <c r="V138" s="57">
        <f t="shared" si="102"/>
        <v>58455</v>
      </c>
      <c r="W138" s="16">
        <f t="shared" si="103"/>
        <v>89</v>
      </c>
      <c r="AI138" s="2">
        <f t="shared" si="88"/>
        <v>0</v>
      </c>
      <c r="AJ138" s="34">
        <f t="shared" si="93"/>
        <v>0</v>
      </c>
      <c r="AK138" s="57">
        <f t="shared" si="94"/>
        <v>58455</v>
      </c>
      <c r="BB138" s="2" t="e">
        <f t="shared" si="89"/>
        <v>#VALUE!</v>
      </c>
    </row>
    <row r="139" spans="5:54" x14ac:dyDescent="0.25">
      <c r="E139" s="767">
        <f t="shared" si="77"/>
        <v>131</v>
      </c>
      <c r="F139" s="768">
        <f t="shared" si="106"/>
        <v>49302</v>
      </c>
      <c r="G139" s="24">
        <f t="shared" si="104"/>
        <v>0</v>
      </c>
      <c r="H139" s="24">
        <f t="shared" si="107"/>
        <v>0</v>
      </c>
      <c r="I139" s="24">
        <f t="shared" ref="I139:I159" si="114">H139+I138</f>
        <v>136563.25000000006</v>
      </c>
      <c r="J139" s="24">
        <f t="shared" si="105"/>
        <v>0</v>
      </c>
      <c r="K139" s="24">
        <f t="shared" si="108"/>
        <v>0</v>
      </c>
      <c r="L139" s="24">
        <f t="shared" si="111"/>
        <v>0</v>
      </c>
      <c r="M139" s="24">
        <f t="shared" si="85"/>
        <v>0</v>
      </c>
      <c r="N139" s="24">
        <f t="shared" si="86"/>
        <v>0</v>
      </c>
      <c r="O139" s="24">
        <f t="shared" si="112"/>
        <v>0</v>
      </c>
      <c r="P139" s="24">
        <f t="shared" si="113"/>
        <v>0</v>
      </c>
      <c r="Q139" s="24">
        <f t="shared" si="109"/>
        <v>0</v>
      </c>
      <c r="R139" s="36">
        <f t="shared" si="81"/>
        <v>0</v>
      </c>
      <c r="S139" s="36">
        <f t="shared" si="110"/>
        <v>0</v>
      </c>
      <c r="T139" s="2">
        <f t="shared" si="101"/>
        <v>0</v>
      </c>
      <c r="U139" s="34">
        <f t="shared" si="92"/>
        <v>0</v>
      </c>
      <c r="V139" s="57">
        <f t="shared" si="102"/>
        <v>58455</v>
      </c>
      <c r="W139" s="16">
        <f t="shared" si="103"/>
        <v>90</v>
      </c>
      <c r="AI139" s="2">
        <f t="shared" si="88"/>
        <v>0</v>
      </c>
      <c r="AJ139" s="34">
        <f t="shared" si="93"/>
        <v>0</v>
      </c>
      <c r="AK139" s="57">
        <f t="shared" si="94"/>
        <v>58455</v>
      </c>
      <c r="BB139" s="2" t="e">
        <f t="shared" si="89"/>
        <v>#VALUE!</v>
      </c>
    </row>
    <row r="140" spans="5:54" x14ac:dyDescent="0.25">
      <c r="E140" s="767">
        <f t="shared" ref="E140:E159" si="115">E139+1</f>
        <v>132</v>
      </c>
      <c r="F140" s="768">
        <f t="shared" si="106"/>
        <v>49333</v>
      </c>
      <c r="G140" s="24">
        <f t="shared" si="104"/>
        <v>0</v>
      </c>
      <c r="H140" s="24">
        <f t="shared" si="107"/>
        <v>0</v>
      </c>
      <c r="I140" s="24">
        <f t="shared" si="114"/>
        <v>136563.25000000006</v>
      </c>
      <c r="J140" s="24">
        <f t="shared" si="105"/>
        <v>0</v>
      </c>
      <c r="K140" s="24">
        <f t="shared" si="108"/>
        <v>0</v>
      </c>
      <c r="L140" s="24">
        <f t="shared" si="111"/>
        <v>0</v>
      </c>
      <c r="M140" s="24">
        <f t="shared" si="85"/>
        <v>0</v>
      </c>
      <c r="N140" s="24">
        <f t="shared" si="86"/>
        <v>0</v>
      </c>
      <c r="O140" s="24">
        <f t="shared" si="112"/>
        <v>0</v>
      </c>
      <c r="P140" s="24">
        <f t="shared" si="113"/>
        <v>0</v>
      </c>
      <c r="Q140" s="24">
        <f t="shared" si="109"/>
        <v>0</v>
      </c>
      <c r="R140" s="36">
        <f t="shared" si="81"/>
        <v>0</v>
      </c>
      <c r="S140" s="36">
        <f t="shared" si="110"/>
        <v>0</v>
      </c>
      <c r="T140" s="2">
        <f t="shared" si="101"/>
        <v>0</v>
      </c>
      <c r="U140" s="34">
        <f t="shared" si="92"/>
        <v>0</v>
      </c>
      <c r="V140" s="57">
        <f t="shared" si="102"/>
        <v>58455</v>
      </c>
      <c r="W140" s="16">
        <f t="shared" si="103"/>
        <v>91</v>
      </c>
      <c r="AI140" s="2">
        <f t="shared" si="88"/>
        <v>0</v>
      </c>
      <c r="AJ140" s="34">
        <f t="shared" si="93"/>
        <v>0</v>
      </c>
      <c r="AK140" s="57">
        <f t="shared" si="94"/>
        <v>58455</v>
      </c>
      <c r="BB140" s="2" t="e">
        <f t="shared" si="89"/>
        <v>#VALUE!</v>
      </c>
    </row>
    <row r="141" spans="5:54" x14ac:dyDescent="0.25">
      <c r="E141" s="767">
        <f t="shared" si="115"/>
        <v>133</v>
      </c>
      <c r="F141" s="768">
        <f t="shared" si="106"/>
        <v>49364</v>
      </c>
      <c r="G141" s="24">
        <f t="shared" si="104"/>
        <v>0</v>
      </c>
      <c r="H141" s="24">
        <f t="shared" si="107"/>
        <v>0</v>
      </c>
      <c r="I141" s="24">
        <f t="shared" si="114"/>
        <v>136563.25000000006</v>
      </c>
      <c r="J141" s="24">
        <f t="shared" si="105"/>
        <v>0</v>
      </c>
      <c r="K141" s="24">
        <f t="shared" si="108"/>
        <v>0</v>
      </c>
      <c r="L141" s="24">
        <f t="shared" si="111"/>
        <v>0</v>
      </c>
      <c r="M141" s="24">
        <f t="shared" si="85"/>
        <v>0</v>
      </c>
      <c r="N141" s="24">
        <f t="shared" si="86"/>
        <v>0</v>
      </c>
      <c r="O141" s="24">
        <f t="shared" si="112"/>
        <v>0</v>
      </c>
      <c r="P141" s="24">
        <f t="shared" si="113"/>
        <v>0</v>
      </c>
      <c r="Q141" s="24">
        <f t="shared" si="109"/>
        <v>0</v>
      </c>
      <c r="R141" s="36">
        <f t="shared" si="81"/>
        <v>0</v>
      </c>
      <c r="S141" s="36">
        <f t="shared" si="110"/>
        <v>0</v>
      </c>
      <c r="T141" s="2">
        <f t="shared" si="101"/>
        <v>0</v>
      </c>
      <c r="U141" s="34">
        <f t="shared" si="92"/>
        <v>0</v>
      </c>
      <c r="V141" s="57">
        <f t="shared" si="102"/>
        <v>58455</v>
      </c>
      <c r="W141" s="16">
        <f t="shared" si="103"/>
        <v>92</v>
      </c>
      <c r="AI141" s="2">
        <f t="shared" si="88"/>
        <v>0</v>
      </c>
      <c r="AJ141" s="34">
        <f t="shared" si="93"/>
        <v>0</v>
      </c>
      <c r="AK141" s="57">
        <f t="shared" si="94"/>
        <v>58455</v>
      </c>
      <c r="BB141" s="2" t="e">
        <f t="shared" si="89"/>
        <v>#VALUE!</v>
      </c>
    </row>
    <row r="142" spans="5:54" x14ac:dyDescent="0.25">
      <c r="E142" s="767">
        <f t="shared" si="115"/>
        <v>134</v>
      </c>
      <c r="F142" s="768">
        <f t="shared" si="106"/>
        <v>49392</v>
      </c>
      <c r="G142" s="24">
        <f t="shared" si="104"/>
        <v>0</v>
      </c>
      <c r="H142" s="24">
        <f t="shared" si="107"/>
        <v>0</v>
      </c>
      <c r="I142" s="24">
        <f t="shared" si="114"/>
        <v>136563.25000000006</v>
      </c>
      <c r="J142" s="24">
        <f t="shared" si="105"/>
        <v>0</v>
      </c>
      <c r="K142" s="24">
        <f t="shared" si="108"/>
        <v>0</v>
      </c>
      <c r="L142" s="24">
        <f t="shared" si="111"/>
        <v>0</v>
      </c>
      <c r="M142" s="24">
        <f t="shared" si="85"/>
        <v>0</v>
      </c>
      <c r="N142" s="24">
        <f t="shared" si="86"/>
        <v>0</v>
      </c>
      <c r="O142" s="24">
        <f t="shared" si="112"/>
        <v>0</v>
      </c>
      <c r="P142" s="24">
        <f t="shared" si="113"/>
        <v>0</v>
      </c>
      <c r="Q142" s="24">
        <f t="shared" si="109"/>
        <v>0</v>
      </c>
      <c r="R142" s="36">
        <f t="shared" ref="R142:R159" si="116">IF((R141-1)&lt;0,0,R141-1)</f>
        <v>0</v>
      </c>
      <c r="S142" s="36">
        <f t="shared" si="110"/>
        <v>0</v>
      </c>
      <c r="T142" s="2">
        <f t="shared" si="101"/>
        <v>0</v>
      </c>
      <c r="U142" s="34">
        <f t="shared" si="92"/>
        <v>0</v>
      </c>
      <c r="V142" s="57">
        <f t="shared" si="102"/>
        <v>58455</v>
      </c>
      <c r="W142" s="16">
        <f t="shared" si="103"/>
        <v>93</v>
      </c>
      <c r="AI142" s="2">
        <f t="shared" si="88"/>
        <v>0</v>
      </c>
      <c r="AJ142" s="34">
        <f t="shared" si="93"/>
        <v>0</v>
      </c>
      <c r="AK142" s="57">
        <f t="shared" si="94"/>
        <v>58455</v>
      </c>
      <c r="BB142" s="2" t="e">
        <f t="shared" si="89"/>
        <v>#VALUE!</v>
      </c>
    </row>
    <row r="143" spans="5:54" x14ac:dyDescent="0.25">
      <c r="E143" s="767">
        <f t="shared" si="115"/>
        <v>135</v>
      </c>
      <c r="F143" s="768">
        <f t="shared" si="106"/>
        <v>49423</v>
      </c>
      <c r="G143" s="24">
        <f t="shared" si="104"/>
        <v>0</v>
      </c>
      <c r="H143" s="24">
        <f t="shared" si="107"/>
        <v>0</v>
      </c>
      <c r="I143" s="24">
        <f t="shared" si="114"/>
        <v>136563.25000000006</v>
      </c>
      <c r="J143" s="24">
        <f t="shared" si="105"/>
        <v>0</v>
      </c>
      <c r="K143" s="24">
        <f t="shared" si="108"/>
        <v>0</v>
      </c>
      <c r="L143" s="24">
        <f t="shared" si="111"/>
        <v>0</v>
      </c>
      <c r="M143" s="24">
        <f t="shared" si="85"/>
        <v>0</v>
      </c>
      <c r="N143" s="24">
        <f t="shared" si="86"/>
        <v>0</v>
      </c>
      <c r="O143" s="24">
        <f t="shared" si="112"/>
        <v>0</v>
      </c>
      <c r="P143" s="24">
        <f t="shared" si="113"/>
        <v>0</v>
      </c>
      <c r="Q143" s="24">
        <f t="shared" si="109"/>
        <v>0</v>
      </c>
      <c r="R143" s="36">
        <f t="shared" si="116"/>
        <v>0</v>
      </c>
      <c r="S143" s="36">
        <f t="shared" si="110"/>
        <v>0</v>
      </c>
      <c r="T143" s="2">
        <f t="shared" si="101"/>
        <v>0</v>
      </c>
      <c r="U143" s="34">
        <f t="shared" si="92"/>
        <v>0</v>
      </c>
      <c r="V143" s="57">
        <f t="shared" si="102"/>
        <v>58455</v>
      </c>
      <c r="W143" s="16">
        <f t="shared" si="103"/>
        <v>94</v>
      </c>
      <c r="AI143" s="2">
        <f t="shared" si="88"/>
        <v>0</v>
      </c>
      <c r="AJ143" s="34">
        <f t="shared" si="93"/>
        <v>0</v>
      </c>
      <c r="AK143" s="57">
        <f t="shared" si="94"/>
        <v>58455</v>
      </c>
      <c r="BB143" s="2" t="e">
        <f t="shared" si="89"/>
        <v>#VALUE!</v>
      </c>
    </row>
    <row r="144" spans="5:54" x14ac:dyDescent="0.25">
      <c r="E144" s="767">
        <f t="shared" si="115"/>
        <v>136</v>
      </c>
      <c r="F144" s="768">
        <f t="shared" si="106"/>
        <v>49453</v>
      </c>
      <c r="G144" s="24">
        <f t="shared" si="104"/>
        <v>0</v>
      </c>
      <c r="H144" s="24">
        <f t="shared" si="107"/>
        <v>0</v>
      </c>
      <c r="I144" s="24">
        <f t="shared" si="114"/>
        <v>136563.25000000006</v>
      </c>
      <c r="J144" s="24">
        <f t="shared" si="105"/>
        <v>0</v>
      </c>
      <c r="K144" s="24">
        <f t="shared" si="108"/>
        <v>0</v>
      </c>
      <c r="L144" s="24">
        <f t="shared" si="111"/>
        <v>0</v>
      </c>
      <c r="M144" s="24">
        <f t="shared" si="85"/>
        <v>0</v>
      </c>
      <c r="N144" s="24">
        <f t="shared" si="86"/>
        <v>0</v>
      </c>
      <c r="O144" s="24">
        <f t="shared" si="112"/>
        <v>0</v>
      </c>
      <c r="P144" s="24">
        <f t="shared" si="113"/>
        <v>0</v>
      </c>
      <c r="Q144" s="24">
        <f t="shared" si="109"/>
        <v>0</v>
      </c>
      <c r="R144" s="36">
        <f t="shared" si="116"/>
        <v>0</v>
      </c>
      <c r="S144" s="36">
        <f t="shared" si="110"/>
        <v>0</v>
      </c>
      <c r="T144" s="2">
        <f t="shared" si="101"/>
        <v>0</v>
      </c>
      <c r="U144" s="34">
        <f t="shared" si="92"/>
        <v>0</v>
      </c>
      <c r="V144" s="57">
        <f t="shared" si="102"/>
        <v>58455</v>
      </c>
      <c r="W144" s="16">
        <f t="shared" si="103"/>
        <v>95</v>
      </c>
      <c r="AI144" s="2">
        <f t="shared" si="88"/>
        <v>0</v>
      </c>
      <c r="AJ144" s="34">
        <f t="shared" si="93"/>
        <v>0</v>
      </c>
      <c r="AK144" s="57">
        <f t="shared" si="94"/>
        <v>58455</v>
      </c>
      <c r="BB144" s="2" t="e">
        <f t="shared" si="89"/>
        <v>#VALUE!</v>
      </c>
    </row>
    <row r="145" spans="5:54" x14ac:dyDescent="0.25">
      <c r="E145" s="767">
        <f t="shared" si="115"/>
        <v>137</v>
      </c>
      <c r="F145" s="768">
        <f t="shared" si="106"/>
        <v>49484</v>
      </c>
      <c r="G145" s="24">
        <f t="shared" si="104"/>
        <v>0</v>
      </c>
      <c r="H145" s="24">
        <f t="shared" si="107"/>
        <v>0</v>
      </c>
      <c r="I145" s="24">
        <f t="shared" si="114"/>
        <v>136563.25000000006</v>
      </c>
      <c r="J145" s="24">
        <f t="shared" si="105"/>
        <v>0</v>
      </c>
      <c r="K145" s="24">
        <f t="shared" si="108"/>
        <v>0</v>
      </c>
      <c r="L145" s="24">
        <f t="shared" si="111"/>
        <v>0</v>
      </c>
      <c r="M145" s="24">
        <f t="shared" si="85"/>
        <v>0</v>
      </c>
      <c r="N145" s="24">
        <f t="shared" si="86"/>
        <v>0</v>
      </c>
      <c r="O145" s="24">
        <f t="shared" si="112"/>
        <v>0</v>
      </c>
      <c r="P145" s="24">
        <f t="shared" si="113"/>
        <v>0</v>
      </c>
      <c r="Q145" s="24">
        <f t="shared" si="109"/>
        <v>0</v>
      </c>
      <c r="R145" s="36">
        <f t="shared" si="116"/>
        <v>0</v>
      </c>
      <c r="S145" s="36">
        <f t="shared" si="110"/>
        <v>0</v>
      </c>
      <c r="T145" s="2">
        <f t="shared" si="101"/>
        <v>0</v>
      </c>
      <c r="U145" s="34">
        <f t="shared" si="92"/>
        <v>0</v>
      </c>
      <c r="V145" s="57">
        <f t="shared" si="102"/>
        <v>58455</v>
      </c>
      <c r="W145" s="16">
        <f t="shared" si="103"/>
        <v>96</v>
      </c>
      <c r="AI145" s="2">
        <f t="shared" si="88"/>
        <v>0</v>
      </c>
      <c r="AJ145" s="34">
        <f t="shared" si="93"/>
        <v>0</v>
      </c>
      <c r="AK145" s="57">
        <f t="shared" si="94"/>
        <v>58455</v>
      </c>
      <c r="BB145" s="2" t="e">
        <f t="shared" si="89"/>
        <v>#VALUE!</v>
      </c>
    </row>
    <row r="146" spans="5:54" x14ac:dyDescent="0.25">
      <c r="E146" s="767">
        <f t="shared" si="115"/>
        <v>138</v>
      </c>
      <c r="F146" s="768">
        <f t="shared" si="106"/>
        <v>49514</v>
      </c>
      <c r="G146" s="24">
        <f t="shared" si="104"/>
        <v>0</v>
      </c>
      <c r="H146" s="24">
        <f t="shared" si="107"/>
        <v>0</v>
      </c>
      <c r="I146" s="24">
        <f t="shared" si="114"/>
        <v>136563.25000000006</v>
      </c>
      <c r="J146" s="24">
        <f t="shared" si="105"/>
        <v>0</v>
      </c>
      <c r="K146" s="24">
        <f t="shared" si="108"/>
        <v>0</v>
      </c>
      <c r="L146" s="24">
        <f t="shared" si="111"/>
        <v>0</v>
      </c>
      <c r="M146" s="24">
        <f t="shared" si="85"/>
        <v>0</v>
      </c>
      <c r="N146" s="24">
        <f t="shared" si="86"/>
        <v>0</v>
      </c>
      <c r="O146" s="24">
        <f t="shared" si="112"/>
        <v>0</v>
      </c>
      <c r="P146" s="24">
        <f t="shared" si="113"/>
        <v>0</v>
      </c>
      <c r="Q146" s="24">
        <f t="shared" si="109"/>
        <v>0</v>
      </c>
      <c r="R146" s="36">
        <f t="shared" si="116"/>
        <v>0</v>
      </c>
      <c r="S146" s="36">
        <f t="shared" si="110"/>
        <v>0</v>
      </c>
      <c r="T146" s="2">
        <f t="shared" si="101"/>
        <v>0</v>
      </c>
      <c r="U146" s="34">
        <f t="shared" si="92"/>
        <v>0</v>
      </c>
      <c r="V146" s="57">
        <f t="shared" si="102"/>
        <v>58455</v>
      </c>
      <c r="W146" s="16">
        <f t="shared" si="103"/>
        <v>97</v>
      </c>
      <c r="AI146" s="2">
        <f t="shared" si="88"/>
        <v>0</v>
      </c>
      <c r="AJ146" s="34">
        <f t="shared" si="93"/>
        <v>0</v>
      </c>
      <c r="AK146" s="57">
        <f t="shared" si="94"/>
        <v>58455</v>
      </c>
      <c r="BB146" s="2" t="e">
        <f t="shared" si="89"/>
        <v>#VALUE!</v>
      </c>
    </row>
    <row r="147" spans="5:54" x14ac:dyDescent="0.25">
      <c r="E147" s="767">
        <f t="shared" si="115"/>
        <v>139</v>
      </c>
      <c r="F147" s="768">
        <f t="shared" si="106"/>
        <v>49545</v>
      </c>
      <c r="G147" s="24">
        <f t="shared" si="104"/>
        <v>0</v>
      </c>
      <c r="H147" s="24">
        <f t="shared" si="107"/>
        <v>0</v>
      </c>
      <c r="I147" s="24">
        <f t="shared" si="114"/>
        <v>136563.25000000006</v>
      </c>
      <c r="J147" s="24">
        <f t="shared" si="105"/>
        <v>0</v>
      </c>
      <c r="K147" s="24">
        <f t="shared" si="108"/>
        <v>0</v>
      </c>
      <c r="L147" s="24">
        <f t="shared" si="111"/>
        <v>0</v>
      </c>
      <c r="M147" s="24">
        <f t="shared" si="85"/>
        <v>0</v>
      </c>
      <c r="N147" s="24">
        <f t="shared" si="86"/>
        <v>0</v>
      </c>
      <c r="O147" s="24">
        <f t="shared" si="112"/>
        <v>0</v>
      </c>
      <c r="P147" s="24">
        <f t="shared" si="113"/>
        <v>0</v>
      </c>
      <c r="Q147" s="24">
        <f t="shared" si="109"/>
        <v>0</v>
      </c>
      <c r="R147" s="36">
        <f t="shared" si="116"/>
        <v>0</v>
      </c>
      <c r="S147" s="36">
        <f t="shared" si="110"/>
        <v>0</v>
      </c>
      <c r="T147" s="2">
        <f t="shared" si="101"/>
        <v>0</v>
      </c>
      <c r="U147" s="34">
        <f t="shared" si="92"/>
        <v>0</v>
      </c>
      <c r="V147" s="57">
        <f t="shared" si="102"/>
        <v>58455</v>
      </c>
      <c r="W147" s="16">
        <f t="shared" si="103"/>
        <v>98</v>
      </c>
      <c r="AI147" s="2">
        <f t="shared" si="88"/>
        <v>0</v>
      </c>
      <c r="AJ147" s="34">
        <f t="shared" si="93"/>
        <v>0</v>
      </c>
      <c r="AK147" s="57">
        <f t="shared" si="94"/>
        <v>58455</v>
      </c>
      <c r="BB147" s="2" t="e">
        <f t="shared" si="89"/>
        <v>#VALUE!</v>
      </c>
    </row>
    <row r="148" spans="5:54" x14ac:dyDescent="0.25">
      <c r="E148" s="767">
        <f t="shared" si="115"/>
        <v>140</v>
      </c>
      <c r="F148" s="768">
        <f t="shared" si="106"/>
        <v>49576</v>
      </c>
      <c r="G148" s="24">
        <f t="shared" si="104"/>
        <v>0</v>
      </c>
      <c r="H148" s="24">
        <f t="shared" si="107"/>
        <v>0</v>
      </c>
      <c r="I148" s="24">
        <f t="shared" si="114"/>
        <v>136563.25000000006</v>
      </c>
      <c r="J148" s="24">
        <f t="shared" si="105"/>
        <v>0</v>
      </c>
      <c r="K148" s="24">
        <f t="shared" si="108"/>
        <v>0</v>
      </c>
      <c r="L148" s="24">
        <f t="shared" si="111"/>
        <v>0</v>
      </c>
      <c r="M148" s="24">
        <f t="shared" si="85"/>
        <v>0</v>
      </c>
      <c r="N148" s="24">
        <f t="shared" si="86"/>
        <v>0</v>
      </c>
      <c r="O148" s="24">
        <f t="shared" si="112"/>
        <v>0</v>
      </c>
      <c r="P148" s="24">
        <f t="shared" si="113"/>
        <v>0</v>
      </c>
      <c r="Q148" s="24">
        <f t="shared" si="109"/>
        <v>0</v>
      </c>
      <c r="R148" s="36">
        <f t="shared" si="116"/>
        <v>0</v>
      </c>
      <c r="S148" s="36">
        <f t="shared" si="110"/>
        <v>0</v>
      </c>
      <c r="T148" s="2">
        <f t="shared" si="101"/>
        <v>0</v>
      </c>
      <c r="U148" s="34">
        <f t="shared" si="92"/>
        <v>0</v>
      </c>
      <c r="V148" s="57">
        <f t="shared" si="102"/>
        <v>58455</v>
      </c>
      <c r="W148" s="16">
        <f t="shared" si="103"/>
        <v>99</v>
      </c>
      <c r="AI148" s="2">
        <f t="shared" si="88"/>
        <v>0</v>
      </c>
      <c r="AJ148" s="34">
        <f t="shared" si="93"/>
        <v>0</v>
      </c>
      <c r="AK148" s="57">
        <f t="shared" si="94"/>
        <v>58455</v>
      </c>
      <c r="BB148" s="2" t="e">
        <f t="shared" si="89"/>
        <v>#VALUE!</v>
      </c>
    </row>
    <row r="149" spans="5:54" x14ac:dyDescent="0.25">
      <c r="E149" s="767">
        <f t="shared" si="115"/>
        <v>141</v>
      </c>
      <c r="F149" s="768">
        <f t="shared" si="106"/>
        <v>49606</v>
      </c>
      <c r="G149" s="24">
        <f t="shared" si="104"/>
        <v>0</v>
      </c>
      <c r="H149" s="24">
        <f t="shared" si="107"/>
        <v>0</v>
      </c>
      <c r="I149" s="24">
        <f t="shared" si="114"/>
        <v>136563.25000000006</v>
      </c>
      <c r="J149" s="24">
        <f t="shared" si="105"/>
        <v>0</v>
      </c>
      <c r="K149" s="24">
        <f t="shared" si="108"/>
        <v>0</v>
      </c>
      <c r="L149" s="24">
        <f t="shared" si="111"/>
        <v>0</v>
      </c>
      <c r="M149" s="24">
        <f t="shared" si="85"/>
        <v>0</v>
      </c>
      <c r="N149" s="24">
        <f t="shared" si="86"/>
        <v>0</v>
      </c>
      <c r="O149" s="24">
        <f t="shared" si="112"/>
        <v>0</v>
      </c>
      <c r="P149" s="24">
        <f t="shared" si="113"/>
        <v>0</v>
      </c>
      <c r="Q149" s="24">
        <f t="shared" si="109"/>
        <v>0</v>
      </c>
      <c r="R149" s="36">
        <f t="shared" si="116"/>
        <v>0</v>
      </c>
      <c r="S149" s="36">
        <f t="shared" si="110"/>
        <v>0</v>
      </c>
      <c r="T149" s="2">
        <f t="shared" si="101"/>
        <v>0</v>
      </c>
      <c r="U149" s="34">
        <f t="shared" si="92"/>
        <v>0</v>
      </c>
      <c r="V149" s="57">
        <f t="shared" si="102"/>
        <v>58455</v>
      </c>
      <c r="W149" s="16">
        <f t="shared" si="103"/>
        <v>100</v>
      </c>
      <c r="AI149" s="2">
        <f t="shared" si="88"/>
        <v>0</v>
      </c>
      <c r="AJ149" s="34">
        <f t="shared" si="93"/>
        <v>0</v>
      </c>
      <c r="AK149" s="57">
        <f t="shared" si="94"/>
        <v>58455</v>
      </c>
      <c r="BB149" s="2" t="e">
        <f t="shared" si="89"/>
        <v>#VALUE!</v>
      </c>
    </row>
    <row r="150" spans="5:54" x14ac:dyDescent="0.25">
      <c r="E150" s="767">
        <f t="shared" si="115"/>
        <v>142</v>
      </c>
      <c r="F150" s="768">
        <f t="shared" si="106"/>
        <v>49637</v>
      </c>
      <c r="G150" s="24">
        <f t="shared" si="104"/>
        <v>0</v>
      </c>
      <c r="H150" s="24">
        <f t="shared" si="107"/>
        <v>0</v>
      </c>
      <c r="I150" s="24">
        <f t="shared" si="114"/>
        <v>136563.25000000006</v>
      </c>
      <c r="J150" s="24">
        <f t="shared" si="105"/>
        <v>0</v>
      </c>
      <c r="K150" s="24">
        <f t="shared" si="108"/>
        <v>0</v>
      </c>
      <c r="L150" s="24">
        <f t="shared" si="111"/>
        <v>0</v>
      </c>
      <c r="M150" s="24">
        <f t="shared" si="85"/>
        <v>0</v>
      </c>
      <c r="N150" s="24">
        <f t="shared" si="86"/>
        <v>0</v>
      </c>
      <c r="O150" s="24">
        <f t="shared" si="112"/>
        <v>0</v>
      </c>
      <c r="P150" s="24">
        <f t="shared" si="113"/>
        <v>0</v>
      </c>
      <c r="Q150" s="24">
        <f t="shared" si="109"/>
        <v>0</v>
      </c>
      <c r="R150" s="36">
        <f t="shared" si="116"/>
        <v>0</v>
      </c>
      <c r="S150" s="36">
        <f t="shared" si="110"/>
        <v>0</v>
      </c>
      <c r="T150" s="2">
        <f t="shared" si="101"/>
        <v>0</v>
      </c>
      <c r="U150" s="34">
        <f t="shared" si="92"/>
        <v>0</v>
      </c>
      <c r="V150" s="57">
        <f t="shared" si="102"/>
        <v>58455</v>
      </c>
      <c r="W150" s="16">
        <f t="shared" si="103"/>
        <v>101</v>
      </c>
      <c r="AI150" s="35">
        <f>SUM(AI50:AI149)</f>
        <v>131569.67999999996</v>
      </c>
      <c r="AJ150" s="35">
        <f>SUM(AJ50:AJ149)</f>
        <v>468545.6</v>
      </c>
      <c r="AK150" s="154">
        <f>XIRR(AJ48:AJ149,AK48:AK149)*12</f>
        <v>0.31745971441268922</v>
      </c>
      <c r="BB150" s="2" t="e">
        <f t="shared" si="89"/>
        <v>#VALUE!</v>
      </c>
    </row>
    <row r="151" spans="5:54" x14ac:dyDescent="0.25">
      <c r="E151" s="767">
        <f t="shared" si="115"/>
        <v>143</v>
      </c>
      <c r="F151" s="768">
        <f t="shared" si="106"/>
        <v>49667</v>
      </c>
      <c r="G151" s="24">
        <f t="shared" si="104"/>
        <v>0</v>
      </c>
      <c r="H151" s="24">
        <f t="shared" si="107"/>
        <v>0</v>
      </c>
      <c r="I151" s="24">
        <f t="shared" si="114"/>
        <v>136563.25000000006</v>
      </c>
      <c r="J151" s="24">
        <f t="shared" si="105"/>
        <v>0</v>
      </c>
      <c r="K151" s="24">
        <f t="shared" si="108"/>
        <v>0</v>
      </c>
      <c r="L151" s="24">
        <f t="shared" si="111"/>
        <v>0</v>
      </c>
      <c r="M151" s="24">
        <f t="shared" ref="M151:M159" si="117">O150-L150</f>
        <v>0</v>
      </c>
      <c r="N151" s="24">
        <f t="shared" ref="N151:N159" si="118">H151+O151</f>
        <v>0</v>
      </c>
      <c r="O151" s="24">
        <f t="shared" si="112"/>
        <v>0</v>
      </c>
      <c r="P151" s="24">
        <f t="shared" si="113"/>
        <v>0</v>
      </c>
      <c r="Q151" s="24">
        <f t="shared" si="109"/>
        <v>0</v>
      </c>
      <c r="R151" s="36">
        <f t="shared" si="116"/>
        <v>0</v>
      </c>
      <c r="S151" s="36">
        <f t="shared" si="110"/>
        <v>0</v>
      </c>
      <c r="T151" s="2">
        <f t="shared" si="101"/>
        <v>0</v>
      </c>
      <c r="U151" s="34">
        <f t="shared" si="92"/>
        <v>0</v>
      </c>
      <c r="V151" s="57">
        <f t="shared" si="102"/>
        <v>58455</v>
      </c>
      <c r="W151" s="16">
        <f t="shared" si="103"/>
        <v>102</v>
      </c>
      <c r="BB151" s="2" t="e">
        <f t="shared" si="89"/>
        <v>#VALUE!</v>
      </c>
    </row>
    <row r="152" spans="5:54" x14ac:dyDescent="0.25">
      <c r="E152" s="767">
        <f t="shared" si="115"/>
        <v>144</v>
      </c>
      <c r="F152" s="768">
        <f t="shared" si="106"/>
        <v>49698</v>
      </c>
      <c r="G152" s="24">
        <f t="shared" si="104"/>
        <v>0</v>
      </c>
      <c r="H152" s="24">
        <f t="shared" si="107"/>
        <v>0</v>
      </c>
      <c r="I152" s="24">
        <f t="shared" si="114"/>
        <v>136563.25000000006</v>
      </c>
      <c r="J152" s="24">
        <f t="shared" si="105"/>
        <v>0</v>
      </c>
      <c r="K152" s="24">
        <f t="shared" si="108"/>
        <v>0</v>
      </c>
      <c r="L152" s="24">
        <f t="shared" si="111"/>
        <v>0</v>
      </c>
      <c r="M152" s="24">
        <f t="shared" si="117"/>
        <v>0</v>
      </c>
      <c r="N152" s="24">
        <f t="shared" si="118"/>
        <v>0</v>
      </c>
      <c r="O152" s="24">
        <f t="shared" si="112"/>
        <v>0</v>
      </c>
      <c r="P152" s="24">
        <f t="shared" si="113"/>
        <v>0</v>
      </c>
      <c r="Q152" s="24">
        <f t="shared" si="109"/>
        <v>0</v>
      </c>
      <c r="R152" s="36">
        <f t="shared" si="116"/>
        <v>0</v>
      </c>
      <c r="S152" s="36">
        <f t="shared" si="110"/>
        <v>0</v>
      </c>
      <c r="T152" s="2">
        <f t="shared" si="101"/>
        <v>0</v>
      </c>
      <c r="U152" s="34">
        <f t="shared" si="92"/>
        <v>0</v>
      </c>
      <c r="V152" s="57">
        <f t="shared" si="102"/>
        <v>58455</v>
      </c>
      <c r="W152" s="16">
        <f t="shared" si="103"/>
        <v>103</v>
      </c>
      <c r="BB152" s="2" t="e">
        <f t="shared" si="89"/>
        <v>#VALUE!</v>
      </c>
    </row>
    <row r="153" spans="5:54" x14ac:dyDescent="0.25">
      <c r="E153" s="767">
        <f t="shared" si="115"/>
        <v>145</v>
      </c>
      <c r="F153" s="768">
        <f t="shared" si="106"/>
        <v>49729</v>
      </c>
      <c r="G153" s="24">
        <f t="shared" si="104"/>
        <v>0</v>
      </c>
      <c r="H153" s="24">
        <f t="shared" si="107"/>
        <v>0</v>
      </c>
      <c r="I153" s="24">
        <f t="shared" si="114"/>
        <v>136563.25000000006</v>
      </c>
      <c r="J153" s="24">
        <f t="shared" si="105"/>
        <v>0</v>
      </c>
      <c r="K153" s="24">
        <f t="shared" si="108"/>
        <v>0</v>
      </c>
      <c r="L153" s="24">
        <f t="shared" si="111"/>
        <v>0</v>
      </c>
      <c r="M153" s="24">
        <f t="shared" si="117"/>
        <v>0</v>
      </c>
      <c r="N153" s="24">
        <f t="shared" si="118"/>
        <v>0</v>
      </c>
      <c r="O153" s="24">
        <f t="shared" si="112"/>
        <v>0</v>
      </c>
      <c r="P153" s="24">
        <f t="shared" si="113"/>
        <v>0</v>
      </c>
      <c r="Q153" s="24">
        <f t="shared" si="109"/>
        <v>0</v>
      </c>
      <c r="R153" s="36">
        <f t="shared" si="116"/>
        <v>0</v>
      </c>
      <c r="S153" s="36">
        <f t="shared" si="110"/>
        <v>0</v>
      </c>
      <c r="T153" s="2">
        <f t="shared" si="101"/>
        <v>0</v>
      </c>
      <c r="U153" s="34">
        <f t="shared" si="92"/>
        <v>0</v>
      </c>
      <c r="V153" s="57">
        <f t="shared" si="102"/>
        <v>58455</v>
      </c>
      <c r="W153" s="16">
        <f t="shared" si="103"/>
        <v>104</v>
      </c>
      <c r="BB153" s="2" t="e">
        <f>IF(AND(E158&gt;=$T$14,E158&lt;=$T$14+5),0,IF($C$9&gt;$AC$52,ROUND(AW107*IF($D$23="",0,$D$23)/(DATEVALUE(CONCATENATE("01/01/",YEAR(AN108)+1))-DATEVALUE(CONCATENATE("01/01/",YEAR(AN108))))*(AN108-AN107),2),0))</f>
        <v>#VALUE!</v>
      </c>
    </row>
    <row r="154" spans="5:54" x14ac:dyDescent="0.25">
      <c r="E154" s="767">
        <f t="shared" si="115"/>
        <v>146</v>
      </c>
      <c r="F154" s="768">
        <f t="shared" si="106"/>
        <v>49758</v>
      </c>
      <c r="G154" s="24">
        <f t="shared" si="104"/>
        <v>0</v>
      </c>
      <c r="H154" s="24">
        <f t="shared" si="107"/>
        <v>0</v>
      </c>
      <c r="I154" s="24">
        <f t="shared" si="114"/>
        <v>136563.25000000006</v>
      </c>
      <c r="J154" s="24">
        <f t="shared" si="105"/>
        <v>0</v>
      </c>
      <c r="K154" s="24">
        <f t="shared" si="108"/>
        <v>0</v>
      </c>
      <c r="L154" s="24">
        <f t="shared" si="111"/>
        <v>0</v>
      </c>
      <c r="M154" s="24">
        <f t="shared" si="117"/>
        <v>0</v>
      </c>
      <c r="N154" s="24">
        <f t="shared" si="118"/>
        <v>0</v>
      </c>
      <c r="O154" s="24">
        <f t="shared" si="112"/>
        <v>0</v>
      </c>
      <c r="P154" s="24">
        <f t="shared" si="113"/>
        <v>0</v>
      </c>
      <c r="Q154" s="24">
        <f t="shared" si="109"/>
        <v>0</v>
      </c>
      <c r="R154" s="36">
        <f t="shared" si="116"/>
        <v>0</v>
      </c>
      <c r="S154" s="36">
        <f t="shared" si="110"/>
        <v>0</v>
      </c>
      <c r="T154" s="2">
        <f t="shared" si="101"/>
        <v>0</v>
      </c>
      <c r="U154" s="34">
        <f t="shared" si="92"/>
        <v>0</v>
      </c>
      <c r="V154" s="57">
        <f t="shared" si="102"/>
        <v>58455</v>
      </c>
      <c r="W154" s="16">
        <f t="shared" si="103"/>
        <v>105</v>
      </c>
      <c r="BB154" s="2" t="e">
        <f>IF(AND(E159&gt;=$T$14,E159&lt;=$T$14+5),0,IF($C$9&gt;$AC$52,ROUND(AW108*IF($D$23="",0,$D$23)/(DATEVALUE(CONCATENATE("01/01/",YEAR(AN109)+1))-DATEVALUE(CONCATENATE("01/01/",YEAR(AN109))))*(AN109-AN108),2),0))</f>
        <v>#VALUE!</v>
      </c>
    </row>
    <row r="155" spans="5:54" x14ac:dyDescent="0.25">
      <c r="E155" s="767">
        <f t="shared" si="115"/>
        <v>147</v>
      </c>
      <c r="F155" s="768">
        <f t="shared" si="106"/>
        <v>49789</v>
      </c>
      <c r="G155" s="24">
        <f t="shared" si="104"/>
        <v>0</v>
      </c>
      <c r="H155" s="24">
        <f t="shared" si="107"/>
        <v>0</v>
      </c>
      <c r="I155" s="24">
        <f t="shared" si="114"/>
        <v>136563.25000000006</v>
      </c>
      <c r="J155" s="24">
        <f t="shared" si="105"/>
        <v>0</v>
      </c>
      <c r="K155" s="24">
        <f t="shared" si="108"/>
        <v>0</v>
      </c>
      <c r="L155" s="24">
        <f t="shared" si="111"/>
        <v>0</v>
      </c>
      <c r="M155" s="24">
        <f t="shared" si="117"/>
        <v>0</v>
      </c>
      <c r="N155" s="24">
        <f t="shared" si="118"/>
        <v>0</v>
      </c>
      <c r="O155" s="24">
        <f t="shared" si="112"/>
        <v>0</v>
      </c>
      <c r="P155" s="24">
        <f t="shared" si="113"/>
        <v>0</v>
      </c>
      <c r="Q155" s="24">
        <f t="shared" si="109"/>
        <v>0</v>
      </c>
      <c r="R155" s="36">
        <f t="shared" si="116"/>
        <v>0</v>
      </c>
      <c r="S155" s="36">
        <f t="shared" si="110"/>
        <v>0</v>
      </c>
      <c r="T155" s="2">
        <f t="shared" si="101"/>
        <v>0</v>
      </c>
      <c r="U155" s="34">
        <f t="shared" si="92"/>
        <v>0</v>
      </c>
      <c r="V155" s="57">
        <f t="shared" si="102"/>
        <v>58455</v>
      </c>
      <c r="W155" s="16">
        <f t="shared" si="103"/>
        <v>106</v>
      </c>
      <c r="BB155" s="35" t="e">
        <f>SUM(BB55:BB154)</f>
        <v>#VALUE!</v>
      </c>
    </row>
    <row r="156" spans="5:54" x14ac:dyDescent="0.25">
      <c r="E156" s="767">
        <f t="shared" si="115"/>
        <v>148</v>
      </c>
      <c r="F156" s="768">
        <f t="shared" si="106"/>
        <v>49819</v>
      </c>
      <c r="G156" s="24">
        <f t="shared" si="104"/>
        <v>0</v>
      </c>
      <c r="H156" s="24">
        <f t="shared" si="107"/>
        <v>0</v>
      </c>
      <c r="I156" s="24">
        <f t="shared" si="114"/>
        <v>136563.25000000006</v>
      </c>
      <c r="J156" s="24">
        <f t="shared" si="105"/>
        <v>0</v>
      </c>
      <c r="K156" s="24">
        <f t="shared" si="108"/>
        <v>0</v>
      </c>
      <c r="L156" s="24">
        <f t="shared" si="111"/>
        <v>0</v>
      </c>
      <c r="M156" s="24">
        <f t="shared" si="117"/>
        <v>0</v>
      </c>
      <c r="N156" s="24">
        <f t="shared" si="118"/>
        <v>0</v>
      </c>
      <c r="O156" s="24">
        <f t="shared" si="112"/>
        <v>0</v>
      </c>
      <c r="P156" s="24">
        <f t="shared" si="113"/>
        <v>0</v>
      </c>
      <c r="Q156" s="24">
        <f t="shared" si="109"/>
        <v>0</v>
      </c>
      <c r="R156" s="36">
        <f t="shared" si="116"/>
        <v>0</v>
      </c>
      <c r="S156" s="36">
        <f t="shared" si="110"/>
        <v>0</v>
      </c>
      <c r="T156" s="2">
        <f t="shared" si="101"/>
        <v>0</v>
      </c>
      <c r="U156" s="34">
        <f t="shared" si="92"/>
        <v>0</v>
      </c>
      <c r="V156" s="57">
        <f t="shared" si="102"/>
        <v>58455</v>
      </c>
      <c r="W156" s="16">
        <f t="shared" si="103"/>
        <v>107</v>
      </c>
    </row>
    <row r="157" spans="5:54" x14ac:dyDescent="0.25">
      <c r="E157" s="767">
        <f t="shared" si="115"/>
        <v>149</v>
      </c>
      <c r="F157" s="768">
        <f t="shared" si="106"/>
        <v>49850</v>
      </c>
      <c r="G157" s="24">
        <f t="shared" si="104"/>
        <v>0</v>
      </c>
      <c r="H157" s="24">
        <f t="shared" si="107"/>
        <v>0</v>
      </c>
      <c r="I157" s="24">
        <f t="shared" si="114"/>
        <v>136563.25000000006</v>
      </c>
      <c r="J157" s="24">
        <f t="shared" si="105"/>
        <v>0</v>
      </c>
      <c r="K157" s="24">
        <f t="shared" si="108"/>
        <v>0</v>
      </c>
      <c r="L157" s="24">
        <f t="shared" si="111"/>
        <v>0</v>
      </c>
      <c r="M157" s="24">
        <f t="shared" si="117"/>
        <v>0</v>
      </c>
      <c r="N157" s="24">
        <f t="shared" si="118"/>
        <v>0</v>
      </c>
      <c r="O157" s="24">
        <f>IF(S157=0,0,0)</f>
        <v>0</v>
      </c>
      <c r="P157" s="24">
        <f t="shared" si="113"/>
        <v>0</v>
      </c>
      <c r="Q157" s="24">
        <f t="shared" si="109"/>
        <v>0</v>
      </c>
      <c r="R157" s="36">
        <f t="shared" si="116"/>
        <v>0</v>
      </c>
      <c r="S157" s="36">
        <f t="shared" si="110"/>
        <v>0</v>
      </c>
      <c r="T157" s="2">
        <f t="shared" si="101"/>
        <v>0</v>
      </c>
      <c r="U157" s="34">
        <f t="shared" si="92"/>
        <v>0</v>
      </c>
      <c r="V157" s="57">
        <f t="shared" si="102"/>
        <v>58455</v>
      </c>
      <c r="W157" s="16">
        <f t="shared" si="103"/>
        <v>108</v>
      </c>
    </row>
    <row r="158" spans="5:54" x14ac:dyDescent="0.25">
      <c r="E158" s="767">
        <f t="shared" si="115"/>
        <v>150</v>
      </c>
      <c r="F158" s="768">
        <f t="shared" si="106"/>
        <v>49880</v>
      </c>
      <c r="G158" s="24">
        <f t="shared" si="104"/>
        <v>0</v>
      </c>
      <c r="H158" s="24">
        <f t="shared" si="107"/>
        <v>0</v>
      </c>
      <c r="I158" s="24">
        <f t="shared" si="114"/>
        <v>136563.25000000006</v>
      </c>
      <c r="J158" s="24">
        <f t="shared" si="105"/>
        <v>0</v>
      </c>
      <c r="K158" s="24">
        <f t="shared" si="108"/>
        <v>0</v>
      </c>
      <c r="L158" s="24">
        <f t="shared" si="111"/>
        <v>0</v>
      </c>
      <c r="M158" s="24">
        <f t="shared" si="117"/>
        <v>0</v>
      </c>
      <c r="N158" s="24">
        <f t="shared" si="118"/>
        <v>0</v>
      </c>
      <c r="O158" s="24">
        <f>IF(S158=0,0,0)</f>
        <v>0</v>
      </c>
      <c r="P158" s="24">
        <f t="shared" si="113"/>
        <v>0</v>
      </c>
      <c r="Q158" s="24">
        <f t="shared" si="109"/>
        <v>0</v>
      </c>
      <c r="R158" s="36">
        <f t="shared" si="116"/>
        <v>0</v>
      </c>
      <c r="S158" s="36">
        <f t="shared" si="110"/>
        <v>0</v>
      </c>
      <c r="T158" s="2">
        <f t="shared" si="101"/>
        <v>0</v>
      </c>
      <c r="U158" s="34">
        <f t="shared" si="92"/>
        <v>0</v>
      </c>
      <c r="V158" s="57">
        <f t="shared" si="102"/>
        <v>58455</v>
      </c>
      <c r="W158" s="16">
        <f t="shared" si="103"/>
        <v>109</v>
      </c>
    </row>
    <row r="159" spans="5:54" x14ac:dyDescent="0.25">
      <c r="E159" s="767">
        <f t="shared" si="115"/>
        <v>151</v>
      </c>
      <c r="F159" s="768">
        <f t="shared" si="106"/>
        <v>49911</v>
      </c>
      <c r="G159" s="24">
        <f t="shared" si="104"/>
        <v>0</v>
      </c>
      <c r="H159" s="24">
        <f t="shared" si="107"/>
        <v>0</v>
      </c>
      <c r="I159" s="24">
        <f t="shared" si="114"/>
        <v>136563.25000000006</v>
      </c>
      <c r="J159" s="24">
        <f t="shared" si="105"/>
        <v>0</v>
      </c>
      <c r="K159" s="24">
        <f t="shared" si="108"/>
        <v>0</v>
      </c>
      <c r="L159" s="24">
        <f t="shared" si="111"/>
        <v>0</v>
      </c>
      <c r="M159" s="24">
        <f t="shared" si="117"/>
        <v>0</v>
      </c>
      <c r="N159" s="24">
        <f t="shared" si="118"/>
        <v>0</v>
      </c>
      <c r="O159" s="24">
        <f>IF(S159=0,0,0)</f>
        <v>0</v>
      </c>
      <c r="P159" s="24">
        <f t="shared" si="113"/>
        <v>0</v>
      </c>
      <c r="Q159" s="24">
        <f t="shared" si="109"/>
        <v>0</v>
      </c>
      <c r="R159" s="36">
        <f t="shared" si="116"/>
        <v>0</v>
      </c>
      <c r="S159" s="36">
        <f t="shared" si="110"/>
        <v>0</v>
      </c>
      <c r="T159" s="2">
        <f t="shared" si="101"/>
        <v>0</v>
      </c>
      <c r="U159" s="34">
        <f t="shared" si="92"/>
        <v>0</v>
      </c>
      <c r="V159" s="57">
        <f t="shared" si="102"/>
        <v>58455</v>
      </c>
      <c r="W159" s="16">
        <f t="shared" si="103"/>
        <v>110</v>
      </c>
    </row>
    <row r="160" spans="5:54" x14ac:dyDescent="0.25">
      <c r="E160" s="797"/>
      <c r="F160" s="795" t="s">
        <v>7</v>
      </c>
      <c r="G160" s="798">
        <f>(SUM(G9:G159)-IF(CODE(C18)=209,AF52,0))</f>
        <v>488542.24999999988</v>
      </c>
      <c r="H160" s="798">
        <f>(SUM(H9:H159)-IF(CODE(D18)=209,AG52,0))</f>
        <v>136563.25000000006</v>
      </c>
      <c r="I160" s="798"/>
      <c r="J160" s="798">
        <f>SUM(J9:J159)</f>
        <v>19174.249999999909</v>
      </c>
      <c r="K160" s="798">
        <f>SUM(K9:K159)</f>
        <v>351978.99999999988</v>
      </c>
      <c r="L160" s="799">
        <f>SUM(L9:L159)</f>
        <v>0</v>
      </c>
      <c r="M160" s="799"/>
      <c r="N160" s="799"/>
      <c r="O160" s="799"/>
      <c r="P160" s="799"/>
      <c r="Q160" s="799"/>
      <c r="R160" s="799"/>
      <c r="S160" s="51"/>
      <c r="T160" s="2">
        <f t="shared" si="101"/>
        <v>0</v>
      </c>
      <c r="U160" s="34">
        <f t="shared" si="92"/>
        <v>0</v>
      </c>
      <c r="V160" s="57">
        <f t="shared" si="102"/>
        <v>58455</v>
      </c>
      <c r="W160" s="16">
        <f t="shared" si="103"/>
        <v>111</v>
      </c>
    </row>
    <row r="161" spans="8:23" x14ac:dyDescent="0.25">
      <c r="T161" s="2">
        <f t="shared" si="101"/>
        <v>0</v>
      </c>
      <c r="U161" s="34">
        <f t="shared" si="92"/>
        <v>0</v>
      </c>
      <c r="V161" s="57">
        <f t="shared" si="102"/>
        <v>58455</v>
      </c>
      <c r="W161" s="16">
        <f t="shared" si="103"/>
        <v>112</v>
      </c>
    </row>
    <row r="162" spans="8:23" x14ac:dyDescent="0.25">
      <c r="H162" s="132"/>
      <c r="T162" s="2">
        <f t="shared" si="101"/>
        <v>0</v>
      </c>
      <c r="U162" s="34">
        <f t="shared" si="92"/>
        <v>0</v>
      </c>
      <c r="V162" s="57">
        <f t="shared" si="102"/>
        <v>58455</v>
      </c>
      <c r="W162" s="16">
        <f t="shared" si="103"/>
        <v>113</v>
      </c>
    </row>
    <row r="163" spans="8:23" x14ac:dyDescent="0.25">
      <c r="T163" s="2">
        <f t="shared" si="101"/>
        <v>0</v>
      </c>
      <c r="U163" s="34">
        <f t="shared" si="92"/>
        <v>0</v>
      </c>
      <c r="V163" s="57">
        <f t="shared" si="102"/>
        <v>58455</v>
      </c>
      <c r="W163" s="16">
        <f t="shared" si="103"/>
        <v>114</v>
      </c>
    </row>
    <row r="164" spans="8:23" x14ac:dyDescent="0.25">
      <c r="T164" s="2">
        <f t="shared" si="101"/>
        <v>0</v>
      </c>
      <c r="U164" s="34">
        <f t="shared" si="92"/>
        <v>0</v>
      </c>
      <c r="V164" s="57">
        <f t="shared" si="102"/>
        <v>58455</v>
      </c>
      <c r="W164" s="16">
        <f t="shared" si="103"/>
        <v>115</v>
      </c>
    </row>
    <row r="165" spans="8:23" x14ac:dyDescent="0.25">
      <c r="T165" s="2">
        <f t="shared" si="101"/>
        <v>0</v>
      </c>
      <c r="U165" s="34">
        <f t="shared" si="92"/>
        <v>0</v>
      </c>
      <c r="V165" s="57">
        <f t="shared" si="102"/>
        <v>58455</v>
      </c>
      <c r="W165" s="16">
        <f t="shared" si="103"/>
        <v>116</v>
      </c>
    </row>
    <row r="166" spans="8:23" x14ac:dyDescent="0.25">
      <c r="T166" s="2">
        <f t="shared" si="101"/>
        <v>0</v>
      </c>
      <c r="U166" s="34">
        <f t="shared" si="92"/>
        <v>0</v>
      </c>
      <c r="V166" s="57">
        <f t="shared" si="102"/>
        <v>58455</v>
      </c>
      <c r="W166" s="16">
        <f t="shared" si="103"/>
        <v>117</v>
      </c>
    </row>
    <row r="167" spans="8:23" x14ac:dyDescent="0.25">
      <c r="T167" s="2">
        <f t="shared" si="101"/>
        <v>0</v>
      </c>
      <c r="U167" s="34">
        <f t="shared" si="92"/>
        <v>0</v>
      </c>
      <c r="V167" s="57">
        <f t="shared" si="102"/>
        <v>58455</v>
      </c>
      <c r="W167" s="16">
        <f t="shared" si="103"/>
        <v>118</v>
      </c>
    </row>
    <row r="168" spans="8:23" x14ac:dyDescent="0.25">
      <c r="T168" s="2">
        <f t="shared" si="101"/>
        <v>0</v>
      </c>
      <c r="U168" s="34">
        <f t="shared" si="92"/>
        <v>0</v>
      </c>
      <c r="V168" s="57">
        <f t="shared" si="102"/>
        <v>58455</v>
      </c>
      <c r="W168" s="16">
        <f t="shared" si="103"/>
        <v>119</v>
      </c>
    </row>
    <row r="169" spans="8:23" x14ac:dyDescent="0.25">
      <c r="T169" s="2">
        <f t="shared" si="101"/>
        <v>0</v>
      </c>
      <c r="U169" s="34">
        <f t="shared" si="92"/>
        <v>0</v>
      </c>
      <c r="V169" s="57">
        <f t="shared" si="102"/>
        <v>58455</v>
      </c>
      <c r="W169" s="16">
        <f t="shared" si="103"/>
        <v>120</v>
      </c>
    </row>
    <row r="170" spans="8:23" x14ac:dyDescent="0.25">
      <c r="T170" s="2">
        <f t="shared" si="101"/>
        <v>0</v>
      </c>
      <c r="U170" s="34">
        <f t="shared" si="92"/>
        <v>0</v>
      </c>
      <c r="V170" s="57">
        <f t="shared" si="102"/>
        <v>58455</v>
      </c>
      <c r="W170" s="16">
        <f t="shared" si="103"/>
        <v>121</v>
      </c>
    </row>
    <row r="171" spans="8:23" x14ac:dyDescent="0.25">
      <c r="T171" s="2">
        <f t="shared" si="101"/>
        <v>0</v>
      </c>
      <c r="U171" s="34">
        <f t="shared" si="92"/>
        <v>0</v>
      </c>
      <c r="V171" s="57">
        <f t="shared" si="102"/>
        <v>58455</v>
      </c>
      <c r="W171" s="16">
        <f t="shared" si="103"/>
        <v>122</v>
      </c>
    </row>
    <row r="172" spans="8:23" x14ac:dyDescent="0.25">
      <c r="T172" s="2">
        <f t="shared" si="101"/>
        <v>0</v>
      </c>
      <c r="U172" s="34">
        <f t="shared" si="92"/>
        <v>0</v>
      </c>
      <c r="V172" s="57">
        <f t="shared" si="102"/>
        <v>58455</v>
      </c>
      <c r="W172" s="16">
        <f t="shared" si="103"/>
        <v>123</v>
      </c>
    </row>
    <row r="173" spans="8:23" x14ac:dyDescent="0.25">
      <c r="T173" s="2">
        <f t="shared" si="101"/>
        <v>0</v>
      </c>
      <c r="U173" s="34">
        <f t="shared" si="92"/>
        <v>0</v>
      </c>
      <c r="V173" s="57">
        <f t="shared" si="102"/>
        <v>58455</v>
      </c>
      <c r="W173" s="16">
        <f t="shared" si="103"/>
        <v>124</v>
      </c>
    </row>
    <row r="174" spans="8:23" x14ac:dyDescent="0.25">
      <c r="T174" s="2">
        <f t="shared" si="101"/>
        <v>0</v>
      </c>
      <c r="U174" s="34">
        <f t="shared" si="92"/>
        <v>0</v>
      </c>
      <c r="V174" s="57">
        <f t="shared" si="102"/>
        <v>58455</v>
      </c>
      <c r="W174" s="16">
        <f t="shared" si="103"/>
        <v>125</v>
      </c>
    </row>
    <row r="175" spans="8:23" x14ac:dyDescent="0.25">
      <c r="T175" s="2">
        <f t="shared" si="101"/>
        <v>0</v>
      </c>
      <c r="U175" s="34">
        <f t="shared" ref="U175:U180" si="119">IF(U174&lt;0,0,IF(T175=0,IF(T174=0,0,$U$46),G134)-IF(AND(T175&gt;0,T176=0),$C$26,0))</f>
        <v>0</v>
      </c>
      <c r="V175" s="57">
        <f t="shared" si="102"/>
        <v>58455</v>
      </c>
      <c r="W175" s="16">
        <f t="shared" si="103"/>
        <v>126</v>
      </c>
    </row>
    <row r="176" spans="8:23" x14ac:dyDescent="0.25">
      <c r="T176" s="2">
        <f t="shared" si="101"/>
        <v>0</v>
      </c>
      <c r="U176" s="34">
        <f t="shared" si="119"/>
        <v>0</v>
      </c>
      <c r="V176" s="57">
        <f t="shared" si="102"/>
        <v>58455</v>
      </c>
      <c r="W176" s="16">
        <f t="shared" si="103"/>
        <v>127</v>
      </c>
    </row>
    <row r="177" spans="20:23" x14ac:dyDescent="0.25">
      <c r="T177" s="2">
        <f t="shared" si="101"/>
        <v>0</v>
      </c>
      <c r="U177" s="34">
        <f t="shared" si="119"/>
        <v>0</v>
      </c>
      <c r="V177" s="57">
        <f t="shared" si="102"/>
        <v>58455</v>
      </c>
      <c r="W177" s="16">
        <f t="shared" si="103"/>
        <v>128</v>
      </c>
    </row>
    <row r="178" spans="20:23" x14ac:dyDescent="0.25">
      <c r="T178" s="2">
        <f>IF(AND(E137&gt;=$T$14,E137&lt;=$T$14+5),0,IF($C$9&gt;$AC$52,ROUND(Q136*$T$46/(DATEVALUE(CONCATENATE("01/01/",YEAR(F137)+1))-DATEVALUE(CONCATENATE("01/01/",YEAR(F137))))*(F137-F136),2),0))</f>
        <v>0</v>
      </c>
      <c r="U178" s="34">
        <f t="shared" si="119"/>
        <v>0</v>
      </c>
      <c r="V178" s="57">
        <f t="shared" si="102"/>
        <v>58455</v>
      </c>
      <c r="W178" s="16">
        <f t="shared" si="103"/>
        <v>129</v>
      </c>
    </row>
    <row r="179" spans="20:23" x14ac:dyDescent="0.25">
      <c r="T179" s="2">
        <f>IF(AND(E138&gt;=$T$14,E138&lt;=$T$14+5),0,IF($C$9&gt;$AC$52,ROUND(Q137*$T$46/(DATEVALUE(CONCATENATE("01/01/",YEAR(F138)+1))-DATEVALUE(CONCATENATE("01/01/",YEAR(F138))))*(F138-F137),2),0))</f>
        <v>0</v>
      </c>
      <c r="U179" s="34">
        <f t="shared" si="119"/>
        <v>0</v>
      </c>
      <c r="V179" s="57">
        <f t="shared" ref="V179:V180" si="120">IF(T179=0,V178,V178+365)</f>
        <v>58455</v>
      </c>
      <c r="W179" s="16">
        <f t="shared" si="103"/>
        <v>130</v>
      </c>
    </row>
    <row r="180" spans="20:23" x14ac:dyDescent="0.25">
      <c r="T180" s="2">
        <f>IF(AND(E139&gt;=$T$14,E139&lt;=$T$14+5),0,IF($C$9&gt;$AC$52,ROUND(Q138*$T$46/(DATEVALUE(CONCATENATE("01/01/",YEAR(F139)+1))-DATEVALUE(CONCATENATE("01/01/",YEAR(F139))))*(F139-F138),2),0))</f>
        <v>0</v>
      </c>
      <c r="U180" s="34">
        <f t="shared" si="119"/>
        <v>0</v>
      </c>
      <c r="V180" s="57">
        <f t="shared" si="120"/>
        <v>58455</v>
      </c>
      <c r="W180" s="16">
        <f t="shared" si="103"/>
        <v>131</v>
      </c>
    </row>
    <row r="181" spans="20:23" x14ac:dyDescent="0.25">
      <c r="T181" s="35">
        <f>SUM(T50:T180)</f>
        <v>92915.01999999999</v>
      </c>
      <c r="U181" s="35">
        <f>SUM(U50:U180)</f>
        <v>444891.89611872134</v>
      </c>
      <c r="V181" s="154">
        <f>XIRR(U48:U180,V48:V180)*12</f>
        <v>0.28273204565048216</v>
      </c>
    </row>
    <row r="182" spans="20:23" x14ac:dyDescent="0.25">
      <c r="U182" s="34"/>
      <c r="V182" s="57"/>
    </row>
    <row r="183" spans="20:23" x14ac:dyDescent="0.25">
      <c r="U183" s="34"/>
      <c r="V183" s="57"/>
    </row>
    <row r="184" spans="20:23" x14ac:dyDescent="0.25">
      <c r="U184" s="34"/>
      <c r="V184" s="57"/>
    </row>
    <row r="185" spans="20:23" x14ac:dyDescent="0.25">
      <c r="U185" s="34"/>
      <c r="V185" s="57"/>
    </row>
  </sheetData>
  <mergeCells count="41">
    <mergeCell ref="A5:D5"/>
    <mergeCell ref="A1:D2"/>
    <mergeCell ref="A3:D3"/>
    <mergeCell ref="E3:R4"/>
    <mergeCell ref="AM3:AX4"/>
    <mergeCell ref="BD3:BJ3"/>
    <mergeCell ref="BM11:BO11"/>
    <mergeCell ref="A6:B6"/>
    <mergeCell ref="BD6:BJ6"/>
    <mergeCell ref="BM6:BO6"/>
    <mergeCell ref="A7:B7"/>
    <mergeCell ref="BD7:BD8"/>
    <mergeCell ref="BE7:BE8"/>
    <mergeCell ref="BH7:BH8"/>
    <mergeCell ref="BI7:BI8"/>
    <mergeCell ref="BJ7:BJ8"/>
    <mergeCell ref="A8:B8"/>
    <mergeCell ref="A9:B9"/>
    <mergeCell ref="A10:B10"/>
    <mergeCell ref="BD10:BD11"/>
    <mergeCell ref="BE10:BE11"/>
    <mergeCell ref="A11:A12"/>
    <mergeCell ref="BM21:BO21"/>
    <mergeCell ref="A22:A27"/>
    <mergeCell ref="A28:B28"/>
    <mergeCell ref="A13:D16"/>
    <mergeCell ref="BD13:BD14"/>
    <mergeCell ref="BE13:BE14"/>
    <mergeCell ref="BM16:BO16"/>
    <mergeCell ref="A17:B17"/>
    <mergeCell ref="A18:B18"/>
    <mergeCell ref="BD33:BD35"/>
    <mergeCell ref="X83:Y83"/>
    <mergeCell ref="A19:B19"/>
    <mergeCell ref="A20:B20"/>
    <mergeCell ref="A21:B21"/>
    <mergeCell ref="X92:Y92"/>
    <mergeCell ref="A29:B29"/>
    <mergeCell ref="A30:B30"/>
    <mergeCell ref="A31:B31"/>
    <mergeCell ref="A32:B32"/>
  </mergeCells>
  <dataValidations count="3">
    <dataValidation type="list" allowBlank="1" showInputMessage="1" showErrorMessage="1" sqref="C18:D18" xr:uid="{00000000-0002-0000-0900-000000000000}">
      <formula1>$T$3:$X$3</formula1>
    </dataValidation>
    <dataValidation type="list" allowBlank="1" showInputMessage="1" showErrorMessage="1" sqref="D11" xr:uid="{00000000-0002-0000-0900-000001000000}">
      <formula1>$V$33:$W$33</formula1>
    </dataValidation>
    <dataValidation type="list" allowBlank="1" showInputMessage="1" showErrorMessage="1" sqref="B33:B35 D22" xr:uid="{00000000-0002-0000-0900-000002000000}">
      <formula1>$Z$30:$AA$30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TU154"/>
  <sheetViews>
    <sheetView showGridLines="0" view="pageBreakPreview" zoomScale="70" zoomScaleNormal="90" zoomScaleSheetLayoutView="70" workbookViewId="0">
      <selection activeCell="C12" sqref="C12"/>
    </sheetView>
  </sheetViews>
  <sheetFormatPr defaultColWidth="8.6640625" defaultRowHeight="13.2" x14ac:dyDescent="0.25"/>
  <cols>
    <col min="1" max="1" width="38" style="2" customWidth="1"/>
    <col min="2" max="2" width="36.6640625" style="2" customWidth="1"/>
    <col min="3" max="3" width="25.44140625" style="1" customWidth="1"/>
    <col min="4" max="4" width="24.6640625" style="1" customWidth="1"/>
    <col min="5" max="5" width="25" style="1" customWidth="1"/>
    <col min="6" max="6" width="5.44140625" style="1" customWidth="1"/>
    <col min="7" max="7" width="7.6640625" style="1" customWidth="1"/>
    <col min="8" max="9" width="10.6640625" style="1" customWidth="1"/>
    <col min="10" max="10" width="16.33203125" style="1" hidden="1" customWidth="1"/>
    <col min="11" max="11" width="15.44140625" style="1" customWidth="1"/>
    <col min="12" max="12" width="14" style="2" customWidth="1"/>
    <col min="13" max="13" width="14.109375" style="1" customWidth="1"/>
    <col min="14" max="16" width="15" style="3" hidden="1" customWidth="1"/>
    <col min="17" max="17" width="17.109375" style="3" hidden="1" customWidth="1"/>
    <col min="18" max="18" width="15" style="3" hidden="1" customWidth="1"/>
    <col min="19" max="20" width="14" style="2" customWidth="1"/>
    <col min="21" max="21" width="11.109375" style="2" hidden="1" customWidth="1"/>
    <col min="22" max="22" width="11.44140625" style="44" hidden="1" customWidth="1"/>
    <col min="23" max="23" width="17.6640625" style="2" hidden="1" customWidth="1"/>
    <col min="24" max="24" width="18.33203125" style="2" hidden="1" customWidth="1"/>
    <col min="25" max="25" width="13.109375" style="2" hidden="1" customWidth="1"/>
    <col min="26" max="26" width="20" style="2" hidden="1" customWidth="1"/>
    <col min="27" max="27" width="19.6640625" style="2" hidden="1" customWidth="1"/>
    <col min="28" max="28" width="20.88671875" style="2" hidden="1" customWidth="1"/>
    <col min="29" max="29" width="33.6640625" style="2" hidden="1" customWidth="1"/>
    <col min="30" max="30" width="19" style="2" hidden="1" customWidth="1"/>
    <col min="31" max="31" width="32.44140625" style="3" hidden="1" customWidth="1"/>
    <col min="32" max="32" width="31.109375" style="3" hidden="1" customWidth="1"/>
    <col min="33" max="33" width="14.44140625" style="3" hidden="1" customWidth="1"/>
    <col min="34" max="34" width="17" style="3" hidden="1" customWidth="1"/>
    <col min="35" max="35" width="13.44140625" style="2" hidden="1" customWidth="1"/>
    <col min="36" max="36" width="14.44140625" style="2" hidden="1" customWidth="1"/>
    <col min="37" max="37" width="14.44140625" style="57" hidden="1" customWidth="1"/>
    <col min="38" max="41" width="14.44140625" style="2" hidden="1" customWidth="1"/>
    <col min="42" max="42" width="7.6640625" style="2" customWidth="1"/>
    <col min="43" max="44" width="14.44140625" style="2" customWidth="1"/>
    <col min="45" max="45" width="14.44140625" style="2" hidden="1" customWidth="1"/>
    <col min="46" max="46" width="14.44140625" style="2" customWidth="1"/>
    <col min="47" max="47" width="13.6640625" style="2" customWidth="1"/>
    <col min="48" max="48" width="15.6640625" style="2" customWidth="1"/>
    <col min="49" max="49" width="12" style="2" hidden="1" customWidth="1"/>
    <col min="50" max="51" width="13.6640625" style="2" hidden="1" customWidth="1"/>
    <col min="52" max="52" width="10.6640625" style="2" hidden="1" customWidth="1"/>
    <col min="53" max="58" width="8.6640625" style="2" hidden="1" customWidth="1"/>
    <col min="59" max="59" width="14" style="2" customWidth="1"/>
    <col min="60" max="60" width="8.6640625" style="2" hidden="1" customWidth="1"/>
    <col min="61" max="61" width="11.44140625" style="2" hidden="1" customWidth="1"/>
    <col min="62" max="62" width="1.33203125" style="1" customWidth="1"/>
    <col min="63" max="64" width="1.109375" style="2" customWidth="1"/>
    <col min="65" max="65" width="3.6640625" style="2" customWidth="1"/>
    <col min="66" max="66" width="24.109375" style="2" customWidth="1"/>
    <col min="67" max="67" width="3.6640625" style="2" customWidth="1"/>
    <col min="68" max="68" width="41.44140625" style="2" customWidth="1"/>
    <col min="69" max="69" width="4.44140625" style="2" customWidth="1"/>
    <col min="70" max="70" width="18" style="2" customWidth="1"/>
    <col min="71" max="71" width="4.6640625" style="2" customWidth="1"/>
    <col min="72" max="72" width="7.6640625" style="2" customWidth="1"/>
    <col min="73" max="84" width="8.6640625" style="2" customWidth="1"/>
    <col min="85" max="16384" width="8.6640625" style="2"/>
  </cols>
  <sheetData>
    <row r="1" spans="1:72" ht="12.75" customHeight="1" x14ac:dyDescent="0.4">
      <c r="A1" s="855" t="s">
        <v>376</v>
      </c>
      <c r="B1" s="856"/>
      <c r="C1" s="856"/>
      <c r="D1" s="856"/>
      <c r="E1" s="857"/>
      <c r="F1" s="227"/>
      <c r="G1" s="2"/>
      <c r="H1" s="2"/>
      <c r="I1" s="2"/>
      <c r="J1" s="2"/>
      <c r="K1" s="2"/>
      <c r="M1" s="2"/>
      <c r="N1" s="2"/>
      <c r="O1" s="2"/>
      <c r="P1" s="2"/>
      <c r="Q1" s="2"/>
      <c r="R1" s="2"/>
      <c r="V1" s="2"/>
      <c r="AE1" s="2"/>
      <c r="AF1" s="2"/>
      <c r="AG1" s="2"/>
      <c r="AH1" s="2"/>
      <c r="AK1" s="62" t="s">
        <v>52</v>
      </c>
      <c r="AL1" s="86" t="str">
        <f>IF($C$12=$AG$3,$AG$4,IF($C$12=$AH$3,$AH$4,IF($C$12=$AI$3,$AI$4,IF($C$12=$AJ$3,$AJ$4,IF($C$12=$AK$3,$AK$4,IF($C$12=$AL$3,$AL$4,""))))))</f>
        <v/>
      </c>
      <c r="AN1" s="65"/>
      <c r="BJ1" s="2"/>
    </row>
    <row r="2" spans="1:72" ht="34.950000000000003" customHeight="1" x14ac:dyDescent="0.4">
      <c r="A2" s="872"/>
      <c r="B2" s="873"/>
      <c r="C2" s="873"/>
      <c r="D2" s="873"/>
      <c r="E2" s="874"/>
      <c r="F2" s="227"/>
      <c r="G2" s="2"/>
      <c r="H2" s="2"/>
      <c r="I2" s="2"/>
      <c r="J2" s="2"/>
      <c r="K2" s="2"/>
      <c r="M2" s="2"/>
      <c r="N2" s="2"/>
      <c r="O2" s="2"/>
      <c r="P2" s="2"/>
      <c r="Q2" s="2"/>
      <c r="R2" s="2"/>
      <c r="V2" s="2"/>
      <c r="AE2" s="2" t="s">
        <v>47</v>
      </c>
      <c r="AF2" s="2"/>
      <c r="AG2" s="2"/>
      <c r="AH2" s="2"/>
      <c r="BJ2" s="2"/>
    </row>
    <row r="3" spans="1:72" ht="25.95" customHeight="1" x14ac:dyDescent="0.3">
      <c r="A3" s="864" t="s">
        <v>196</v>
      </c>
      <c r="B3" s="865"/>
      <c r="C3" s="865"/>
      <c r="D3" s="865"/>
      <c r="E3" s="866"/>
      <c r="F3" s="310"/>
      <c r="G3" s="943" t="str">
        <f>CONCATENATE("ГРАФИК ПЛАТЕЖЕЙ - ТАРИФ СУПЕРСМАРТ",IF(C16="Да"," + ГАРАНТИРОВАННАЯ СТАВКА",""))</f>
        <v>ГРАФИК ПЛАТЕЖЕЙ - ТАРИФ СУПЕРСМАРТ</v>
      </c>
      <c r="H3" s="943"/>
      <c r="I3" s="943"/>
      <c r="J3" s="943"/>
      <c r="K3" s="943"/>
      <c r="L3" s="943"/>
      <c r="M3" s="943"/>
      <c r="N3" s="943"/>
      <c r="O3" s="943"/>
      <c r="P3" s="943"/>
      <c r="Q3" s="943"/>
      <c r="R3" s="943"/>
      <c r="S3" s="943"/>
      <c r="T3" s="943"/>
      <c r="U3" s="943"/>
      <c r="V3" s="146"/>
      <c r="W3" s="63" t="s">
        <v>33</v>
      </c>
      <c r="X3" s="63" t="s">
        <v>159</v>
      </c>
      <c r="Y3" s="63" t="s">
        <v>72</v>
      </c>
      <c r="Z3" s="63" t="s">
        <v>73</v>
      </c>
      <c r="AA3" s="63" t="s">
        <v>74</v>
      </c>
      <c r="AB3" s="63" t="s">
        <v>375</v>
      </c>
      <c r="AC3" s="63" t="s">
        <v>159</v>
      </c>
      <c r="AD3" s="63"/>
      <c r="AE3" s="63"/>
      <c r="AF3" s="63"/>
      <c r="AG3" s="87"/>
      <c r="AH3" s="87"/>
      <c r="AI3" s="87"/>
      <c r="AJ3" s="87"/>
      <c r="AK3" s="87"/>
      <c r="AL3" s="87"/>
      <c r="AM3" s="63"/>
      <c r="AN3" s="63"/>
      <c r="AO3" s="63"/>
      <c r="AP3" s="875" t="s">
        <v>355</v>
      </c>
      <c r="AQ3" s="875"/>
      <c r="AR3" s="875"/>
      <c r="AS3" s="875"/>
      <c r="AT3" s="875"/>
      <c r="AU3" s="875"/>
      <c r="AV3" s="875"/>
      <c r="AW3" s="875"/>
      <c r="AX3" s="875"/>
      <c r="AY3" s="875"/>
      <c r="AZ3" s="875"/>
      <c r="BA3" s="875"/>
      <c r="BB3" s="875"/>
      <c r="BC3" s="875"/>
      <c r="BD3" s="875"/>
      <c r="BE3" s="875"/>
      <c r="BF3" s="875"/>
      <c r="BG3" s="875"/>
      <c r="BH3" s="875"/>
      <c r="BI3" s="102"/>
      <c r="BJ3" s="102"/>
      <c r="BK3" s="102"/>
      <c r="BN3" s="826" t="s">
        <v>94</v>
      </c>
      <c r="BO3" s="826"/>
      <c r="BP3" s="826"/>
      <c r="BQ3" s="826"/>
      <c r="BR3" s="826"/>
      <c r="BS3" s="826"/>
      <c r="BT3" s="826"/>
    </row>
    <row r="4" spans="1:72" ht="13.5" customHeight="1" x14ac:dyDescent="0.2">
      <c r="A4" s="187"/>
      <c r="B4" s="185"/>
      <c r="C4" s="521"/>
      <c r="D4" s="185"/>
      <c r="E4" s="188"/>
      <c r="F4" s="228"/>
      <c r="G4" s="943"/>
      <c r="H4" s="943"/>
      <c r="I4" s="943"/>
      <c r="J4" s="943"/>
      <c r="K4" s="943"/>
      <c r="L4" s="943"/>
      <c r="M4" s="943"/>
      <c r="N4" s="943"/>
      <c r="O4" s="943"/>
      <c r="P4" s="943"/>
      <c r="Q4" s="943"/>
      <c r="R4" s="943"/>
      <c r="S4" s="943"/>
      <c r="T4" s="943"/>
      <c r="U4" s="943"/>
      <c r="V4" s="146"/>
      <c r="W4" s="15">
        <v>0.29899999999999999</v>
      </c>
      <c r="X4" s="15">
        <v>0.29899999999999999</v>
      </c>
      <c r="Y4" s="15">
        <v>0.29899999999999999</v>
      </c>
      <c r="Z4" s="15">
        <v>0.29899999999999999</v>
      </c>
      <c r="AA4" s="15">
        <v>0.29899999999999999</v>
      </c>
      <c r="AB4" s="806">
        <v>0.27900000000000003</v>
      </c>
      <c r="AC4" s="63" t="s">
        <v>72</v>
      </c>
      <c r="AD4" s="147"/>
      <c r="AE4" s="147"/>
      <c r="AF4" s="147"/>
      <c r="AG4" s="148"/>
      <c r="AH4" s="148"/>
      <c r="AI4" s="148"/>
      <c r="AJ4" s="148"/>
      <c r="AK4" s="148"/>
      <c r="AL4" s="148"/>
      <c r="AM4" s="147"/>
      <c r="AN4" s="147"/>
      <c r="AO4" s="147"/>
      <c r="AP4" s="875"/>
      <c r="AQ4" s="875"/>
      <c r="AR4" s="875"/>
      <c r="AS4" s="875"/>
      <c r="AT4" s="875"/>
      <c r="AU4" s="875"/>
      <c r="AV4" s="875"/>
      <c r="AW4" s="875"/>
      <c r="AX4" s="875"/>
      <c r="AY4" s="875"/>
      <c r="AZ4" s="875"/>
      <c r="BA4" s="875"/>
      <c r="BB4" s="875"/>
      <c r="BC4" s="875"/>
      <c r="BD4" s="875"/>
      <c r="BE4" s="875"/>
      <c r="BF4" s="875"/>
      <c r="BG4" s="875"/>
      <c r="BH4" s="875"/>
      <c r="BI4" s="102"/>
      <c r="BJ4" s="102"/>
      <c r="BK4" s="102"/>
      <c r="BL4" s="57"/>
    </row>
    <row r="5" spans="1:72" ht="13.5" customHeight="1" x14ac:dyDescent="0.2">
      <c r="A5" s="869"/>
      <c r="B5" s="870"/>
      <c r="C5" s="870"/>
      <c r="D5" s="870"/>
      <c r="E5" s="871"/>
      <c r="F5" s="229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49"/>
      <c r="W5" s="15">
        <v>0.129</v>
      </c>
      <c r="X5" s="15">
        <v>0.129</v>
      </c>
      <c r="Y5" s="15">
        <v>0.129</v>
      </c>
      <c r="Z5" s="15">
        <v>0.129</v>
      </c>
      <c r="AA5" s="15">
        <v>0.129</v>
      </c>
      <c r="AB5" s="807">
        <v>0.249</v>
      </c>
      <c r="AC5" s="63" t="s">
        <v>73</v>
      </c>
      <c r="AD5" s="147"/>
      <c r="AE5" s="147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2"/>
      <c r="BJ5" s="117"/>
      <c r="BK5" s="102"/>
      <c r="BL5" s="57"/>
    </row>
    <row r="6" spans="1:72" ht="25.95" customHeight="1" thickBot="1" x14ac:dyDescent="0.3">
      <c r="A6" s="839" t="s">
        <v>164</v>
      </c>
      <c r="B6" s="839"/>
      <c r="C6" s="839" t="s">
        <v>165</v>
      </c>
      <c r="D6" s="839"/>
      <c r="E6" s="189" t="s">
        <v>166</v>
      </c>
      <c r="F6" s="230"/>
      <c r="G6" s="825" t="s">
        <v>148</v>
      </c>
      <c r="H6" s="825" t="s">
        <v>187</v>
      </c>
      <c r="I6" s="825" t="s">
        <v>188</v>
      </c>
      <c r="J6" s="238"/>
      <c r="K6" s="825" t="s">
        <v>194</v>
      </c>
      <c r="L6" s="825" t="s">
        <v>191</v>
      </c>
      <c r="M6" s="825" t="s">
        <v>192</v>
      </c>
      <c r="N6" s="238"/>
      <c r="O6" s="238"/>
      <c r="P6" s="238"/>
      <c r="Q6" s="238"/>
      <c r="R6" s="238"/>
      <c r="S6" s="825" t="s">
        <v>193</v>
      </c>
      <c r="T6" s="825" t="s">
        <v>289</v>
      </c>
      <c r="U6" s="195"/>
      <c r="V6" s="49"/>
      <c r="W6" s="15">
        <v>0.13900000000000001</v>
      </c>
      <c r="X6" s="15">
        <v>0.13900000000000001</v>
      </c>
      <c r="Y6" s="15">
        <v>0.13900000000000001</v>
      </c>
      <c r="Z6" s="15">
        <v>0.13900000000000001</v>
      </c>
      <c r="AA6" s="15">
        <v>0.13900000000000001</v>
      </c>
      <c r="AB6" s="806">
        <v>0.22900000000000001</v>
      </c>
      <c r="AC6" s="63" t="s">
        <v>74</v>
      </c>
      <c r="AD6" s="147"/>
      <c r="AE6" s="147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878" t="s">
        <v>148</v>
      </c>
      <c r="AQ6" s="878" t="s">
        <v>187</v>
      </c>
      <c r="AR6" s="878" t="s">
        <v>188</v>
      </c>
      <c r="AS6" s="543"/>
      <c r="AT6" s="878" t="s">
        <v>194</v>
      </c>
      <c r="AU6" s="878" t="s">
        <v>191</v>
      </c>
      <c r="AV6" s="878" t="s">
        <v>192</v>
      </c>
      <c r="AW6" s="528"/>
      <c r="AX6" s="528"/>
      <c r="AY6" s="528"/>
      <c r="AZ6" s="528"/>
      <c r="BA6" s="528"/>
      <c r="BB6" s="528"/>
      <c r="BC6" s="528"/>
      <c r="BD6" s="528"/>
      <c r="BE6" s="528"/>
      <c r="BF6" s="528"/>
      <c r="BG6" s="878" t="s">
        <v>193</v>
      </c>
      <c r="BH6" s="103"/>
      <c r="BI6" s="102"/>
      <c r="BJ6" s="117"/>
      <c r="BK6" s="102"/>
      <c r="BL6" s="57"/>
      <c r="BN6" s="827" t="s">
        <v>95</v>
      </c>
      <c r="BO6" s="827"/>
      <c r="BP6" s="827"/>
      <c r="BQ6" s="827"/>
      <c r="BR6" s="827"/>
      <c r="BS6" s="827"/>
      <c r="BT6" s="827"/>
    </row>
    <row r="7" spans="1:72" ht="28.5" customHeight="1" x14ac:dyDescent="0.6">
      <c r="A7" s="841" t="s">
        <v>200</v>
      </c>
      <c r="B7" s="841"/>
      <c r="C7" s="862">
        <v>300000</v>
      </c>
      <c r="D7" s="862"/>
      <c r="E7" s="510"/>
      <c r="F7" s="231"/>
      <c r="G7" s="825"/>
      <c r="H7" s="825"/>
      <c r="I7" s="825"/>
      <c r="J7" s="570" t="s">
        <v>189</v>
      </c>
      <c r="K7" s="825"/>
      <c r="L7" s="825"/>
      <c r="M7" s="825"/>
      <c r="N7" s="237" t="s">
        <v>36</v>
      </c>
      <c r="O7" s="237" t="s">
        <v>39</v>
      </c>
      <c r="P7" s="237" t="s">
        <v>38</v>
      </c>
      <c r="Q7" s="570" t="s">
        <v>195</v>
      </c>
      <c r="R7" s="326" t="s">
        <v>40</v>
      </c>
      <c r="S7" s="825"/>
      <c r="T7" s="825"/>
      <c r="U7" s="196" t="s">
        <v>32</v>
      </c>
      <c r="V7" s="150" t="s">
        <v>31</v>
      </c>
      <c r="W7" s="15">
        <v>0.14899999999999999</v>
      </c>
      <c r="X7" s="15">
        <v>0.14899999999999999</v>
      </c>
      <c r="Y7" s="15">
        <v>0.14899999999999999</v>
      </c>
      <c r="Z7" s="15">
        <v>0.14899999999999999</v>
      </c>
      <c r="AA7" s="15">
        <v>0.14899999999999999</v>
      </c>
      <c r="AB7" s="806">
        <v>0.20899999999999999</v>
      </c>
      <c r="AC7" s="101"/>
      <c r="AD7" s="147"/>
      <c r="AE7" s="147"/>
      <c r="AF7" s="101"/>
      <c r="AG7" s="101"/>
      <c r="AH7" s="101"/>
      <c r="AI7" s="101"/>
      <c r="AJ7" s="101"/>
      <c r="AK7" s="101"/>
      <c r="AL7" s="101"/>
      <c r="AM7" s="101"/>
      <c r="AN7" s="101"/>
      <c r="AO7" s="151">
        <f>SUM(AO9:AO108)</f>
        <v>60</v>
      </c>
      <c r="AP7" s="878"/>
      <c r="AQ7" s="878"/>
      <c r="AR7" s="878"/>
      <c r="AS7" s="544" t="s">
        <v>156</v>
      </c>
      <c r="AT7" s="878"/>
      <c r="AU7" s="878"/>
      <c r="AV7" s="878"/>
      <c r="AW7" s="527" t="s">
        <v>36</v>
      </c>
      <c r="AX7" s="527" t="s">
        <v>39</v>
      </c>
      <c r="AY7" s="527" t="s">
        <v>38</v>
      </c>
      <c r="AZ7" s="527" t="s">
        <v>158</v>
      </c>
      <c r="BA7" s="527" t="s">
        <v>40</v>
      </c>
      <c r="BB7" s="527"/>
      <c r="BC7" s="527"/>
      <c r="BD7" s="527"/>
      <c r="BE7" s="527"/>
      <c r="BF7" s="527"/>
      <c r="BG7" s="878"/>
      <c r="BH7" s="163" t="s">
        <v>32</v>
      </c>
      <c r="BI7" s="104" t="s">
        <v>31</v>
      </c>
      <c r="BJ7" s="153">
        <f>BJ8</f>
        <v>44710</v>
      </c>
      <c r="BK7" s="108">
        <f>K8</f>
        <v>-306999</v>
      </c>
      <c r="BL7" s="61"/>
      <c r="BN7" s="830" t="s">
        <v>84</v>
      </c>
      <c r="BO7" s="828" t="s">
        <v>85</v>
      </c>
      <c r="BP7" s="127" t="s">
        <v>86</v>
      </c>
      <c r="BQ7" s="124" t="s">
        <v>88</v>
      </c>
      <c r="BR7" s="834" t="s">
        <v>9</v>
      </c>
      <c r="BS7" s="836" t="s">
        <v>89</v>
      </c>
      <c r="BT7" s="832">
        <v>1</v>
      </c>
    </row>
    <row r="8" spans="1:72" ht="18" customHeight="1" thickBot="1" x14ac:dyDescent="0.65">
      <c r="A8" s="841" t="s">
        <v>276</v>
      </c>
      <c r="B8" s="841"/>
      <c r="C8" s="579" t="s">
        <v>35</v>
      </c>
      <c r="D8" s="215" t="str">
        <f>C8</f>
        <v>Нет</v>
      </c>
      <c r="E8" s="510"/>
      <c r="F8" s="231"/>
      <c r="G8" s="253"/>
      <c r="H8" s="240">
        <f>C9</f>
        <v>44710</v>
      </c>
      <c r="I8" s="240"/>
      <c r="J8" s="240"/>
      <c r="K8" s="241">
        <f>-C23</f>
        <v>-306999</v>
      </c>
      <c r="L8" s="242"/>
      <c r="M8" s="243"/>
      <c r="N8" s="243"/>
      <c r="O8" s="243"/>
      <c r="P8" s="243"/>
      <c r="Q8" s="243"/>
      <c r="R8" s="243"/>
      <c r="S8" s="239">
        <f>C23</f>
        <v>306999</v>
      </c>
      <c r="T8" s="466"/>
      <c r="U8" s="197"/>
      <c r="V8" s="36"/>
      <c r="W8" s="15">
        <v>0.159</v>
      </c>
      <c r="X8" s="15">
        <v>0.159</v>
      </c>
      <c r="Y8" s="15">
        <v>0.159</v>
      </c>
      <c r="Z8" s="15">
        <v>0.159</v>
      </c>
      <c r="AA8" s="15">
        <v>0.159</v>
      </c>
      <c r="AB8" s="807">
        <v>0.19900000000000001</v>
      </c>
      <c r="AC8" s="15"/>
      <c r="AD8" s="147">
        <f>IF(OR($C$8="Гарантия стандарт",$C$8="Гарантия пакет"),AB7,W4)</f>
        <v>0.29899999999999999</v>
      </c>
      <c r="AE8" s="147">
        <f>IF(OR($D$8="Гарантия стандарт",$D$8="Гарантия пакет"),AB7,W4)</f>
        <v>0.29899999999999999</v>
      </c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548"/>
      <c r="AQ8" s="549">
        <f>C9</f>
        <v>44710</v>
      </c>
      <c r="AR8" s="549"/>
      <c r="AS8" s="549"/>
      <c r="AT8" s="550">
        <f>-D23</f>
        <v>-306999</v>
      </c>
      <c r="AU8" s="546"/>
      <c r="AV8" s="551"/>
      <c r="AW8" s="551"/>
      <c r="AX8" s="551"/>
      <c r="AY8" s="551"/>
      <c r="AZ8" s="551"/>
      <c r="BA8" s="551"/>
      <c r="BB8" s="551"/>
      <c r="BC8" s="551"/>
      <c r="BD8" s="551"/>
      <c r="BE8" s="551"/>
      <c r="BF8" s="551"/>
      <c r="BG8" s="552">
        <f>D23</f>
        <v>306999</v>
      </c>
      <c r="BH8" s="106"/>
      <c r="BI8" s="108"/>
      <c r="BJ8" s="22">
        <f>H8</f>
        <v>44710</v>
      </c>
      <c r="BK8" s="104">
        <f>$C$25</f>
        <v>0</v>
      </c>
      <c r="BN8" s="831"/>
      <c r="BO8" s="829"/>
      <c r="BP8" s="125" t="s">
        <v>87</v>
      </c>
      <c r="BQ8" s="126" t="s">
        <v>88</v>
      </c>
      <c r="BR8" s="835"/>
      <c r="BS8" s="837"/>
      <c r="BT8" s="833"/>
    </row>
    <row r="9" spans="1:72" ht="16.95" customHeight="1" thickBot="1" x14ac:dyDescent="0.3">
      <c r="A9" s="841" t="s">
        <v>199</v>
      </c>
      <c r="B9" s="841"/>
      <c r="C9" s="842">
        <v>44710</v>
      </c>
      <c r="D9" s="842"/>
      <c r="E9" s="510"/>
      <c r="F9" s="231"/>
      <c r="G9" s="244">
        <f>1</f>
        <v>1</v>
      </c>
      <c r="H9" s="245">
        <f>IF((OR(DAY($AD$54)=29,DAY($AD$54)=30,DAY($AD$54)=31)),(EDATE($C$9-28,G9+1)),EDATE($C$9,G9))</f>
        <v>44743</v>
      </c>
      <c r="I9" s="246">
        <f>IF(AND($W$11=1,G9&gt;=$W$11,),0%,$C$11)</f>
        <v>0.20899999999999999</v>
      </c>
      <c r="J9" s="242">
        <f t="shared" ref="J9:J73" si="0">K9+Q9</f>
        <v>8289</v>
      </c>
      <c r="K9" s="242">
        <f>IF(G9&gt;$C$10,0,ROUNDUP($S$8*$C$11/12/((1-(1+$C$11/12)^(0-$C$10))),0))</f>
        <v>8289</v>
      </c>
      <c r="L9" s="242">
        <f>S8*($C$11/365*(H9-H8))</f>
        <v>5801.019460273973</v>
      </c>
      <c r="M9" s="242">
        <f>K9-L9</f>
        <v>2487.980539726027</v>
      </c>
      <c r="N9" s="242">
        <f t="shared" ref="N9:N72" si="1">IF(P9-Q9&gt;$C$24,$C$24-L9,IF(V9=0,0,R9)+$AI$51)</f>
        <v>0</v>
      </c>
      <c r="O9" s="242">
        <v>0</v>
      </c>
      <c r="P9" s="242">
        <f>L9+Q9</f>
        <v>5801.019460273973</v>
      </c>
      <c r="Q9" s="242">
        <f t="shared" ref="Q9:Q72" si="2">IF(V9=0,0,0)</f>
        <v>0</v>
      </c>
      <c r="R9" s="242">
        <f>IF(V9=0,0,0)</f>
        <v>0</v>
      </c>
      <c r="S9" s="242">
        <f>S8-M9-T9</f>
        <v>304511.01946027396</v>
      </c>
      <c r="T9" s="467"/>
      <c r="U9" s="198">
        <f>C10</f>
        <v>60</v>
      </c>
      <c r="V9" s="36">
        <f>U9</f>
        <v>60</v>
      </c>
      <c r="W9" s="15">
        <v>0.19900000000000001</v>
      </c>
      <c r="X9" s="15">
        <v>0.19900000000000001</v>
      </c>
      <c r="Y9" s="15">
        <v>0.19900000000000001</v>
      </c>
      <c r="Z9" s="15">
        <v>0.19900000000000001</v>
      </c>
      <c r="AA9" s="15">
        <v>0.19900000000000001</v>
      </c>
      <c r="AB9" s="806">
        <v>0.17899999999999999</v>
      </c>
      <c r="AC9" s="132"/>
      <c r="AD9" s="147">
        <f>IF(OR($C$8="Гарантия стандарт",$C$8="Гарантия пакет"),AB6,W5)</f>
        <v>0.129</v>
      </c>
      <c r="AE9" s="147">
        <f>IF(OR($D$8="Гарантия стандарт",$D$8="Гарантия пакет"),AB6,W5)</f>
        <v>0.129</v>
      </c>
      <c r="AF9" s="15"/>
      <c r="AG9" s="15"/>
      <c r="AH9" s="15"/>
      <c r="AI9" s="15"/>
      <c r="AJ9" s="15"/>
      <c r="AK9" s="15"/>
      <c r="AL9" s="15"/>
      <c r="AM9" s="15"/>
      <c r="AN9" s="15"/>
      <c r="AO9" s="130">
        <f>IF(OR(AT9="",AT9=0),0,1)</f>
        <v>1</v>
      </c>
      <c r="AP9" s="553">
        <f>1</f>
        <v>1</v>
      </c>
      <c r="AQ9" s="554">
        <f>IF((OR(DAY($AD$54)=29,DAY($AD$54)=30,DAY($AD$54)=31)),(EDATE($C$9-28,AP9+1)),EDATE($C$9,AP9))</f>
        <v>44743</v>
      </c>
      <c r="AR9" s="555">
        <f t="shared" ref="AR9:AR14" si="3">$D$13</f>
        <v>0.20899999999999999</v>
      </c>
      <c r="AS9" s="546">
        <f>AT9+AZ9</f>
        <v>8289</v>
      </c>
      <c r="AT9" s="546">
        <f>IF(AP9&gt;$C$10,0,ROUNDUP($BG$8*$C$11/12/((1-(1+$C$11/12)^(0-$C$10))),0))</f>
        <v>8289</v>
      </c>
      <c r="AU9" s="546">
        <f>BG8*($C$11/365*(AQ9-AQ8))</f>
        <v>5801.019460273973</v>
      </c>
      <c r="AV9" s="546">
        <f>IF(BI9=0,0,IF(BI9=1,BG8,IF(BG8+AW9+AU9&gt;AT8,AT9-AU9-AW9,BG8)))</f>
        <v>2487.980539726027</v>
      </c>
      <c r="AW9" s="546">
        <f t="shared" ref="AW9:AW72" si="4">IF(AY9-AZ9&gt;$D$24,$D$24-AU9,IF(BI9=0,0,BA9)+BX57)</f>
        <v>0</v>
      </c>
      <c r="AX9" s="546"/>
      <c r="AY9" s="546">
        <f>AU9+AZ9</f>
        <v>5801.019460273973</v>
      </c>
      <c r="AZ9" s="546">
        <f t="shared" ref="AZ9:AZ20" si="5">IF($D$16="Нет",0,IF($D$17="Серебряный",1800,IF($D$17="Золотой",2500,IF($D$17="Платиновый",3500,""))))</f>
        <v>0</v>
      </c>
      <c r="BA9" s="546">
        <f>IF(BI9=0,0,0)</f>
        <v>0</v>
      </c>
      <c r="BB9" s="546"/>
      <c r="BC9" s="546"/>
      <c r="BD9" s="546"/>
      <c r="BE9" s="546"/>
      <c r="BF9" s="546"/>
      <c r="BG9" s="546">
        <f>IF(OR(BI9=1,BG8=0),0,BG8-AV9)</f>
        <v>304511.01946027396</v>
      </c>
      <c r="BH9" s="108">
        <f>C10</f>
        <v>60</v>
      </c>
      <c r="BI9" s="108">
        <f>BH9</f>
        <v>60</v>
      </c>
      <c r="BJ9" s="22">
        <f>H9</f>
        <v>44743</v>
      </c>
      <c r="BK9" s="108">
        <f t="shared" ref="BK9:BK72" si="6">K9</f>
        <v>8289</v>
      </c>
    </row>
    <row r="10" spans="1:72" ht="18" customHeight="1" x14ac:dyDescent="0.25">
      <c r="A10" s="846" t="s">
        <v>198</v>
      </c>
      <c r="B10" s="846"/>
      <c r="C10" s="840">
        <v>60</v>
      </c>
      <c r="D10" s="840"/>
      <c r="E10" s="510"/>
      <c r="F10" s="231"/>
      <c r="G10" s="244">
        <f>G9+1</f>
        <v>2</v>
      </c>
      <c r="H10" s="245">
        <f t="shared" ref="H10:H73" si="7">IF((OR(DAY($AD$54)=29,DAY($AD$54)=30,DAY($AD$54)=31)),(EDATE($C$9-28,G10+1)),EDATE($C$9,G10))</f>
        <v>44774</v>
      </c>
      <c r="I10" s="246">
        <f>IF(AND($W$11=1,G10&gt;=$W$11,G10&lt;=$W$11+0),0%,$C$11)</f>
        <v>0.20899999999999999</v>
      </c>
      <c r="J10" s="242">
        <f t="shared" si="0"/>
        <v>8289</v>
      </c>
      <c r="K10" s="242">
        <f>IF(G10&gt;$C$10,0,IF(T9=0,K9,ROUNDUP(S9*$C$11/12/((1-(1+$C$11/12)^(0-($C$10-G10)))),0)))</f>
        <v>8289</v>
      </c>
      <c r="L10" s="242">
        <f t="shared" ref="L10:L73" si="8">S9*($C$11/365*(H10-H9))</f>
        <v>5405.2791646112728</v>
      </c>
      <c r="M10" s="242">
        <f>IF(S9=0,0,IF(S9+L10&gt;K9,K10-L10,S9))</f>
        <v>2883.7208353887272</v>
      </c>
      <c r="N10" s="242">
        <f t="shared" si="1"/>
        <v>0</v>
      </c>
      <c r="O10" s="242">
        <v>0</v>
      </c>
      <c r="P10" s="242">
        <f>L10+Q10</f>
        <v>5405.2791646112728</v>
      </c>
      <c r="Q10" s="242">
        <f t="shared" si="2"/>
        <v>0</v>
      </c>
      <c r="R10" s="242">
        <f t="shared" ref="R10:R73" si="9">IF(V10=0,0,0)</f>
        <v>0</v>
      </c>
      <c r="S10" s="242">
        <f t="shared" ref="S10:S73" si="10">S9-M10-T10</f>
        <v>301627.29862488521</v>
      </c>
      <c r="T10" s="467"/>
      <c r="U10" s="198">
        <f>IF((U9-1)&lt;0,0,U9-1)</f>
        <v>59</v>
      </c>
      <c r="V10" s="36">
        <f t="shared" ref="V10:V73" si="11">U10</f>
        <v>59</v>
      </c>
      <c r="W10" s="54">
        <f>ROUND(S8*0%,-2)</f>
        <v>0</v>
      </c>
      <c r="X10" s="54">
        <f>ROUND(S8*0.5%,0)</f>
        <v>1535</v>
      </c>
      <c r="Y10" s="15"/>
      <c r="Z10" s="15"/>
      <c r="AA10" s="15"/>
      <c r="AB10" s="807">
        <v>0.14899999999999999</v>
      </c>
      <c r="AD10" s="147">
        <f>IF(OR($C$8="Гарантия стандарт",$C$8="Гарантия пакет"),AB4,W6)</f>
        <v>0.13900000000000001</v>
      </c>
      <c r="AE10" s="147">
        <f>IF(OR($D$8="Гарантия стандарт",$D$8="Гарантия пакет"),AB4,W6)</f>
        <v>0.13900000000000001</v>
      </c>
      <c r="AF10" s="15"/>
      <c r="AG10" s="15"/>
      <c r="AH10" s="15"/>
      <c r="AI10" s="15"/>
      <c r="AJ10" s="15"/>
      <c r="AK10" s="15"/>
      <c r="AL10" s="15"/>
      <c r="AM10" s="15"/>
      <c r="AN10" s="15"/>
      <c r="AO10" s="130">
        <f t="shared" ref="AO10:AO73" si="12">IF(OR(AT10="",AT10=0),0,1)</f>
        <v>1</v>
      </c>
      <c r="AP10" s="553">
        <f>AP9+1</f>
        <v>2</v>
      </c>
      <c r="AQ10" s="554">
        <f t="shared" ref="AQ10:AQ73" si="13">IF((OR(DAY($AD$54)=29,DAY($AD$54)=30,DAY($AD$54)=31)),(EDATE($C$9-28,AP10+1)),EDATE($C$9,AP10))</f>
        <v>44774</v>
      </c>
      <c r="AR10" s="555">
        <f t="shared" si="3"/>
        <v>0.20899999999999999</v>
      </c>
      <c r="AS10" s="546">
        <f t="shared" ref="AS10:AS73" si="14">AT10+AZ10</f>
        <v>8289</v>
      </c>
      <c r="AT10" s="546">
        <f t="shared" ref="AT10:AT73" si="15">IF(AP10&gt;$C$10,0,ROUNDUP($BG$8*$C$11/12/((1-(1+$C$11/12)^(0-$C$10))),0))</f>
        <v>8289</v>
      </c>
      <c r="AU10" s="546">
        <f t="shared" ref="AU10:AU73" si="16">BG9*($C$11/365*(AQ10-AQ9))</f>
        <v>5405.2791646112728</v>
      </c>
      <c r="AV10" s="546">
        <f t="shared" ref="AV10:AV73" si="17">IF(BI10=0,0,IF(BI10=1,BG9,IF(BG9+AW10+AU10&gt;AT9,AT10-AU10-AW10,BG9)))</f>
        <v>2883.7208353887272</v>
      </c>
      <c r="AW10" s="546">
        <f t="shared" si="4"/>
        <v>0</v>
      </c>
      <c r="AX10" s="546">
        <v>0</v>
      </c>
      <c r="AY10" s="546">
        <f t="shared" ref="AY10:AY85" si="18">AU10+AZ10</f>
        <v>5405.2791646112728</v>
      </c>
      <c r="AZ10" s="546">
        <f t="shared" si="5"/>
        <v>0</v>
      </c>
      <c r="BA10" s="546">
        <f t="shared" ref="BA10:BA18" si="19">IF(BI10=0,0,0)</f>
        <v>0</v>
      </c>
      <c r="BB10" s="546"/>
      <c r="BC10" s="546"/>
      <c r="BD10" s="546"/>
      <c r="BE10" s="546"/>
      <c r="BF10" s="546"/>
      <c r="BG10" s="546">
        <f t="shared" ref="BG10:BG73" si="20">IF(OR(BI10=1,BG9=0),0,BG9-AV10)</f>
        <v>301627.29862488521</v>
      </c>
      <c r="BH10" s="108">
        <f>IF((BH9-1)&lt;0,0,BH9-1)</f>
        <v>59</v>
      </c>
      <c r="BI10" s="108">
        <f>BH10</f>
        <v>59</v>
      </c>
      <c r="BJ10" s="22">
        <f>H10</f>
        <v>44774</v>
      </c>
      <c r="BK10" s="108">
        <f t="shared" si="6"/>
        <v>8289</v>
      </c>
      <c r="BN10" s="830" t="s">
        <v>90</v>
      </c>
      <c r="BO10" s="828" t="s">
        <v>85</v>
      </c>
      <c r="BP10" s="129" t="s">
        <v>84</v>
      </c>
    </row>
    <row r="11" spans="1:72" ht="18" customHeight="1" thickBot="1" x14ac:dyDescent="0.3">
      <c r="A11" s="882" t="s">
        <v>172</v>
      </c>
      <c r="B11" s="882"/>
      <c r="C11" s="503">
        <v>0.20899999999999999</v>
      </c>
      <c r="D11" s="578">
        <f>C11</f>
        <v>0.20899999999999999</v>
      </c>
      <c r="E11" s="514"/>
      <c r="F11" s="232"/>
      <c r="G11" s="244">
        <f>G10+1</f>
        <v>3</v>
      </c>
      <c r="H11" s="245">
        <f t="shared" si="7"/>
        <v>44805</v>
      </c>
      <c r="I11" s="246">
        <f>IF(AND($W$11=1,G11&gt;=$W$11,G11&lt;=$W$11+0),0%,$C$11)</f>
        <v>0.20899999999999999</v>
      </c>
      <c r="J11" s="242">
        <f t="shared" si="0"/>
        <v>8289</v>
      </c>
      <c r="K11" s="242">
        <f t="shared" ref="K11:K74" si="21">IF(G11&gt;$C$10,0,IF(T10=0,K10,ROUNDUP(S10*$C$11/12/((1-(1+$C$11/12)^(0-($C$10-G11)))),0)))</f>
        <v>8289</v>
      </c>
      <c r="L11" s="242">
        <f t="shared" si="8"/>
        <v>5354.091144631866</v>
      </c>
      <c r="M11" s="242">
        <f t="shared" ref="M11:M74" si="22">IF(S10=0,0,IF(S10+L11&gt;K10,K11-L11,S10))</f>
        <v>2934.908855368134</v>
      </c>
      <c r="N11" s="242">
        <f t="shared" si="1"/>
        <v>0</v>
      </c>
      <c r="O11" s="242">
        <v>0</v>
      </c>
      <c r="P11" s="242">
        <f t="shared" ref="P11:P85" si="23">L11+Q11</f>
        <v>5354.091144631866</v>
      </c>
      <c r="Q11" s="242">
        <f t="shared" si="2"/>
        <v>0</v>
      </c>
      <c r="R11" s="242">
        <f t="shared" si="9"/>
        <v>0</v>
      </c>
      <c r="S11" s="242">
        <f t="shared" si="10"/>
        <v>298692.38976951706</v>
      </c>
      <c r="T11" s="467"/>
      <c r="U11" s="198">
        <f>IF((U10-1)&lt;0,0,U10-1)</f>
        <v>58</v>
      </c>
      <c r="V11" s="36">
        <f t="shared" si="11"/>
        <v>58</v>
      </c>
      <c r="W11" s="130">
        <f>IF($C$8="Нет",0,1)</f>
        <v>0</v>
      </c>
      <c r="X11" s="15"/>
      <c r="Y11" s="15"/>
      <c r="Z11" s="15"/>
      <c r="AA11" s="15"/>
      <c r="AB11" s="807">
        <v>9.9000000000000005E-2</v>
      </c>
      <c r="AD11" s="147"/>
      <c r="AE11" s="147"/>
      <c r="AF11" s="15"/>
      <c r="AG11" s="15"/>
      <c r="AH11" s="15"/>
      <c r="AI11" s="15"/>
      <c r="AJ11" s="15"/>
      <c r="AK11" s="15"/>
      <c r="AL11" s="15"/>
      <c r="AM11" s="3"/>
      <c r="AN11" s="175"/>
      <c r="AO11" s="130">
        <f t="shared" si="12"/>
        <v>1</v>
      </c>
      <c r="AP11" s="553">
        <f>AP10+1</f>
        <v>3</v>
      </c>
      <c r="AQ11" s="554">
        <f t="shared" si="13"/>
        <v>44805</v>
      </c>
      <c r="AR11" s="555">
        <f t="shared" si="3"/>
        <v>0.20899999999999999</v>
      </c>
      <c r="AS11" s="546">
        <f t="shared" si="14"/>
        <v>8289</v>
      </c>
      <c r="AT11" s="546">
        <f t="shared" si="15"/>
        <v>8289</v>
      </c>
      <c r="AU11" s="546">
        <f t="shared" si="16"/>
        <v>5354.091144631866</v>
      </c>
      <c r="AV11" s="546">
        <f>IF(BI11=0,0,IF(BI11=1,BG10,IF(BG10+AW11+AU11&gt;AT10,AT11-AU11-AW11,BG10)))</f>
        <v>2934.908855368134</v>
      </c>
      <c r="AW11" s="546">
        <f t="shared" si="4"/>
        <v>0</v>
      </c>
      <c r="AX11" s="546">
        <v>0</v>
      </c>
      <c r="AY11" s="546">
        <f t="shared" si="18"/>
        <v>5354.091144631866</v>
      </c>
      <c r="AZ11" s="546">
        <f t="shared" si="5"/>
        <v>0</v>
      </c>
      <c r="BA11" s="546">
        <f t="shared" si="19"/>
        <v>0</v>
      </c>
      <c r="BB11" s="546"/>
      <c r="BC11" s="546"/>
      <c r="BD11" s="546"/>
      <c r="BE11" s="546"/>
      <c r="BF11" s="546"/>
      <c r="BG11" s="546">
        <f>IF(OR(BI11=1,BG10=0),0,BG10-AV11)</f>
        <v>298692.38976951706</v>
      </c>
      <c r="BH11" s="108">
        <f>IF((BH10-1)&lt;0,0,BH10-1)</f>
        <v>58</v>
      </c>
      <c r="BI11" s="108">
        <f t="shared" ref="BI11:BI74" si="24">BH11</f>
        <v>58</v>
      </c>
      <c r="BJ11" s="22">
        <f t="shared" ref="BJ11:BJ74" si="25">H11</f>
        <v>44805</v>
      </c>
      <c r="BK11" s="108">
        <f t="shared" si="6"/>
        <v>8289</v>
      </c>
      <c r="BN11" s="831"/>
      <c r="BO11" s="829"/>
      <c r="BP11" s="128" t="s">
        <v>91</v>
      </c>
    </row>
    <row r="12" spans="1:72" ht="18" customHeight="1" thickBot="1" x14ac:dyDescent="0.3">
      <c r="A12" s="882" t="s">
        <v>173</v>
      </c>
      <c r="B12" s="882"/>
      <c r="C12" s="504" t="s">
        <v>33</v>
      </c>
      <c r="D12" s="218" t="str">
        <f>C12</f>
        <v>Базовый</v>
      </c>
      <c r="E12" s="514"/>
      <c r="F12" s="232"/>
      <c r="G12" s="244">
        <f t="shared" ref="G12:G75" si="26">G11+1</f>
        <v>4</v>
      </c>
      <c r="H12" s="245">
        <f t="shared" si="7"/>
        <v>44835</v>
      </c>
      <c r="I12" s="246">
        <f>IF(AND($W$11=1,G12&gt;=$W$11,G12&lt;=$W$11+0),0%,$C$11)</f>
        <v>0.20899999999999999</v>
      </c>
      <c r="J12" s="242">
        <f t="shared" si="0"/>
        <v>8289</v>
      </c>
      <c r="K12" s="242">
        <f t="shared" si="21"/>
        <v>8289</v>
      </c>
      <c r="L12" s="242">
        <f t="shared" si="8"/>
        <v>5130.9624215201966</v>
      </c>
      <c r="M12" s="242">
        <f t="shared" si="22"/>
        <v>3158.0375784798034</v>
      </c>
      <c r="N12" s="242">
        <f t="shared" si="1"/>
        <v>0</v>
      </c>
      <c r="O12" s="242">
        <v>0</v>
      </c>
      <c r="P12" s="242">
        <f t="shared" si="23"/>
        <v>5130.9624215201966</v>
      </c>
      <c r="Q12" s="242">
        <f t="shared" si="2"/>
        <v>0</v>
      </c>
      <c r="R12" s="242">
        <f t="shared" si="9"/>
        <v>0</v>
      </c>
      <c r="S12" s="242">
        <f t="shared" si="10"/>
        <v>295534.35219103727</v>
      </c>
      <c r="T12" s="467"/>
      <c r="U12" s="198">
        <f t="shared" ref="U12:U75" si="27">IF((U11-1)&lt;0,0,U11-1)</f>
        <v>57</v>
      </c>
      <c r="V12" s="36">
        <f t="shared" si="11"/>
        <v>57</v>
      </c>
      <c r="W12" s="15"/>
      <c r="X12" s="15"/>
      <c r="Y12" s="15"/>
      <c r="Z12" s="15"/>
      <c r="AA12" s="15"/>
      <c r="AB12" s="735"/>
      <c r="AD12" s="147">
        <f>IF(OR($C$8="Гарантия стандарт",$C$8="Гарантия пакет"),#REF!,W7)</f>
        <v>0.14899999999999999</v>
      </c>
      <c r="AE12" s="147">
        <f>IF(OR($D$8="Гарантия стандарт",$D$8="Гарантия пакет"),#REF!,W7)</f>
        <v>0.14899999999999999</v>
      </c>
      <c r="AF12" s="15"/>
      <c r="AG12" s="15"/>
      <c r="AH12" s="15"/>
      <c r="AI12" s="15"/>
      <c r="AJ12" s="15"/>
      <c r="AK12" s="15"/>
      <c r="AL12" s="15"/>
      <c r="AN12" s="57"/>
      <c r="AO12" s="130">
        <f t="shared" si="12"/>
        <v>1</v>
      </c>
      <c r="AP12" s="553">
        <f t="shared" ref="AP12:AP75" si="28">AP11+1</f>
        <v>4</v>
      </c>
      <c r="AQ12" s="554">
        <f t="shared" si="13"/>
        <v>44835</v>
      </c>
      <c r="AR12" s="555">
        <f t="shared" si="3"/>
        <v>0.20899999999999999</v>
      </c>
      <c r="AS12" s="546">
        <f t="shared" si="14"/>
        <v>8289</v>
      </c>
      <c r="AT12" s="546">
        <f t="shared" si="15"/>
        <v>8289</v>
      </c>
      <c r="AU12" s="546">
        <f t="shared" si="16"/>
        <v>5130.9624215201966</v>
      </c>
      <c r="AV12" s="546">
        <f t="shared" si="17"/>
        <v>3158.0375784798034</v>
      </c>
      <c r="AW12" s="546">
        <f t="shared" si="4"/>
        <v>0</v>
      </c>
      <c r="AX12" s="546">
        <v>0</v>
      </c>
      <c r="AY12" s="546">
        <f t="shared" si="18"/>
        <v>5130.9624215201966</v>
      </c>
      <c r="AZ12" s="546">
        <f t="shared" si="5"/>
        <v>0</v>
      </c>
      <c r="BA12" s="546">
        <f t="shared" si="19"/>
        <v>0</v>
      </c>
      <c r="BB12" s="546"/>
      <c r="BC12" s="546"/>
      <c r="BD12" s="546"/>
      <c r="BE12" s="546"/>
      <c r="BF12" s="546"/>
      <c r="BG12" s="546">
        <f t="shared" si="20"/>
        <v>295534.35219103727</v>
      </c>
      <c r="BH12" s="108">
        <f t="shared" ref="BH12:BH75" si="29">IF((BH11-1)&lt;0,0,BH11-1)</f>
        <v>57</v>
      </c>
      <c r="BI12" s="108">
        <f t="shared" si="24"/>
        <v>57</v>
      </c>
      <c r="BJ12" s="22">
        <f t="shared" si="25"/>
        <v>44835</v>
      </c>
      <c r="BK12" s="108">
        <f t="shared" si="6"/>
        <v>8289</v>
      </c>
    </row>
    <row r="13" spans="1:72" ht="18" customHeight="1" x14ac:dyDescent="0.25">
      <c r="A13" s="882" t="s">
        <v>171</v>
      </c>
      <c r="B13" s="892"/>
      <c r="C13" s="360">
        <f>C11</f>
        <v>0.20899999999999999</v>
      </c>
      <c r="D13" s="217">
        <f>D11</f>
        <v>0.20899999999999999</v>
      </c>
      <c r="E13" s="514"/>
      <c r="F13" s="232"/>
      <c r="G13" s="244">
        <f t="shared" si="26"/>
        <v>5</v>
      </c>
      <c r="H13" s="245">
        <f t="shared" si="7"/>
        <v>44866</v>
      </c>
      <c r="I13" s="246">
        <f>IF(AND($W$11=1,G13&gt;=$W$11,G13&lt;=$W$11+0),0%,$C$11)</f>
        <v>0.20899999999999999</v>
      </c>
      <c r="J13" s="242">
        <f t="shared" si="0"/>
        <v>8289</v>
      </c>
      <c r="K13" s="242">
        <f t="shared" si="21"/>
        <v>8289</v>
      </c>
      <c r="L13" s="242">
        <f t="shared" si="8"/>
        <v>5245.9371721800826</v>
      </c>
      <c r="M13" s="242">
        <f t="shared" si="22"/>
        <v>3043.0628278199174</v>
      </c>
      <c r="N13" s="242">
        <f t="shared" si="1"/>
        <v>0</v>
      </c>
      <c r="O13" s="242">
        <v>0</v>
      </c>
      <c r="P13" s="242">
        <f t="shared" si="23"/>
        <v>5245.9371721800826</v>
      </c>
      <c r="Q13" s="242">
        <f t="shared" si="2"/>
        <v>0</v>
      </c>
      <c r="R13" s="242">
        <f t="shared" si="9"/>
        <v>0</v>
      </c>
      <c r="S13" s="242">
        <f t="shared" si="10"/>
        <v>292491.28936321737</v>
      </c>
      <c r="T13" s="467"/>
      <c r="U13" s="198">
        <f>IF((U12-1)&lt;0,0,U12-1)</f>
        <v>56</v>
      </c>
      <c r="V13" s="36">
        <f>U13</f>
        <v>56</v>
      </c>
      <c r="W13" s="15"/>
      <c r="X13" s="15"/>
      <c r="Y13" s="15"/>
      <c r="Z13" s="15"/>
      <c r="AA13" s="15"/>
      <c r="AD13" s="62" t="e">
        <f>INDEX(AD4:AD12,MATCH(C11,$W$4:$W$7,0))</f>
        <v>#N/A</v>
      </c>
      <c r="AE13" s="62" t="e">
        <f>INDEX(AE4:AE12,MATCH(D13,$W$4:$W$7,0))</f>
        <v>#N/A</v>
      </c>
      <c r="AF13" s="15"/>
      <c r="AG13" s="15"/>
      <c r="AH13" s="15"/>
      <c r="AI13" s="15"/>
      <c r="AJ13" s="15"/>
      <c r="AK13" s="15"/>
      <c r="AL13" s="15"/>
      <c r="AO13" s="130">
        <f t="shared" si="12"/>
        <v>1</v>
      </c>
      <c r="AP13" s="553">
        <f>AP12+1</f>
        <v>5</v>
      </c>
      <c r="AQ13" s="554">
        <f t="shared" si="13"/>
        <v>44866</v>
      </c>
      <c r="AR13" s="555">
        <f t="shared" si="3"/>
        <v>0.20899999999999999</v>
      </c>
      <c r="AS13" s="546">
        <f t="shared" si="14"/>
        <v>8289</v>
      </c>
      <c r="AT13" s="546">
        <f t="shared" si="15"/>
        <v>8289</v>
      </c>
      <c r="AU13" s="546">
        <f t="shared" si="16"/>
        <v>5245.9371721800826</v>
      </c>
      <c r="AV13" s="546">
        <f t="shared" si="17"/>
        <v>3043.0628278199174</v>
      </c>
      <c r="AW13" s="546">
        <f t="shared" si="4"/>
        <v>0</v>
      </c>
      <c r="AX13" s="546">
        <v>0</v>
      </c>
      <c r="AY13" s="546">
        <f t="shared" si="18"/>
        <v>5245.9371721800826</v>
      </c>
      <c r="AZ13" s="546">
        <f t="shared" si="5"/>
        <v>0</v>
      </c>
      <c r="BA13" s="546">
        <f t="shared" si="19"/>
        <v>0</v>
      </c>
      <c r="BB13" s="546"/>
      <c r="BC13" s="546"/>
      <c r="BD13" s="546"/>
      <c r="BE13" s="546"/>
      <c r="BF13" s="546"/>
      <c r="BG13" s="546">
        <f t="shared" si="20"/>
        <v>292491.28936321737</v>
      </c>
      <c r="BH13" s="108">
        <f t="shared" si="29"/>
        <v>56</v>
      </c>
      <c r="BI13" s="108">
        <f t="shared" si="24"/>
        <v>56</v>
      </c>
      <c r="BJ13" s="22">
        <f t="shared" si="25"/>
        <v>44866</v>
      </c>
      <c r="BK13" s="108">
        <f t="shared" si="6"/>
        <v>8289</v>
      </c>
      <c r="BN13" s="830" t="s">
        <v>92</v>
      </c>
      <c r="BO13" s="828" t="s">
        <v>85</v>
      </c>
      <c r="BP13" s="129" t="s">
        <v>90</v>
      </c>
    </row>
    <row r="14" spans="1:72" ht="19.5" customHeight="1" thickBot="1" x14ac:dyDescent="0.3">
      <c r="A14" s="879" t="s">
        <v>168</v>
      </c>
      <c r="B14" s="419" t="s">
        <v>102</v>
      </c>
      <c r="C14" s="568" t="s">
        <v>47</v>
      </c>
      <c r="D14" s="218" t="str">
        <f>C14</f>
        <v>Да</v>
      </c>
      <c r="E14" s="510"/>
      <c r="F14" s="231"/>
      <c r="G14" s="244">
        <f t="shared" si="26"/>
        <v>6</v>
      </c>
      <c r="H14" s="245">
        <f t="shared" si="7"/>
        <v>44896</v>
      </c>
      <c r="I14" s="246">
        <f>IF(AND($W$11=1,G14&gt;=$W$11,G14&lt;=$W$11+0),0%,$C$11)</f>
        <v>0.20899999999999999</v>
      </c>
      <c r="J14" s="242">
        <f t="shared" si="0"/>
        <v>8289</v>
      </c>
      <c r="K14" s="242">
        <f t="shared" si="21"/>
        <v>8289</v>
      </c>
      <c r="L14" s="242">
        <f t="shared" si="8"/>
        <v>5024.439409061295</v>
      </c>
      <c r="M14" s="242">
        <f t="shared" si="22"/>
        <v>3264.560590938705</v>
      </c>
      <c r="N14" s="242">
        <f t="shared" si="1"/>
        <v>0</v>
      </c>
      <c r="O14" s="242">
        <v>0</v>
      </c>
      <c r="P14" s="242">
        <f t="shared" si="23"/>
        <v>5024.439409061295</v>
      </c>
      <c r="Q14" s="242">
        <f t="shared" si="2"/>
        <v>0</v>
      </c>
      <c r="R14" s="242">
        <f t="shared" si="9"/>
        <v>0</v>
      </c>
      <c r="S14" s="242">
        <f t="shared" si="10"/>
        <v>289226.72877227864</v>
      </c>
      <c r="T14" s="242"/>
      <c r="U14" s="198">
        <f>IF((U13-1)&lt;0,0,U13-1)</f>
        <v>55</v>
      </c>
      <c r="V14" s="36">
        <f t="shared" si="11"/>
        <v>55</v>
      </c>
      <c r="W14" s="565">
        <v>0.19900000000000001</v>
      </c>
      <c r="X14" s="565">
        <v>0.19900000000000001</v>
      </c>
      <c r="Y14" s="565">
        <v>0.19900000000000001</v>
      </c>
      <c r="Z14" s="565">
        <v>0.19900000000000001</v>
      </c>
      <c r="AA14" s="565">
        <v>0.19900000000000001</v>
      </c>
      <c r="AB14" s="15"/>
      <c r="AE14" s="15">
        <f>IF(OR(D$8="Гарантия стандарт",D$8="Гарантия пакет"),AE13,D13)</f>
        <v>0.20899999999999999</v>
      </c>
      <c r="AF14" s="15"/>
      <c r="AG14" s="15"/>
      <c r="AH14" s="15"/>
      <c r="AI14" s="15"/>
      <c r="AJ14" s="15"/>
      <c r="AK14" s="15"/>
      <c r="AL14" s="15"/>
      <c r="AN14" s="57"/>
      <c r="AO14" s="130">
        <f t="shared" si="12"/>
        <v>1</v>
      </c>
      <c r="AP14" s="553">
        <f>AP13+1</f>
        <v>6</v>
      </c>
      <c r="AQ14" s="554">
        <f t="shared" si="13"/>
        <v>44896</v>
      </c>
      <c r="AR14" s="555">
        <f t="shared" si="3"/>
        <v>0.20899999999999999</v>
      </c>
      <c r="AS14" s="546">
        <f t="shared" si="14"/>
        <v>8289</v>
      </c>
      <c r="AT14" s="546">
        <f t="shared" si="15"/>
        <v>8289</v>
      </c>
      <c r="AU14" s="546">
        <f t="shared" si="16"/>
        <v>5024.439409061295</v>
      </c>
      <c r="AV14" s="546">
        <f t="shared" si="17"/>
        <v>3264.560590938705</v>
      </c>
      <c r="AW14" s="546">
        <f t="shared" si="4"/>
        <v>0</v>
      </c>
      <c r="AX14" s="546">
        <v>0</v>
      </c>
      <c r="AY14" s="546">
        <f t="shared" si="18"/>
        <v>5024.439409061295</v>
      </c>
      <c r="AZ14" s="546">
        <f t="shared" si="5"/>
        <v>0</v>
      </c>
      <c r="BA14" s="546">
        <f t="shared" si="19"/>
        <v>0</v>
      </c>
      <c r="BB14" s="546"/>
      <c r="BC14" s="546"/>
      <c r="BD14" s="546"/>
      <c r="BE14" s="546"/>
      <c r="BF14" s="546"/>
      <c r="BG14" s="546">
        <f t="shared" si="20"/>
        <v>289226.72877227864</v>
      </c>
      <c r="BH14" s="108">
        <f t="shared" si="29"/>
        <v>55</v>
      </c>
      <c r="BI14" s="108">
        <f t="shared" si="24"/>
        <v>55</v>
      </c>
      <c r="BJ14" s="22">
        <f t="shared" si="25"/>
        <v>44896</v>
      </c>
      <c r="BK14" s="108">
        <f t="shared" si="6"/>
        <v>8289</v>
      </c>
      <c r="BN14" s="831"/>
      <c r="BO14" s="829"/>
      <c r="BP14" s="128" t="s">
        <v>93</v>
      </c>
    </row>
    <row r="15" spans="1:72" ht="20.25" customHeight="1" x14ac:dyDescent="0.25">
      <c r="A15" s="880"/>
      <c r="B15" s="418" t="s">
        <v>182</v>
      </c>
      <c r="C15" s="505">
        <f>IF(C14="нет","",AJ109)</f>
        <v>6999</v>
      </c>
      <c r="D15" s="216">
        <f>IF(D14="нет","",AJ109)</f>
        <v>6999</v>
      </c>
      <c r="E15" s="510"/>
      <c r="F15" s="231"/>
      <c r="G15" s="244">
        <f t="shared" si="26"/>
        <v>7</v>
      </c>
      <c r="H15" s="245">
        <f t="shared" si="7"/>
        <v>44927</v>
      </c>
      <c r="I15" s="246">
        <f t="shared" ref="I15:I78" si="30">IF(AND($W$11=1,G15&gt;=$W$11,G15&lt;=$W$11+5),0%,$C$11)</f>
        <v>0.20899999999999999</v>
      </c>
      <c r="J15" s="242">
        <f t="shared" si="0"/>
        <v>8289</v>
      </c>
      <c r="K15" s="242">
        <f t="shared" si="21"/>
        <v>8289</v>
      </c>
      <c r="L15" s="242">
        <f t="shared" si="8"/>
        <v>5133.972536207104</v>
      </c>
      <c r="M15" s="242">
        <f t="shared" si="22"/>
        <v>3155.027463792896</v>
      </c>
      <c r="N15" s="242">
        <f t="shared" si="1"/>
        <v>0</v>
      </c>
      <c r="O15" s="242">
        <v>0</v>
      </c>
      <c r="P15" s="242">
        <f t="shared" si="23"/>
        <v>5133.972536207104</v>
      </c>
      <c r="Q15" s="242">
        <f t="shared" si="2"/>
        <v>0</v>
      </c>
      <c r="R15" s="242">
        <f t="shared" si="9"/>
        <v>0</v>
      </c>
      <c r="S15" s="242">
        <f t="shared" si="10"/>
        <v>286071.70130848576</v>
      </c>
      <c r="T15" s="467"/>
      <c r="U15" s="198">
        <f t="shared" si="27"/>
        <v>54</v>
      </c>
      <c r="V15" s="36">
        <f t="shared" si="11"/>
        <v>54</v>
      </c>
      <c r="W15" s="566">
        <v>0.19900000000000001</v>
      </c>
      <c r="X15" s="566">
        <v>0.19900000000000001</v>
      </c>
      <c r="Y15" s="566">
        <v>0.19900000000000001</v>
      </c>
      <c r="Z15" s="566">
        <v>0.19900000000000001</v>
      </c>
      <c r="AA15" s="566">
        <v>0.19900000000000001</v>
      </c>
      <c r="AB15" s="15"/>
      <c r="AC15" s="15"/>
      <c r="AD15" s="15" t="str">
        <f>IF(OR(C8="Гарантия стандарт",C8="Гарантия плюс",C8="Гарантия пакет"),AD13,"")</f>
        <v/>
      </c>
      <c r="AE15" s="15" t="str">
        <f>IF(OR(D8="Гарантия стандарт",D8="Гарантия плюс",D8="Гарантия пакет"),AE13,"")</f>
        <v/>
      </c>
      <c r="AF15" s="15"/>
      <c r="AG15" s="15"/>
      <c r="AH15" s="15"/>
      <c r="AI15" s="15"/>
      <c r="AJ15" s="15"/>
      <c r="AK15" s="15"/>
      <c r="AL15" s="15"/>
      <c r="AO15" s="130">
        <f t="shared" si="12"/>
        <v>1</v>
      </c>
      <c r="AP15" s="553">
        <f t="shared" si="28"/>
        <v>7</v>
      </c>
      <c r="AQ15" s="554">
        <f t="shared" si="13"/>
        <v>44927</v>
      </c>
      <c r="AR15" s="555">
        <f t="shared" ref="AR15:AR32" si="31">IF($D$16="Да",$AM$37,$D$13)</f>
        <v>0.20899999999999999</v>
      </c>
      <c r="AS15" s="546">
        <f t="shared" si="14"/>
        <v>8289</v>
      </c>
      <c r="AT15" s="546">
        <f t="shared" si="15"/>
        <v>8289</v>
      </c>
      <c r="AU15" s="546">
        <f t="shared" si="16"/>
        <v>5133.972536207104</v>
      </c>
      <c r="AV15" s="546">
        <f t="shared" si="17"/>
        <v>3155.027463792896</v>
      </c>
      <c r="AW15" s="546">
        <f t="shared" si="4"/>
        <v>0</v>
      </c>
      <c r="AX15" s="546">
        <v>0</v>
      </c>
      <c r="AY15" s="546">
        <f t="shared" si="18"/>
        <v>5133.972536207104</v>
      </c>
      <c r="AZ15" s="546">
        <f t="shared" si="5"/>
        <v>0</v>
      </c>
      <c r="BA15" s="546">
        <f t="shared" si="19"/>
        <v>0</v>
      </c>
      <c r="BB15" s="546"/>
      <c r="BC15" s="546"/>
      <c r="BD15" s="546"/>
      <c r="BE15" s="546"/>
      <c r="BF15" s="546"/>
      <c r="BG15" s="546">
        <f t="shared" si="20"/>
        <v>286071.70130848576</v>
      </c>
      <c r="BH15" s="108">
        <f t="shared" si="29"/>
        <v>54</v>
      </c>
      <c r="BI15" s="108">
        <f t="shared" si="24"/>
        <v>54</v>
      </c>
      <c r="BJ15" s="22">
        <f t="shared" si="25"/>
        <v>44927</v>
      </c>
      <c r="BK15" s="108">
        <f t="shared" si="6"/>
        <v>8289</v>
      </c>
    </row>
    <row r="16" spans="1:72" ht="19.2" customHeight="1" x14ac:dyDescent="0.25">
      <c r="A16" s="881" t="s">
        <v>356</v>
      </c>
      <c r="B16" s="186" t="s">
        <v>351</v>
      </c>
      <c r="C16" s="506" t="s">
        <v>35</v>
      </c>
      <c r="D16" s="448" t="s">
        <v>178</v>
      </c>
      <c r="E16" s="514"/>
      <c r="F16" s="232"/>
      <c r="G16" s="244">
        <f t="shared" si="26"/>
        <v>8</v>
      </c>
      <c r="H16" s="245">
        <f t="shared" si="7"/>
        <v>44958</v>
      </c>
      <c r="I16" s="246">
        <f t="shared" si="30"/>
        <v>0.20899999999999999</v>
      </c>
      <c r="J16" s="242">
        <f t="shared" si="0"/>
        <v>8289</v>
      </c>
      <c r="K16" s="242">
        <f t="shared" si="21"/>
        <v>8289</v>
      </c>
      <c r="L16" s="242">
        <f t="shared" si="8"/>
        <v>5077.9686377470653</v>
      </c>
      <c r="M16" s="242">
        <f t="shared" si="22"/>
        <v>3211.0313622529347</v>
      </c>
      <c r="N16" s="242">
        <f t="shared" si="1"/>
        <v>0</v>
      </c>
      <c r="O16" s="242">
        <v>0</v>
      </c>
      <c r="P16" s="242">
        <f t="shared" si="23"/>
        <v>5077.9686377470653</v>
      </c>
      <c r="Q16" s="242">
        <f t="shared" si="2"/>
        <v>0</v>
      </c>
      <c r="R16" s="242">
        <f t="shared" si="9"/>
        <v>0</v>
      </c>
      <c r="S16" s="242">
        <f t="shared" si="10"/>
        <v>282860.66994623281</v>
      </c>
      <c r="T16" s="467"/>
      <c r="U16" s="198">
        <f t="shared" si="27"/>
        <v>53</v>
      </c>
      <c r="V16" s="36">
        <f t="shared" si="11"/>
        <v>53</v>
      </c>
      <c r="W16" s="569">
        <f>IF($C$11=W4,W15,IF($C$11=W5,W15,IF($C$11=W6,W14,IF($C$11=W7,W14,IF($C$11=W8,W14,IF($C$11=W9,W14,))))))</f>
        <v>0</v>
      </c>
      <c r="X16" s="569">
        <f t="shared" ref="X16:AA16" si="32">IF($C$11=X4,X15,IF($C$11=X5,X15,IF($C$11=X6,X14,IF($C$11=X7,X14,IF($C$11=X8,X14,IF($C$11=X9,X14,))))))</f>
        <v>0</v>
      </c>
      <c r="Y16" s="569">
        <f t="shared" si="32"/>
        <v>0</v>
      </c>
      <c r="Z16" s="569">
        <f t="shared" si="32"/>
        <v>0</v>
      </c>
      <c r="AA16" s="569">
        <f t="shared" si="32"/>
        <v>0</v>
      </c>
      <c r="AB16" s="112" t="s">
        <v>365</v>
      </c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O16" s="130">
        <f t="shared" si="12"/>
        <v>1</v>
      </c>
      <c r="AP16" s="553">
        <f t="shared" si="28"/>
        <v>8</v>
      </c>
      <c r="AQ16" s="554">
        <f t="shared" si="13"/>
        <v>44958</v>
      </c>
      <c r="AR16" s="555">
        <f t="shared" si="31"/>
        <v>0.20899999999999999</v>
      </c>
      <c r="AS16" s="546">
        <f t="shared" si="14"/>
        <v>8289</v>
      </c>
      <c r="AT16" s="546">
        <f t="shared" si="15"/>
        <v>8289</v>
      </c>
      <c r="AU16" s="546">
        <f t="shared" si="16"/>
        <v>5077.9686377470653</v>
      </c>
      <c r="AV16" s="546">
        <f t="shared" si="17"/>
        <v>3211.0313622529347</v>
      </c>
      <c r="AW16" s="546">
        <f t="shared" si="4"/>
        <v>0</v>
      </c>
      <c r="AX16" s="546">
        <v>0</v>
      </c>
      <c r="AY16" s="546">
        <f t="shared" si="18"/>
        <v>5077.9686377470653</v>
      </c>
      <c r="AZ16" s="546">
        <f t="shared" si="5"/>
        <v>0</v>
      </c>
      <c r="BA16" s="546">
        <f t="shared" si="19"/>
        <v>0</v>
      </c>
      <c r="BB16" s="546"/>
      <c r="BC16" s="546"/>
      <c r="BD16" s="546"/>
      <c r="BE16" s="546"/>
      <c r="BF16" s="546"/>
      <c r="BG16" s="546">
        <f t="shared" si="20"/>
        <v>282860.66994623281</v>
      </c>
      <c r="BH16" s="108">
        <f t="shared" si="29"/>
        <v>53</v>
      </c>
      <c r="BI16" s="108">
        <f t="shared" si="24"/>
        <v>53</v>
      </c>
      <c r="BJ16" s="22">
        <f t="shared" si="25"/>
        <v>44958</v>
      </c>
      <c r="BK16" s="108">
        <f t="shared" si="6"/>
        <v>8289</v>
      </c>
    </row>
    <row r="17" spans="1:393" ht="19.95" customHeight="1" x14ac:dyDescent="0.25">
      <c r="A17" s="881"/>
      <c r="B17" s="186" t="s">
        <v>352</v>
      </c>
      <c r="C17" s="545" t="str">
        <f>IF(C16="Да",10%,"")</f>
        <v/>
      </c>
      <c r="D17" s="450" t="str">
        <f>IF(D16="Да",IF(AND($D$23&gt;=100000,$D$23&lt;200000),"Серебряный",IF(AND($D$23&gt;=200000,$D$23&lt;300000),"Золотой",IF(AND($D$23&gt;=300000,$C$7&lt;=500000),"Платиновый",""))),"")</f>
        <v/>
      </c>
      <c r="E17" s="514"/>
      <c r="F17" s="232"/>
      <c r="G17" s="244">
        <f t="shared" si="26"/>
        <v>9</v>
      </c>
      <c r="H17" s="245">
        <f t="shared" si="7"/>
        <v>44986</v>
      </c>
      <c r="I17" s="246">
        <f t="shared" si="30"/>
        <v>0.20899999999999999</v>
      </c>
      <c r="J17" s="242">
        <f t="shared" si="0"/>
        <v>8289</v>
      </c>
      <c r="K17" s="242">
        <f t="shared" si="21"/>
        <v>8289</v>
      </c>
      <c r="L17" s="242">
        <f t="shared" si="8"/>
        <v>4535.0702480146692</v>
      </c>
      <c r="M17" s="242">
        <f t="shared" si="22"/>
        <v>3753.9297519853308</v>
      </c>
      <c r="N17" s="242">
        <f t="shared" si="1"/>
        <v>0</v>
      </c>
      <c r="O17" s="242">
        <v>0</v>
      </c>
      <c r="P17" s="242">
        <f t="shared" si="23"/>
        <v>4535.0702480146692</v>
      </c>
      <c r="Q17" s="242">
        <f t="shared" si="2"/>
        <v>0</v>
      </c>
      <c r="R17" s="242">
        <f t="shared" si="9"/>
        <v>0</v>
      </c>
      <c r="S17" s="242">
        <f t="shared" si="10"/>
        <v>279106.74019424745</v>
      </c>
      <c r="T17" s="467"/>
      <c r="U17" s="198">
        <f t="shared" si="27"/>
        <v>52</v>
      </c>
      <c r="V17" s="36">
        <f t="shared" si="11"/>
        <v>52</v>
      </c>
      <c r="W17" s="484">
        <f>IF($C$11=W4,W18,IF($C$11=W5,W18,IF($C$11=W6,W19,IF($C$11=W7,W20,IF($C$11=W8,W21,IF($C$11=W9,W22,))))))</f>
        <v>0</v>
      </c>
      <c r="X17" s="484">
        <f t="shared" ref="X17:AA17" si="33">IF($C$11=X4,X18,IF($C$11=X5,X18,IF($C$11=X6,X19,IF($C$11=X7,X20,IF($C$11=X8,X21,IF($C$11=X9,X22,))))))</f>
        <v>0</v>
      </c>
      <c r="Y17" s="484">
        <f t="shared" si="33"/>
        <v>0</v>
      </c>
      <c r="Z17" s="484">
        <f t="shared" si="33"/>
        <v>0</v>
      </c>
      <c r="AA17" s="484">
        <f t="shared" si="33"/>
        <v>0</v>
      </c>
      <c r="AB17" s="84">
        <v>0.129</v>
      </c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O17" s="130">
        <f t="shared" si="12"/>
        <v>1</v>
      </c>
      <c r="AP17" s="553">
        <f t="shared" si="28"/>
        <v>9</v>
      </c>
      <c r="AQ17" s="554">
        <f t="shared" si="13"/>
        <v>44986</v>
      </c>
      <c r="AR17" s="555">
        <f t="shared" si="31"/>
        <v>0.20899999999999999</v>
      </c>
      <c r="AS17" s="546">
        <f t="shared" si="14"/>
        <v>8289</v>
      </c>
      <c r="AT17" s="546">
        <f t="shared" si="15"/>
        <v>8289</v>
      </c>
      <c r="AU17" s="546">
        <f t="shared" si="16"/>
        <v>4535.0702480146692</v>
      </c>
      <c r="AV17" s="546">
        <f t="shared" si="17"/>
        <v>3753.9297519853308</v>
      </c>
      <c r="AW17" s="546">
        <f t="shared" si="4"/>
        <v>0</v>
      </c>
      <c r="AX17" s="546">
        <v>0</v>
      </c>
      <c r="AY17" s="546">
        <f t="shared" si="18"/>
        <v>4535.0702480146692</v>
      </c>
      <c r="AZ17" s="546">
        <f t="shared" si="5"/>
        <v>0</v>
      </c>
      <c r="BA17" s="546">
        <f t="shared" si="19"/>
        <v>0</v>
      </c>
      <c r="BB17" s="546"/>
      <c r="BC17" s="546"/>
      <c r="BD17" s="546"/>
      <c r="BE17" s="546"/>
      <c r="BF17" s="546"/>
      <c r="BG17" s="546">
        <f t="shared" si="20"/>
        <v>279106.74019424745</v>
      </c>
      <c r="BH17" s="108">
        <f t="shared" si="29"/>
        <v>52</v>
      </c>
      <c r="BI17" s="108">
        <f t="shared" si="24"/>
        <v>52</v>
      </c>
      <c r="BJ17" s="22">
        <f t="shared" si="25"/>
        <v>44986</v>
      </c>
      <c r="BK17" s="108">
        <f t="shared" si="6"/>
        <v>8289</v>
      </c>
    </row>
    <row r="18" spans="1:393" ht="19.95" customHeight="1" x14ac:dyDescent="0.25">
      <c r="A18" s="881"/>
      <c r="B18" s="186" t="s">
        <v>353</v>
      </c>
      <c r="C18" s="508" t="str">
        <f>IF($C$16="ДА",C7*C17,"")</f>
        <v/>
      </c>
      <c r="D18" s="450" t="str">
        <f>IF($D$17="Серебряный",1800,IF($D$17="Золотой",2500,IF($D$17="Платиновый",3500,"")))</f>
        <v/>
      </c>
      <c r="E18" s="514"/>
      <c r="F18" s="232"/>
      <c r="G18" s="244">
        <f t="shared" si="26"/>
        <v>10</v>
      </c>
      <c r="H18" s="245">
        <f t="shared" si="7"/>
        <v>45017</v>
      </c>
      <c r="I18" s="246">
        <f t="shared" si="30"/>
        <v>0.20899999999999999</v>
      </c>
      <c r="J18" s="242">
        <f t="shared" si="0"/>
        <v>8289</v>
      </c>
      <c r="K18" s="242">
        <f t="shared" si="21"/>
        <v>8289</v>
      </c>
      <c r="L18" s="242">
        <f t="shared" si="8"/>
        <v>4954.3358074480248</v>
      </c>
      <c r="M18" s="242">
        <f t="shared" si="22"/>
        <v>3334.6641925519752</v>
      </c>
      <c r="N18" s="242">
        <f t="shared" si="1"/>
        <v>0</v>
      </c>
      <c r="O18" s="242">
        <v>0</v>
      </c>
      <c r="P18" s="242">
        <f t="shared" si="23"/>
        <v>4954.3358074480248</v>
      </c>
      <c r="Q18" s="242">
        <f t="shared" si="2"/>
        <v>0</v>
      </c>
      <c r="R18" s="242">
        <f t="shared" si="9"/>
        <v>0</v>
      </c>
      <c r="S18" s="242">
        <f t="shared" si="10"/>
        <v>275772.07600169547</v>
      </c>
      <c r="T18" s="467"/>
      <c r="U18" s="198">
        <f t="shared" si="27"/>
        <v>51</v>
      </c>
      <c r="V18" s="36">
        <f t="shared" si="11"/>
        <v>51</v>
      </c>
      <c r="W18" s="565">
        <v>0.1</v>
      </c>
      <c r="X18" s="565">
        <v>0.1</v>
      </c>
      <c r="Y18" s="565">
        <v>0.1</v>
      </c>
      <c r="Z18" s="565">
        <v>0.1</v>
      </c>
      <c r="AA18" s="565">
        <v>0.1</v>
      </c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O18" s="130">
        <f t="shared" si="12"/>
        <v>1</v>
      </c>
      <c r="AP18" s="553">
        <f t="shared" si="28"/>
        <v>10</v>
      </c>
      <c r="AQ18" s="554">
        <f t="shared" si="13"/>
        <v>45017</v>
      </c>
      <c r="AR18" s="555">
        <f t="shared" si="31"/>
        <v>0.20899999999999999</v>
      </c>
      <c r="AS18" s="546">
        <f t="shared" si="14"/>
        <v>8289</v>
      </c>
      <c r="AT18" s="546">
        <f t="shared" si="15"/>
        <v>8289</v>
      </c>
      <c r="AU18" s="546">
        <f t="shared" si="16"/>
        <v>4954.3358074480248</v>
      </c>
      <c r="AV18" s="546">
        <f t="shared" si="17"/>
        <v>3334.6641925519752</v>
      </c>
      <c r="AW18" s="546">
        <f t="shared" si="4"/>
        <v>0</v>
      </c>
      <c r="AX18" s="546">
        <v>0</v>
      </c>
      <c r="AY18" s="546">
        <f t="shared" si="18"/>
        <v>4954.3358074480248</v>
      </c>
      <c r="AZ18" s="546">
        <f t="shared" si="5"/>
        <v>0</v>
      </c>
      <c r="BA18" s="546">
        <f t="shared" si="19"/>
        <v>0</v>
      </c>
      <c r="BB18" s="546"/>
      <c r="BC18" s="546"/>
      <c r="BD18" s="546"/>
      <c r="BE18" s="546"/>
      <c r="BF18" s="546"/>
      <c r="BG18" s="546">
        <f t="shared" si="20"/>
        <v>275772.07600169547</v>
      </c>
      <c r="BH18" s="108">
        <f t="shared" si="29"/>
        <v>51</v>
      </c>
      <c r="BI18" s="108">
        <f t="shared" si="24"/>
        <v>51</v>
      </c>
      <c r="BJ18" s="22">
        <f t="shared" si="25"/>
        <v>45017</v>
      </c>
      <c r="BK18" s="108">
        <f t="shared" si="6"/>
        <v>8289</v>
      </c>
    </row>
    <row r="19" spans="1:393" ht="18.75" customHeight="1" x14ac:dyDescent="0.25">
      <c r="A19" s="564"/>
      <c r="B19" s="186" t="s">
        <v>364</v>
      </c>
      <c r="C19" s="567" t="str">
        <f>IF(C16="Да",(C11-10%),"")</f>
        <v/>
      </c>
      <c r="D19" s="450"/>
      <c r="E19" s="514"/>
      <c r="F19" s="233"/>
      <c r="G19" s="244">
        <f t="shared" si="26"/>
        <v>11</v>
      </c>
      <c r="H19" s="245">
        <f t="shared" si="7"/>
        <v>45047</v>
      </c>
      <c r="I19" s="246">
        <f t="shared" si="30"/>
        <v>0.20899999999999999</v>
      </c>
      <c r="J19" s="242">
        <f t="shared" si="0"/>
        <v>8289</v>
      </c>
      <c r="K19" s="242">
        <f t="shared" si="21"/>
        <v>8289</v>
      </c>
      <c r="L19" s="242">
        <f t="shared" si="8"/>
        <v>4737.2353877551523</v>
      </c>
      <c r="M19" s="242">
        <f t="shared" si="22"/>
        <v>3551.7646122448477</v>
      </c>
      <c r="N19" s="242">
        <f t="shared" si="1"/>
        <v>0</v>
      </c>
      <c r="O19" s="242">
        <v>0</v>
      </c>
      <c r="P19" s="242">
        <f t="shared" si="23"/>
        <v>4737.2353877551523</v>
      </c>
      <c r="Q19" s="242">
        <f t="shared" si="2"/>
        <v>0</v>
      </c>
      <c r="R19" s="242">
        <f t="shared" si="9"/>
        <v>0</v>
      </c>
      <c r="S19" s="242">
        <f t="shared" si="10"/>
        <v>272220.31138945062</v>
      </c>
      <c r="T19" s="467"/>
      <c r="U19" s="198">
        <f>IF((U18-1)&lt;0,0,U18-1)</f>
        <v>50</v>
      </c>
      <c r="V19" s="36">
        <f t="shared" si="11"/>
        <v>50</v>
      </c>
      <c r="W19" s="565">
        <v>0.1</v>
      </c>
      <c r="X19" s="565">
        <v>0.1</v>
      </c>
      <c r="Y19" s="565">
        <v>0.1</v>
      </c>
      <c r="Z19" s="565">
        <v>0.1</v>
      </c>
      <c r="AA19" s="565">
        <v>0.1</v>
      </c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O19" s="130">
        <f t="shared" si="12"/>
        <v>1</v>
      </c>
      <c r="AP19" s="553">
        <f>AP18+1</f>
        <v>11</v>
      </c>
      <c r="AQ19" s="554">
        <f t="shared" si="13"/>
        <v>45047</v>
      </c>
      <c r="AR19" s="555">
        <f t="shared" si="31"/>
        <v>0.20899999999999999</v>
      </c>
      <c r="AS19" s="546">
        <f t="shared" si="14"/>
        <v>8289</v>
      </c>
      <c r="AT19" s="546">
        <f t="shared" si="15"/>
        <v>8289</v>
      </c>
      <c r="AU19" s="546">
        <f t="shared" si="16"/>
        <v>4737.2353877551523</v>
      </c>
      <c r="AV19" s="546">
        <f t="shared" si="17"/>
        <v>3551.7646122448477</v>
      </c>
      <c r="AW19" s="546">
        <f t="shared" si="4"/>
        <v>0</v>
      </c>
      <c r="AX19" s="546">
        <v>0</v>
      </c>
      <c r="AY19" s="546">
        <f t="shared" si="18"/>
        <v>4737.2353877551523</v>
      </c>
      <c r="AZ19" s="546">
        <f t="shared" si="5"/>
        <v>0</v>
      </c>
      <c r="BA19" s="546">
        <f>IF(BI25=0,0,0)</f>
        <v>0</v>
      </c>
      <c r="BB19" s="546"/>
      <c r="BC19" s="546"/>
      <c r="BD19" s="546"/>
      <c r="BE19" s="546"/>
      <c r="BF19" s="546"/>
      <c r="BG19" s="546">
        <f t="shared" si="20"/>
        <v>272220.31138945062</v>
      </c>
      <c r="BH19" s="108">
        <f t="shared" si="29"/>
        <v>50</v>
      </c>
      <c r="BI19" s="108">
        <f t="shared" si="24"/>
        <v>50</v>
      </c>
      <c r="BJ19" s="22">
        <f t="shared" si="25"/>
        <v>45047</v>
      </c>
      <c r="BK19" s="108">
        <f t="shared" si="6"/>
        <v>8289</v>
      </c>
    </row>
    <row r="20" spans="1:393" ht="16.95" customHeight="1" thickBot="1" x14ac:dyDescent="0.3">
      <c r="A20" s="893"/>
      <c r="B20" s="893"/>
      <c r="C20" s="893"/>
      <c r="D20" s="893"/>
      <c r="E20" s="893"/>
      <c r="F20" s="224"/>
      <c r="G20" s="248">
        <f t="shared" si="26"/>
        <v>12</v>
      </c>
      <c r="H20" s="581">
        <f t="shared" si="7"/>
        <v>45078</v>
      </c>
      <c r="I20" s="250">
        <f t="shared" si="30"/>
        <v>0.20899999999999999</v>
      </c>
      <c r="J20" s="252">
        <f t="shared" si="0"/>
        <v>8289</v>
      </c>
      <c r="K20" s="252">
        <f t="shared" si="21"/>
        <v>8289</v>
      </c>
      <c r="L20" s="252">
        <f t="shared" si="8"/>
        <v>4832.096979430823</v>
      </c>
      <c r="M20" s="252">
        <f t="shared" si="22"/>
        <v>3456.903020569177</v>
      </c>
      <c r="N20" s="252">
        <f t="shared" si="1"/>
        <v>0</v>
      </c>
      <c r="O20" s="252">
        <v>0</v>
      </c>
      <c r="P20" s="252">
        <f t="shared" si="23"/>
        <v>4832.096979430823</v>
      </c>
      <c r="Q20" s="252">
        <f t="shared" si="2"/>
        <v>0</v>
      </c>
      <c r="R20" s="252">
        <f t="shared" si="9"/>
        <v>0</v>
      </c>
      <c r="S20" s="252">
        <f t="shared" si="10"/>
        <v>268763.40836888144</v>
      </c>
      <c r="T20" s="468"/>
      <c r="U20" s="198">
        <f>IF((U19-1)&lt;0,0,U19-1)</f>
        <v>49</v>
      </c>
      <c r="V20" s="36">
        <f t="shared" si="11"/>
        <v>49</v>
      </c>
      <c r="W20" s="565">
        <v>0.1</v>
      </c>
      <c r="X20" s="565">
        <v>0.1</v>
      </c>
      <c r="Y20" s="565">
        <v>0.1</v>
      </c>
      <c r="Z20" s="565">
        <v>0.1</v>
      </c>
      <c r="AA20" s="565">
        <v>0.1</v>
      </c>
      <c r="AB20" s="15">
        <v>4.9000000000000002E-2</v>
      </c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3"/>
      <c r="AN20" s="113"/>
      <c r="AO20" s="130">
        <f t="shared" si="12"/>
        <v>1</v>
      </c>
      <c r="AP20" s="556">
        <f>AP19+1</f>
        <v>12</v>
      </c>
      <c r="AQ20" s="582">
        <f t="shared" si="13"/>
        <v>45078</v>
      </c>
      <c r="AR20" s="557">
        <f t="shared" si="31"/>
        <v>0.20899999999999999</v>
      </c>
      <c r="AS20" s="547">
        <f t="shared" si="14"/>
        <v>8289</v>
      </c>
      <c r="AT20" s="547">
        <f t="shared" si="15"/>
        <v>8289</v>
      </c>
      <c r="AU20" s="547">
        <f t="shared" si="16"/>
        <v>4832.096979430823</v>
      </c>
      <c r="AV20" s="547">
        <f t="shared" si="17"/>
        <v>3456.903020569177</v>
      </c>
      <c r="AW20" s="547">
        <f t="shared" si="4"/>
        <v>0</v>
      </c>
      <c r="AX20" s="547">
        <v>0</v>
      </c>
      <c r="AY20" s="547">
        <f t="shared" si="18"/>
        <v>4832.096979430823</v>
      </c>
      <c r="AZ20" s="547">
        <f t="shared" si="5"/>
        <v>0</v>
      </c>
      <c r="BA20" s="547">
        <f t="shared" ref="BA20:BA83" si="34">IF(BI26=0,0,0)</f>
        <v>0</v>
      </c>
      <c r="BB20" s="547"/>
      <c r="BC20" s="547"/>
      <c r="BD20" s="547"/>
      <c r="BE20" s="547"/>
      <c r="BF20" s="547"/>
      <c r="BG20" s="547">
        <f t="shared" si="20"/>
        <v>268763.40836888144</v>
      </c>
      <c r="BH20" s="108">
        <f t="shared" si="29"/>
        <v>49</v>
      </c>
      <c r="BI20" s="108">
        <f t="shared" si="24"/>
        <v>49</v>
      </c>
      <c r="BJ20" s="22">
        <f t="shared" si="25"/>
        <v>45078</v>
      </c>
      <c r="BK20" s="108">
        <f t="shared" si="6"/>
        <v>8289</v>
      </c>
    </row>
    <row r="21" spans="1:393" ht="12.75" customHeight="1" x14ac:dyDescent="0.25">
      <c r="A21" s="888"/>
      <c r="B21" s="888"/>
      <c r="C21" s="888"/>
      <c r="D21" s="888"/>
      <c r="E21" s="888"/>
      <c r="F21" s="224"/>
      <c r="G21" s="244">
        <f t="shared" si="26"/>
        <v>13</v>
      </c>
      <c r="H21" s="245">
        <f t="shared" si="7"/>
        <v>45108</v>
      </c>
      <c r="I21" s="246">
        <f t="shared" si="30"/>
        <v>0.20899999999999999</v>
      </c>
      <c r="J21" s="242">
        <f>K21+Q21</f>
        <v>8289</v>
      </c>
      <c r="K21" s="242">
        <f t="shared" si="21"/>
        <v>8289</v>
      </c>
      <c r="L21" s="242">
        <f t="shared" si="8"/>
        <v>4616.8399191037988</v>
      </c>
      <c r="M21" s="242">
        <f t="shared" si="22"/>
        <v>3672.1600808962012</v>
      </c>
      <c r="N21" s="242">
        <f t="shared" si="1"/>
        <v>0</v>
      </c>
      <c r="O21" s="242">
        <v>0</v>
      </c>
      <c r="P21" s="242">
        <f t="shared" si="23"/>
        <v>4616.8399191037988</v>
      </c>
      <c r="Q21" s="242">
        <f t="shared" si="2"/>
        <v>0</v>
      </c>
      <c r="R21" s="242">
        <f t="shared" si="9"/>
        <v>0</v>
      </c>
      <c r="S21" s="242">
        <f t="shared" si="10"/>
        <v>265091.24828798522</v>
      </c>
      <c r="T21" s="467"/>
      <c r="U21" s="198">
        <f>IF((U20-1)&lt;0,0,U20-1)</f>
        <v>48</v>
      </c>
      <c r="V21" s="36">
        <f t="shared" si="11"/>
        <v>48</v>
      </c>
      <c r="W21" s="565">
        <v>0.1</v>
      </c>
      <c r="X21" s="565">
        <v>0.1</v>
      </c>
      <c r="Y21" s="565">
        <v>0.1</v>
      </c>
      <c r="Z21" s="565">
        <v>0.1</v>
      </c>
      <c r="AA21" s="565">
        <v>0.1</v>
      </c>
      <c r="AB21" s="115"/>
      <c r="AC21" s="84">
        <v>0.129</v>
      </c>
      <c r="AD21" s="84">
        <v>0.129</v>
      </c>
      <c r="AE21" s="84">
        <v>0.129</v>
      </c>
      <c r="AF21" s="84">
        <v>0.129</v>
      </c>
      <c r="AG21" s="84">
        <v>0.129</v>
      </c>
      <c r="AH21" s="84">
        <v>0.129</v>
      </c>
      <c r="AI21" s="84">
        <v>0.129</v>
      </c>
      <c r="AJ21" s="84">
        <v>0.129</v>
      </c>
      <c r="AK21" s="84">
        <v>0.129</v>
      </c>
      <c r="AL21" s="84">
        <v>0.129</v>
      </c>
      <c r="AM21" s="3"/>
      <c r="AN21" s="3"/>
      <c r="AO21" s="130">
        <f t="shared" si="12"/>
        <v>1</v>
      </c>
      <c r="AP21" s="553">
        <f>AP20+1</f>
        <v>13</v>
      </c>
      <c r="AQ21" s="554">
        <f t="shared" si="13"/>
        <v>45108</v>
      </c>
      <c r="AR21" s="555">
        <f t="shared" si="31"/>
        <v>0.20899999999999999</v>
      </c>
      <c r="AS21" s="546">
        <f t="shared" si="14"/>
        <v>8289</v>
      </c>
      <c r="AT21" s="546">
        <f t="shared" si="15"/>
        <v>8289</v>
      </c>
      <c r="AU21" s="546">
        <f t="shared" si="16"/>
        <v>4616.8399191037988</v>
      </c>
      <c r="AV21" s="546">
        <f t="shared" si="17"/>
        <v>3672.1600808962012</v>
      </c>
      <c r="AW21" s="546">
        <f t="shared" si="4"/>
        <v>0</v>
      </c>
      <c r="AX21" s="546">
        <v>0</v>
      </c>
      <c r="AY21" s="546">
        <f t="shared" si="18"/>
        <v>4616.8399191037988</v>
      </c>
      <c r="AZ21" s="546">
        <f t="shared" ref="AZ21:AZ84" si="35">IF(BI27=0,0,0)</f>
        <v>0</v>
      </c>
      <c r="BA21" s="546">
        <f t="shared" si="34"/>
        <v>0</v>
      </c>
      <c r="BB21" s="546"/>
      <c r="BC21" s="546"/>
      <c r="BD21" s="546"/>
      <c r="BE21" s="546"/>
      <c r="BF21" s="546"/>
      <c r="BG21" s="546">
        <f t="shared" si="20"/>
        <v>265091.24828798522</v>
      </c>
      <c r="BH21" s="108">
        <f t="shared" si="29"/>
        <v>48</v>
      </c>
      <c r="BI21" s="108">
        <f t="shared" si="24"/>
        <v>48</v>
      </c>
      <c r="BJ21" s="22">
        <f t="shared" si="25"/>
        <v>45108</v>
      </c>
      <c r="BK21" s="108">
        <f t="shared" si="6"/>
        <v>8289</v>
      </c>
    </row>
    <row r="22" spans="1:393" ht="34.200000000000003" customHeight="1" x14ac:dyDescent="0.25">
      <c r="A22" s="894" t="s">
        <v>350</v>
      </c>
      <c r="B22" s="894"/>
      <c r="C22" s="895"/>
      <c r="D22" s="496"/>
      <c r="E22" s="496"/>
      <c r="F22" s="225"/>
      <c r="G22" s="244">
        <f t="shared" si="26"/>
        <v>14</v>
      </c>
      <c r="H22" s="245">
        <f t="shared" si="7"/>
        <v>45139</v>
      </c>
      <c r="I22" s="246">
        <f t="shared" si="30"/>
        <v>0.20899999999999999</v>
      </c>
      <c r="J22" s="242">
        <f t="shared" si="0"/>
        <v>8289</v>
      </c>
      <c r="K22" s="242">
        <f t="shared" si="21"/>
        <v>8289</v>
      </c>
      <c r="L22" s="242">
        <f t="shared" si="8"/>
        <v>4705.5512264598792</v>
      </c>
      <c r="M22" s="242">
        <f t="shared" si="22"/>
        <v>3583.4487735401208</v>
      </c>
      <c r="N22" s="242">
        <f t="shared" si="1"/>
        <v>0</v>
      </c>
      <c r="O22" s="242">
        <v>0</v>
      </c>
      <c r="P22" s="242">
        <f t="shared" si="23"/>
        <v>4705.5512264598792</v>
      </c>
      <c r="Q22" s="242">
        <f t="shared" si="2"/>
        <v>0</v>
      </c>
      <c r="R22" s="242">
        <f t="shared" si="9"/>
        <v>0</v>
      </c>
      <c r="S22" s="242">
        <f t="shared" si="10"/>
        <v>261507.7995144451</v>
      </c>
      <c r="T22" s="467"/>
      <c r="U22" s="198">
        <f t="shared" si="27"/>
        <v>47</v>
      </c>
      <c r="V22" s="36">
        <f t="shared" si="11"/>
        <v>47</v>
      </c>
      <c r="W22" s="565">
        <v>0.1</v>
      </c>
      <c r="X22" s="565">
        <v>0.1</v>
      </c>
      <c r="Y22" s="565">
        <v>0.1</v>
      </c>
      <c r="Z22" s="565">
        <v>0.1</v>
      </c>
      <c r="AA22" s="565">
        <v>0.1</v>
      </c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O22" s="130">
        <f t="shared" si="12"/>
        <v>1</v>
      </c>
      <c r="AP22" s="553">
        <f t="shared" si="28"/>
        <v>14</v>
      </c>
      <c r="AQ22" s="554">
        <f t="shared" si="13"/>
        <v>45139</v>
      </c>
      <c r="AR22" s="555">
        <f t="shared" si="31"/>
        <v>0.20899999999999999</v>
      </c>
      <c r="AS22" s="546">
        <f t="shared" si="14"/>
        <v>8289</v>
      </c>
      <c r="AT22" s="546">
        <f t="shared" si="15"/>
        <v>8289</v>
      </c>
      <c r="AU22" s="546">
        <f t="shared" si="16"/>
        <v>4705.5512264598792</v>
      </c>
      <c r="AV22" s="546">
        <f t="shared" si="17"/>
        <v>3583.4487735401208</v>
      </c>
      <c r="AW22" s="546">
        <f t="shared" si="4"/>
        <v>0</v>
      </c>
      <c r="AX22" s="546">
        <v>0</v>
      </c>
      <c r="AY22" s="546">
        <f t="shared" si="18"/>
        <v>4705.5512264598792</v>
      </c>
      <c r="AZ22" s="546">
        <f t="shared" si="35"/>
        <v>0</v>
      </c>
      <c r="BA22" s="546">
        <f t="shared" si="34"/>
        <v>0</v>
      </c>
      <c r="BB22" s="546"/>
      <c r="BC22" s="546"/>
      <c r="BD22" s="546"/>
      <c r="BE22" s="546"/>
      <c r="BF22" s="546"/>
      <c r="BG22" s="546">
        <f t="shared" si="20"/>
        <v>261507.7995144451</v>
      </c>
      <c r="BH22" s="108">
        <f t="shared" si="29"/>
        <v>47</v>
      </c>
      <c r="BI22" s="108">
        <f t="shared" si="24"/>
        <v>47</v>
      </c>
      <c r="BJ22" s="22">
        <f t="shared" si="25"/>
        <v>45139</v>
      </c>
      <c r="BK22" s="108">
        <f t="shared" si="6"/>
        <v>8289</v>
      </c>
    </row>
    <row r="23" spans="1:393" ht="19.2" customHeight="1" x14ac:dyDescent="0.25">
      <c r="A23" s="896" t="str">
        <f>IF(AND($C$8&lt;&gt;"Нет",$D$8&lt;&gt;"Нет",$C$14&lt;&gt;"Нет",$C$16&lt;&gt;"Нет"),"Сумма кредита с ФЗ + услуга ГС + Всё под контролем, руб.",IF(AND($C$8&lt;&gt;"Нет",$D$8&lt;&gt;"Нет",$C$14&lt;&gt;"Да",$C$16&lt;&gt;"Да"),"Сумма кредита с учетом Финансовой защиты, руб.",IF(AND($C$8&lt;&gt;"Нет",$D$8&lt;&gt;"Нет",$C$14&lt;&gt;"Да",$C$16&lt;&gt;"Нет"),"Сумма кредита с учетом Финансовой защиты + услуга ГС, руб.",IF(AND($C$8&lt;&gt;"Нет",$D$8&lt;&gt;"Нет",$C$14&lt;&gt;"Да",$C$16&lt;&gt;"Нет"),"Сумма кредита с учетом Финансовой защиты + Всё под контролем, руб.",IF(AND($C$8&lt;&gt;"Нет",$D$8&lt;&gt;"Нет",$C$14&lt;&gt;"Нет",$C$16&lt;&gt;"Да"),"Сумма кредита с ФЗ + Всё под контролем, руб.",IF(AND($C$8&lt;&gt;"Да",$D$8&lt;&gt;"Да",$C$14&lt;&gt;"Да",$C$16&lt;&gt;"Нет"),"Сумма кредита с учетом услуги ГС, руб.",IF(AND($C$8&lt;&gt;"Да",$D$8&lt;&gt;"Да",$C$14&lt;&gt;"Нет",$C$16&lt;&gt;"Нет"),"Сумма кредита с учетом пакета услуг Всё под контролем + услуги ГС, руб.","Сумма кредита, руб.")))))))</f>
        <v>Сумма кредита, руб.</v>
      </c>
      <c r="B23" s="896"/>
      <c r="C23" s="358">
        <f>$C$7+(IF($C$8="Нет",0,IF($C$25&lt;&gt;"",$C$25,0))+IF(C14="Нет",0,IF(C14="Да",C15,0))+IF(C16="Нет",0,IF(C16="Да",C18,0)))</f>
        <v>306999</v>
      </c>
      <c r="D23" s="355">
        <f>$C$7+(IF($D$8="Нет",0,IF($D$25&lt;&gt;"",$D$25,0))+IF(D14="Нет",0,IF(D14="Да",D15,0)))</f>
        <v>306999</v>
      </c>
      <c r="E23" s="224">
        <f>C23-D23</f>
        <v>0</v>
      </c>
      <c r="F23" s="226"/>
      <c r="G23" s="244">
        <f t="shared" si="26"/>
        <v>15</v>
      </c>
      <c r="H23" s="245">
        <f t="shared" si="7"/>
        <v>45170</v>
      </c>
      <c r="I23" s="246">
        <f t="shared" si="30"/>
        <v>0.20899999999999999</v>
      </c>
      <c r="J23" s="242">
        <f t="shared" si="0"/>
        <v>8289</v>
      </c>
      <c r="K23" s="242">
        <f t="shared" si="21"/>
        <v>8289</v>
      </c>
      <c r="L23" s="242">
        <f t="shared" si="8"/>
        <v>4641.9425563125742</v>
      </c>
      <c r="M23" s="242">
        <f t="shared" si="22"/>
        <v>3647.0574436874258</v>
      </c>
      <c r="N23" s="242">
        <f t="shared" si="1"/>
        <v>0</v>
      </c>
      <c r="O23" s="242">
        <v>0</v>
      </c>
      <c r="P23" s="242">
        <f t="shared" si="23"/>
        <v>4641.9425563125742</v>
      </c>
      <c r="Q23" s="242">
        <f t="shared" si="2"/>
        <v>0</v>
      </c>
      <c r="R23" s="242">
        <f t="shared" si="9"/>
        <v>0</v>
      </c>
      <c r="S23" s="242">
        <f t="shared" si="10"/>
        <v>257860.74207075767</v>
      </c>
      <c r="T23" s="467"/>
      <c r="U23" s="198">
        <f t="shared" si="27"/>
        <v>46</v>
      </c>
      <c r="V23" s="36">
        <f t="shared" si="11"/>
        <v>46</v>
      </c>
      <c r="W23" s="2">
        <v>1</v>
      </c>
      <c r="X23" s="2">
        <v>1</v>
      </c>
      <c r="Y23" s="3">
        <v>1</v>
      </c>
      <c r="Z23" s="2">
        <v>1</v>
      </c>
      <c r="AA23" s="3">
        <v>1</v>
      </c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O23" s="130">
        <f t="shared" si="12"/>
        <v>1</v>
      </c>
      <c r="AP23" s="553">
        <f t="shared" si="28"/>
        <v>15</v>
      </c>
      <c r="AQ23" s="554">
        <f t="shared" si="13"/>
        <v>45170</v>
      </c>
      <c r="AR23" s="555">
        <f t="shared" si="31"/>
        <v>0.20899999999999999</v>
      </c>
      <c r="AS23" s="546">
        <f t="shared" si="14"/>
        <v>8289</v>
      </c>
      <c r="AT23" s="546">
        <f t="shared" si="15"/>
        <v>8289</v>
      </c>
      <c r="AU23" s="546">
        <f t="shared" si="16"/>
        <v>4641.9425563125742</v>
      </c>
      <c r="AV23" s="546">
        <f t="shared" si="17"/>
        <v>3647.0574436874258</v>
      </c>
      <c r="AW23" s="546">
        <f t="shared" si="4"/>
        <v>0</v>
      </c>
      <c r="AX23" s="546">
        <v>0</v>
      </c>
      <c r="AY23" s="546">
        <f t="shared" si="18"/>
        <v>4641.9425563125742</v>
      </c>
      <c r="AZ23" s="546">
        <f t="shared" si="35"/>
        <v>0</v>
      </c>
      <c r="BA23" s="546">
        <f t="shared" si="34"/>
        <v>0</v>
      </c>
      <c r="BB23" s="546"/>
      <c r="BC23" s="546"/>
      <c r="BD23" s="546"/>
      <c r="BE23" s="546"/>
      <c r="BF23" s="546"/>
      <c r="BG23" s="546">
        <f t="shared" si="20"/>
        <v>257860.74207075767</v>
      </c>
      <c r="BH23" s="108">
        <f t="shared" si="29"/>
        <v>46</v>
      </c>
      <c r="BI23" s="108">
        <f t="shared" si="24"/>
        <v>46</v>
      </c>
      <c r="BJ23" s="22">
        <f t="shared" si="25"/>
        <v>45170</v>
      </c>
      <c r="BK23" s="108">
        <f t="shared" si="6"/>
        <v>8289</v>
      </c>
    </row>
    <row r="24" spans="1:393" ht="18" customHeight="1" x14ac:dyDescent="0.25">
      <c r="A24" s="852" t="str">
        <f>IF(AND($C$8&lt;&gt;"Нет",$D$8&lt;&gt;"Нет",$C$14&lt;&gt;"Нет",$C$16&lt;&gt;"Нет"),"Платеж с ФЗ + услуга ГС + Всё под контролем, руб.",IF(AND($C$8&lt;&gt;"Нет",$D$8&lt;&gt;"Нет",$C$14&lt;&gt;"Да",$C$16&lt;&gt;"Да"),"Платеж с учетом Финансовой защиты, руб.",IF(AND($C$8&lt;&gt;"Нет",$D$8&lt;&gt;"Нет",$C$14&lt;&gt;"Да",$C$16&lt;&gt;"Нет"),"Платеж с учетом Финансовой защиты + услуга ГС, руб.",IF(AND($C$8&lt;&gt;"Нет",$D$8&lt;&gt;"Нет",$C$14&lt;&gt;"Да",$C$16&lt;&gt;"Нет"),"Платеж с учетом Финансовой защиты + Всё под контролем, руб.",IF(AND($C$8&lt;&gt;"Нет",$D$8&lt;&gt;"Нет",$C$14&lt;&gt;"Нет",$C$16&lt;&gt;"Да"),"Платеж с ФЗ + Всё под контролем, руб.",IF(AND($C$8&lt;&gt;"Да",$D$8&lt;&gt;"Да",$C$14&lt;&gt;"Да",$C$16&lt;&gt;"Нет"),"Платеж с учетом услуги ГС, руб.",IF(AND($C$8&lt;&gt;"Да",$D$8&lt;&gt;"Да",$C$14&lt;&gt;"Нет",$C$16&lt;&gt;"Нет"),"Платеж с учетом пакета услуг Всё под контролем + услуги ГС, руб.","Платеж, руб.")))))))</f>
        <v>Платеж, руб.</v>
      </c>
      <c r="B24" s="852"/>
      <c r="C24" s="358">
        <f>K9</f>
        <v>8289</v>
      </c>
      <c r="D24" s="355">
        <f>AT9</f>
        <v>8289</v>
      </c>
      <c r="E24" s="224">
        <f>C24-D24</f>
        <v>0</v>
      </c>
      <c r="F24" s="226"/>
      <c r="G24" s="244">
        <f t="shared" si="26"/>
        <v>16</v>
      </c>
      <c r="H24" s="245">
        <f t="shared" si="7"/>
        <v>45200</v>
      </c>
      <c r="I24" s="246">
        <f t="shared" si="30"/>
        <v>0.20899999999999999</v>
      </c>
      <c r="J24" s="242">
        <f t="shared" si="0"/>
        <v>8289</v>
      </c>
      <c r="K24" s="242">
        <f t="shared" si="21"/>
        <v>8289</v>
      </c>
      <c r="L24" s="242">
        <f t="shared" si="8"/>
        <v>4429.5530213250695</v>
      </c>
      <c r="M24" s="242">
        <f t="shared" si="22"/>
        <v>3859.4469786749305</v>
      </c>
      <c r="N24" s="242">
        <f t="shared" si="1"/>
        <v>0</v>
      </c>
      <c r="O24" s="242">
        <v>0</v>
      </c>
      <c r="P24" s="242">
        <f t="shared" si="23"/>
        <v>4429.5530213250695</v>
      </c>
      <c r="Q24" s="242">
        <f t="shared" si="2"/>
        <v>0</v>
      </c>
      <c r="R24" s="242">
        <f t="shared" si="9"/>
        <v>0</v>
      </c>
      <c r="S24" s="242">
        <f t="shared" si="10"/>
        <v>254001.29509208273</v>
      </c>
      <c r="T24" s="467"/>
      <c r="U24" s="198">
        <f t="shared" si="27"/>
        <v>45</v>
      </c>
      <c r="V24" s="36">
        <f t="shared" si="11"/>
        <v>45</v>
      </c>
      <c r="AB24" s="3">
        <v>1</v>
      </c>
      <c r="AC24" s="15">
        <v>4.9000000000000002E-2</v>
      </c>
      <c r="AD24" s="15">
        <v>4.9000000000000002E-2</v>
      </c>
      <c r="AE24" s="15">
        <v>4.9000000000000002E-2</v>
      </c>
      <c r="AF24" s="80">
        <v>6.9000000000000006E-2</v>
      </c>
      <c r="AG24" s="80">
        <v>6.9000000000000006E-2</v>
      </c>
      <c r="AH24" s="80">
        <v>6.9000000000000006E-2</v>
      </c>
      <c r="AI24" s="80">
        <v>6.9000000000000006E-2</v>
      </c>
      <c r="AJ24" s="80">
        <v>6.9000000000000006E-2</v>
      </c>
      <c r="AK24" s="80">
        <v>6.9000000000000006E-2</v>
      </c>
      <c r="AL24" s="80">
        <v>6.9000000000000006E-2</v>
      </c>
      <c r="AO24" s="130">
        <f t="shared" si="12"/>
        <v>1</v>
      </c>
      <c r="AP24" s="553">
        <f t="shared" si="28"/>
        <v>16</v>
      </c>
      <c r="AQ24" s="554">
        <f t="shared" si="13"/>
        <v>45200</v>
      </c>
      <c r="AR24" s="555">
        <f t="shared" si="31"/>
        <v>0.20899999999999999</v>
      </c>
      <c r="AS24" s="546">
        <f t="shared" si="14"/>
        <v>8289</v>
      </c>
      <c r="AT24" s="546">
        <f t="shared" si="15"/>
        <v>8289</v>
      </c>
      <c r="AU24" s="546">
        <f t="shared" si="16"/>
        <v>4429.5530213250695</v>
      </c>
      <c r="AV24" s="546">
        <f t="shared" si="17"/>
        <v>3859.4469786749305</v>
      </c>
      <c r="AW24" s="546">
        <f t="shared" si="4"/>
        <v>0</v>
      </c>
      <c r="AX24" s="546">
        <v>0</v>
      </c>
      <c r="AY24" s="546">
        <f t="shared" si="18"/>
        <v>4429.5530213250695</v>
      </c>
      <c r="AZ24" s="546">
        <f t="shared" si="35"/>
        <v>0</v>
      </c>
      <c r="BA24" s="546">
        <f t="shared" si="34"/>
        <v>0</v>
      </c>
      <c r="BB24" s="546"/>
      <c r="BC24" s="546"/>
      <c r="BD24" s="546"/>
      <c r="BE24" s="546"/>
      <c r="BF24" s="546"/>
      <c r="BG24" s="546">
        <f t="shared" si="20"/>
        <v>254001.29509208273</v>
      </c>
      <c r="BH24" s="108">
        <f t="shared" si="29"/>
        <v>45</v>
      </c>
      <c r="BI24" s="108">
        <f t="shared" si="24"/>
        <v>45</v>
      </c>
      <c r="BJ24" s="22">
        <f t="shared" si="25"/>
        <v>45200</v>
      </c>
      <c r="BK24" s="108">
        <f t="shared" si="6"/>
        <v>8289</v>
      </c>
    </row>
    <row r="25" spans="1:393" ht="18" customHeight="1" x14ac:dyDescent="0.25">
      <c r="A25" s="846" t="s">
        <v>285</v>
      </c>
      <c r="B25" s="846"/>
      <c r="C25" s="331">
        <f>IF(C8="Гарантия пакет",(AH65*AH79+AI65*AI79),INDEX($AC$79:$AI$79,MATCH(C$8,$AC$59:$AJ$59,0))*C26)*(MIN($C$10,60))</f>
        <v>0</v>
      </c>
      <c r="D25" s="357">
        <f>IF(D8="Гарантия пакет",(AH65*AH79+AI65*AI79),INDEX($AC$79:$AI$79,MATCH(D$8,$AC$59:$AJ$59,0))*D26)*$C$10</f>
        <v>0</v>
      </c>
      <c r="E25" s="226">
        <f>C25-D25</f>
        <v>0</v>
      </c>
      <c r="F25" s="226"/>
      <c r="G25" s="244">
        <f t="shared" si="26"/>
        <v>17</v>
      </c>
      <c r="H25" s="245">
        <f t="shared" si="7"/>
        <v>45231</v>
      </c>
      <c r="I25" s="246">
        <f t="shared" si="30"/>
        <v>0.20899999999999999</v>
      </c>
      <c r="J25" s="242">
        <f t="shared" si="0"/>
        <v>8289</v>
      </c>
      <c r="K25" s="242">
        <f t="shared" si="21"/>
        <v>8289</v>
      </c>
      <c r="L25" s="242">
        <f t="shared" si="8"/>
        <v>4508.6969613742567</v>
      </c>
      <c r="M25" s="242">
        <f t="shared" si="22"/>
        <v>3780.3030386257433</v>
      </c>
      <c r="N25" s="242">
        <f t="shared" si="1"/>
        <v>0</v>
      </c>
      <c r="O25" s="242">
        <v>0</v>
      </c>
      <c r="P25" s="242">
        <f t="shared" si="23"/>
        <v>4508.6969613742567</v>
      </c>
      <c r="Q25" s="242">
        <f t="shared" si="2"/>
        <v>0</v>
      </c>
      <c r="R25" s="242">
        <f t="shared" si="9"/>
        <v>0</v>
      </c>
      <c r="S25" s="242">
        <f t="shared" si="10"/>
        <v>250220.99205345698</v>
      </c>
      <c r="T25" s="467"/>
      <c r="U25" s="198">
        <f t="shared" si="27"/>
        <v>44</v>
      </c>
      <c r="V25" s="36">
        <f t="shared" si="11"/>
        <v>44</v>
      </c>
      <c r="W25" s="2">
        <v>0</v>
      </c>
      <c r="X25" s="2">
        <v>1</v>
      </c>
      <c r="Y25" s="2">
        <v>2</v>
      </c>
      <c r="Z25" s="2">
        <v>3</v>
      </c>
      <c r="AA25" s="2">
        <v>4</v>
      </c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6"/>
      <c r="AN25" s="116"/>
      <c r="AO25" s="130">
        <f t="shared" si="12"/>
        <v>1</v>
      </c>
      <c r="AP25" s="558">
        <f t="shared" si="28"/>
        <v>17</v>
      </c>
      <c r="AQ25" s="554">
        <f t="shared" si="13"/>
        <v>45231</v>
      </c>
      <c r="AR25" s="555">
        <f t="shared" si="31"/>
        <v>0.20899999999999999</v>
      </c>
      <c r="AS25" s="546">
        <f t="shared" si="14"/>
        <v>8289</v>
      </c>
      <c r="AT25" s="546">
        <f t="shared" si="15"/>
        <v>8289</v>
      </c>
      <c r="AU25" s="546">
        <f t="shared" si="16"/>
        <v>4508.6969613742567</v>
      </c>
      <c r="AV25" s="546">
        <f t="shared" si="17"/>
        <v>3780.3030386257433</v>
      </c>
      <c r="AW25" s="546">
        <f t="shared" si="4"/>
        <v>0</v>
      </c>
      <c r="AX25" s="546">
        <v>0</v>
      </c>
      <c r="AY25" s="546">
        <f t="shared" si="18"/>
        <v>4508.6969613742567</v>
      </c>
      <c r="AZ25" s="546">
        <f t="shared" si="35"/>
        <v>0</v>
      </c>
      <c r="BA25" s="546">
        <f t="shared" si="34"/>
        <v>0</v>
      </c>
      <c r="BB25" s="546"/>
      <c r="BC25" s="546"/>
      <c r="BD25" s="546"/>
      <c r="BE25" s="546"/>
      <c r="BF25" s="546"/>
      <c r="BG25" s="546">
        <f t="shared" si="20"/>
        <v>250220.99205345698</v>
      </c>
      <c r="BH25" s="108">
        <f t="shared" si="29"/>
        <v>44</v>
      </c>
      <c r="BI25" s="108">
        <f t="shared" si="24"/>
        <v>44</v>
      </c>
      <c r="BJ25" s="22">
        <f t="shared" si="25"/>
        <v>45231</v>
      </c>
      <c r="BK25" s="108">
        <f t="shared" si="6"/>
        <v>8289</v>
      </c>
    </row>
    <row r="26" spans="1:393" ht="18" customHeight="1" x14ac:dyDescent="0.25">
      <c r="A26" s="846" t="s">
        <v>100</v>
      </c>
      <c r="B26" s="891"/>
      <c r="C26" s="330">
        <f>IF(C8="Нет",0,IF(C8=AC59,AC65,IF(C8=AD59,AD65,IF(C8=AF59,AF65,IF(C8=AG59,AG65,IF(C8=AE59,AE65,IF(C8=AH59,AH65,IF(C8=AI59,AI65,IF(C8=AJ59,AJ65,Y23)))))))))</f>
        <v>0</v>
      </c>
      <c r="D26" s="356">
        <f>IF(D8=AC59,AC65,IF(D8=AD59,AD65,IF(D8=AF59,AF65,IF(D8=AG59,AG65,IF(D8=AE59,AE65,IF(D8=AH59,AH65,IF(D8=AI59,AI65,IF(D8=AJ59,AJ65,Y23))))))))</f>
        <v>0</v>
      </c>
      <c r="E26" s="225"/>
      <c r="F26" s="192"/>
      <c r="G26" s="244">
        <f t="shared" si="26"/>
        <v>18</v>
      </c>
      <c r="H26" s="245">
        <f t="shared" si="7"/>
        <v>45261</v>
      </c>
      <c r="I26" s="246">
        <f t="shared" si="30"/>
        <v>0.20899999999999999</v>
      </c>
      <c r="J26" s="242">
        <f t="shared" si="0"/>
        <v>8289</v>
      </c>
      <c r="K26" s="242">
        <f t="shared" si="21"/>
        <v>8289</v>
      </c>
      <c r="L26" s="242">
        <f t="shared" si="8"/>
        <v>4298.3167676032199</v>
      </c>
      <c r="M26" s="242">
        <f t="shared" si="22"/>
        <v>3990.6832323967801</v>
      </c>
      <c r="N26" s="242">
        <f t="shared" si="1"/>
        <v>0</v>
      </c>
      <c r="O26" s="242">
        <v>0</v>
      </c>
      <c r="P26" s="242">
        <f t="shared" si="23"/>
        <v>4298.3167676032199</v>
      </c>
      <c r="Q26" s="242">
        <f t="shared" si="2"/>
        <v>0</v>
      </c>
      <c r="R26" s="242">
        <f t="shared" si="9"/>
        <v>0</v>
      </c>
      <c r="S26" s="242">
        <f t="shared" si="10"/>
        <v>246230.3088210602</v>
      </c>
      <c r="T26" s="467"/>
      <c r="U26" s="198">
        <f t="shared" si="27"/>
        <v>43</v>
      </c>
      <c r="V26" s="36">
        <f t="shared" si="11"/>
        <v>43</v>
      </c>
      <c r="AB26" s="13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O26" s="130">
        <f t="shared" si="12"/>
        <v>1</v>
      </c>
      <c r="AP26" s="553">
        <f t="shared" si="28"/>
        <v>18</v>
      </c>
      <c r="AQ26" s="554">
        <f t="shared" si="13"/>
        <v>45261</v>
      </c>
      <c r="AR26" s="555">
        <f t="shared" si="31"/>
        <v>0.20899999999999999</v>
      </c>
      <c r="AS26" s="546">
        <f t="shared" si="14"/>
        <v>8289</v>
      </c>
      <c r="AT26" s="546">
        <f t="shared" si="15"/>
        <v>8289</v>
      </c>
      <c r="AU26" s="546">
        <f t="shared" si="16"/>
        <v>4298.3167676032199</v>
      </c>
      <c r="AV26" s="546">
        <f t="shared" si="17"/>
        <v>3990.6832323967801</v>
      </c>
      <c r="AW26" s="546">
        <f t="shared" si="4"/>
        <v>0</v>
      </c>
      <c r="AX26" s="546">
        <v>0</v>
      </c>
      <c r="AY26" s="546">
        <f t="shared" si="18"/>
        <v>4298.3167676032199</v>
      </c>
      <c r="AZ26" s="546">
        <f t="shared" si="35"/>
        <v>0</v>
      </c>
      <c r="BA26" s="546">
        <f t="shared" si="34"/>
        <v>0</v>
      </c>
      <c r="BB26" s="546"/>
      <c r="BC26" s="546"/>
      <c r="BD26" s="546"/>
      <c r="BE26" s="546"/>
      <c r="BF26" s="546"/>
      <c r="BG26" s="546">
        <f t="shared" si="20"/>
        <v>246230.3088210602</v>
      </c>
      <c r="BH26" s="108">
        <f t="shared" si="29"/>
        <v>43</v>
      </c>
      <c r="BI26" s="108">
        <f t="shared" si="24"/>
        <v>43</v>
      </c>
      <c r="BJ26" s="22">
        <f t="shared" si="25"/>
        <v>45261</v>
      </c>
      <c r="BK26" s="108">
        <f t="shared" si="6"/>
        <v>8289</v>
      </c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97"/>
      <c r="DW26" s="97"/>
      <c r="DX26" s="97"/>
      <c r="DY26" s="97"/>
      <c r="DZ26" s="97"/>
      <c r="EA26" s="97"/>
      <c r="EB26" s="97"/>
      <c r="EC26" s="97"/>
      <c r="ED26" s="97"/>
      <c r="EE26" s="97"/>
      <c r="EF26" s="97"/>
      <c r="EG26" s="97"/>
      <c r="EH26" s="97"/>
      <c r="EI26" s="97"/>
      <c r="EJ26" s="97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97"/>
      <c r="FC26" s="97"/>
      <c r="FD26" s="97"/>
      <c r="FE26" s="97"/>
      <c r="FF26" s="97"/>
      <c r="FG26" s="97"/>
      <c r="FH26" s="97"/>
      <c r="FI26" s="97"/>
      <c r="FJ26" s="97"/>
      <c r="FK26" s="97"/>
      <c r="FL26" s="97"/>
      <c r="FM26" s="97"/>
      <c r="FN26" s="97"/>
      <c r="FO26" s="97"/>
      <c r="FP26" s="97"/>
      <c r="FQ26" s="97"/>
      <c r="FR26" s="97"/>
      <c r="FS26" s="97"/>
      <c r="FT26" s="97"/>
      <c r="FU26" s="97"/>
      <c r="FV26" s="97"/>
      <c r="FW26" s="97"/>
      <c r="FX26" s="97"/>
      <c r="FY26" s="97"/>
      <c r="FZ26" s="97"/>
      <c r="GA26" s="97"/>
      <c r="GB26" s="97"/>
      <c r="GC26" s="97"/>
      <c r="GD26" s="97"/>
      <c r="GE26" s="97"/>
      <c r="GF26" s="97"/>
      <c r="GG26" s="97"/>
      <c r="GH26" s="97"/>
      <c r="GI26" s="97"/>
      <c r="GJ26" s="97"/>
      <c r="GK26" s="97"/>
      <c r="GL26" s="97"/>
      <c r="GM26" s="97"/>
      <c r="GN26" s="97"/>
      <c r="GO26" s="97"/>
      <c r="GP26" s="97"/>
      <c r="GQ26" s="97"/>
      <c r="GR26" s="97"/>
      <c r="GS26" s="97"/>
      <c r="GT26" s="97"/>
      <c r="GU26" s="97"/>
      <c r="GV26" s="97"/>
      <c r="GW26" s="97"/>
      <c r="GX26" s="97"/>
      <c r="GY26" s="97"/>
      <c r="GZ26" s="97"/>
      <c r="HA26" s="97"/>
      <c r="HB26" s="97"/>
      <c r="HC26" s="97"/>
      <c r="HD26" s="97"/>
      <c r="HE26" s="97"/>
      <c r="HF26" s="97"/>
      <c r="HG26" s="97"/>
      <c r="HH26" s="97"/>
      <c r="HI26" s="97"/>
      <c r="HJ26" s="97"/>
      <c r="HK26" s="97"/>
      <c r="HL26" s="97"/>
      <c r="HM26" s="97"/>
      <c r="HN26" s="97"/>
      <c r="HO26" s="97"/>
      <c r="HP26" s="97"/>
      <c r="HQ26" s="97"/>
      <c r="HR26" s="97"/>
      <c r="HS26" s="97"/>
      <c r="HT26" s="97"/>
      <c r="HU26" s="97"/>
      <c r="HV26" s="97"/>
      <c r="HW26" s="97"/>
      <c r="HX26" s="97"/>
      <c r="HY26" s="97"/>
      <c r="HZ26" s="97"/>
      <c r="IA26" s="97"/>
      <c r="IB26" s="97"/>
      <c r="IC26" s="97"/>
      <c r="ID26" s="97"/>
      <c r="IE26" s="97"/>
      <c r="IF26" s="97"/>
      <c r="IG26" s="97"/>
      <c r="IH26" s="97"/>
      <c r="II26" s="97"/>
      <c r="IJ26" s="97"/>
      <c r="IK26" s="97"/>
      <c r="IL26" s="97"/>
      <c r="IM26" s="97"/>
      <c r="IN26" s="97"/>
      <c r="IO26" s="97"/>
      <c r="IP26" s="97"/>
      <c r="IQ26" s="97"/>
      <c r="IR26" s="97"/>
      <c r="IS26" s="97"/>
      <c r="IT26" s="97"/>
      <c r="IU26" s="97"/>
      <c r="IV26" s="97"/>
      <c r="IW26" s="97"/>
      <c r="IX26" s="97"/>
      <c r="IY26" s="97"/>
      <c r="IZ26" s="97"/>
      <c r="JA26" s="97"/>
      <c r="JB26" s="97"/>
      <c r="JC26" s="97"/>
      <c r="JD26" s="97"/>
      <c r="JE26" s="97"/>
      <c r="JF26" s="97"/>
      <c r="JG26" s="97"/>
      <c r="JH26" s="97"/>
      <c r="JI26" s="97"/>
      <c r="JJ26" s="97"/>
      <c r="JK26" s="97"/>
      <c r="JL26" s="97"/>
      <c r="JM26" s="97"/>
      <c r="JN26" s="97"/>
      <c r="JO26" s="97"/>
      <c r="JP26" s="97"/>
      <c r="JQ26" s="97"/>
      <c r="JR26" s="97"/>
      <c r="JS26" s="97"/>
      <c r="JT26" s="97"/>
      <c r="JU26" s="97"/>
      <c r="JV26" s="97"/>
      <c r="JW26" s="97"/>
      <c r="JX26" s="97"/>
      <c r="JY26" s="97"/>
      <c r="JZ26" s="97"/>
      <c r="KA26" s="97"/>
      <c r="KB26" s="97"/>
      <c r="KC26" s="97"/>
      <c r="KD26" s="97"/>
      <c r="KE26" s="97"/>
      <c r="KF26" s="97"/>
      <c r="KG26" s="97"/>
      <c r="KH26" s="97"/>
      <c r="KI26" s="97"/>
      <c r="KJ26" s="97"/>
      <c r="KK26" s="97"/>
      <c r="KL26" s="97"/>
      <c r="KM26" s="97"/>
      <c r="KN26" s="97"/>
      <c r="KO26" s="97"/>
      <c r="KP26" s="97"/>
      <c r="KQ26" s="97"/>
      <c r="KR26" s="97"/>
      <c r="KS26" s="97"/>
      <c r="KT26" s="97"/>
      <c r="KU26" s="97"/>
      <c r="KV26" s="97"/>
      <c r="KW26" s="97"/>
      <c r="KX26" s="97"/>
      <c r="KY26" s="97"/>
      <c r="KZ26" s="97"/>
      <c r="LA26" s="97"/>
      <c r="LB26" s="97"/>
      <c r="LC26" s="97"/>
      <c r="LD26" s="97"/>
      <c r="LE26" s="97"/>
      <c r="LF26" s="97"/>
      <c r="LG26" s="97"/>
      <c r="LH26" s="97"/>
      <c r="LI26" s="97"/>
      <c r="LJ26" s="97"/>
      <c r="LK26" s="97"/>
      <c r="LL26" s="97"/>
      <c r="LM26" s="97"/>
      <c r="LN26" s="97"/>
      <c r="LO26" s="97"/>
      <c r="LP26" s="97"/>
      <c r="LQ26" s="97"/>
      <c r="LR26" s="97"/>
      <c r="LS26" s="97"/>
      <c r="LT26" s="97"/>
      <c r="LU26" s="97"/>
      <c r="LV26" s="97"/>
      <c r="LW26" s="97"/>
      <c r="LX26" s="97"/>
      <c r="LY26" s="97"/>
      <c r="LZ26" s="97"/>
      <c r="MA26" s="97"/>
      <c r="MB26" s="97"/>
      <c r="MC26" s="97"/>
      <c r="MD26" s="97"/>
      <c r="ME26" s="97"/>
      <c r="MF26" s="97"/>
      <c r="MG26" s="97"/>
      <c r="MH26" s="97"/>
      <c r="MI26" s="97"/>
      <c r="MJ26" s="97"/>
      <c r="MK26" s="97"/>
      <c r="ML26" s="97"/>
      <c r="MM26" s="97"/>
      <c r="MN26" s="97"/>
      <c r="MO26" s="97"/>
      <c r="MP26" s="97"/>
      <c r="MQ26" s="97"/>
      <c r="MR26" s="97"/>
      <c r="MS26" s="97"/>
      <c r="MT26" s="97"/>
      <c r="MU26" s="97"/>
      <c r="MV26" s="97"/>
      <c r="MW26" s="97"/>
      <c r="MX26" s="97"/>
      <c r="MY26" s="97"/>
      <c r="MZ26" s="97"/>
      <c r="NA26" s="97"/>
      <c r="NB26" s="97"/>
      <c r="NC26" s="97"/>
      <c r="ND26" s="97"/>
      <c r="NE26" s="97"/>
      <c r="NF26" s="97"/>
      <c r="NG26" s="97"/>
      <c r="NH26" s="97"/>
      <c r="NI26" s="97"/>
      <c r="NJ26" s="97"/>
      <c r="NK26" s="97"/>
      <c r="NL26" s="97"/>
      <c r="NM26" s="97"/>
      <c r="NN26" s="97"/>
      <c r="NO26" s="97"/>
      <c r="NP26" s="97"/>
      <c r="NQ26" s="97"/>
      <c r="NR26" s="97"/>
      <c r="NS26" s="97"/>
      <c r="NT26" s="97"/>
      <c r="NU26" s="97"/>
      <c r="NV26" s="97"/>
      <c r="NW26" s="97"/>
      <c r="NX26" s="97"/>
      <c r="NY26" s="97"/>
      <c r="NZ26" s="97"/>
      <c r="OA26" s="97"/>
      <c r="OB26" s="97"/>
      <c r="OC26" s="97"/>
    </row>
    <row r="27" spans="1:393" ht="16.95" customHeight="1" x14ac:dyDescent="0.25">
      <c r="A27" s="846" t="s">
        <v>325</v>
      </c>
      <c r="B27" s="846"/>
      <c r="C27" s="331">
        <f>IF(C8="Гарантия пакет",(AH65*AH79+AI65*AI79),INDEX($AC$79:$AI$79,MATCH(C$8,$AC$59:$AJ$59,0)))</f>
        <v>0</v>
      </c>
      <c r="D27" s="357">
        <f>IF(D8="Гарантия пакет",(AH65*AH79+AI65*AI79),INDEX($AC$79:$AI$79,MATCH(D$8,$AC$59:$AJ$59,0)))</f>
        <v>0</v>
      </c>
      <c r="E27" s="226">
        <f t="shared" ref="E27:E31" si="36">C27-D27</f>
        <v>0</v>
      </c>
      <c r="F27" s="192"/>
      <c r="G27" s="244">
        <f t="shared" si="26"/>
        <v>19</v>
      </c>
      <c r="H27" s="245">
        <f t="shared" si="7"/>
        <v>45292</v>
      </c>
      <c r="I27" s="246">
        <f t="shared" si="30"/>
        <v>0.20899999999999999</v>
      </c>
      <c r="J27" s="242">
        <f t="shared" si="0"/>
        <v>8289</v>
      </c>
      <c r="K27" s="242">
        <f t="shared" si="21"/>
        <v>8289</v>
      </c>
      <c r="L27" s="242">
        <f t="shared" si="8"/>
        <v>4370.7566324702702</v>
      </c>
      <c r="M27" s="242">
        <f t="shared" si="22"/>
        <v>3918.2433675297298</v>
      </c>
      <c r="N27" s="242">
        <f t="shared" si="1"/>
        <v>0</v>
      </c>
      <c r="O27" s="242">
        <v>0</v>
      </c>
      <c r="P27" s="242">
        <f t="shared" si="23"/>
        <v>4370.7566324702702</v>
      </c>
      <c r="Q27" s="242">
        <f t="shared" si="2"/>
        <v>0</v>
      </c>
      <c r="R27" s="242">
        <f t="shared" si="9"/>
        <v>0</v>
      </c>
      <c r="S27" s="242">
        <f t="shared" si="10"/>
        <v>242312.06545353046</v>
      </c>
      <c r="T27" s="467"/>
      <c r="U27" s="198">
        <f t="shared" si="27"/>
        <v>42</v>
      </c>
      <c r="V27" s="36">
        <f t="shared" si="11"/>
        <v>42</v>
      </c>
      <c r="W27" s="16"/>
      <c r="X27" s="16"/>
      <c r="Y27" s="57"/>
      <c r="AB27" s="13" t="s">
        <v>79</v>
      </c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O27" s="130">
        <f t="shared" si="12"/>
        <v>1</v>
      </c>
      <c r="AP27" s="553">
        <f t="shared" si="28"/>
        <v>19</v>
      </c>
      <c r="AQ27" s="554">
        <f t="shared" si="13"/>
        <v>45292</v>
      </c>
      <c r="AR27" s="555">
        <f t="shared" si="31"/>
        <v>0.20899999999999999</v>
      </c>
      <c r="AS27" s="546">
        <f t="shared" si="14"/>
        <v>8289</v>
      </c>
      <c r="AT27" s="546">
        <f t="shared" si="15"/>
        <v>8289</v>
      </c>
      <c r="AU27" s="546">
        <f t="shared" si="16"/>
        <v>4370.7566324702702</v>
      </c>
      <c r="AV27" s="546">
        <f t="shared" si="17"/>
        <v>3918.2433675297298</v>
      </c>
      <c r="AW27" s="546">
        <f t="shared" si="4"/>
        <v>0</v>
      </c>
      <c r="AX27" s="546">
        <v>0</v>
      </c>
      <c r="AY27" s="546">
        <f t="shared" si="18"/>
        <v>4370.7566324702702</v>
      </c>
      <c r="AZ27" s="546">
        <f t="shared" si="35"/>
        <v>0</v>
      </c>
      <c r="BA27" s="546">
        <f t="shared" si="34"/>
        <v>0</v>
      </c>
      <c r="BB27" s="546"/>
      <c r="BC27" s="546"/>
      <c r="BD27" s="546"/>
      <c r="BE27" s="546"/>
      <c r="BF27" s="546"/>
      <c r="BG27" s="546">
        <f t="shared" si="20"/>
        <v>242312.06545353046</v>
      </c>
      <c r="BH27" s="108">
        <f t="shared" si="29"/>
        <v>42</v>
      </c>
      <c r="BI27" s="108">
        <f t="shared" si="24"/>
        <v>42</v>
      </c>
      <c r="BJ27" s="22">
        <f t="shared" si="25"/>
        <v>45292</v>
      </c>
      <c r="BK27" s="108">
        <f t="shared" si="6"/>
        <v>8289</v>
      </c>
    </row>
    <row r="28" spans="1:393" ht="22.5" customHeight="1" x14ac:dyDescent="0.25">
      <c r="A28" s="846" t="s">
        <v>75</v>
      </c>
      <c r="B28" s="846"/>
      <c r="C28" s="194">
        <f>L109</f>
        <v>192148.78735810926</v>
      </c>
      <c r="D28" s="209">
        <f>AU109</f>
        <v>192118.25748299048</v>
      </c>
      <c r="E28" s="274">
        <f t="shared" si="36"/>
        <v>30.529875118780183</v>
      </c>
      <c r="F28" s="190"/>
      <c r="G28" s="244">
        <f t="shared" si="26"/>
        <v>20</v>
      </c>
      <c r="H28" s="245">
        <f t="shared" si="7"/>
        <v>45323</v>
      </c>
      <c r="I28" s="246">
        <f t="shared" si="30"/>
        <v>0.20899999999999999</v>
      </c>
      <c r="J28" s="242">
        <f t="shared" si="0"/>
        <v>8289</v>
      </c>
      <c r="K28" s="242">
        <f t="shared" si="21"/>
        <v>8289</v>
      </c>
      <c r="L28" s="242">
        <f t="shared" si="8"/>
        <v>4301.205128968284</v>
      </c>
      <c r="M28" s="242">
        <f t="shared" si="22"/>
        <v>3987.794871031716</v>
      </c>
      <c r="N28" s="242">
        <f t="shared" si="1"/>
        <v>0</v>
      </c>
      <c r="O28" s="242">
        <v>0</v>
      </c>
      <c r="P28" s="242">
        <f t="shared" si="23"/>
        <v>4301.205128968284</v>
      </c>
      <c r="Q28" s="242">
        <f t="shared" si="2"/>
        <v>0</v>
      </c>
      <c r="R28" s="242">
        <f t="shared" si="9"/>
        <v>0</v>
      </c>
      <c r="S28" s="242">
        <f t="shared" si="10"/>
        <v>238324.27058249875</v>
      </c>
      <c r="T28" s="467"/>
      <c r="U28" s="198">
        <f t="shared" si="27"/>
        <v>41</v>
      </c>
      <c r="V28" s="36">
        <f t="shared" si="11"/>
        <v>41</v>
      </c>
      <c r="W28" s="16"/>
      <c r="X28" s="16"/>
      <c r="Y28" s="57" t="s">
        <v>47</v>
      </c>
      <c r="Z28" s="2" t="s">
        <v>35</v>
      </c>
      <c r="AB28" s="13" t="s">
        <v>80</v>
      </c>
      <c r="AC28" s="3">
        <v>1</v>
      </c>
      <c r="AD28" s="3">
        <v>1</v>
      </c>
      <c r="AE28" s="3">
        <v>1</v>
      </c>
      <c r="AF28" s="81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O28" s="130">
        <f t="shared" si="12"/>
        <v>1</v>
      </c>
      <c r="AP28" s="553">
        <f t="shared" si="28"/>
        <v>20</v>
      </c>
      <c r="AQ28" s="554">
        <f t="shared" si="13"/>
        <v>45323</v>
      </c>
      <c r="AR28" s="555">
        <f t="shared" si="31"/>
        <v>0.20899999999999999</v>
      </c>
      <c r="AS28" s="546">
        <f t="shared" si="14"/>
        <v>8289</v>
      </c>
      <c r="AT28" s="546">
        <f t="shared" si="15"/>
        <v>8289</v>
      </c>
      <c r="AU28" s="546">
        <f t="shared" si="16"/>
        <v>4301.205128968284</v>
      </c>
      <c r="AV28" s="546">
        <f t="shared" si="17"/>
        <v>3987.794871031716</v>
      </c>
      <c r="AW28" s="546">
        <f t="shared" si="4"/>
        <v>0</v>
      </c>
      <c r="AX28" s="546">
        <v>0</v>
      </c>
      <c r="AY28" s="546">
        <f t="shared" si="18"/>
        <v>4301.205128968284</v>
      </c>
      <c r="AZ28" s="546">
        <f t="shared" si="35"/>
        <v>0</v>
      </c>
      <c r="BA28" s="546">
        <f t="shared" si="34"/>
        <v>0</v>
      </c>
      <c r="BB28" s="546"/>
      <c r="BC28" s="546"/>
      <c r="BD28" s="546"/>
      <c r="BE28" s="546"/>
      <c r="BF28" s="546"/>
      <c r="BG28" s="546">
        <f t="shared" si="20"/>
        <v>238324.27058249875</v>
      </c>
      <c r="BH28" s="108">
        <f t="shared" si="29"/>
        <v>41</v>
      </c>
      <c r="BI28" s="108">
        <f t="shared" si="24"/>
        <v>41</v>
      </c>
      <c r="BJ28" s="22">
        <f t="shared" si="25"/>
        <v>45323</v>
      </c>
      <c r="BK28" s="108">
        <f t="shared" si="6"/>
        <v>8289</v>
      </c>
    </row>
    <row r="29" spans="1:393" ht="19.5" customHeight="1" x14ac:dyDescent="0.25">
      <c r="A29" s="846" t="s">
        <v>354</v>
      </c>
      <c r="B29" s="846"/>
      <c r="C29" s="194">
        <f>IF(C18="",0,C28*(1-C19/C11))</f>
        <v>0</v>
      </c>
      <c r="D29" s="209">
        <f>IF(D18="",0,D18*12)</f>
        <v>0</v>
      </c>
      <c r="E29" s="274">
        <f t="shared" si="36"/>
        <v>0</v>
      </c>
      <c r="F29" s="234"/>
      <c r="G29" s="244">
        <f t="shared" si="26"/>
        <v>21</v>
      </c>
      <c r="H29" s="245">
        <f t="shared" si="7"/>
        <v>45352</v>
      </c>
      <c r="I29" s="246">
        <f t="shared" si="30"/>
        <v>0.20899999999999999</v>
      </c>
      <c r="J29" s="242">
        <f t="shared" si="0"/>
        <v>8289</v>
      </c>
      <c r="K29" s="242">
        <f t="shared" si="21"/>
        <v>8289</v>
      </c>
      <c r="L29" s="242">
        <f t="shared" si="8"/>
        <v>3957.4887780836293</v>
      </c>
      <c r="M29" s="242">
        <f t="shared" si="22"/>
        <v>4331.5112219163711</v>
      </c>
      <c r="N29" s="242">
        <f t="shared" si="1"/>
        <v>0</v>
      </c>
      <c r="O29" s="242">
        <v>0</v>
      </c>
      <c r="P29" s="242">
        <f t="shared" si="23"/>
        <v>3957.4887780836293</v>
      </c>
      <c r="Q29" s="242">
        <f t="shared" si="2"/>
        <v>0</v>
      </c>
      <c r="R29" s="242">
        <f t="shared" si="9"/>
        <v>0</v>
      </c>
      <c r="S29" s="242">
        <f t="shared" si="10"/>
        <v>233992.75936058239</v>
      </c>
      <c r="T29" s="467"/>
      <c r="U29" s="198">
        <f t="shared" si="27"/>
        <v>40</v>
      </c>
      <c r="V29" s="36">
        <f t="shared" si="11"/>
        <v>40</v>
      </c>
      <c r="W29" s="16"/>
      <c r="X29" s="16"/>
      <c r="Y29" s="57"/>
      <c r="AE29" s="82"/>
      <c r="AF29" s="2"/>
      <c r="AG29" s="2"/>
      <c r="AH29" s="2"/>
      <c r="AI29" s="3"/>
      <c r="AJ29" s="3"/>
      <c r="AK29" s="3"/>
      <c r="AL29" s="3"/>
      <c r="AO29" s="130">
        <f t="shared" si="12"/>
        <v>1</v>
      </c>
      <c r="AP29" s="553">
        <f t="shared" si="28"/>
        <v>21</v>
      </c>
      <c r="AQ29" s="554">
        <f t="shared" si="13"/>
        <v>45352</v>
      </c>
      <c r="AR29" s="555">
        <f t="shared" si="31"/>
        <v>0.20899999999999999</v>
      </c>
      <c r="AS29" s="546">
        <f t="shared" si="14"/>
        <v>8289</v>
      </c>
      <c r="AT29" s="546">
        <f t="shared" si="15"/>
        <v>8289</v>
      </c>
      <c r="AU29" s="546">
        <f t="shared" si="16"/>
        <v>3957.4887780836293</v>
      </c>
      <c r="AV29" s="546">
        <f t="shared" si="17"/>
        <v>4331.5112219163711</v>
      </c>
      <c r="AW29" s="546">
        <f t="shared" si="4"/>
        <v>0</v>
      </c>
      <c r="AX29" s="546">
        <v>0</v>
      </c>
      <c r="AY29" s="546">
        <f t="shared" si="18"/>
        <v>3957.4887780836293</v>
      </c>
      <c r="AZ29" s="546">
        <f t="shared" si="35"/>
        <v>0</v>
      </c>
      <c r="BA29" s="546">
        <f t="shared" si="34"/>
        <v>0</v>
      </c>
      <c r="BB29" s="546"/>
      <c r="BC29" s="546"/>
      <c r="BD29" s="546"/>
      <c r="BE29" s="546"/>
      <c r="BF29" s="546"/>
      <c r="BG29" s="546">
        <f t="shared" si="20"/>
        <v>233992.75936058239</v>
      </c>
      <c r="BH29" s="108">
        <f t="shared" si="29"/>
        <v>40</v>
      </c>
      <c r="BI29" s="108">
        <f t="shared" si="24"/>
        <v>40</v>
      </c>
      <c r="BJ29" s="22">
        <f t="shared" si="25"/>
        <v>45352</v>
      </c>
      <c r="BK29" s="108">
        <f t="shared" si="6"/>
        <v>8289</v>
      </c>
    </row>
    <row r="30" spans="1:393" ht="35.25" customHeight="1" x14ac:dyDescent="0.25">
      <c r="A30" s="846" t="s">
        <v>157</v>
      </c>
      <c r="B30" s="846"/>
      <c r="C30" s="199">
        <f>J109-C29</f>
        <v>497340</v>
      </c>
      <c r="D30" s="209">
        <f>AT109</f>
        <v>497340</v>
      </c>
      <c r="E30" s="190" t="s">
        <v>358</v>
      </c>
      <c r="F30" s="235"/>
      <c r="G30" s="244">
        <f>G29+1</f>
        <v>22</v>
      </c>
      <c r="H30" s="245">
        <f t="shared" si="7"/>
        <v>45383</v>
      </c>
      <c r="I30" s="246">
        <f t="shared" si="30"/>
        <v>0.20899999999999999</v>
      </c>
      <c r="J30" s="242">
        <f t="shared" si="0"/>
        <v>8289</v>
      </c>
      <c r="K30" s="242">
        <f t="shared" si="21"/>
        <v>8289</v>
      </c>
      <c r="L30" s="242">
        <f t="shared" si="8"/>
        <v>4153.5317476635973</v>
      </c>
      <c r="M30" s="242">
        <f t="shared" si="22"/>
        <v>4135.4682523364027</v>
      </c>
      <c r="N30" s="242">
        <f t="shared" si="1"/>
        <v>0</v>
      </c>
      <c r="O30" s="242">
        <v>0</v>
      </c>
      <c r="P30" s="242">
        <f t="shared" si="23"/>
        <v>4153.5317476635973</v>
      </c>
      <c r="Q30" s="242">
        <f t="shared" si="2"/>
        <v>0</v>
      </c>
      <c r="R30" s="242">
        <f t="shared" si="9"/>
        <v>0</v>
      </c>
      <c r="S30" s="242">
        <f t="shared" si="10"/>
        <v>229857.29110824599</v>
      </c>
      <c r="T30" s="467"/>
      <c r="U30" s="198">
        <f>IF((U29-1)&lt;0,0,U29-1)</f>
        <v>39</v>
      </c>
      <c r="V30" s="36">
        <f t="shared" si="11"/>
        <v>39</v>
      </c>
      <c r="W30" s="16"/>
      <c r="X30" s="16"/>
      <c r="Y30" s="57"/>
      <c r="AC30" s="13" t="s">
        <v>47</v>
      </c>
      <c r="AD30" s="2" t="s">
        <v>35</v>
      </c>
      <c r="AE30" s="82" t="s">
        <v>35</v>
      </c>
      <c r="AF30" s="2" t="s">
        <v>35</v>
      </c>
      <c r="AG30" s="2" t="s">
        <v>35</v>
      </c>
      <c r="AH30" s="2" t="s">
        <v>35</v>
      </c>
      <c r="AK30" s="2"/>
      <c r="AO30" s="130">
        <f t="shared" si="12"/>
        <v>1</v>
      </c>
      <c r="AP30" s="553">
        <f>AP29+1</f>
        <v>22</v>
      </c>
      <c r="AQ30" s="554">
        <f t="shared" si="13"/>
        <v>45383</v>
      </c>
      <c r="AR30" s="555">
        <f t="shared" si="31"/>
        <v>0.20899999999999999</v>
      </c>
      <c r="AS30" s="546">
        <f t="shared" si="14"/>
        <v>8289</v>
      </c>
      <c r="AT30" s="546">
        <f t="shared" si="15"/>
        <v>8289</v>
      </c>
      <c r="AU30" s="546">
        <f t="shared" si="16"/>
        <v>4153.5317476635973</v>
      </c>
      <c r="AV30" s="546">
        <f>IF(BI30=0,0,IF(BI30=1,BG29,IF(BG29+AW30+AU30&gt;AT29,AT30-AU30-AW30,BG29)))</f>
        <v>4135.4682523364027</v>
      </c>
      <c r="AW30" s="546">
        <f t="shared" si="4"/>
        <v>0</v>
      </c>
      <c r="AX30" s="546">
        <v>0</v>
      </c>
      <c r="AY30" s="546">
        <f t="shared" si="18"/>
        <v>4153.5317476635973</v>
      </c>
      <c r="AZ30" s="546">
        <f t="shared" si="35"/>
        <v>0</v>
      </c>
      <c r="BA30" s="546">
        <f t="shared" si="34"/>
        <v>0</v>
      </c>
      <c r="BB30" s="546"/>
      <c r="BC30" s="546"/>
      <c r="BD30" s="546"/>
      <c r="BE30" s="546"/>
      <c r="BF30" s="546"/>
      <c r="BG30" s="546">
        <f>IF(OR(BI30=1,BG29=0),0,BG29-AV30)</f>
        <v>229857.29110824599</v>
      </c>
      <c r="BH30" s="108">
        <f>IF((BH29-1)&lt;0,0,BH29-1)</f>
        <v>39</v>
      </c>
      <c r="BI30" s="108">
        <f t="shared" si="24"/>
        <v>39</v>
      </c>
      <c r="BJ30" s="22">
        <f t="shared" si="25"/>
        <v>45383</v>
      </c>
      <c r="BK30" s="108">
        <f t="shared" si="6"/>
        <v>8289</v>
      </c>
    </row>
    <row r="31" spans="1:393" ht="42" customHeight="1" x14ac:dyDescent="0.25">
      <c r="A31" s="941" t="s">
        <v>357</v>
      </c>
      <c r="B31" s="941"/>
      <c r="C31" s="518">
        <f>C28-C29</f>
        <v>192148.78735810926</v>
      </c>
      <c r="D31" s="212">
        <f>D28+D29</f>
        <v>192118.25748299048</v>
      </c>
      <c r="E31" s="200">
        <f t="shared" si="36"/>
        <v>30.529875118780183</v>
      </c>
      <c r="F31" s="236"/>
      <c r="G31" s="244">
        <f t="shared" si="26"/>
        <v>23</v>
      </c>
      <c r="H31" s="245">
        <f t="shared" si="7"/>
        <v>45413</v>
      </c>
      <c r="I31" s="246">
        <f t="shared" si="30"/>
        <v>0.20899999999999999</v>
      </c>
      <c r="J31" s="242">
        <f t="shared" si="0"/>
        <v>8289</v>
      </c>
      <c r="K31" s="242">
        <f t="shared" si="21"/>
        <v>8289</v>
      </c>
      <c r="L31" s="242">
        <f t="shared" si="8"/>
        <v>3948.5074390375407</v>
      </c>
      <c r="M31" s="242">
        <f t="shared" si="22"/>
        <v>4340.4925609624588</v>
      </c>
      <c r="N31" s="242">
        <f t="shared" si="1"/>
        <v>0</v>
      </c>
      <c r="O31" s="242">
        <v>0</v>
      </c>
      <c r="P31" s="242">
        <f t="shared" si="23"/>
        <v>3948.5074390375407</v>
      </c>
      <c r="Q31" s="242">
        <f t="shared" si="2"/>
        <v>0</v>
      </c>
      <c r="R31" s="242">
        <f t="shared" si="9"/>
        <v>0</v>
      </c>
      <c r="S31" s="242">
        <f t="shared" si="10"/>
        <v>225516.79854728354</v>
      </c>
      <c r="T31" s="467"/>
      <c r="U31" s="198">
        <f t="shared" si="27"/>
        <v>38</v>
      </c>
      <c r="V31" s="36">
        <f t="shared" si="11"/>
        <v>38</v>
      </c>
      <c r="W31" s="16"/>
      <c r="X31" s="16"/>
      <c r="Y31" s="57"/>
      <c r="AC31" s="15">
        <f>IF(C12=W3,W17,IF(C12=Y3,Y17,IF(C12=Z3,Z17,IF(C12=AA3,AA17,IF(C12=X3,X17,)))))</f>
        <v>0</v>
      </c>
      <c r="AD31" s="15">
        <v>0</v>
      </c>
      <c r="AE31" s="2">
        <v>0</v>
      </c>
      <c r="AF31" s="2">
        <v>0</v>
      </c>
      <c r="AG31" s="2">
        <v>0</v>
      </c>
      <c r="AH31" s="2"/>
      <c r="AK31" s="2"/>
      <c r="AO31" s="130">
        <f t="shared" si="12"/>
        <v>1</v>
      </c>
      <c r="AP31" s="553">
        <f t="shared" si="28"/>
        <v>23</v>
      </c>
      <c r="AQ31" s="554">
        <f t="shared" si="13"/>
        <v>45413</v>
      </c>
      <c r="AR31" s="555">
        <f t="shared" si="31"/>
        <v>0.20899999999999999</v>
      </c>
      <c r="AS31" s="546">
        <f t="shared" si="14"/>
        <v>8289</v>
      </c>
      <c r="AT31" s="546">
        <f t="shared" si="15"/>
        <v>8289</v>
      </c>
      <c r="AU31" s="546">
        <f t="shared" si="16"/>
        <v>3948.5074390375407</v>
      </c>
      <c r="AV31" s="546">
        <f t="shared" si="17"/>
        <v>4340.4925609624588</v>
      </c>
      <c r="AW31" s="546">
        <f t="shared" si="4"/>
        <v>0</v>
      </c>
      <c r="AX31" s="546">
        <v>0</v>
      </c>
      <c r="AY31" s="546">
        <f t="shared" si="18"/>
        <v>3948.5074390375407</v>
      </c>
      <c r="AZ31" s="546">
        <f t="shared" si="35"/>
        <v>0</v>
      </c>
      <c r="BA31" s="546">
        <f t="shared" si="34"/>
        <v>0</v>
      </c>
      <c r="BB31" s="546"/>
      <c r="BC31" s="546"/>
      <c r="BD31" s="546"/>
      <c r="BE31" s="546"/>
      <c r="BF31" s="546"/>
      <c r="BG31" s="546">
        <f t="shared" si="20"/>
        <v>225516.79854728354</v>
      </c>
      <c r="BH31" s="108">
        <f t="shared" si="29"/>
        <v>38</v>
      </c>
      <c r="BI31" s="108">
        <f t="shared" si="24"/>
        <v>38</v>
      </c>
      <c r="BJ31" s="22">
        <f t="shared" si="25"/>
        <v>45413</v>
      </c>
      <c r="BK31" s="108">
        <f t="shared" si="6"/>
        <v>8289</v>
      </c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116"/>
      <c r="FX31" s="116"/>
      <c r="FY31" s="116"/>
      <c r="FZ31" s="116"/>
      <c r="GA31" s="116"/>
      <c r="GB31" s="116"/>
      <c r="GC31" s="116"/>
      <c r="GD31" s="116"/>
      <c r="GE31" s="116"/>
      <c r="GF31" s="116"/>
      <c r="GG31" s="116"/>
      <c r="GH31" s="116"/>
      <c r="GI31" s="116"/>
      <c r="GJ31" s="116"/>
      <c r="GK31" s="116"/>
      <c r="GL31" s="116"/>
      <c r="GM31" s="116"/>
      <c r="GN31" s="116"/>
      <c r="GO31" s="116"/>
      <c r="GP31" s="116"/>
      <c r="GQ31" s="116"/>
      <c r="GR31" s="116"/>
      <c r="GS31" s="116"/>
      <c r="GT31" s="116"/>
      <c r="GU31" s="116"/>
      <c r="GV31" s="116"/>
      <c r="GW31" s="116"/>
      <c r="GX31" s="116"/>
      <c r="GY31" s="116"/>
      <c r="GZ31" s="116"/>
      <c r="HA31" s="116"/>
      <c r="HB31" s="116"/>
      <c r="HC31" s="116"/>
      <c r="HD31" s="116"/>
      <c r="HE31" s="116"/>
      <c r="HF31" s="116"/>
      <c r="HG31" s="116"/>
      <c r="HH31" s="116"/>
      <c r="HI31" s="116"/>
      <c r="HJ31" s="116"/>
      <c r="HK31" s="116"/>
      <c r="HL31" s="116"/>
      <c r="HM31" s="116"/>
      <c r="HN31" s="116"/>
      <c r="HO31" s="116"/>
      <c r="HP31" s="116"/>
      <c r="HQ31" s="116"/>
      <c r="HR31" s="116"/>
      <c r="HS31" s="116"/>
      <c r="HT31" s="116"/>
      <c r="HU31" s="116"/>
      <c r="HV31" s="116"/>
      <c r="HW31" s="116"/>
      <c r="HX31" s="116"/>
      <c r="HY31" s="116"/>
      <c r="HZ31" s="116"/>
      <c r="IA31" s="116"/>
      <c r="IB31" s="116"/>
      <c r="IC31" s="116"/>
      <c r="ID31" s="116"/>
      <c r="IE31" s="116"/>
      <c r="IF31" s="116"/>
      <c r="IG31" s="116"/>
      <c r="IH31" s="116"/>
      <c r="II31" s="116"/>
      <c r="IJ31" s="116"/>
      <c r="IK31" s="116"/>
      <c r="IL31" s="116"/>
      <c r="IM31" s="116"/>
      <c r="IN31" s="116"/>
      <c r="IO31" s="116"/>
      <c r="IP31" s="116"/>
      <c r="IQ31" s="116"/>
      <c r="IR31" s="116"/>
      <c r="IS31" s="116"/>
      <c r="IT31" s="116"/>
      <c r="IU31" s="116"/>
      <c r="IV31" s="116"/>
      <c r="IW31" s="116"/>
      <c r="IX31" s="116"/>
      <c r="IY31" s="116"/>
      <c r="IZ31" s="116"/>
      <c r="JA31" s="116"/>
      <c r="JB31" s="116"/>
      <c r="JC31" s="116"/>
      <c r="JD31" s="116"/>
      <c r="JE31" s="116"/>
      <c r="JF31" s="116"/>
      <c r="JG31" s="116"/>
      <c r="JH31" s="116"/>
      <c r="JI31" s="116"/>
      <c r="JJ31" s="116"/>
      <c r="JK31" s="116"/>
      <c r="JL31" s="116"/>
      <c r="JM31" s="116"/>
      <c r="JN31" s="116"/>
      <c r="JO31" s="116"/>
      <c r="JP31" s="116"/>
      <c r="JQ31" s="116"/>
      <c r="JR31" s="116"/>
      <c r="JS31" s="116"/>
      <c r="JT31" s="116"/>
      <c r="JU31" s="116"/>
      <c r="JV31" s="116"/>
      <c r="JW31" s="116"/>
      <c r="JX31" s="116"/>
      <c r="JY31" s="116"/>
      <c r="JZ31" s="116"/>
      <c r="KA31" s="116"/>
      <c r="KB31" s="116"/>
      <c r="KC31" s="116"/>
      <c r="KD31" s="116"/>
      <c r="KE31" s="116"/>
      <c r="KF31" s="116"/>
      <c r="KG31" s="116"/>
      <c r="KH31" s="116"/>
      <c r="KI31" s="116"/>
      <c r="KJ31" s="116"/>
      <c r="KK31" s="116"/>
      <c r="KL31" s="116"/>
      <c r="KM31" s="116"/>
      <c r="KN31" s="116"/>
      <c r="KO31" s="116"/>
      <c r="KP31" s="116"/>
      <c r="KQ31" s="116"/>
      <c r="KR31" s="116"/>
      <c r="KS31" s="116"/>
      <c r="KT31" s="116"/>
      <c r="KU31" s="116"/>
      <c r="KV31" s="116"/>
      <c r="KW31" s="116"/>
      <c r="KX31" s="116"/>
      <c r="KY31" s="116"/>
      <c r="KZ31" s="116"/>
      <c r="LA31" s="116"/>
      <c r="LB31" s="116"/>
      <c r="LC31" s="116"/>
      <c r="LD31" s="116"/>
      <c r="LE31" s="116"/>
      <c r="LF31" s="116"/>
      <c r="LG31" s="116"/>
      <c r="LH31" s="116"/>
      <c r="LI31" s="116"/>
      <c r="LJ31" s="116"/>
      <c r="LK31" s="116"/>
      <c r="LL31" s="116"/>
      <c r="LM31" s="116"/>
      <c r="LN31" s="116"/>
      <c r="LO31" s="116"/>
      <c r="LP31" s="116"/>
      <c r="LQ31" s="116"/>
      <c r="LR31" s="116"/>
      <c r="LS31" s="116"/>
      <c r="LT31" s="116"/>
      <c r="LU31" s="116"/>
      <c r="LV31" s="116"/>
      <c r="LW31" s="116"/>
      <c r="LX31" s="116"/>
      <c r="LY31" s="116"/>
      <c r="LZ31" s="116"/>
      <c r="MA31" s="116"/>
      <c r="MB31" s="116"/>
      <c r="MC31" s="116"/>
      <c r="MD31" s="116"/>
      <c r="ME31" s="116"/>
      <c r="MF31" s="116"/>
      <c r="MG31" s="116"/>
      <c r="MH31" s="116"/>
      <c r="MI31" s="116"/>
      <c r="MJ31" s="116"/>
      <c r="MK31" s="116"/>
      <c r="ML31" s="116"/>
      <c r="MM31" s="116"/>
      <c r="MN31" s="116"/>
      <c r="MO31" s="116"/>
      <c r="MP31" s="116"/>
      <c r="MQ31" s="116"/>
      <c r="MR31" s="116"/>
      <c r="MS31" s="116"/>
      <c r="MT31" s="116"/>
      <c r="MU31" s="116"/>
      <c r="MV31" s="116"/>
      <c r="MW31" s="116"/>
      <c r="MX31" s="116"/>
      <c r="MY31" s="116"/>
      <c r="MZ31" s="116"/>
      <c r="NA31" s="116"/>
      <c r="NB31" s="116"/>
      <c r="NC31" s="116"/>
      <c r="ND31" s="116"/>
      <c r="NE31" s="116"/>
      <c r="NF31" s="116"/>
      <c r="NG31" s="116"/>
      <c r="NH31" s="116"/>
      <c r="NI31" s="116"/>
      <c r="NJ31" s="116"/>
      <c r="NK31" s="116"/>
      <c r="NL31" s="116"/>
      <c r="NM31" s="116"/>
      <c r="NN31" s="116"/>
      <c r="NO31" s="116"/>
      <c r="NP31" s="116"/>
      <c r="NQ31" s="116"/>
    </row>
    <row r="32" spans="1:393" ht="49.5" customHeight="1" thickBot="1" x14ac:dyDescent="0.3">
      <c r="A32" s="883" t="s">
        <v>175</v>
      </c>
      <c r="B32" s="884"/>
      <c r="C32" s="884"/>
      <c r="D32" s="884"/>
      <c r="E32" s="885"/>
      <c r="F32" s="191"/>
      <c r="G32" s="248">
        <f t="shared" si="26"/>
        <v>24</v>
      </c>
      <c r="H32" s="581">
        <f t="shared" si="7"/>
        <v>45444</v>
      </c>
      <c r="I32" s="250">
        <f t="shared" si="30"/>
        <v>0.20899999999999999</v>
      </c>
      <c r="J32" s="252">
        <f t="shared" si="0"/>
        <v>8289</v>
      </c>
      <c r="K32" s="252">
        <f t="shared" si="21"/>
        <v>8289</v>
      </c>
      <c r="L32" s="252">
        <f t="shared" si="8"/>
        <v>4003.0776377749312</v>
      </c>
      <c r="M32" s="252">
        <f t="shared" si="22"/>
        <v>4285.9223622250684</v>
      </c>
      <c r="N32" s="252">
        <f t="shared" si="1"/>
        <v>0</v>
      </c>
      <c r="O32" s="252">
        <v>0</v>
      </c>
      <c r="P32" s="252">
        <f t="shared" si="23"/>
        <v>4003.0776377749312</v>
      </c>
      <c r="Q32" s="252">
        <f t="shared" si="2"/>
        <v>0</v>
      </c>
      <c r="R32" s="252">
        <f t="shared" si="9"/>
        <v>0</v>
      </c>
      <c r="S32" s="252">
        <f t="shared" si="10"/>
        <v>221230.87618505847</v>
      </c>
      <c r="T32" s="468"/>
      <c r="U32" s="198">
        <f t="shared" si="27"/>
        <v>37</v>
      </c>
      <c r="V32" s="36">
        <f t="shared" si="11"/>
        <v>37</v>
      </c>
      <c r="W32" s="16"/>
      <c r="X32" s="16"/>
      <c r="Y32" s="57"/>
      <c r="AC32" s="15" t="e">
        <f>IF(#REF!=W3,W17,IF(#REF!=Y3,Y17,IF(#REF!=Z3,Z17,IF(#REF!=AA3,AA17,IF(#REF!=X3,X17,)))))</f>
        <v>#REF!</v>
      </c>
      <c r="AD32" s="15">
        <v>0</v>
      </c>
      <c r="AE32" s="15"/>
      <c r="AF32" s="2"/>
      <c r="AG32" s="2"/>
      <c r="AH32" s="2"/>
      <c r="AK32" s="2"/>
      <c r="AN32" s="16"/>
      <c r="AO32" s="130">
        <f t="shared" si="12"/>
        <v>1</v>
      </c>
      <c r="AP32" s="556">
        <f t="shared" si="28"/>
        <v>24</v>
      </c>
      <c r="AQ32" s="582">
        <f t="shared" si="13"/>
        <v>45444</v>
      </c>
      <c r="AR32" s="557">
        <f t="shared" si="31"/>
        <v>0.20899999999999999</v>
      </c>
      <c r="AS32" s="547">
        <f t="shared" si="14"/>
        <v>8289</v>
      </c>
      <c r="AT32" s="547">
        <f t="shared" si="15"/>
        <v>8289</v>
      </c>
      <c r="AU32" s="547">
        <f t="shared" si="16"/>
        <v>4003.0776377749312</v>
      </c>
      <c r="AV32" s="547">
        <f t="shared" si="17"/>
        <v>4285.9223622250684</v>
      </c>
      <c r="AW32" s="547">
        <f t="shared" si="4"/>
        <v>0</v>
      </c>
      <c r="AX32" s="547">
        <v>0</v>
      </c>
      <c r="AY32" s="547">
        <f t="shared" si="18"/>
        <v>4003.0776377749312</v>
      </c>
      <c r="AZ32" s="547">
        <f t="shared" si="35"/>
        <v>0</v>
      </c>
      <c r="BA32" s="547">
        <f t="shared" si="34"/>
        <v>0</v>
      </c>
      <c r="BB32" s="547"/>
      <c r="BC32" s="547"/>
      <c r="BD32" s="547"/>
      <c r="BE32" s="547"/>
      <c r="BF32" s="547"/>
      <c r="BG32" s="547">
        <f t="shared" si="20"/>
        <v>221230.87618505847</v>
      </c>
      <c r="BH32" s="108">
        <f t="shared" si="29"/>
        <v>37</v>
      </c>
      <c r="BI32" s="108">
        <f t="shared" si="24"/>
        <v>37</v>
      </c>
      <c r="BJ32" s="22">
        <f t="shared" si="25"/>
        <v>45444</v>
      </c>
      <c r="BK32" s="108">
        <f t="shared" si="6"/>
        <v>8289</v>
      </c>
    </row>
    <row r="33" spans="1:1217" x14ac:dyDescent="0.25">
      <c r="A33" s="847" t="s">
        <v>186</v>
      </c>
      <c r="B33" s="213" t="s">
        <v>180</v>
      </c>
      <c r="C33" s="191">
        <f>C31/($C$10/12)</f>
        <v>38429.757471621851</v>
      </c>
      <c r="D33" s="191">
        <f>D31/($C$10/12)</f>
        <v>38423.651496598097</v>
      </c>
      <c r="E33" s="191">
        <f>C33-D33</f>
        <v>6.1059750237545813</v>
      </c>
      <c r="F33" s="191"/>
      <c r="G33" s="244">
        <f t="shared" si="26"/>
        <v>25</v>
      </c>
      <c r="H33" s="245">
        <f t="shared" si="7"/>
        <v>45474</v>
      </c>
      <c r="I33" s="246">
        <f t="shared" si="30"/>
        <v>0.20899999999999999</v>
      </c>
      <c r="J33" s="242">
        <f t="shared" si="0"/>
        <v>8289</v>
      </c>
      <c r="K33" s="242">
        <f t="shared" si="21"/>
        <v>8289</v>
      </c>
      <c r="L33" s="242">
        <f t="shared" si="8"/>
        <v>3800.3221744666207</v>
      </c>
      <c r="M33" s="242">
        <f t="shared" si="22"/>
        <v>4488.6778255333793</v>
      </c>
      <c r="N33" s="242">
        <f t="shared" si="1"/>
        <v>0</v>
      </c>
      <c r="O33" s="242">
        <v>0</v>
      </c>
      <c r="P33" s="242">
        <f t="shared" si="23"/>
        <v>3800.3221744666207</v>
      </c>
      <c r="Q33" s="242">
        <f t="shared" si="2"/>
        <v>0</v>
      </c>
      <c r="R33" s="242">
        <f t="shared" si="9"/>
        <v>0</v>
      </c>
      <c r="S33" s="242">
        <f t="shared" si="10"/>
        <v>216742.19835952509</v>
      </c>
      <c r="T33" s="467"/>
      <c r="U33" s="198">
        <f t="shared" si="27"/>
        <v>36</v>
      </c>
      <c r="V33" s="36">
        <f t="shared" si="11"/>
        <v>36</v>
      </c>
      <c r="W33" s="16"/>
      <c r="X33" s="16"/>
      <c r="Y33" s="57"/>
      <c r="AE33" s="15"/>
      <c r="AF33" s="173">
        <f>$C$24-AG33</f>
        <v>539</v>
      </c>
      <c r="AG33" s="2">
        <f>ROUNDUP(((S20)*AG37/12*(1+AG37/12)^(U21)/((1+AG37/12)^(U21)-1)+S20/10000*IF(U21&lt;11,20,IF(U21&lt;34,0.7,IF(U21&lt;58,0.3,0.1)))*IF(AG37&lt;0.3,AG37/0.2,AG37/0.1))/AG47,0)*AG47</f>
        <v>7750</v>
      </c>
      <c r="AH33" s="16">
        <v>6000000</v>
      </c>
      <c r="AM33" s="16"/>
      <c r="AN33" s="16"/>
      <c r="AO33" s="130">
        <f t="shared" si="12"/>
        <v>1</v>
      </c>
      <c r="AP33" s="553">
        <f t="shared" si="28"/>
        <v>25</v>
      </c>
      <c r="AQ33" s="554">
        <f t="shared" si="13"/>
        <v>45474</v>
      </c>
      <c r="AR33" s="555">
        <f t="shared" ref="AR33:AR44" si="37">IF($D$16="Да",$AM$38,$D$13)</f>
        <v>0.20899999999999999</v>
      </c>
      <c r="AS33" s="546">
        <f t="shared" si="14"/>
        <v>8289</v>
      </c>
      <c r="AT33" s="546">
        <f t="shared" si="15"/>
        <v>8289</v>
      </c>
      <c r="AU33" s="546">
        <f t="shared" si="16"/>
        <v>3800.3221744666207</v>
      </c>
      <c r="AV33" s="546">
        <f t="shared" si="17"/>
        <v>4488.6778255333793</v>
      </c>
      <c r="AW33" s="546">
        <f t="shared" si="4"/>
        <v>0</v>
      </c>
      <c r="AX33" s="546">
        <v>0</v>
      </c>
      <c r="AY33" s="546">
        <f t="shared" si="18"/>
        <v>3800.3221744666207</v>
      </c>
      <c r="AZ33" s="546">
        <f t="shared" si="35"/>
        <v>0</v>
      </c>
      <c r="BA33" s="546">
        <f t="shared" si="34"/>
        <v>0</v>
      </c>
      <c r="BB33" s="546"/>
      <c r="BC33" s="546"/>
      <c r="BD33" s="546"/>
      <c r="BE33" s="546"/>
      <c r="BF33" s="546"/>
      <c r="BG33" s="546">
        <f t="shared" si="20"/>
        <v>216742.19835952509</v>
      </c>
      <c r="BH33" s="108">
        <f t="shared" si="29"/>
        <v>36</v>
      </c>
      <c r="BI33" s="108">
        <f t="shared" si="24"/>
        <v>36</v>
      </c>
      <c r="BJ33" s="22">
        <f t="shared" si="25"/>
        <v>45474</v>
      </c>
      <c r="BK33" s="108">
        <f t="shared" si="6"/>
        <v>8289</v>
      </c>
      <c r="BN33" s="853"/>
      <c r="BP33" s="131"/>
    </row>
    <row r="34" spans="1:1217" ht="25.5" customHeight="1" x14ac:dyDescent="0.25">
      <c r="A34" s="847"/>
      <c r="B34" s="213" t="s">
        <v>181</v>
      </c>
      <c r="C34" s="201">
        <f>C33/C23</f>
        <v>0.12517877084818468</v>
      </c>
      <c r="D34" s="201">
        <f>D33/D23</f>
        <v>0.12515888161394043</v>
      </c>
      <c r="E34" s="191"/>
      <c r="F34" s="191"/>
      <c r="G34" s="244">
        <f t="shared" si="26"/>
        <v>26</v>
      </c>
      <c r="H34" s="245">
        <f t="shared" si="7"/>
        <v>45505</v>
      </c>
      <c r="I34" s="246">
        <f t="shared" si="30"/>
        <v>0.20899999999999999</v>
      </c>
      <c r="J34" s="242">
        <f t="shared" si="0"/>
        <v>8289</v>
      </c>
      <c r="K34" s="242">
        <f t="shared" si="21"/>
        <v>8289</v>
      </c>
      <c r="L34" s="242">
        <f t="shared" si="8"/>
        <v>3847.32247444209</v>
      </c>
      <c r="M34" s="242">
        <f t="shared" si="22"/>
        <v>4441.6775255579105</v>
      </c>
      <c r="N34" s="242">
        <f t="shared" si="1"/>
        <v>0</v>
      </c>
      <c r="O34" s="242">
        <v>0</v>
      </c>
      <c r="P34" s="242">
        <f t="shared" si="23"/>
        <v>3847.32247444209</v>
      </c>
      <c r="Q34" s="242">
        <f t="shared" si="2"/>
        <v>0</v>
      </c>
      <c r="R34" s="242">
        <f t="shared" si="9"/>
        <v>0</v>
      </c>
      <c r="S34" s="242">
        <f t="shared" si="10"/>
        <v>212300.5208339672</v>
      </c>
      <c r="T34" s="467"/>
      <c r="U34" s="198">
        <f t="shared" si="27"/>
        <v>35</v>
      </c>
      <c r="V34" s="36">
        <f t="shared" si="11"/>
        <v>35</v>
      </c>
      <c r="AB34" s="2">
        <f>IF(C10 &lt;=W31,W33,IF(C10 &lt;=X31,X33,IF(C10 &lt;=Y31,Y33,IF(C10 &lt;=Z31,Z33,AA33))))</f>
        <v>0</v>
      </c>
      <c r="AE34" s="2"/>
      <c r="AF34" s="16"/>
      <c r="AG34" s="16"/>
      <c r="AH34" s="16"/>
      <c r="AM34" s="16"/>
      <c r="AN34" s="16"/>
      <c r="AO34" s="130">
        <f t="shared" si="12"/>
        <v>1</v>
      </c>
      <c r="AP34" s="553">
        <f t="shared" si="28"/>
        <v>26</v>
      </c>
      <c r="AQ34" s="554">
        <f t="shared" si="13"/>
        <v>45505</v>
      </c>
      <c r="AR34" s="555">
        <f t="shared" si="37"/>
        <v>0.20899999999999999</v>
      </c>
      <c r="AS34" s="546">
        <f t="shared" si="14"/>
        <v>8289</v>
      </c>
      <c r="AT34" s="546">
        <f t="shared" si="15"/>
        <v>8289</v>
      </c>
      <c r="AU34" s="546">
        <f t="shared" si="16"/>
        <v>3847.32247444209</v>
      </c>
      <c r="AV34" s="546">
        <f t="shared" si="17"/>
        <v>4441.6775255579105</v>
      </c>
      <c r="AW34" s="546">
        <f t="shared" si="4"/>
        <v>0</v>
      </c>
      <c r="AX34" s="546">
        <v>0</v>
      </c>
      <c r="AY34" s="546">
        <f t="shared" si="18"/>
        <v>3847.32247444209</v>
      </c>
      <c r="AZ34" s="546">
        <f t="shared" si="35"/>
        <v>0</v>
      </c>
      <c r="BA34" s="546">
        <f t="shared" si="34"/>
        <v>0</v>
      </c>
      <c r="BB34" s="546"/>
      <c r="BC34" s="546"/>
      <c r="BD34" s="546"/>
      <c r="BE34" s="546"/>
      <c r="BF34" s="546"/>
      <c r="BG34" s="546">
        <f t="shared" si="20"/>
        <v>212300.5208339672</v>
      </c>
      <c r="BH34" s="108">
        <f t="shared" si="29"/>
        <v>35</v>
      </c>
      <c r="BI34" s="108">
        <f t="shared" si="24"/>
        <v>35</v>
      </c>
      <c r="BJ34" s="22">
        <f t="shared" si="25"/>
        <v>45505</v>
      </c>
      <c r="BK34" s="108">
        <f t="shared" si="6"/>
        <v>8289</v>
      </c>
      <c r="BN34" s="853"/>
    </row>
    <row r="35" spans="1:1217" ht="31.5" customHeight="1" x14ac:dyDescent="0.25">
      <c r="A35" s="846" t="s">
        <v>177</v>
      </c>
      <c r="B35" s="846"/>
      <c r="C35" s="190">
        <f>C33/12</f>
        <v>3202.4797893018208</v>
      </c>
      <c r="D35" s="191">
        <f>D33/12</f>
        <v>3201.9709580498416</v>
      </c>
      <c r="E35" s="191">
        <f>C35-D35</f>
        <v>0.50883125197924528</v>
      </c>
      <c r="F35" s="191"/>
      <c r="G35" s="244">
        <f t="shared" si="26"/>
        <v>27</v>
      </c>
      <c r="H35" s="245">
        <f t="shared" si="7"/>
        <v>45536</v>
      </c>
      <c r="I35" s="246">
        <f t="shared" si="30"/>
        <v>0.20899999999999999</v>
      </c>
      <c r="J35" s="242">
        <f t="shared" si="0"/>
        <v>8289</v>
      </c>
      <c r="K35" s="242">
        <f t="shared" si="21"/>
        <v>8289</v>
      </c>
      <c r="L35" s="242">
        <f t="shared" si="8"/>
        <v>3768.4796561185567</v>
      </c>
      <c r="M35" s="242">
        <f t="shared" si="22"/>
        <v>4520.5203438814433</v>
      </c>
      <c r="N35" s="242">
        <f t="shared" si="1"/>
        <v>0</v>
      </c>
      <c r="O35" s="242">
        <v>0</v>
      </c>
      <c r="P35" s="242">
        <f t="shared" si="23"/>
        <v>3768.4796561185567</v>
      </c>
      <c r="Q35" s="242">
        <f t="shared" si="2"/>
        <v>0</v>
      </c>
      <c r="R35" s="242">
        <f t="shared" si="9"/>
        <v>0</v>
      </c>
      <c r="S35" s="242">
        <f t="shared" si="10"/>
        <v>207780.00049008575</v>
      </c>
      <c r="T35" s="467"/>
      <c r="U35" s="198">
        <f t="shared" si="27"/>
        <v>34</v>
      </c>
      <c r="V35" s="36">
        <f t="shared" si="11"/>
        <v>34</v>
      </c>
      <c r="AE35" s="15"/>
      <c r="AF35" s="47" t="e">
        <f>ROUNDUP(AH35/AH33*C7/1,0)*1</f>
        <v>#N/A</v>
      </c>
      <c r="AG35" s="169">
        <v>0.04</v>
      </c>
      <c r="AH35" s="16" t="e">
        <f>IF(AG35=3%,INDEX(W40:AE40,MATCH($C$11,$W$39:$AE$39,0)),IF(AG35=4%,INDEX(W37:AE37,MATCH($C$11,$W$36:$AE$36,0)),0))</f>
        <v>#N/A</v>
      </c>
      <c r="AL35" s="47" t="e">
        <f>ROUNDUP(AH35/AH33*C7/1,0)*1</f>
        <v>#N/A</v>
      </c>
      <c r="AM35" s="169">
        <v>0.04</v>
      </c>
      <c r="AN35" s="16"/>
      <c r="AO35" s="130">
        <f t="shared" si="12"/>
        <v>1</v>
      </c>
      <c r="AP35" s="553">
        <f t="shared" si="28"/>
        <v>27</v>
      </c>
      <c r="AQ35" s="554">
        <f t="shared" si="13"/>
        <v>45536</v>
      </c>
      <c r="AR35" s="555">
        <f t="shared" si="37"/>
        <v>0.20899999999999999</v>
      </c>
      <c r="AS35" s="546">
        <f t="shared" si="14"/>
        <v>8289</v>
      </c>
      <c r="AT35" s="546">
        <f t="shared" si="15"/>
        <v>8289</v>
      </c>
      <c r="AU35" s="546">
        <f t="shared" si="16"/>
        <v>3768.4796561185567</v>
      </c>
      <c r="AV35" s="546">
        <f t="shared" si="17"/>
        <v>4520.5203438814433</v>
      </c>
      <c r="AW35" s="546">
        <f t="shared" si="4"/>
        <v>0</v>
      </c>
      <c r="AX35" s="546">
        <v>0</v>
      </c>
      <c r="AY35" s="546">
        <f t="shared" si="18"/>
        <v>3768.4796561185567</v>
      </c>
      <c r="AZ35" s="546">
        <f t="shared" si="35"/>
        <v>0</v>
      </c>
      <c r="BA35" s="546">
        <f t="shared" si="34"/>
        <v>0</v>
      </c>
      <c r="BB35" s="546"/>
      <c r="BC35" s="546"/>
      <c r="BD35" s="546"/>
      <c r="BE35" s="546"/>
      <c r="BF35" s="546"/>
      <c r="BG35" s="546">
        <f t="shared" si="20"/>
        <v>207780.00049008575</v>
      </c>
      <c r="BH35" s="108">
        <f t="shared" si="29"/>
        <v>34</v>
      </c>
      <c r="BI35" s="108">
        <f t="shared" si="24"/>
        <v>34</v>
      </c>
      <c r="BJ35" s="22">
        <f t="shared" si="25"/>
        <v>45536</v>
      </c>
      <c r="BK35" s="108">
        <f t="shared" si="6"/>
        <v>8289</v>
      </c>
      <c r="BN35" s="853"/>
    </row>
    <row r="36" spans="1:1217" ht="21.75" customHeight="1" thickBot="1" x14ac:dyDescent="0.35">
      <c r="A36" s="843" t="s">
        <v>176</v>
      </c>
      <c r="B36" s="843"/>
      <c r="C36" s="203">
        <f>C35/30</f>
        <v>106.7493263100607</v>
      </c>
      <c r="D36" s="202">
        <f>D35/30</f>
        <v>106.73236526832805</v>
      </c>
      <c r="E36" s="202">
        <f>C36-D36</f>
        <v>1.6961041732642457E-2</v>
      </c>
      <c r="F36" s="178"/>
      <c r="G36" s="244">
        <f t="shared" si="26"/>
        <v>28</v>
      </c>
      <c r="H36" s="245">
        <f t="shared" si="7"/>
        <v>45566</v>
      </c>
      <c r="I36" s="246">
        <f t="shared" si="30"/>
        <v>0.20899999999999999</v>
      </c>
      <c r="J36" s="242">
        <f t="shared" si="0"/>
        <v>8289</v>
      </c>
      <c r="K36" s="242">
        <f t="shared" si="21"/>
        <v>8289</v>
      </c>
      <c r="L36" s="242">
        <f t="shared" si="8"/>
        <v>3569.2619262269523</v>
      </c>
      <c r="M36" s="242">
        <f t="shared" si="22"/>
        <v>4719.7380737730473</v>
      </c>
      <c r="N36" s="242">
        <f t="shared" si="1"/>
        <v>0</v>
      </c>
      <c r="O36" s="242">
        <v>0</v>
      </c>
      <c r="P36" s="242">
        <f t="shared" si="23"/>
        <v>3569.2619262269523</v>
      </c>
      <c r="Q36" s="242">
        <f t="shared" si="2"/>
        <v>0</v>
      </c>
      <c r="R36" s="242">
        <f t="shared" si="9"/>
        <v>0</v>
      </c>
      <c r="S36" s="242">
        <f t="shared" si="10"/>
        <v>203060.2624163127</v>
      </c>
      <c r="T36" s="467"/>
      <c r="U36" s="198">
        <f t="shared" si="27"/>
        <v>33</v>
      </c>
      <c r="V36" s="36">
        <f t="shared" si="11"/>
        <v>33</v>
      </c>
      <c r="W36" s="15">
        <v>0.11899999999999999</v>
      </c>
      <c r="X36" s="101">
        <v>0.129</v>
      </c>
      <c r="Y36" s="484">
        <v>0.13900000000000001</v>
      </c>
      <c r="Z36" s="101">
        <v>0.14899999999999999</v>
      </c>
      <c r="AA36" s="484">
        <v>0.159</v>
      </c>
      <c r="AB36" s="15">
        <v>0.19900000000000001</v>
      </c>
      <c r="AC36" s="169">
        <v>0.17899999999999999</v>
      </c>
      <c r="AD36" s="15">
        <v>0.189</v>
      </c>
      <c r="AE36" s="15">
        <v>0.19900000000000001</v>
      </c>
      <c r="AF36" s="47">
        <f>C24</f>
        <v>8289</v>
      </c>
      <c r="AG36" s="15">
        <f>IF(OR(C$8="Гарантия стандарт",C$8="Гарантия пакет"),AD13,C11)</f>
        <v>0.20899999999999999</v>
      </c>
      <c r="AH36" s="16" t="e">
        <f>IF(AG35=3%,INDEX(W41:AE41,MATCH($C$11,$W$39:$AE$39,0)),IF(AG35=4%,INDEX(W38:AE38,MATCH($C$11,$W$36:$AE$36,0)),0))</f>
        <v>#N/A</v>
      </c>
      <c r="AI36" s="2" t="e">
        <f>INDEX(W41:AE41,MATCH($D$11,$W$39:$AE$39,0))</f>
        <v>#N/A</v>
      </c>
      <c r="AL36" s="47">
        <f>D24</f>
        <v>8289</v>
      </c>
      <c r="AM36" s="15">
        <f>IF(OR(D$8="Гарантия стандарт",D$8="Гарантия пакет"),AD13,D11)</f>
        <v>0.20899999999999999</v>
      </c>
      <c r="AN36" s="16"/>
      <c r="AO36" s="130">
        <f t="shared" si="12"/>
        <v>1</v>
      </c>
      <c r="AP36" s="553">
        <f t="shared" si="28"/>
        <v>28</v>
      </c>
      <c r="AQ36" s="554">
        <f t="shared" si="13"/>
        <v>45566</v>
      </c>
      <c r="AR36" s="555">
        <f t="shared" si="37"/>
        <v>0.20899999999999999</v>
      </c>
      <c r="AS36" s="546">
        <f t="shared" si="14"/>
        <v>8289</v>
      </c>
      <c r="AT36" s="546">
        <f t="shared" si="15"/>
        <v>8289</v>
      </c>
      <c r="AU36" s="546">
        <f t="shared" si="16"/>
        <v>3569.2619262269523</v>
      </c>
      <c r="AV36" s="546">
        <f t="shared" si="17"/>
        <v>4719.7380737730473</v>
      </c>
      <c r="AW36" s="546">
        <f t="shared" si="4"/>
        <v>0</v>
      </c>
      <c r="AX36" s="546">
        <v>0</v>
      </c>
      <c r="AY36" s="546">
        <f t="shared" si="18"/>
        <v>3569.2619262269523</v>
      </c>
      <c r="AZ36" s="546">
        <f t="shared" si="35"/>
        <v>0</v>
      </c>
      <c r="BA36" s="546">
        <f t="shared" si="34"/>
        <v>0</v>
      </c>
      <c r="BB36" s="546"/>
      <c r="BC36" s="546"/>
      <c r="BD36" s="546"/>
      <c r="BE36" s="546"/>
      <c r="BF36" s="546"/>
      <c r="BG36" s="546">
        <f t="shared" si="20"/>
        <v>203060.2624163127</v>
      </c>
      <c r="BH36" s="108">
        <f t="shared" si="29"/>
        <v>33</v>
      </c>
      <c r="BI36" s="108">
        <f t="shared" si="24"/>
        <v>33</v>
      </c>
      <c r="BJ36" s="22">
        <f t="shared" si="25"/>
        <v>45566</v>
      </c>
      <c r="BK36" s="108">
        <f t="shared" si="6"/>
        <v>8289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  <c r="AMK36" s="16"/>
      <c r="AML36" s="16"/>
      <c r="AMM36" s="16"/>
      <c r="AMN36" s="16"/>
      <c r="AMO36" s="16"/>
      <c r="AMP36" s="16"/>
      <c r="AMQ36" s="16"/>
      <c r="AMR36" s="16"/>
      <c r="AMS36" s="16"/>
      <c r="AMT36" s="16"/>
      <c r="AMU36" s="16"/>
      <c r="AMV36" s="16"/>
      <c r="AMW36" s="16"/>
      <c r="AMX36" s="16"/>
      <c r="AMY36" s="16"/>
      <c r="AMZ36" s="16"/>
      <c r="ANA36" s="16"/>
      <c r="ANB36" s="16"/>
      <c r="ANC36" s="16"/>
      <c r="AND36" s="16"/>
      <c r="ANE36" s="16"/>
      <c r="ANF36" s="16"/>
      <c r="ANG36" s="16"/>
      <c r="ANH36" s="16"/>
      <c r="ANI36" s="16"/>
      <c r="ANJ36" s="16"/>
      <c r="ANK36" s="16"/>
      <c r="ANL36" s="16"/>
      <c r="ANM36" s="16"/>
      <c r="ANN36" s="16"/>
      <c r="ANO36" s="16"/>
      <c r="ANP36" s="16"/>
      <c r="ANQ36" s="16"/>
      <c r="ANR36" s="16"/>
      <c r="ANS36" s="16"/>
      <c r="ANT36" s="16"/>
      <c r="ANU36" s="16"/>
      <c r="ANV36" s="16"/>
      <c r="ANW36" s="16"/>
      <c r="ANX36" s="16"/>
      <c r="ANY36" s="16"/>
      <c r="ANZ36" s="16"/>
      <c r="AOA36" s="16"/>
      <c r="AOB36" s="16"/>
      <c r="AOC36" s="16"/>
      <c r="AOD36" s="16"/>
      <c r="AOE36" s="16"/>
      <c r="AOF36" s="16"/>
      <c r="AOG36" s="16"/>
      <c r="AOH36" s="16"/>
      <c r="AOI36" s="16"/>
      <c r="AOJ36" s="16"/>
      <c r="AOK36" s="16"/>
      <c r="AOL36" s="16"/>
      <c r="AOM36" s="16"/>
      <c r="AON36" s="16"/>
      <c r="AOO36" s="16"/>
      <c r="AOP36" s="16"/>
      <c r="AOQ36" s="16"/>
      <c r="AOR36" s="16"/>
      <c r="AOS36" s="16"/>
      <c r="AOT36" s="16"/>
      <c r="AOU36" s="16"/>
      <c r="AOV36" s="16"/>
      <c r="AOW36" s="16"/>
      <c r="AOX36" s="16"/>
      <c r="AOY36" s="16"/>
      <c r="AOZ36" s="16"/>
      <c r="APA36" s="16"/>
      <c r="APB36" s="16"/>
      <c r="APC36" s="16"/>
      <c r="APD36" s="16"/>
      <c r="APE36" s="16"/>
      <c r="APF36" s="16"/>
      <c r="APG36" s="16"/>
      <c r="APH36" s="16"/>
      <c r="API36" s="16"/>
      <c r="APJ36" s="16"/>
      <c r="APK36" s="16"/>
      <c r="APL36" s="16"/>
      <c r="APM36" s="16"/>
      <c r="APN36" s="16"/>
      <c r="APO36" s="16"/>
      <c r="APP36" s="16"/>
      <c r="APQ36" s="16"/>
      <c r="APR36" s="16"/>
      <c r="APS36" s="16"/>
      <c r="APT36" s="16"/>
      <c r="APU36" s="16"/>
      <c r="APV36" s="16"/>
      <c r="APW36" s="16"/>
      <c r="APX36" s="16"/>
      <c r="APY36" s="16"/>
      <c r="APZ36" s="16"/>
      <c r="AQA36" s="16"/>
      <c r="AQB36" s="16"/>
      <c r="AQC36" s="16"/>
      <c r="AQD36" s="16"/>
      <c r="AQE36" s="16"/>
      <c r="AQF36" s="16"/>
      <c r="AQG36" s="16"/>
      <c r="AQH36" s="16"/>
      <c r="AQI36" s="16"/>
      <c r="AQJ36" s="16"/>
      <c r="AQK36" s="16"/>
      <c r="AQL36" s="16"/>
      <c r="AQM36" s="16"/>
      <c r="AQN36" s="16"/>
      <c r="AQO36" s="16"/>
      <c r="AQP36" s="16"/>
      <c r="AQQ36" s="16"/>
      <c r="AQR36" s="16"/>
      <c r="AQS36" s="16"/>
      <c r="AQT36" s="16"/>
      <c r="AQU36" s="16"/>
      <c r="AQV36" s="16"/>
      <c r="AQW36" s="16"/>
      <c r="AQX36" s="16"/>
      <c r="AQY36" s="16"/>
      <c r="AQZ36" s="16"/>
      <c r="ARA36" s="16"/>
      <c r="ARB36" s="16"/>
      <c r="ARC36" s="16"/>
      <c r="ARD36" s="16"/>
      <c r="ARE36" s="16"/>
      <c r="ARF36" s="16"/>
      <c r="ARG36" s="16"/>
      <c r="ARH36" s="16"/>
      <c r="ARI36" s="16"/>
      <c r="ARJ36" s="16"/>
      <c r="ARK36" s="16"/>
      <c r="ARL36" s="16"/>
      <c r="ARM36" s="16"/>
      <c r="ARN36" s="16"/>
      <c r="ARO36" s="16"/>
      <c r="ARP36" s="16"/>
      <c r="ARQ36" s="16"/>
      <c r="ARR36" s="16"/>
      <c r="ARS36" s="16"/>
      <c r="ART36" s="16"/>
      <c r="ARU36" s="16"/>
      <c r="ARV36" s="16"/>
      <c r="ARW36" s="16"/>
      <c r="ARX36" s="16"/>
      <c r="ARY36" s="16"/>
      <c r="ARZ36" s="16"/>
      <c r="ASA36" s="16"/>
      <c r="ASB36" s="16"/>
      <c r="ASC36" s="16"/>
      <c r="ASD36" s="16"/>
      <c r="ASE36" s="16"/>
      <c r="ASF36" s="16"/>
      <c r="ASG36" s="16"/>
      <c r="ASH36" s="16"/>
      <c r="ASI36" s="16"/>
      <c r="ASJ36" s="16"/>
      <c r="ASK36" s="16"/>
      <c r="ASL36" s="16"/>
      <c r="ASM36" s="16"/>
      <c r="ASN36" s="16"/>
      <c r="ASO36" s="16"/>
      <c r="ASP36" s="16"/>
      <c r="ASQ36" s="16"/>
      <c r="ASR36" s="16"/>
      <c r="ASS36" s="16"/>
      <c r="AST36" s="16"/>
      <c r="ASU36" s="16"/>
      <c r="ASV36" s="16"/>
      <c r="ASW36" s="16"/>
      <c r="ASX36" s="16"/>
      <c r="ASY36" s="16"/>
      <c r="ASZ36" s="16"/>
      <c r="ATA36" s="16"/>
      <c r="ATB36" s="16"/>
      <c r="ATC36" s="16"/>
      <c r="ATD36" s="16"/>
      <c r="ATE36" s="16"/>
      <c r="ATF36" s="16"/>
      <c r="ATG36" s="16"/>
      <c r="ATH36" s="16"/>
      <c r="ATI36" s="16"/>
      <c r="ATJ36" s="16"/>
      <c r="ATK36" s="16"/>
      <c r="ATL36" s="16"/>
      <c r="ATM36" s="16"/>
      <c r="ATN36" s="16"/>
      <c r="ATO36" s="16"/>
      <c r="ATP36" s="16"/>
      <c r="ATQ36" s="16"/>
      <c r="ATR36" s="16"/>
      <c r="ATS36" s="16"/>
      <c r="ATT36" s="16"/>
      <c r="ATU36" s="16"/>
    </row>
    <row r="37" spans="1:1217" s="16" customFormat="1" ht="24.75" customHeight="1" x14ac:dyDescent="0.3">
      <c r="A37" s="178"/>
      <c r="B37" s="178"/>
      <c r="C37" s="184"/>
      <c r="D37" s="178"/>
      <c r="E37" s="178"/>
      <c r="F37" s="178"/>
      <c r="G37" s="244">
        <f t="shared" si="26"/>
        <v>29</v>
      </c>
      <c r="H37" s="245">
        <f t="shared" si="7"/>
        <v>45597</v>
      </c>
      <c r="I37" s="246">
        <f t="shared" si="30"/>
        <v>0.20899999999999999</v>
      </c>
      <c r="J37" s="242">
        <f t="shared" si="0"/>
        <v>8289</v>
      </c>
      <c r="K37" s="242">
        <f t="shared" si="21"/>
        <v>8289</v>
      </c>
      <c r="L37" s="242">
        <f t="shared" si="8"/>
        <v>3604.4587402610678</v>
      </c>
      <c r="M37" s="242">
        <f t="shared" si="22"/>
        <v>4684.5412597389322</v>
      </c>
      <c r="N37" s="242">
        <f t="shared" si="1"/>
        <v>0</v>
      </c>
      <c r="O37" s="242">
        <v>0</v>
      </c>
      <c r="P37" s="242">
        <f t="shared" si="23"/>
        <v>3604.4587402610678</v>
      </c>
      <c r="Q37" s="242">
        <f t="shared" si="2"/>
        <v>0</v>
      </c>
      <c r="R37" s="242">
        <f t="shared" si="9"/>
        <v>0</v>
      </c>
      <c r="S37" s="242">
        <f t="shared" si="10"/>
        <v>198375.72115657377</v>
      </c>
      <c r="T37" s="467"/>
      <c r="U37" s="198">
        <f t="shared" si="27"/>
        <v>32</v>
      </c>
      <c r="V37" s="36">
        <f t="shared" si="11"/>
        <v>32</v>
      </c>
      <c r="W37" s="16">
        <f>INDEX('Для Перспективы'!$B$6:$F$6,MATCH($C$10,'Для Перспективы'!$B$1:$F$1,0))</f>
        <v>5500</v>
      </c>
      <c r="X37" s="16">
        <f>INDEX('Для Перспективы'!$B$8:$F$8,MATCH($C$10,'Для Перспективы'!$B$1:$F$1,0))</f>
        <v>10000</v>
      </c>
      <c r="Y37" s="16">
        <f>INDEX('Для Перспективы'!$B$10:$F$10,MATCH($C$10,'Для Перспективы'!$B$1:$F$1,0))</f>
        <v>10000</v>
      </c>
      <c r="Z37" s="16">
        <f>INDEX('Для Перспективы'!$B$12:$F$12,MATCH($C$10,'Для Перспективы'!$B$1:$F$1,0))</f>
        <v>10000</v>
      </c>
      <c r="AA37" s="16">
        <f>INDEX('Для Перспективы'!$B$14:$F$14,MATCH($C$10,'Для Перспективы'!$B$1:$F$1,0))</f>
        <v>11000</v>
      </c>
      <c r="AB37" s="16">
        <f>INDEX('Для Перспективы'!$B$22:$D$22,MATCH($C$10,'Для Перспективы'!$B$1:$D$1,0))</f>
        <v>11000</v>
      </c>
      <c r="AC37" s="16">
        <f>INDEX('Для Перспективы'!$B$20:$F$20,MATCH($C$10,'Для Перспективы'!$B$1:$F$1,0))</f>
        <v>11000</v>
      </c>
      <c r="AD37" s="16">
        <f>INDEX('Для Перспективы'!$B$6:$F$6,MATCH($C$10,'Для Перспективы'!$B$1:$F$1,0))</f>
        <v>5500</v>
      </c>
      <c r="AE37" s="16">
        <f>INDEX('Для Перспективы'!$B$6:$F$6,MATCH($C$10,'Для Перспективы'!$B$1:$F$1,0))</f>
        <v>5500</v>
      </c>
      <c r="AF37" s="47" t="e">
        <f>IF(AG37=AG36,AF36,AF36-$AF$35)</f>
        <v>#N/A</v>
      </c>
      <c r="AG37" s="169">
        <f>AG36-$AG$35</f>
        <v>0.16899999999999998</v>
      </c>
      <c r="AI37" s="2"/>
      <c r="AJ37" s="2"/>
      <c r="AK37" s="57"/>
      <c r="AL37" s="47" t="e">
        <f>AL36-$AL$35</f>
        <v>#N/A</v>
      </c>
      <c r="AM37" s="169">
        <f>AM36-$AM$35</f>
        <v>0.16899999999999998</v>
      </c>
      <c r="AO37" s="130">
        <f t="shared" si="12"/>
        <v>1</v>
      </c>
      <c r="AP37" s="553">
        <f t="shared" si="28"/>
        <v>29</v>
      </c>
      <c r="AQ37" s="554">
        <f t="shared" si="13"/>
        <v>45597</v>
      </c>
      <c r="AR37" s="555">
        <f t="shared" si="37"/>
        <v>0.20899999999999999</v>
      </c>
      <c r="AS37" s="546">
        <f t="shared" si="14"/>
        <v>8289</v>
      </c>
      <c r="AT37" s="546">
        <f t="shared" si="15"/>
        <v>8289</v>
      </c>
      <c r="AU37" s="546">
        <f t="shared" si="16"/>
        <v>3604.4587402610678</v>
      </c>
      <c r="AV37" s="546">
        <f t="shared" si="17"/>
        <v>4684.5412597389322</v>
      </c>
      <c r="AW37" s="546">
        <f t="shared" si="4"/>
        <v>0</v>
      </c>
      <c r="AX37" s="546">
        <v>0</v>
      </c>
      <c r="AY37" s="546">
        <f t="shared" si="18"/>
        <v>3604.4587402610678</v>
      </c>
      <c r="AZ37" s="546">
        <f t="shared" si="35"/>
        <v>0</v>
      </c>
      <c r="BA37" s="546">
        <f t="shared" si="34"/>
        <v>0</v>
      </c>
      <c r="BB37" s="546"/>
      <c r="BC37" s="546"/>
      <c r="BD37" s="546"/>
      <c r="BE37" s="546"/>
      <c r="BF37" s="546"/>
      <c r="BG37" s="546">
        <f t="shared" si="20"/>
        <v>198375.72115657377</v>
      </c>
      <c r="BH37" s="108">
        <f t="shared" si="29"/>
        <v>32</v>
      </c>
      <c r="BI37" s="108">
        <f t="shared" si="24"/>
        <v>32</v>
      </c>
      <c r="BJ37" s="22">
        <f t="shared" si="25"/>
        <v>45597</v>
      </c>
      <c r="BK37" s="108">
        <f t="shared" si="6"/>
        <v>8289</v>
      </c>
    </row>
    <row r="38" spans="1:1217" s="16" customFormat="1" ht="16.5" customHeight="1" x14ac:dyDescent="0.3">
      <c r="A38" s="178"/>
      <c r="B38" s="179"/>
      <c r="C38" s="524"/>
      <c r="D38" s="179"/>
      <c r="E38" s="178"/>
      <c r="F38" s="178"/>
      <c r="G38" s="244">
        <f t="shared" si="26"/>
        <v>30</v>
      </c>
      <c r="H38" s="245">
        <f t="shared" si="7"/>
        <v>45627</v>
      </c>
      <c r="I38" s="246">
        <f t="shared" si="30"/>
        <v>0.20899999999999999</v>
      </c>
      <c r="J38" s="242">
        <f t="shared" si="0"/>
        <v>8289</v>
      </c>
      <c r="K38" s="242">
        <f t="shared" si="21"/>
        <v>8289</v>
      </c>
      <c r="L38" s="242">
        <f t="shared" si="8"/>
        <v>3407.7144428814177</v>
      </c>
      <c r="M38" s="242">
        <f t="shared" si="22"/>
        <v>4881.2855571185828</v>
      </c>
      <c r="N38" s="242">
        <f t="shared" si="1"/>
        <v>0</v>
      </c>
      <c r="O38" s="242">
        <v>0</v>
      </c>
      <c r="P38" s="242">
        <f t="shared" si="23"/>
        <v>3407.7144428814177</v>
      </c>
      <c r="Q38" s="242">
        <f t="shared" si="2"/>
        <v>0</v>
      </c>
      <c r="R38" s="242">
        <f t="shared" si="9"/>
        <v>0</v>
      </c>
      <c r="S38" s="242">
        <f t="shared" si="10"/>
        <v>193494.43559945517</v>
      </c>
      <c r="T38" s="467"/>
      <c r="U38" s="198">
        <f t="shared" si="27"/>
        <v>31</v>
      </c>
      <c r="V38" s="36">
        <f t="shared" si="11"/>
        <v>31</v>
      </c>
      <c r="W38" s="16">
        <f>INDEX('Для Перспективы'!B7:F7,MATCH($C$10,'Для Перспективы'!$B$1:$F$1,0))</f>
        <v>134000</v>
      </c>
      <c r="X38" s="16">
        <f>INDEX('Для Перспективы'!$B$9:$F$9,MATCH($C$10,'Для Перспективы'!$B$1:$F$1,0))</f>
        <v>136300</v>
      </c>
      <c r="Y38" s="16">
        <f>INDEX('Для Перспективы'!$B$11:$F$11,MATCH($C$10,'Для Перспективы'!$B$1:$F$1,0))</f>
        <v>139400</v>
      </c>
      <c r="Z38" s="16">
        <f>INDEX('Для Перспективы'!$B$13:$F$13,MATCH($C$10,'Для Перспективы'!$B$1:$F$1,0))</f>
        <v>142500</v>
      </c>
      <c r="AA38" s="16">
        <f>INDEX('Для Перспективы'!$B$15:$F$15,MATCH($C$10,'Для Перспективы'!$B$1:$F$1,0))</f>
        <v>145800</v>
      </c>
      <c r="AB38" s="16">
        <f>INDEX('Для Перспективы'!$B$23:$D$23,MATCH($C$10,'Для Перспективы'!$B$1:$D$1,0))</f>
        <v>158700</v>
      </c>
      <c r="AC38" s="16">
        <f>INDEX('Для Перспективы'!$B$11:$D$11,MATCH($C$10,'Для Перспективы'!$B$1:$D$1,0))</f>
        <v>139400</v>
      </c>
      <c r="AD38" s="16">
        <f>INDEX('Для Перспективы'!$B$11:$D$11,MATCH($C$10,'Для Перспективы'!$B$1:$D$1,0))</f>
        <v>139400</v>
      </c>
      <c r="AE38" s="16" t="e">
        <f>INDEX('Для Перспективы'!$G21:$I21,MATCH($C$10,'Для Перспективы'!$G$1:$I$1,0))</f>
        <v>#N/A</v>
      </c>
      <c r="AF38" s="47" t="e">
        <f t="shared" ref="AF38:AF40" si="38">IF(AG38=AG37,AF37,AF37-$AF$35)</f>
        <v>#N/A</v>
      </c>
      <c r="AG38" s="169">
        <f>AG36-$AG$35</f>
        <v>0.16899999999999998</v>
      </c>
      <c r="AI38" s="2"/>
      <c r="AJ38" s="2"/>
      <c r="AK38" s="57"/>
      <c r="AL38" s="47" t="e">
        <f>AL36-$AL$35</f>
        <v>#N/A</v>
      </c>
      <c r="AM38" s="169">
        <f>AM36-$AM$35</f>
        <v>0.16899999999999998</v>
      </c>
      <c r="AN38" s="63"/>
      <c r="AO38" s="130">
        <f t="shared" si="12"/>
        <v>1</v>
      </c>
      <c r="AP38" s="553">
        <f t="shared" si="28"/>
        <v>30</v>
      </c>
      <c r="AQ38" s="554">
        <f t="shared" si="13"/>
        <v>45627</v>
      </c>
      <c r="AR38" s="555">
        <f t="shared" si="37"/>
        <v>0.20899999999999999</v>
      </c>
      <c r="AS38" s="546">
        <f t="shared" si="14"/>
        <v>8289</v>
      </c>
      <c r="AT38" s="546">
        <f t="shared" si="15"/>
        <v>8289</v>
      </c>
      <c r="AU38" s="546">
        <f t="shared" si="16"/>
        <v>3407.7144428814177</v>
      </c>
      <c r="AV38" s="546">
        <f t="shared" si="17"/>
        <v>4881.2855571185828</v>
      </c>
      <c r="AW38" s="546">
        <f t="shared" si="4"/>
        <v>0</v>
      </c>
      <c r="AX38" s="546">
        <v>0</v>
      </c>
      <c r="AY38" s="546">
        <f t="shared" si="18"/>
        <v>3407.7144428814177</v>
      </c>
      <c r="AZ38" s="546">
        <f t="shared" si="35"/>
        <v>0</v>
      </c>
      <c r="BA38" s="546">
        <f t="shared" si="34"/>
        <v>0</v>
      </c>
      <c r="BB38" s="546"/>
      <c r="BC38" s="546"/>
      <c r="BD38" s="546"/>
      <c r="BE38" s="546"/>
      <c r="BF38" s="546"/>
      <c r="BG38" s="546">
        <f t="shared" si="20"/>
        <v>193494.43559945517</v>
      </c>
      <c r="BH38" s="108">
        <f t="shared" si="29"/>
        <v>31</v>
      </c>
      <c r="BI38" s="108">
        <f t="shared" si="24"/>
        <v>31</v>
      </c>
      <c r="BJ38" s="22">
        <f t="shared" si="25"/>
        <v>45627</v>
      </c>
      <c r="BK38" s="108">
        <f t="shared" si="6"/>
        <v>8289</v>
      </c>
    </row>
    <row r="39" spans="1:1217" s="16" customFormat="1" ht="12" customHeight="1" x14ac:dyDescent="0.3">
      <c r="A39" s="180"/>
      <c r="B39" s="180"/>
      <c r="C39" s="524"/>
      <c r="D39" s="254"/>
      <c r="E39" s="178"/>
      <c r="F39" s="178"/>
      <c r="G39" s="244">
        <f t="shared" si="26"/>
        <v>31</v>
      </c>
      <c r="H39" s="245">
        <f t="shared" si="7"/>
        <v>45658</v>
      </c>
      <c r="I39" s="246">
        <f t="shared" si="30"/>
        <v>0.20899999999999999</v>
      </c>
      <c r="J39" s="242">
        <f t="shared" si="0"/>
        <v>8289</v>
      </c>
      <c r="K39" s="242">
        <f t="shared" si="21"/>
        <v>8289</v>
      </c>
      <c r="L39" s="242">
        <f t="shared" si="8"/>
        <v>3434.658762325671</v>
      </c>
      <c r="M39" s="242">
        <f t="shared" si="22"/>
        <v>4854.341237674329</v>
      </c>
      <c r="N39" s="242">
        <f t="shared" si="1"/>
        <v>0</v>
      </c>
      <c r="O39" s="242">
        <v>0</v>
      </c>
      <c r="P39" s="242">
        <f t="shared" si="23"/>
        <v>3434.658762325671</v>
      </c>
      <c r="Q39" s="242">
        <f t="shared" si="2"/>
        <v>0</v>
      </c>
      <c r="R39" s="242">
        <f t="shared" si="9"/>
        <v>0</v>
      </c>
      <c r="S39" s="242">
        <f t="shared" si="10"/>
        <v>188640.09436178085</v>
      </c>
      <c r="T39" s="467"/>
      <c r="U39" s="198">
        <f t="shared" si="27"/>
        <v>30</v>
      </c>
      <c r="V39" s="36">
        <f t="shared" si="11"/>
        <v>30</v>
      </c>
      <c r="W39" s="15">
        <v>0.11899999999999999</v>
      </c>
      <c r="X39" s="101">
        <v>0.129</v>
      </c>
      <c r="Y39" s="484">
        <v>0.13900000000000001</v>
      </c>
      <c r="Z39" s="101">
        <v>0.14899999999999999</v>
      </c>
      <c r="AA39" s="484">
        <v>0.159</v>
      </c>
      <c r="AB39" s="15">
        <v>0.19900000000000001</v>
      </c>
      <c r="AC39" s="169">
        <v>0.17899999999999999</v>
      </c>
      <c r="AD39" s="15">
        <v>0.189</v>
      </c>
      <c r="AE39" s="15">
        <v>0.19900000000000001</v>
      </c>
      <c r="AF39" s="47" t="e">
        <f t="shared" si="38"/>
        <v>#N/A</v>
      </c>
      <c r="AG39" s="169">
        <f>AG36-$AG$35</f>
        <v>0.16899999999999998</v>
      </c>
      <c r="AI39" s="2"/>
      <c r="AJ39" s="2"/>
      <c r="AK39" s="57"/>
      <c r="AL39" s="47" t="e">
        <f>AL36-$AL$35</f>
        <v>#N/A</v>
      </c>
      <c r="AM39" s="169">
        <f>AM36-$AM$35</f>
        <v>0.16899999999999998</v>
      </c>
      <c r="AN39" s="15"/>
      <c r="AO39" s="130">
        <f t="shared" si="12"/>
        <v>1</v>
      </c>
      <c r="AP39" s="553">
        <f t="shared" si="28"/>
        <v>31</v>
      </c>
      <c r="AQ39" s="554">
        <f t="shared" si="13"/>
        <v>45658</v>
      </c>
      <c r="AR39" s="555">
        <f t="shared" si="37"/>
        <v>0.20899999999999999</v>
      </c>
      <c r="AS39" s="546">
        <f t="shared" si="14"/>
        <v>8289</v>
      </c>
      <c r="AT39" s="546">
        <f t="shared" si="15"/>
        <v>8289</v>
      </c>
      <c r="AU39" s="546">
        <f t="shared" si="16"/>
        <v>3434.658762325671</v>
      </c>
      <c r="AV39" s="546">
        <f t="shared" si="17"/>
        <v>4854.341237674329</v>
      </c>
      <c r="AW39" s="546">
        <f t="shared" si="4"/>
        <v>0</v>
      </c>
      <c r="AX39" s="546">
        <v>0</v>
      </c>
      <c r="AY39" s="546">
        <f t="shared" si="18"/>
        <v>3434.658762325671</v>
      </c>
      <c r="AZ39" s="546">
        <f t="shared" si="35"/>
        <v>0</v>
      </c>
      <c r="BA39" s="546">
        <f t="shared" si="34"/>
        <v>0</v>
      </c>
      <c r="BB39" s="546"/>
      <c r="BC39" s="546"/>
      <c r="BD39" s="546"/>
      <c r="BE39" s="546"/>
      <c r="BF39" s="546"/>
      <c r="BG39" s="546">
        <f t="shared" si="20"/>
        <v>188640.09436178085</v>
      </c>
      <c r="BH39" s="108">
        <f t="shared" si="29"/>
        <v>30</v>
      </c>
      <c r="BI39" s="108">
        <f t="shared" si="24"/>
        <v>30</v>
      </c>
      <c r="BJ39" s="22">
        <f t="shared" si="25"/>
        <v>45658</v>
      </c>
      <c r="BK39" s="108">
        <f t="shared" si="6"/>
        <v>8289</v>
      </c>
    </row>
    <row r="40" spans="1:1217" s="16" customFormat="1" ht="13.95" customHeight="1" x14ac:dyDescent="0.3">
      <c r="A40" s="180"/>
      <c r="B40" s="180"/>
      <c r="C40" s="524"/>
      <c r="D40" s="254"/>
      <c r="E40" s="178"/>
      <c r="F40" s="178"/>
      <c r="G40" s="244">
        <f t="shared" si="26"/>
        <v>32</v>
      </c>
      <c r="H40" s="245">
        <f t="shared" si="7"/>
        <v>45689</v>
      </c>
      <c r="I40" s="246">
        <f t="shared" si="30"/>
        <v>0.20899999999999999</v>
      </c>
      <c r="J40" s="242">
        <f t="shared" si="0"/>
        <v>8289</v>
      </c>
      <c r="K40" s="242">
        <f t="shared" si="21"/>
        <v>8289</v>
      </c>
      <c r="L40" s="242">
        <f t="shared" si="8"/>
        <v>3348.490880465693</v>
      </c>
      <c r="M40" s="242">
        <f t="shared" si="22"/>
        <v>4940.5091195343066</v>
      </c>
      <c r="N40" s="242">
        <f t="shared" si="1"/>
        <v>0</v>
      </c>
      <c r="O40" s="242">
        <v>0</v>
      </c>
      <c r="P40" s="242">
        <f t="shared" si="23"/>
        <v>3348.490880465693</v>
      </c>
      <c r="Q40" s="242">
        <f t="shared" si="2"/>
        <v>0</v>
      </c>
      <c r="R40" s="242">
        <f t="shared" si="9"/>
        <v>0</v>
      </c>
      <c r="S40" s="242">
        <f t="shared" si="10"/>
        <v>183699.58524224654</v>
      </c>
      <c r="T40" s="467"/>
      <c r="U40" s="198">
        <f t="shared" si="27"/>
        <v>29</v>
      </c>
      <c r="V40" s="36">
        <f t="shared" si="11"/>
        <v>29</v>
      </c>
      <c r="W40" s="16">
        <f>INDEX('Для Перспективы'!B2:F2,MATCH($C$10,'Для Перспективы'!$B$1:$F$1,0))</f>
        <v>4000</v>
      </c>
      <c r="X40" s="16">
        <f>INDEX('Для Перспективы'!B8:F8,MATCH($C$10,'Для Перспективы'!$B$1:$F$1,0))</f>
        <v>10000</v>
      </c>
      <c r="Y40" s="16">
        <f>INDEX('Для Перспективы'!B10:F10,MATCH($C$10,'Для Перспективы'!$B$1:$F$1,0))</f>
        <v>10000</v>
      </c>
      <c r="Z40" s="16">
        <f>INDEX('Для Перспективы'!B12:F12,MATCH($C$10,'Для Перспективы'!$B$1:$F$1,0))</f>
        <v>10000</v>
      </c>
      <c r="AA40" s="16">
        <f>INDEX('Для Перспективы'!B14:F14,MATCH($C$10,'Для Перспективы'!$B$1:$F$1,0))</f>
        <v>11000</v>
      </c>
      <c r="AB40" s="16">
        <f>INDEX('Для Перспективы'!B14:D14,MATCH($C$10,'Для Перспективы'!$B$1:$D$1,0))</f>
        <v>11000</v>
      </c>
      <c r="AC40" s="16">
        <f>INDEX('Для Перспективы'!B16:D16,MATCH($C$10,'Для Перспективы'!$B$1:$D$1,0))</f>
        <v>11000</v>
      </c>
      <c r="AD40" s="16">
        <f>INDEX('Для Перспективы'!B18:D18,MATCH($C$10,'Для Перспективы'!$B$1:$D$1,0))</f>
        <v>8000</v>
      </c>
      <c r="AE40" s="16">
        <f>INDEX('Для Перспективы'!B20:D20,MATCH($C$10,'Для Перспективы'!$B$1:$D$1,0))</f>
        <v>11000</v>
      </c>
      <c r="AF40" s="47" t="e">
        <f t="shared" si="38"/>
        <v>#N/A</v>
      </c>
      <c r="AG40" s="169">
        <f>AG36-$AG$35</f>
        <v>0.16899999999999998</v>
      </c>
      <c r="AI40" s="2"/>
      <c r="AJ40" s="2"/>
      <c r="AK40" s="57"/>
      <c r="AL40" s="47" t="e">
        <f>AL36-$AL$35</f>
        <v>#N/A</v>
      </c>
      <c r="AM40" s="169">
        <f>AM36-$AM$35</f>
        <v>0.16899999999999998</v>
      </c>
      <c r="AN40" s="15"/>
      <c r="AO40" s="130">
        <f t="shared" si="12"/>
        <v>1</v>
      </c>
      <c r="AP40" s="553">
        <f t="shared" si="28"/>
        <v>32</v>
      </c>
      <c r="AQ40" s="554">
        <f t="shared" si="13"/>
        <v>45689</v>
      </c>
      <c r="AR40" s="555">
        <f t="shared" si="37"/>
        <v>0.20899999999999999</v>
      </c>
      <c r="AS40" s="546">
        <f t="shared" si="14"/>
        <v>8289</v>
      </c>
      <c r="AT40" s="546">
        <f t="shared" si="15"/>
        <v>8289</v>
      </c>
      <c r="AU40" s="546">
        <f t="shared" si="16"/>
        <v>3348.490880465693</v>
      </c>
      <c r="AV40" s="546">
        <f t="shared" si="17"/>
        <v>4940.5091195343066</v>
      </c>
      <c r="AW40" s="546">
        <f t="shared" si="4"/>
        <v>0</v>
      </c>
      <c r="AX40" s="546">
        <v>0</v>
      </c>
      <c r="AY40" s="546">
        <f t="shared" si="18"/>
        <v>3348.490880465693</v>
      </c>
      <c r="AZ40" s="546">
        <f t="shared" si="35"/>
        <v>0</v>
      </c>
      <c r="BA40" s="546">
        <f t="shared" si="34"/>
        <v>0</v>
      </c>
      <c r="BB40" s="546"/>
      <c r="BC40" s="546"/>
      <c r="BD40" s="546"/>
      <c r="BE40" s="546"/>
      <c r="BF40" s="546"/>
      <c r="BG40" s="546">
        <f t="shared" si="20"/>
        <v>183699.58524224654</v>
      </c>
      <c r="BH40" s="108">
        <f t="shared" si="29"/>
        <v>29</v>
      </c>
      <c r="BI40" s="108">
        <f t="shared" si="24"/>
        <v>29</v>
      </c>
      <c r="BJ40" s="22">
        <f t="shared" si="25"/>
        <v>45689</v>
      </c>
      <c r="BK40" s="108">
        <f t="shared" si="6"/>
        <v>8289</v>
      </c>
    </row>
    <row r="41" spans="1:1217" s="16" customFormat="1" ht="39" customHeight="1" x14ac:dyDescent="0.3">
      <c r="A41" s="180"/>
      <c r="B41" s="180"/>
      <c r="C41" s="524"/>
      <c r="D41" s="254"/>
      <c r="E41" s="178"/>
      <c r="F41" s="178"/>
      <c r="G41" s="244">
        <f t="shared" si="26"/>
        <v>33</v>
      </c>
      <c r="H41" s="245">
        <f t="shared" si="7"/>
        <v>45717</v>
      </c>
      <c r="I41" s="246">
        <f t="shared" si="30"/>
        <v>0.20899999999999999</v>
      </c>
      <c r="J41" s="242">
        <f t="shared" si="0"/>
        <v>8289</v>
      </c>
      <c r="K41" s="242">
        <f t="shared" si="21"/>
        <v>8289</v>
      </c>
      <c r="L41" s="242">
        <f t="shared" si="8"/>
        <v>2945.2328022948677</v>
      </c>
      <c r="M41" s="242">
        <f t="shared" si="22"/>
        <v>5343.7671977051323</v>
      </c>
      <c r="N41" s="242">
        <f t="shared" si="1"/>
        <v>0</v>
      </c>
      <c r="O41" s="242">
        <v>0</v>
      </c>
      <c r="P41" s="242">
        <f t="shared" si="23"/>
        <v>2945.2328022948677</v>
      </c>
      <c r="Q41" s="242">
        <f t="shared" si="2"/>
        <v>0</v>
      </c>
      <c r="R41" s="242">
        <f t="shared" si="9"/>
        <v>0</v>
      </c>
      <c r="S41" s="242">
        <f t="shared" si="10"/>
        <v>178355.8180445414</v>
      </c>
      <c r="T41" s="467"/>
      <c r="U41" s="198">
        <f t="shared" si="27"/>
        <v>28</v>
      </c>
      <c r="V41" s="36">
        <f t="shared" si="11"/>
        <v>28</v>
      </c>
      <c r="W41" s="16">
        <f>INDEX('Для Перспективы'!B3:F3,MATCH($C$10,'Для Перспективы'!$B$1:$F$1,0))</f>
        <v>128000</v>
      </c>
      <c r="X41" s="16">
        <f>INDEX('Для Перспективы'!B9:F9,MATCH($C$10,'Для Перспективы'!$B$1:$F$1,0))</f>
        <v>136300</v>
      </c>
      <c r="Y41" s="16">
        <f>INDEX('Для Перспективы'!B11:F11,MATCH($C$10,'Для Перспективы'!$B$1:$F$1,0))</f>
        <v>139400</v>
      </c>
      <c r="Z41" s="16">
        <f>INDEX('Для Перспективы'!B13:F13,MATCH($C$10,'Для Перспективы'!$B$1:$F$1,0))</f>
        <v>142500</v>
      </c>
      <c r="AA41" s="16">
        <f>INDEX('Для Перспективы'!B15:F15,MATCH($C$10,'Для Перспективы'!$B$1:$F$1,0))</f>
        <v>145800</v>
      </c>
      <c r="AB41" s="16">
        <f>INDEX('Для Перспективы'!B15:D15,MATCH($C$10,'Для Перспективы'!$B$1:$D$1,0))</f>
        <v>145800</v>
      </c>
      <c r="AC41" s="16">
        <f>INDEX('Для Перспективы'!B17:D17,MATCH($C$10,'Для Перспективы'!$B$1:$D$1,0))</f>
        <v>148900</v>
      </c>
      <c r="AD41" s="16">
        <f>INDEX('Для Перспективы'!B19:D19,MATCH($C$10,'Для Перспективы'!$B$1:$D$1,0))</f>
        <v>151980</v>
      </c>
      <c r="AE41" s="16">
        <f>INDEX('Для Перспективы'!B21:D21,MATCH($C$10,'Для Перспективы'!$B$1:$D$1,0))</f>
        <v>152200</v>
      </c>
      <c r="AF41" s="3"/>
      <c r="AG41" s="3"/>
      <c r="AH41" s="3"/>
      <c r="AI41" s="2"/>
      <c r="AJ41" s="2"/>
      <c r="AK41" s="57"/>
      <c r="AL41" s="2"/>
      <c r="AM41" s="15"/>
      <c r="AN41" s="15"/>
      <c r="AO41" s="130">
        <f t="shared" si="12"/>
        <v>1</v>
      </c>
      <c r="AP41" s="553">
        <f t="shared" si="28"/>
        <v>33</v>
      </c>
      <c r="AQ41" s="554">
        <f t="shared" si="13"/>
        <v>45717</v>
      </c>
      <c r="AR41" s="555">
        <f t="shared" si="37"/>
        <v>0.20899999999999999</v>
      </c>
      <c r="AS41" s="546">
        <f t="shared" si="14"/>
        <v>8289</v>
      </c>
      <c r="AT41" s="546">
        <f t="shared" si="15"/>
        <v>8289</v>
      </c>
      <c r="AU41" s="546">
        <f t="shared" si="16"/>
        <v>2945.2328022948677</v>
      </c>
      <c r="AV41" s="546">
        <f t="shared" si="17"/>
        <v>5343.7671977051323</v>
      </c>
      <c r="AW41" s="546">
        <f t="shared" si="4"/>
        <v>0</v>
      </c>
      <c r="AX41" s="546">
        <v>0</v>
      </c>
      <c r="AY41" s="546">
        <f t="shared" si="18"/>
        <v>2945.2328022948677</v>
      </c>
      <c r="AZ41" s="546">
        <f t="shared" si="35"/>
        <v>0</v>
      </c>
      <c r="BA41" s="546">
        <f t="shared" si="34"/>
        <v>0</v>
      </c>
      <c r="BB41" s="546"/>
      <c r="BC41" s="546"/>
      <c r="BD41" s="546"/>
      <c r="BE41" s="546"/>
      <c r="BF41" s="546"/>
      <c r="BG41" s="546">
        <f t="shared" si="20"/>
        <v>178355.8180445414</v>
      </c>
      <c r="BH41" s="108">
        <f t="shared" si="29"/>
        <v>28</v>
      </c>
      <c r="BI41" s="108">
        <f t="shared" si="24"/>
        <v>28</v>
      </c>
      <c r="BJ41" s="22">
        <f t="shared" si="25"/>
        <v>45717</v>
      </c>
      <c r="BK41" s="108">
        <f t="shared" si="6"/>
        <v>8289</v>
      </c>
    </row>
    <row r="42" spans="1:1217" s="16" customFormat="1" ht="18.75" customHeight="1" x14ac:dyDescent="0.3">
      <c r="A42" s="180"/>
      <c r="B42" s="180"/>
      <c r="C42" s="524"/>
      <c r="D42" s="254"/>
      <c r="E42" s="178"/>
      <c r="F42" s="178"/>
      <c r="G42" s="244">
        <f t="shared" si="26"/>
        <v>34</v>
      </c>
      <c r="H42" s="245">
        <f t="shared" si="7"/>
        <v>45748</v>
      </c>
      <c r="I42" s="246">
        <f t="shared" si="30"/>
        <v>0.20899999999999999</v>
      </c>
      <c r="J42" s="242">
        <f t="shared" si="0"/>
        <v>8289</v>
      </c>
      <c r="K42" s="242">
        <f t="shared" si="21"/>
        <v>8289</v>
      </c>
      <c r="L42" s="242">
        <f t="shared" si="8"/>
        <v>3165.9379318098181</v>
      </c>
      <c r="M42" s="242">
        <f t="shared" si="22"/>
        <v>5123.0620681901819</v>
      </c>
      <c r="N42" s="242">
        <f t="shared" si="1"/>
        <v>0</v>
      </c>
      <c r="O42" s="242">
        <v>0</v>
      </c>
      <c r="P42" s="242">
        <f t="shared" si="23"/>
        <v>3165.9379318098181</v>
      </c>
      <c r="Q42" s="242">
        <f t="shared" si="2"/>
        <v>0</v>
      </c>
      <c r="R42" s="242">
        <f t="shared" si="9"/>
        <v>0</v>
      </c>
      <c r="S42" s="242">
        <f t="shared" si="10"/>
        <v>173232.75597635121</v>
      </c>
      <c r="T42" s="467"/>
      <c r="U42" s="198">
        <f t="shared" si="27"/>
        <v>27</v>
      </c>
      <c r="V42" s="36">
        <f t="shared" si="11"/>
        <v>27</v>
      </c>
      <c r="W42" s="2"/>
      <c r="X42" s="18">
        <f>K8</f>
        <v>-306999</v>
      </c>
      <c r="Y42" s="57">
        <f>H8</f>
        <v>44710</v>
      </c>
      <c r="Z42" s="2"/>
      <c r="AA42" s="2"/>
      <c r="AB42" s="2"/>
      <c r="AF42" s="2"/>
      <c r="AG42" s="2"/>
      <c r="AH42" s="2"/>
      <c r="AI42" s="2"/>
      <c r="AJ42" s="2"/>
      <c r="AK42" s="57"/>
      <c r="AL42" s="2"/>
      <c r="AM42" s="15"/>
      <c r="AN42" s="15"/>
      <c r="AO42" s="130">
        <f t="shared" si="12"/>
        <v>1</v>
      </c>
      <c r="AP42" s="553">
        <f t="shared" si="28"/>
        <v>34</v>
      </c>
      <c r="AQ42" s="554">
        <f t="shared" si="13"/>
        <v>45748</v>
      </c>
      <c r="AR42" s="555">
        <f t="shared" si="37"/>
        <v>0.20899999999999999</v>
      </c>
      <c r="AS42" s="546">
        <f t="shared" si="14"/>
        <v>8289</v>
      </c>
      <c r="AT42" s="546">
        <f t="shared" si="15"/>
        <v>8289</v>
      </c>
      <c r="AU42" s="546">
        <f t="shared" si="16"/>
        <v>3165.9379318098181</v>
      </c>
      <c r="AV42" s="546">
        <f t="shared" si="17"/>
        <v>5123.0620681901819</v>
      </c>
      <c r="AW42" s="546">
        <f t="shared" si="4"/>
        <v>0</v>
      </c>
      <c r="AX42" s="546">
        <v>0</v>
      </c>
      <c r="AY42" s="546">
        <f t="shared" si="18"/>
        <v>3165.9379318098181</v>
      </c>
      <c r="AZ42" s="546">
        <f t="shared" si="35"/>
        <v>0</v>
      </c>
      <c r="BA42" s="546">
        <f t="shared" si="34"/>
        <v>0</v>
      </c>
      <c r="BB42" s="546"/>
      <c r="BC42" s="546"/>
      <c r="BD42" s="546"/>
      <c r="BE42" s="546"/>
      <c r="BF42" s="546"/>
      <c r="BG42" s="546">
        <f t="shared" si="20"/>
        <v>173232.75597635121</v>
      </c>
      <c r="BH42" s="108">
        <f t="shared" si="29"/>
        <v>27</v>
      </c>
      <c r="BI42" s="108">
        <f t="shared" si="24"/>
        <v>27</v>
      </c>
      <c r="BJ42" s="22">
        <f t="shared" si="25"/>
        <v>45748</v>
      </c>
      <c r="BK42" s="108">
        <f t="shared" si="6"/>
        <v>8289</v>
      </c>
    </row>
    <row r="43" spans="1:1217" s="16" customFormat="1" ht="13.8" x14ac:dyDescent="0.3">
      <c r="A43" s="180"/>
      <c r="B43" s="180"/>
      <c r="C43" s="524"/>
      <c r="D43" s="254"/>
      <c r="E43" s="178"/>
      <c r="F43" s="178"/>
      <c r="G43" s="244">
        <f t="shared" si="26"/>
        <v>35</v>
      </c>
      <c r="H43" s="245">
        <f t="shared" si="7"/>
        <v>45778</v>
      </c>
      <c r="I43" s="246">
        <f t="shared" si="30"/>
        <v>0.20899999999999999</v>
      </c>
      <c r="J43" s="242">
        <f t="shared" si="0"/>
        <v>8289</v>
      </c>
      <c r="K43" s="242">
        <f t="shared" si="21"/>
        <v>8289</v>
      </c>
      <c r="L43" s="242">
        <f t="shared" si="8"/>
        <v>2975.8065204704712</v>
      </c>
      <c r="M43" s="242">
        <f t="shared" si="22"/>
        <v>5313.1934795295292</v>
      </c>
      <c r="N43" s="242">
        <f t="shared" si="1"/>
        <v>0</v>
      </c>
      <c r="O43" s="242">
        <v>0</v>
      </c>
      <c r="P43" s="242">
        <f t="shared" si="23"/>
        <v>2975.8065204704712</v>
      </c>
      <c r="Q43" s="242">
        <f t="shared" si="2"/>
        <v>0</v>
      </c>
      <c r="R43" s="242">
        <f t="shared" si="9"/>
        <v>0</v>
      </c>
      <c r="S43" s="242">
        <f t="shared" si="10"/>
        <v>167919.56249682169</v>
      </c>
      <c r="T43" s="467"/>
      <c r="U43" s="198">
        <f t="shared" si="27"/>
        <v>26</v>
      </c>
      <c r="V43" s="36">
        <f t="shared" si="11"/>
        <v>26</v>
      </c>
      <c r="X43" s="34">
        <f>IF(OR(C8="Гарантия стандарт",C8="Гарантия пакет"),AH65*AH79*$C$10,0)</f>
        <v>0</v>
      </c>
      <c r="Y43" s="57">
        <f>H8</f>
        <v>44710</v>
      </c>
      <c r="Z43" s="5" t="s">
        <v>11</v>
      </c>
      <c r="AA43" s="4"/>
      <c r="AB43" s="37"/>
      <c r="AF43" s="2"/>
      <c r="AG43" s="2"/>
      <c r="AH43" s="2"/>
      <c r="AI43" s="2"/>
      <c r="AJ43" s="2"/>
      <c r="AK43" s="57"/>
      <c r="AL43" s="2"/>
      <c r="AM43" s="15"/>
      <c r="AN43" s="15"/>
      <c r="AO43" s="130">
        <f t="shared" si="12"/>
        <v>1</v>
      </c>
      <c r="AP43" s="553">
        <f t="shared" si="28"/>
        <v>35</v>
      </c>
      <c r="AQ43" s="554">
        <f t="shared" si="13"/>
        <v>45778</v>
      </c>
      <c r="AR43" s="555">
        <f t="shared" si="37"/>
        <v>0.20899999999999999</v>
      </c>
      <c r="AS43" s="546">
        <f t="shared" si="14"/>
        <v>8289</v>
      </c>
      <c r="AT43" s="546">
        <f t="shared" si="15"/>
        <v>8289</v>
      </c>
      <c r="AU43" s="546">
        <f t="shared" si="16"/>
        <v>2975.8065204704712</v>
      </c>
      <c r="AV43" s="546">
        <f t="shared" si="17"/>
        <v>5313.1934795295292</v>
      </c>
      <c r="AW43" s="546">
        <f t="shared" si="4"/>
        <v>0</v>
      </c>
      <c r="AX43" s="546">
        <v>0</v>
      </c>
      <c r="AY43" s="546">
        <f t="shared" si="18"/>
        <v>2975.8065204704712</v>
      </c>
      <c r="AZ43" s="546">
        <f t="shared" si="35"/>
        <v>0</v>
      </c>
      <c r="BA43" s="546">
        <f t="shared" si="34"/>
        <v>0</v>
      </c>
      <c r="BB43" s="546"/>
      <c r="BC43" s="546"/>
      <c r="BD43" s="546"/>
      <c r="BE43" s="546"/>
      <c r="BF43" s="546"/>
      <c r="BG43" s="546">
        <f t="shared" si="20"/>
        <v>167919.56249682169</v>
      </c>
      <c r="BH43" s="108">
        <f t="shared" si="29"/>
        <v>26</v>
      </c>
      <c r="BI43" s="108">
        <f t="shared" si="24"/>
        <v>26</v>
      </c>
      <c r="BJ43" s="22">
        <f t="shared" si="25"/>
        <v>45778</v>
      </c>
      <c r="BK43" s="108">
        <f t="shared" si="6"/>
        <v>8289</v>
      </c>
    </row>
    <row r="44" spans="1:1217" s="16" customFormat="1" ht="15.75" customHeight="1" thickBot="1" x14ac:dyDescent="0.35">
      <c r="A44" s="180"/>
      <c r="B44" s="180"/>
      <c r="C44" s="524"/>
      <c r="D44" s="254"/>
      <c r="E44" s="178"/>
      <c r="F44" s="178"/>
      <c r="G44" s="248">
        <f t="shared" si="26"/>
        <v>36</v>
      </c>
      <c r="H44" s="581">
        <f t="shared" si="7"/>
        <v>45809</v>
      </c>
      <c r="I44" s="250">
        <f t="shared" si="30"/>
        <v>0.20899999999999999</v>
      </c>
      <c r="J44" s="252">
        <f t="shared" si="0"/>
        <v>8289</v>
      </c>
      <c r="K44" s="252">
        <f t="shared" si="21"/>
        <v>8289</v>
      </c>
      <c r="L44" s="252">
        <f t="shared" si="8"/>
        <v>2980.6872477175548</v>
      </c>
      <c r="M44" s="252">
        <f t="shared" si="22"/>
        <v>5308.3127522824452</v>
      </c>
      <c r="N44" s="252">
        <f t="shared" si="1"/>
        <v>0</v>
      </c>
      <c r="O44" s="252">
        <v>0</v>
      </c>
      <c r="P44" s="252">
        <f t="shared" si="23"/>
        <v>2980.6872477175548</v>
      </c>
      <c r="Q44" s="252">
        <f t="shared" si="2"/>
        <v>0</v>
      </c>
      <c r="R44" s="252">
        <f t="shared" si="9"/>
        <v>0</v>
      </c>
      <c r="S44" s="252">
        <f t="shared" si="10"/>
        <v>162611.24974453924</v>
      </c>
      <c r="T44" s="468"/>
      <c r="U44" s="198">
        <f t="shared" si="27"/>
        <v>25</v>
      </c>
      <c r="V44" s="36">
        <f t="shared" si="11"/>
        <v>25</v>
      </c>
      <c r="W44" s="2">
        <f>IF(AND(G9&gt;=$W$11,G9&lt;=$W$11+5),0,IF($C$9&gt;$AF$51,ROUND(S8*#REF!/(DATEVALUE(CONCATENATE("01/01/",YEAR(H9)+1))-DATEVALUE(CONCATENATE("01/01/",YEAR(H9))))*(H9-H8),2),0))</f>
        <v>0</v>
      </c>
      <c r="X44" s="34">
        <f>K9</f>
        <v>8289</v>
      </c>
      <c r="Y44" s="57">
        <f>Y43+365</f>
        <v>45075</v>
      </c>
      <c r="Z44" s="8" t="s">
        <v>10</v>
      </c>
      <c r="AA44" s="8"/>
      <c r="AB44" s="37"/>
      <c r="AF44" s="3"/>
      <c r="AG44" s="3"/>
      <c r="AH44" s="3"/>
      <c r="AI44" s="2"/>
      <c r="AJ44" s="2"/>
      <c r="AK44" s="57"/>
      <c r="AL44" s="2"/>
      <c r="AM44" s="15"/>
      <c r="AN44" s="3"/>
      <c r="AO44" s="130">
        <f t="shared" si="12"/>
        <v>1</v>
      </c>
      <c r="AP44" s="556">
        <f t="shared" si="28"/>
        <v>36</v>
      </c>
      <c r="AQ44" s="582">
        <f t="shared" si="13"/>
        <v>45809</v>
      </c>
      <c r="AR44" s="557">
        <f t="shared" si="37"/>
        <v>0.20899999999999999</v>
      </c>
      <c r="AS44" s="547">
        <f t="shared" si="14"/>
        <v>8289</v>
      </c>
      <c r="AT44" s="547">
        <f t="shared" si="15"/>
        <v>8289</v>
      </c>
      <c r="AU44" s="547">
        <f t="shared" si="16"/>
        <v>2980.6872477175548</v>
      </c>
      <c r="AV44" s="547">
        <f t="shared" si="17"/>
        <v>5308.3127522824452</v>
      </c>
      <c r="AW44" s="547">
        <f t="shared" si="4"/>
        <v>0</v>
      </c>
      <c r="AX44" s="547">
        <v>0</v>
      </c>
      <c r="AY44" s="547">
        <f t="shared" si="18"/>
        <v>2980.6872477175548</v>
      </c>
      <c r="AZ44" s="547">
        <f t="shared" si="35"/>
        <v>0</v>
      </c>
      <c r="BA44" s="547">
        <f t="shared" si="34"/>
        <v>0</v>
      </c>
      <c r="BB44" s="547"/>
      <c r="BC44" s="547"/>
      <c r="BD44" s="547"/>
      <c r="BE44" s="547"/>
      <c r="BF44" s="547"/>
      <c r="BG44" s="547">
        <f t="shared" si="20"/>
        <v>162611.24974453924</v>
      </c>
      <c r="BH44" s="108">
        <f t="shared" si="29"/>
        <v>25</v>
      </c>
      <c r="BI44" s="108">
        <f t="shared" si="24"/>
        <v>25</v>
      </c>
      <c r="BJ44" s="22">
        <f t="shared" si="25"/>
        <v>45809</v>
      </c>
      <c r="BK44" s="108">
        <f t="shared" si="6"/>
        <v>8289</v>
      </c>
    </row>
    <row r="45" spans="1:1217" s="16" customFormat="1" ht="16.95" customHeight="1" x14ac:dyDescent="0.3">
      <c r="A45" s="180"/>
      <c r="B45" s="180"/>
      <c r="C45" s="524"/>
      <c r="D45" s="178"/>
      <c r="E45" s="178"/>
      <c r="F45" s="178"/>
      <c r="G45" s="244">
        <f t="shared" si="26"/>
        <v>37</v>
      </c>
      <c r="H45" s="245">
        <f t="shared" si="7"/>
        <v>45839</v>
      </c>
      <c r="I45" s="246">
        <f t="shared" si="30"/>
        <v>0.20899999999999999</v>
      </c>
      <c r="J45" s="242">
        <f t="shared" si="0"/>
        <v>8289</v>
      </c>
      <c r="K45" s="242">
        <f t="shared" si="21"/>
        <v>8289</v>
      </c>
      <c r="L45" s="242">
        <f t="shared" si="8"/>
        <v>2793.3494134198932</v>
      </c>
      <c r="M45" s="242">
        <f t="shared" si="22"/>
        <v>5495.6505865801064</v>
      </c>
      <c r="N45" s="242">
        <f t="shared" si="1"/>
        <v>0</v>
      </c>
      <c r="O45" s="242">
        <v>0</v>
      </c>
      <c r="P45" s="242">
        <f t="shared" si="23"/>
        <v>2793.3494134198932</v>
      </c>
      <c r="Q45" s="242">
        <f t="shared" si="2"/>
        <v>0</v>
      </c>
      <c r="R45" s="242">
        <f t="shared" si="9"/>
        <v>0</v>
      </c>
      <c r="S45" s="242">
        <f t="shared" si="10"/>
        <v>157115.59915795914</v>
      </c>
      <c r="T45" s="467"/>
      <c r="U45" s="198">
        <f t="shared" si="27"/>
        <v>24</v>
      </c>
      <c r="V45" s="36">
        <f t="shared" si="11"/>
        <v>24</v>
      </c>
      <c r="W45" s="2">
        <f>IF(AND(G10&gt;=$W$11,G10&lt;=$W$11+5),0,IF($C$9&gt;$AF$51,ROUND(S9*#REF!/(DATEVALUE(CONCATENATE("01/01/",YEAR(H10)+1))-DATEVALUE(CONCATENATE("01/01/",YEAR(H10))))*(H10-H9),2),0))</f>
        <v>0</v>
      </c>
      <c r="X45" s="34">
        <f>IF(K10 &gt; 0, K10, 0)</f>
        <v>8289</v>
      </c>
      <c r="Y45" s="57">
        <f t="shared" ref="Y45:Y108" si="39">Y44+365</f>
        <v>45440</v>
      </c>
      <c r="Z45" s="8" t="s">
        <v>8</v>
      </c>
      <c r="AA45" s="8"/>
      <c r="AB45" s="37"/>
      <c r="AF45" s="3"/>
      <c r="AG45" s="3"/>
      <c r="AH45" s="3"/>
      <c r="AI45" s="2"/>
      <c r="AJ45" s="2"/>
      <c r="AK45" s="57"/>
      <c r="AL45" s="2"/>
      <c r="AM45" s="3"/>
      <c r="AO45" s="130">
        <f t="shared" si="12"/>
        <v>1</v>
      </c>
      <c r="AP45" s="553">
        <f t="shared" si="28"/>
        <v>37</v>
      </c>
      <c r="AQ45" s="554">
        <f t="shared" si="13"/>
        <v>45839</v>
      </c>
      <c r="AR45" s="555">
        <f t="shared" ref="AR45:AR56" si="40">IF($D$16="Да",$AM$39,$D$13)</f>
        <v>0.20899999999999999</v>
      </c>
      <c r="AS45" s="546">
        <f t="shared" si="14"/>
        <v>8289</v>
      </c>
      <c r="AT45" s="546">
        <f t="shared" si="15"/>
        <v>8289</v>
      </c>
      <c r="AU45" s="546">
        <f t="shared" si="16"/>
        <v>2793.3494134198932</v>
      </c>
      <c r="AV45" s="546">
        <f t="shared" si="17"/>
        <v>5495.6505865801064</v>
      </c>
      <c r="AW45" s="546">
        <f t="shared" si="4"/>
        <v>0</v>
      </c>
      <c r="AX45" s="546">
        <v>0</v>
      </c>
      <c r="AY45" s="546">
        <f t="shared" si="18"/>
        <v>2793.3494134198932</v>
      </c>
      <c r="AZ45" s="546">
        <f t="shared" si="35"/>
        <v>0</v>
      </c>
      <c r="BA45" s="546">
        <f t="shared" si="34"/>
        <v>0</v>
      </c>
      <c r="BB45" s="546"/>
      <c r="BC45" s="546"/>
      <c r="BD45" s="546"/>
      <c r="BE45" s="546"/>
      <c r="BF45" s="546"/>
      <c r="BG45" s="546">
        <f t="shared" si="20"/>
        <v>157115.59915795914</v>
      </c>
      <c r="BH45" s="108">
        <f t="shared" si="29"/>
        <v>24</v>
      </c>
      <c r="BI45" s="108">
        <f t="shared" si="24"/>
        <v>24</v>
      </c>
      <c r="BJ45" s="22">
        <f t="shared" si="25"/>
        <v>45839</v>
      </c>
      <c r="BK45" s="108">
        <f t="shared" si="6"/>
        <v>8289</v>
      </c>
    </row>
    <row r="46" spans="1:1217" s="16" customFormat="1" ht="41.25" customHeight="1" x14ac:dyDescent="0.3">
      <c r="A46" s="180"/>
      <c r="B46" s="180"/>
      <c r="C46" s="524"/>
      <c r="D46" s="178"/>
      <c r="E46" s="178"/>
      <c r="F46" s="178"/>
      <c r="G46" s="244">
        <f t="shared" si="26"/>
        <v>38</v>
      </c>
      <c r="H46" s="245">
        <f t="shared" si="7"/>
        <v>45870</v>
      </c>
      <c r="I46" s="246">
        <f t="shared" si="30"/>
        <v>0.20899999999999999</v>
      </c>
      <c r="J46" s="242">
        <f t="shared" si="0"/>
        <v>8289</v>
      </c>
      <c r="K46" s="242">
        <f t="shared" si="21"/>
        <v>8289</v>
      </c>
      <c r="L46" s="242">
        <f t="shared" si="8"/>
        <v>2788.9094984778549</v>
      </c>
      <c r="M46" s="242">
        <f t="shared" si="22"/>
        <v>5500.0905015221451</v>
      </c>
      <c r="N46" s="242">
        <f t="shared" si="1"/>
        <v>0</v>
      </c>
      <c r="O46" s="242">
        <v>0</v>
      </c>
      <c r="P46" s="242">
        <f t="shared" si="23"/>
        <v>2788.9094984778549</v>
      </c>
      <c r="Q46" s="242">
        <f t="shared" si="2"/>
        <v>0</v>
      </c>
      <c r="R46" s="242">
        <f t="shared" si="9"/>
        <v>0</v>
      </c>
      <c r="S46" s="242">
        <f t="shared" si="10"/>
        <v>151615.50865643698</v>
      </c>
      <c r="T46" s="467"/>
      <c r="U46" s="198">
        <f t="shared" si="27"/>
        <v>23</v>
      </c>
      <c r="V46" s="36">
        <f t="shared" si="11"/>
        <v>23</v>
      </c>
      <c r="W46" s="2">
        <f>IF(AND(G11&gt;=$W$11,G11&lt;=$W$11+5),0,IF($C$9&gt;$AF$51,ROUND(S10*#REF!/(DATEVALUE(CONCATENATE("01/01/",YEAR(H11)+1))-DATEVALUE(CONCATENATE("01/01/",YEAR(H11))))*(H11-H10),2),0))</f>
        <v>0</v>
      </c>
      <c r="X46" s="34">
        <f t="shared" ref="X46:X109" si="41">IF(K11 &gt; 0, K11, 0)</f>
        <v>8289</v>
      </c>
      <c r="Y46" s="57">
        <f t="shared" si="39"/>
        <v>45805</v>
      </c>
      <c r="Z46" s="5" t="s">
        <v>1</v>
      </c>
      <c r="AA46" s="8"/>
      <c r="AB46" s="40"/>
      <c r="AC46" s="2"/>
      <c r="AD46" s="2"/>
      <c r="AE46" s="3"/>
      <c r="AF46" s="3"/>
      <c r="AG46" s="3"/>
      <c r="AH46" s="3"/>
      <c r="AI46" s="2"/>
      <c r="AJ46" s="2"/>
      <c r="AK46" s="57"/>
      <c r="AL46" s="2"/>
      <c r="AM46" s="18">
        <f>AT8</f>
        <v>-306999</v>
      </c>
      <c r="AN46" s="57">
        <f>AQ8</f>
        <v>44710</v>
      </c>
      <c r="AO46" s="130">
        <f t="shared" si="12"/>
        <v>1</v>
      </c>
      <c r="AP46" s="553">
        <f t="shared" si="28"/>
        <v>38</v>
      </c>
      <c r="AQ46" s="554">
        <f t="shared" si="13"/>
        <v>45870</v>
      </c>
      <c r="AR46" s="555">
        <f t="shared" si="40"/>
        <v>0.20899999999999999</v>
      </c>
      <c r="AS46" s="546">
        <f t="shared" si="14"/>
        <v>8289</v>
      </c>
      <c r="AT46" s="546">
        <f t="shared" si="15"/>
        <v>8289</v>
      </c>
      <c r="AU46" s="546">
        <f t="shared" si="16"/>
        <v>2788.9094984778549</v>
      </c>
      <c r="AV46" s="546">
        <f t="shared" si="17"/>
        <v>5500.0905015221451</v>
      </c>
      <c r="AW46" s="546">
        <f t="shared" si="4"/>
        <v>0</v>
      </c>
      <c r="AX46" s="546">
        <v>0</v>
      </c>
      <c r="AY46" s="546">
        <f t="shared" si="18"/>
        <v>2788.9094984778549</v>
      </c>
      <c r="AZ46" s="546">
        <f t="shared" si="35"/>
        <v>0</v>
      </c>
      <c r="BA46" s="546">
        <f t="shared" si="34"/>
        <v>0</v>
      </c>
      <c r="BB46" s="546"/>
      <c r="BC46" s="546"/>
      <c r="BD46" s="546"/>
      <c r="BE46" s="546"/>
      <c r="BF46" s="546"/>
      <c r="BG46" s="546">
        <f t="shared" si="20"/>
        <v>151615.50865643698</v>
      </c>
      <c r="BH46" s="108">
        <f t="shared" si="29"/>
        <v>23</v>
      </c>
      <c r="BI46" s="108">
        <f t="shared" si="24"/>
        <v>23</v>
      </c>
      <c r="BJ46" s="22">
        <f t="shared" si="25"/>
        <v>45870</v>
      </c>
      <c r="BK46" s="108">
        <f t="shared" si="6"/>
        <v>8289</v>
      </c>
    </row>
    <row r="47" spans="1:1217" s="16" customFormat="1" ht="30.75" customHeight="1" x14ac:dyDescent="0.3">
      <c r="A47" s="178"/>
      <c r="B47" s="178"/>
      <c r="C47" s="184"/>
      <c r="D47" s="181"/>
      <c r="E47" s="178"/>
      <c r="F47" s="178"/>
      <c r="G47" s="244">
        <f t="shared" si="26"/>
        <v>39</v>
      </c>
      <c r="H47" s="245">
        <f t="shared" si="7"/>
        <v>45901</v>
      </c>
      <c r="I47" s="246">
        <f t="shared" si="30"/>
        <v>0.20899999999999999</v>
      </c>
      <c r="J47" s="242">
        <f t="shared" si="0"/>
        <v>8289</v>
      </c>
      <c r="K47" s="242">
        <f t="shared" si="21"/>
        <v>8289</v>
      </c>
      <c r="L47" s="242">
        <f t="shared" si="8"/>
        <v>2691.2791248905619</v>
      </c>
      <c r="M47" s="242">
        <f t="shared" si="22"/>
        <v>5597.7208751094386</v>
      </c>
      <c r="N47" s="242">
        <f t="shared" si="1"/>
        <v>0</v>
      </c>
      <c r="O47" s="242">
        <v>0</v>
      </c>
      <c r="P47" s="242">
        <f t="shared" si="23"/>
        <v>2691.2791248905619</v>
      </c>
      <c r="Q47" s="242">
        <f t="shared" si="2"/>
        <v>0</v>
      </c>
      <c r="R47" s="242">
        <f t="shared" si="9"/>
        <v>0</v>
      </c>
      <c r="S47" s="242">
        <f t="shared" si="10"/>
        <v>146017.78778132756</v>
      </c>
      <c r="T47" s="467"/>
      <c r="U47" s="198">
        <f t="shared" si="27"/>
        <v>22</v>
      </c>
      <c r="V47" s="36">
        <f t="shared" si="11"/>
        <v>22</v>
      </c>
      <c r="W47" s="2">
        <f>IF(AND(G12&gt;=$W$11,G12&lt;=$W$11+5),0,IF($C$9&gt;$AF$51,ROUND(S11*#REF!/(DATEVALUE(CONCATENATE("01/01/",YEAR(H12)+1))-DATEVALUE(CONCATENATE("01/01/",YEAR(H12))))*(H12-H11),2),0))</f>
        <v>0</v>
      </c>
      <c r="X47" s="34">
        <f t="shared" si="41"/>
        <v>8289</v>
      </c>
      <c r="Y47" s="57">
        <f t="shared" si="39"/>
        <v>46170</v>
      </c>
      <c r="Z47" s="5" t="s">
        <v>42</v>
      </c>
      <c r="AA47" s="8"/>
      <c r="AB47" s="17">
        <f>AC51/C7</f>
        <v>0.65780000000000005</v>
      </c>
      <c r="AC47" s="38">
        <v>0</v>
      </c>
      <c r="AD47" s="1" t="s">
        <v>20</v>
      </c>
      <c r="AE47" s="6" t="s">
        <v>15</v>
      </c>
      <c r="AF47" s="6"/>
      <c r="AG47" s="6">
        <f>IF(S8&gt;=200000,10,1)</f>
        <v>10</v>
      </c>
      <c r="AH47" s="27">
        <v>41274</v>
      </c>
      <c r="AI47" s="2">
        <v>6</v>
      </c>
      <c r="AJ47" s="2"/>
      <c r="AK47" s="2"/>
      <c r="AM47" s="34">
        <f>IF(OR(D8="Гарантия стандарт",D8="Гарантия пакет"),AH65*AH79*$C$10,0)</f>
        <v>0</v>
      </c>
      <c r="AN47" s="57">
        <f>AQ8</f>
        <v>44710</v>
      </c>
      <c r="AO47" s="130">
        <f t="shared" si="12"/>
        <v>1</v>
      </c>
      <c r="AP47" s="553">
        <f t="shared" si="28"/>
        <v>39</v>
      </c>
      <c r="AQ47" s="554">
        <f t="shared" si="13"/>
        <v>45901</v>
      </c>
      <c r="AR47" s="555">
        <f t="shared" si="40"/>
        <v>0.20899999999999999</v>
      </c>
      <c r="AS47" s="546">
        <f t="shared" si="14"/>
        <v>8289</v>
      </c>
      <c r="AT47" s="546">
        <f t="shared" si="15"/>
        <v>8289</v>
      </c>
      <c r="AU47" s="546">
        <f t="shared" si="16"/>
        <v>2691.2791248905619</v>
      </c>
      <c r="AV47" s="546">
        <f t="shared" si="17"/>
        <v>5597.7208751094386</v>
      </c>
      <c r="AW47" s="546">
        <f t="shared" si="4"/>
        <v>0</v>
      </c>
      <c r="AX47" s="546">
        <v>0</v>
      </c>
      <c r="AY47" s="546">
        <f t="shared" si="18"/>
        <v>2691.2791248905619</v>
      </c>
      <c r="AZ47" s="546">
        <f t="shared" si="35"/>
        <v>0</v>
      </c>
      <c r="BA47" s="546">
        <f t="shared" si="34"/>
        <v>0</v>
      </c>
      <c r="BB47" s="546"/>
      <c r="BC47" s="546"/>
      <c r="BD47" s="546"/>
      <c r="BE47" s="546"/>
      <c r="BF47" s="546"/>
      <c r="BG47" s="546">
        <f t="shared" si="20"/>
        <v>146017.78778132756</v>
      </c>
      <c r="BH47" s="108">
        <f t="shared" si="29"/>
        <v>22</v>
      </c>
      <c r="BI47" s="108">
        <f t="shared" si="24"/>
        <v>22</v>
      </c>
      <c r="BJ47" s="22">
        <f t="shared" si="25"/>
        <v>45901</v>
      </c>
      <c r="BK47" s="108">
        <f t="shared" si="6"/>
        <v>8289</v>
      </c>
    </row>
    <row r="48" spans="1:1217" s="16" customFormat="1" ht="44.25" customHeight="1" x14ac:dyDescent="0.3">
      <c r="A48" s="178"/>
      <c r="B48" s="178"/>
      <c r="C48" s="524"/>
      <c r="D48" s="182"/>
      <c r="E48" s="178"/>
      <c r="F48" s="178"/>
      <c r="G48" s="244">
        <f t="shared" si="26"/>
        <v>40</v>
      </c>
      <c r="H48" s="245">
        <f t="shared" si="7"/>
        <v>45931</v>
      </c>
      <c r="I48" s="246">
        <f t="shared" si="30"/>
        <v>0.20899999999999999</v>
      </c>
      <c r="J48" s="242">
        <f t="shared" si="0"/>
        <v>8289</v>
      </c>
      <c r="K48" s="242">
        <f t="shared" si="21"/>
        <v>8289</v>
      </c>
      <c r="L48" s="242">
        <f t="shared" si="8"/>
        <v>2508.305559969654</v>
      </c>
      <c r="M48" s="242">
        <f t="shared" si="22"/>
        <v>5780.6944400303455</v>
      </c>
      <c r="N48" s="242">
        <f t="shared" si="1"/>
        <v>0</v>
      </c>
      <c r="O48" s="242">
        <v>0</v>
      </c>
      <c r="P48" s="242">
        <f t="shared" si="23"/>
        <v>2508.305559969654</v>
      </c>
      <c r="Q48" s="242">
        <f t="shared" si="2"/>
        <v>0</v>
      </c>
      <c r="R48" s="242">
        <f t="shared" si="9"/>
        <v>0</v>
      </c>
      <c r="S48" s="242">
        <f t="shared" si="10"/>
        <v>140237.09334129721</v>
      </c>
      <c r="T48" s="467"/>
      <c r="U48" s="198">
        <f t="shared" si="27"/>
        <v>21</v>
      </c>
      <c r="V48" s="36">
        <f t="shared" si="11"/>
        <v>21</v>
      </c>
      <c r="W48" s="2">
        <f>IF(AND(G13&gt;=$W$11,G13&lt;=$W$11+5),0,IF($C$9&gt;$AF$51,ROUND(S12*#REF!/(DATEVALUE(CONCATENATE("01/01/",YEAR(H13)+1))-DATEVALUE(CONCATENATE("01/01/",YEAR(H13))))*(H13-H12),2),0))</f>
        <v>0</v>
      </c>
      <c r="X48" s="34">
        <f t="shared" si="41"/>
        <v>8289</v>
      </c>
      <c r="Y48" s="57">
        <f t="shared" si="39"/>
        <v>46535</v>
      </c>
      <c r="Z48" s="5"/>
      <c r="AA48" s="8"/>
      <c r="AB48" s="17">
        <f>IF(C8=AC59,AC65,IF(C8=AD59,AD65,IF(C8=AF59,AF65,IF(C8=AG59,AG65,IF(C8=AE59,AE65,IF(C8=AH59,AH65,IF(C8=AI59,AI65,IF(C8=AJ59,AJ65,Y23))))))))</f>
        <v>0</v>
      </c>
      <c r="AC48" s="39">
        <f>C7*(1-AC47)</f>
        <v>300000</v>
      </c>
      <c r="AD48" s="9" t="s">
        <v>29</v>
      </c>
      <c r="AE48" s="2" t="s">
        <v>17</v>
      </c>
      <c r="AF48" s="2"/>
      <c r="AG48" s="2">
        <v>7.4000000000000003E-3</v>
      </c>
      <c r="AH48" s="59">
        <v>41750</v>
      </c>
      <c r="AI48" s="2">
        <v>72</v>
      </c>
      <c r="AJ48" s="2"/>
      <c r="AK48" s="2"/>
      <c r="AL48" s="2">
        <f>IF(AND(Y5&gt;=$W$11,Y5&lt;=$W$11+5),0,IF($C$9&gt;$AF$51,ROUND(AI8*#REF!/(DATEVALUE(CONCATENATE("01/01/",YEAR(Z5)+1))-DATEVALUE(CONCATENATE("01/01/",YEAR(Z5))))*(Z5-Z4),2),0))</f>
        <v>0</v>
      </c>
      <c r="AM48" s="34">
        <f>AT9</f>
        <v>8289</v>
      </c>
      <c r="AN48" s="57">
        <f>AN47+365</f>
        <v>45075</v>
      </c>
      <c r="AO48" s="130">
        <f t="shared" si="12"/>
        <v>1</v>
      </c>
      <c r="AP48" s="553">
        <f t="shared" si="28"/>
        <v>40</v>
      </c>
      <c r="AQ48" s="554">
        <f t="shared" si="13"/>
        <v>45931</v>
      </c>
      <c r="AR48" s="555">
        <f t="shared" si="40"/>
        <v>0.20899999999999999</v>
      </c>
      <c r="AS48" s="546">
        <f t="shared" si="14"/>
        <v>8289</v>
      </c>
      <c r="AT48" s="546">
        <f t="shared" si="15"/>
        <v>8289</v>
      </c>
      <c r="AU48" s="546">
        <f t="shared" si="16"/>
        <v>2508.305559969654</v>
      </c>
      <c r="AV48" s="546">
        <f t="shared" si="17"/>
        <v>5780.6944400303455</v>
      </c>
      <c r="AW48" s="546">
        <f t="shared" si="4"/>
        <v>0</v>
      </c>
      <c r="AX48" s="546">
        <v>0</v>
      </c>
      <c r="AY48" s="546">
        <f t="shared" si="18"/>
        <v>2508.305559969654</v>
      </c>
      <c r="AZ48" s="546">
        <f t="shared" si="35"/>
        <v>0</v>
      </c>
      <c r="BA48" s="546">
        <f t="shared" si="34"/>
        <v>0</v>
      </c>
      <c r="BB48" s="546"/>
      <c r="BC48" s="546"/>
      <c r="BD48" s="546"/>
      <c r="BE48" s="546"/>
      <c r="BF48" s="546"/>
      <c r="BG48" s="546">
        <f t="shared" si="20"/>
        <v>140237.09334129721</v>
      </c>
      <c r="BH48" s="108">
        <f t="shared" si="29"/>
        <v>21</v>
      </c>
      <c r="BI48" s="108">
        <f t="shared" si="24"/>
        <v>21</v>
      </c>
      <c r="BJ48" s="22">
        <f t="shared" si="25"/>
        <v>45931</v>
      </c>
      <c r="BK48" s="108">
        <f t="shared" si="6"/>
        <v>8289</v>
      </c>
    </row>
    <row r="49" spans="1:64" s="16" customFormat="1" ht="55.2" customHeight="1" x14ac:dyDescent="0.3">
      <c r="A49" s="178"/>
      <c r="B49" s="178"/>
      <c r="C49" s="524"/>
      <c r="D49" s="182"/>
      <c r="E49" s="180"/>
      <c r="F49" s="180"/>
      <c r="G49" s="244">
        <f t="shared" si="26"/>
        <v>41</v>
      </c>
      <c r="H49" s="245">
        <f t="shared" si="7"/>
        <v>45962</v>
      </c>
      <c r="I49" s="246">
        <f t="shared" si="30"/>
        <v>0.20899999999999999</v>
      </c>
      <c r="J49" s="242">
        <f t="shared" si="0"/>
        <v>8289</v>
      </c>
      <c r="K49" s="242">
        <f t="shared" si="21"/>
        <v>8289</v>
      </c>
      <c r="L49" s="242">
        <f t="shared" si="8"/>
        <v>2489.3044596116833</v>
      </c>
      <c r="M49" s="242">
        <f t="shared" si="22"/>
        <v>5799.6955403883167</v>
      </c>
      <c r="N49" s="242">
        <f t="shared" si="1"/>
        <v>0</v>
      </c>
      <c r="O49" s="242">
        <v>0</v>
      </c>
      <c r="P49" s="242">
        <f t="shared" si="23"/>
        <v>2489.3044596116833</v>
      </c>
      <c r="Q49" s="242">
        <f t="shared" si="2"/>
        <v>0</v>
      </c>
      <c r="R49" s="242">
        <f t="shared" si="9"/>
        <v>0</v>
      </c>
      <c r="S49" s="242">
        <f t="shared" si="10"/>
        <v>134437.39780090889</v>
      </c>
      <c r="T49" s="467"/>
      <c r="U49" s="198">
        <f t="shared" si="27"/>
        <v>20</v>
      </c>
      <c r="V49" s="36">
        <f t="shared" si="11"/>
        <v>20</v>
      </c>
      <c r="W49" s="2" t="e">
        <f>IF(AND(G14&gt;=$W$11,G14&lt;=$W$11+5),0,IF($C$9&gt;$AF$51,ROUND(S13*#REF!/(DATEVALUE(CONCATENATE("01/01/",YEAR(H14)+1))-DATEVALUE(CONCATENATE("01/01/",YEAR(H14))))*(H14-H13),2),0))</f>
        <v>#REF!</v>
      </c>
      <c r="X49" s="34">
        <f t="shared" si="41"/>
        <v>8289</v>
      </c>
      <c r="Y49" s="57">
        <f t="shared" si="39"/>
        <v>46900</v>
      </c>
      <c r="Z49" s="2"/>
      <c r="AA49" s="2"/>
      <c r="AB49" s="15">
        <f>IF(D8=AC59,AC65,IF(D8=AD59,AD65,IF(D8=AF59,AF65,IF(D8=AG59,AG65,IF(D8=AE59,AE65,IF(D8=AH59,AH65,IF(D8=AI59,AI65,Y23)))))))</f>
        <v>0</v>
      </c>
      <c r="AC49" s="41">
        <f>ROUNDUP(C7*AD49,0)</f>
        <v>0</v>
      </c>
      <c r="AD49" s="12">
        <v>0</v>
      </c>
      <c r="AE49" s="1">
        <v>15000</v>
      </c>
      <c r="AF49" s="53">
        <v>41365</v>
      </c>
      <c r="AG49" s="1">
        <v>500</v>
      </c>
      <c r="AH49" s="2">
        <f>ROUNDUP(($AD$55)/AG47,0)*AG47</f>
        <v>8290</v>
      </c>
      <c r="AI49" s="2"/>
      <c r="AJ49" s="2"/>
      <c r="AK49" s="2"/>
      <c r="AL49" s="2">
        <f>IF(AND(Y6&gt;=$W$11,Y6&lt;=$W$11+5),0,IF($C$9&gt;$AF$51,ROUND(AI9*#REF!/(DATEVALUE(CONCATENATE("01/01/",YEAR(Z6)+1))-DATEVALUE(CONCATENATE("01/01/",YEAR(Z6))))*(Z6-Z5),2),0))</f>
        <v>0</v>
      </c>
      <c r="AM49" s="34">
        <f>AT10</f>
        <v>8289</v>
      </c>
      <c r="AN49" s="57">
        <f t="shared" ref="AN49:AN112" si="42">AN48+365</f>
        <v>45440</v>
      </c>
      <c r="AO49" s="130">
        <f t="shared" si="12"/>
        <v>1</v>
      </c>
      <c r="AP49" s="553">
        <f t="shared" si="28"/>
        <v>41</v>
      </c>
      <c r="AQ49" s="554">
        <f t="shared" si="13"/>
        <v>45962</v>
      </c>
      <c r="AR49" s="555">
        <f t="shared" si="40"/>
        <v>0.20899999999999999</v>
      </c>
      <c r="AS49" s="546">
        <f t="shared" si="14"/>
        <v>8289</v>
      </c>
      <c r="AT49" s="546">
        <f t="shared" si="15"/>
        <v>8289</v>
      </c>
      <c r="AU49" s="546">
        <f t="shared" si="16"/>
        <v>2489.3044596116833</v>
      </c>
      <c r="AV49" s="546">
        <f t="shared" si="17"/>
        <v>5799.6955403883167</v>
      </c>
      <c r="AW49" s="546">
        <f t="shared" si="4"/>
        <v>0</v>
      </c>
      <c r="AX49" s="546">
        <v>0</v>
      </c>
      <c r="AY49" s="546">
        <f t="shared" si="18"/>
        <v>2489.3044596116833</v>
      </c>
      <c r="AZ49" s="546">
        <f t="shared" si="35"/>
        <v>0</v>
      </c>
      <c r="BA49" s="546">
        <f t="shared" si="34"/>
        <v>0</v>
      </c>
      <c r="BB49" s="546"/>
      <c r="BC49" s="546"/>
      <c r="BD49" s="546"/>
      <c r="BE49" s="546"/>
      <c r="BF49" s="546"/>
      <c r="BG49" s="546">
        <f t="shared" si="20"/>
        <v>134437.39780090889</v>
      </c>
      <c r="BH49" s="108">
        <f t="shared" si="29"/>
        <v>20</v>
      </c>
      <c r="BI49" s="108">
        <f t="shared" si="24"/>
        <v>20</v>
      </c>
      <c r="BJ49" s="22">
        <f t="shared" si="25"/>
        <v>45962</v>
      </c>
      <c r="BK49" s="108">
        <f t="shared" si="6"/>
        <v>8289</v>
      </c>
    </row>
    <row r="50" spans="1:64" s="16" customFormat="1" ht="55.5" customHeight="1" thickBot="1" x14ac:dyDescent="0.35">
      <c r="A50" s="178"/>
      <c r="B50" s="178"/>
      <c r="C50" s="524"/>
      <c r="D50" s="182"/>
      <c r="E50" s="180"/>
      <c r="F50" s="180"/>
      <c r="G50" s="244">
        <f t="shared" si="26"/>
        <v>42</v>
      </c>
      <c r="H50" s="245">
        <f t="shared" si="7"/>
        <v>45992</v>
      </c>
      <c r="I50" s="246">
        <f t="shared" si="30"/>
        <v>0.20899999999999999</v>
      </c>
      <c r="J50" s="242">
        <f t="shared" si="0"/>
        <v>8289</v>
      </c>
      <c r="K50" s="242">
        <f t="shared" si="21"/>
        <v>8289</v>
      </c>
      <c r="L50" s="242">
        <f t="shared" si="8"/>
        <v>2309.3766690731472</v>
      </c>
      <c r="M50" s="242">
        <f t="shared" si="22"/>
        <v>5979.6233309268528</v>
      </c>
      <c r="N50" s="242">
        <f t="shared" si="1"/>
        <v>0</v>
      </c>
      <c r="O50" s="242">
        <v>0</v>
      </c>
      <c r="P50" s="242">
        <f t="shared" si="23"/>
        <v>2309.3766690731472</v>
      </c>
      <c r="Q50" s="242">
        <f t="shared" si="2"/>
        <v>0</v>
      </c>
      <c r="R50" s="242">
        <f t="shared" si="9"/>
        <v>0</v>
      </c>
      <c r="S50" s="242">
        <f t="shared" si="10"/>
        <v>128457.77446998203</v>
      </c>
      <c r="T50" s="467"/>
      <c r="U50" s="198">
        <f t="shared" si="27"/>
        <v>19</v>
      </c>
      <c r="V50" s="36">
        <f t="shared" si="11"/>
        <v>19</v>
      </c>
      <c r="W50" s="2" t="e">
        <f>IF(AND(G15&gt;=$W$11,G15&lt;=$W$11+5),0,IF($C$9&gt;$AF$51,ROUND(S14*#REF!/(DATEVALUE(CONCATENATE("01/01/",YEAR(H15)+1))-DATEVALUE(CONCATENATE("01/01/",YEAR(H15))))*(H15-H14),2),0))</f>
        <v>#REF!</v>
      </c>
      <c r="X50" s="34">
        <f t="shared" si="41"/>
        <v>8289</v>
      </c>
      <c r="Y50" s="57">
        <f t="shared" si="39"/>
        <v>47265</v>
      </c>
      <c r="Z50" s="6" t="s">
        <v>0</v>
      </c>
      <c r="AA50" s="6"/>
      <c r="AB50" s="6"/>
      <c r="AC50" s="42">
        <v>24</v>
      </c>
      <c r="AD50" s="14"/>
      <c r="AE50" s="1">
        <f>IF(C9&lt;AF49,300000,1000000)</f>
        <v>1000000</v>
      </c>
      <c r="AF50" s="53">
        <v>41501</v>
      </c>
      <c r="AG50" s="53">
        <v>41882</v>
      </c>
      <c r="AH50" s="2" t="e">
        <f>IF(C9&gt;AG50,XIRR(X43:X122,Y43:Y122)*12,XIRR(X43:X121,H8:H86))</f>
        <v>#NUM!</v>
      </c>
      <c r="AI50" s="2"/>
      <c r="AJ50" s="2"/>
      <c r="AK50" s="2"/>
      <c r="AL50" s="2" t="e">
        <f>IF(AND(#REF!&gt;=$W$11,#REF!&lt;=$W$11+5),0,IF($C$9&gt;$AF$51,ROUND(AI10*#REF!/(DATEVALUE(CONCATENATE("01/01/",YEAR(#REF!)+1))-DATEVALUE(CONCATENATE("01/01/",YEAR(#REF!))))*(#REF!-Z6),2),0))</f>
        <v>#REF!</v>
      </c>
      <c r="AM50" s="34">
        <f t="shared" ref="AM50:AM113" si="43">AT11</f>
        <v>8289</v>
      </c>
      <c r="AN50" s="57">
        <f t="shared" si="42"/>
        <v>45805</v>
      </c>
      <c r="AO50" s="130">
        <f t="shared" si="12"/>
        <v>1</v>
      </c>
      <c r="AP50" s="553">
        <f t="shared" si="28"/>
        <v>42</v>
      </c>
      <c r="AQ50" s="554">
        <f t="shared" si="13"/>
        <v>45992</v>
      </c>
      <c r="AR50" s="555">
        <f t="shared" si="40"/>
        <v>0.20899999999999999</v>
      </c>
      <c r="AS50" s="546">
        <f t="shared" si="14"/>
        <v>8289</v>
      </c>
      <c r="AT50" s="546">
        <f t="shared" si="15"/>
        <v>8289</v>
      </c>
      <c r="AU50" s="546">
        <f t="shared" si="16"/>
        <v>2309.3766690731472</v>
      </c>
      <c r="AV50" s="546">
        <f t="shared" si="17"/>
        <v>5979.6233309268528</v>
      </c>
      <c r="AW50" s="546">
        <f t="shared" si="4"/>
        <v>0</v>
      </c>
      <c r="AX50" s="546">
        <v>0</v>
      </c>
      <c r="AY50" s="546">
        <f t="shared" si="18"/>
        <v>2309.3766690731472</v>
      </c>
      <c r="AZ50" s="546">
        <f t="shared" si="35"/>
        <v>0</v>
      </c>
      <c r="BA50" s="546">
        <f t="shared" si="34"/>
        <v>0</v>
      </c>
      <c r="BB50" s="546"/>
      <c r="BC50" s="546"/>
      <c r="BD50" s="546"/>
      <c r="BE50" s="546"/>
      <c r="BF50" s="546"/>
      <c r="BG50" s="546">
        <f t="shared" si="20"/>
        <v>128457.77446998203</v>
      </c>
      <c r="BH50" s="108">
        <f t="shared" si="29"/>
        <v>19</v>
      </c>
      <c r="BI50" s="108">
        <f t="shared" si="24"/>
        <v>19</v>
      </c>
      <c r="BJ50" s="22">
        <f t="shared" si="25"/>
        <v>45992</v>
      </c>
      <c r="BK50" s="108">
        <f t="shared" si="6"/>
        <v>8289</v>
      </c>
    </row>
    <row r="51" spans="1:64" s="16" customFormat="1" ht="19.5" customHeight="1" x14ac:dyDescent="0.3">
      <c r="A51" s="178"/>
      <c r="B51" s="178"/>
      <c r="C51" s="524"/>
      <c r="D51" s="182"/>
      <c r="E51" s="178"/>
      <c r="F51" s="178"/>
      <c r="G51" s="244">
        <f t="shared" si="26"/>
        <v>43</v>
      </c>
      <c r="H51" s="245">
        <f t="shared" si="7"/>
        <v>46023</v>
      </c>
      <c r="I51" s="246">
        <f t="shared" si="30"/>
        <v>0.20899999999999999</v>
      </c>
      <c r="J51" s="242">
        <f t="shared" si="0"/>
        <v>8289</v>
      </c>
      <c r="K51" s="242">
        <f t="shared" si="21"/>
        <v>8289</v>
      </c>
      <c r="L51" s="242">
        <f t="shared" si="8"/>
        <v>2280.2134816192151</v>
      </c>
      <c r="M51" s="242">
        <f t="shared" si="22"/>
        <v>6008.7865183807844</v>
      </c>
      <c r="N51" s="242">
        <f t="shared" si="1"/>
        <v>0</v>
      </c>
      <c r="O51" s="242">
        <v>0</v>
      </c>
      <c r="P51" s="242">
        <f t="shared" si="23"/>
        <v>2280.2134816192151</v>
      </c>
      <c r="Q51" s="242">
        <f t="shared" si="2"/>
        <v>0</v>
      </c>
      <c r="R51" s="242">
        <f t="shared" si="9"/>
        <v>0</v>
      </c>
      <c r="S51" s="242">
        <f t="shared" si="10"/>
        <v>122448.98795160124</v>
      </c>
      <c r="T51" s="467"/>
      <c r="U51" s="198">
        <f t="shared" si="27"/>
        <v>18</v>
      </c>
      <c r="V51" s="36">
        <f t="shared" si="11"/>
        <v>18</v>
      </c>
      <c r="W51" s="2" t="e">
        <f>IF(AND(G16&gt;=$W$11,G16&lt;=$W$11+5),0,IF($C$9&gt;$AF$51,ROUND(S15*#REF!/(DATEVALUE(CONCATENATE("01/01/",YEAR(H16)+1))-DATEVALUE(CONCATENATE("01/01/",YEAR(H16))))*(H16-H15),2),0))</f>
        <v>#REF!</v>
      </c>
      <c r="X51" s="34">
        <f t="shared" si="41"/>
        <v>8289</v>
      </c>
      <c r="Y51" s="57">
        <f t="shared" si="39"/>
        <v>47630</v>
      </c>
      <c r="Z51" s="11" t="s">
        <v>18</v>
      </c>
      <c r="AA51" s="11"/>
      <c r="AB51" s="11"/>
      <c r="AC51" s="42">
        <f>(D30-C7)</f>
        <v>197340</v>
      </c>
      <c r="AD51" s="58"/>
      <c r="AE51" s="53">
        <v>41632</v>
      </c>
      <c r="AF51" s="53">
        <v>41820</v>
      </c>
      <c r="AG51" s="53">
        <v>41857</v>
      </c>
      <c r="AH51" s="46">
        <v>41991</v>
      </c>
      <c r="AI51" s="18">
        <v>0</v>
      </c>
      <c r="AJ51" s="3"/>
      <c r="AK51" s="3"/>
      <c r="AL51" s="2">
        <f>IF(AND(Y7&gt;=$W$11,Y7&lt;=$W$11+5),0,IF($C$9&gt;$AF$51,ROUND(AI11*#REF!/(DATEVALUE(CONCATENATE("01/01/",YEAR(Z7)+1))-DATEVALUE(CONCATENATE("01/01/",YEAR(Z7))))*(Z7-#REF!),2),0))</f>
        <v>0</v>
      </c>
      <c r="AM51" s="34">
        <f t="shared" si="43"/>
        <v>8289</v>
      </c>
      <c r="AN51" s="57">
        <f t="shared" si="42"/>
        <v>46170</v>
      </c>
      <c r="AO51" s="130">
        <f t="shared" si="12"/>
        <v>1</v>
      </c>
      <c r="AP51" s="553">
        <f t="shared" si="28"/>
        <v>43</v>
      </c>
      <c r="AQ51" s="554">
        <f t="shared" si="13"/>
        <v>46023</v>
      </c>
      <c r="AR51" s="555">
        <f t="shared" si="40"/>
        <v>0.20899999999999999</v>
      </c>
      <c r="AS51" s="546">
        <f t="shared" si="14"/>
        <v>8289</v>
      </c>
      <c r="AT51" s="546">
        <f t="shared" si="15"/>
        <v>8289</v>
      </c>
      <c r="AU51" s="546">
        <f t="shared" si="16"/>
        <v>2280.2134816192151</v>
      </c>
      <c r="AV51" s="546">
        <f t="shared" si="17"/>
        <v>6008.7865183807844</v>
      </c>
      <c r="AW51" s="546">
        <f t="shared" si="4"/>
        <v>0</v>
      </c>
      <c r="AX51" s="546">
        <v>0</v>
      </c>
      <c r="AY51" s="546">
        <f t="shared" si="18"/>
        <v>2280.2134816192151</v>
      </c>
      <c r="AZ51" s="546">
        <f t="shared" si="35"/>
        <v>0</v>
      </c>
      <c r="BA51" s="546">
        <f t="shared" si="34"/>
        <v>0</v>
      </c>
      <c r="BB51" s="546"/>
      <c r="BC51" s="546"/>
      <c r="BD51" s="546"/>
      <c r="BE51" s="546"/>
      <c r="BF51" s="546"/>
      <c r="BG51" s="546">
        <f t="shared" si="20"/>
        <v>122448.98795160124</v>
      </c>
      <c r="BH51" s="108">
        <f t="shared" si="29"/>
        <v>18</v>
      </c>
      <c r="BI51" s="108">
        <f t="shared" si="24"/>
        <v>18</v>
      </c>
      <c r="BJ51" s="22">
        <f t="shared" si="25"/>
        <v>46023</v>
      </c>
      <c r="BK51" s="108">
        <f t="shared" si="6"/>
        <v>8289</v>
      </c>
    </row>
    <row r="52" spans="1:64" s="16" customFormat="1" ht="24" customHeight="1" x14ac:dyDescent="0.3">
      <c r="A52" s="178"/>
      <c r="B52" s="178"/>
      <c r="C52" s="524"/>
      <c r="D52" s="178"/>
      <c r="E52" s="178"/>
      <c r="F52" s="178"/>
      <c r="G52" s="244">
        <f t="shared" si="26"/>
        <v>44</v>
      </c>
      <c r="H52" s="245">
        <f t="shared" si="7"/>
        <v>46054</v>
      </c>
      <c r="I52" s="246">
        <f t="shared" si="30"/>
        <v>0.20899999999999999</v>
      </c>
      <c r="J52" s="242">
        <f t="shared" si="0"/>
        <v>8289</v>
      </c>
      <c r="K52" s="242">
        <f t="shared" si="21"/>
        <v>8289</v>
      </c>
      <c r="L52" s="242">
        <f t="shared" si="8"/>
        <v>2173.5534053107517</v>
      </c>
      <c r="M52" s="242">
        <f t="shared" si="22"/>
        <v>6115.4465946892487</v>
      </c>
      <c r="N52" s="242">
        <f t="shared" si="1"/>
        <v>0</v>
      </c>
      <c r="O52" s="242">
        <v>0</v>
      </c>
      <c r="P52" s="242">
        <f t="shared" si="23"/>
        <v>2173.5534053107517</v>
      </c>
      <c r="Q52" s="242">
        <f t="shared" si="2"/>
        <v>0</v>
      </c>
      <c r="R52" s="242">
        <f t="shared" si="9"/>
        <v>0</v>
      </c>
      <c r="S52" s="242">
        <f t="shared" si="10"/>
        <v>116333.541356912</v>
      </c>
      <c r="T52" s="467"/>
      <c r="U52" s="198">
        <f t="shared" si="27"/>
        <v>17</v>
      </c>
      <c r="V52" s="36">
        <f t="shared" si="11"/>
        <v>17</v>
      </c>
      <c r="W52" s="2" t="e">
        <f>IF(AND(G17&gt;=$W$11,G17&lt;=$W$11+5),0,IF($C$9&gt;$AF$51,ROUND(S16*#REF!/(DATEVALUE(CONCATENATE("01/01/",YEAR(H17)+1))-DATEVALUE(CONCATENATE("01/01/",YEAR(H17))))*(H17-H16),2),0))</f>
        <v>#REF!</v>
      </c>
      <c r="X52" s="34">
        <f t="shared" si="41"/>
        <v>8289</v>
      </c>
      <c r="Y52" s="57">
        <f t="shared" si="39"/>
        <v>47995</v>
      </c>
      <c r="Z52" s="3" t="s">
        <v>22</v>
      </c>
      <c r="AA52" s="3"/>
      <c r="AB52" s="3"/>
      <c r="AC52" s="42"/>
      <c r="AD52" s="58"/>
      <c r="AE52" s="53">
        <v>42124</v>
      </c>
      <c r="AF52" s="53"/>
      <c r="AG52" s="53"/>
      <c r="AH52" s="46"/>
      <c r="AI52" s="2"/>
      <c r="AJ52" s="3"/>
      <c r="AK52" s="3"/>
      <c r="AL52" s="2">
        <f>IF(AND(Y8&gt;=$W$11,Y8&lt;=$W$11+5),0,IF($C$9&gt;$AF$51,ROUND(AI12*#REF!/(DATEVALUE(CONCATENATE("01/01/",YEAR(Z8)+1))-DATEVALUE(CONCATENATE("01/01/",YEAR(Z8))))*(Z8-Z7),2),0))</f>
        <v>0</v>
      </c>
      <c r="AM52" s="34">
        <f t="shared" si="43"/>
        <v>8289</v>
      </c>
      <c r="AN52" s="57">
        <f t="shared" si="42"/>
        <v>46535</v>
      </c>
      <c r="AO52" s="130">
        <f t="shared" si="12"/>
        <v>1</v>
      </c>
      <c r="AP52" s="553">
        <f t="shared" si="28"/>
        <v>44</v>
      </c>
      <c r="AQ52" s="554">
        <f t="shared" si="13"/>
        <v>46054</v>
      </c>
      <c r="AR52" s="555">
        <f t="shared" si="40"/>
        <v>0.20899999999999999</v>
      </c>
      <c r="AS52" s="546">
        <f t="shared" si="14"/>
        <v>8289</v>
      </c>
      <c r="AT52" s="546">
        <f t="shared" si="15"/>
        <v>8289</v>
      </c>
      <c r="AU52" s="546">
        <f t="shared" si="16"/>
        <v>2173.5534053107517</v>
      </c>
      <c r="AV52" s="546">
        <f t="shared" si="17"/>
        <v>6115.4465946892487</v>
      </c>
      <c r="AW52" s="546">
        <f t="shared" si="4"/>
        <v>0</v>
      </c>
      <c r="AX52" s="546">
        <v>0</v>
      </c>
      <c r="AY52" s="546">
        <f t="shared" si="18"/>
        <v>2173.5534053107517</v>
      </c>
      <c r="AZ52" s="546">
        <f t="shared" si="35"/>
        <v>0</v>
      </c>
      <c r="BA52" s="546">
        <f t="shared" si="34"/>
        <v>0</v>
      </c>
      <c r="BB52" s="546"/>
      <c r="BC52" s="546"/>
      <c r="BD52" s="546"/>
      <c r="BE52" s="546"/>
      <c r="BF52" s="546"/>
      <c r="BG52" s="546">
        <f t="shared" si="20"/>
        <v>116333.541356912</v>
      </c>
      <c r="BH52" s="108">
        <f t="shared" si="29"/>
        <v>17</v>
      </c>
      <c r="BI52" s="108">
        <f t="shared" si="24"/>
        <v>17</v>
      </c>
      <c r="BJ52" s="22">
        <f t="shared" si="25"/>
        <v>46054</v>
      </c>
      <c r="BK52" s="108">
        <f t="shared" si="6"/>
        <v>8289</v>
      </c>
    </row>
    <row r="53" spans="1:64" s="16" customFormat="1" ht="24" customHeight="1" x14ac:dyDescent="0.3">
      <c r="A53" s="178"/>
      <c r="B53" s="178"/>
      <c r="C53" s="524"/>
      <c r="D53" s="178"/>
      <c r="E53" s="178"/>
      <c r="F53" s="178"/>
      <c r="G53" s="244">
        <f t="shared" si="26"/>
        <v>45</v>
      </c>
      <c r="H53" s="245">
        <f t="shared" si="7"/>
        <v>46082</v>
      </c>
      <c r="I53" s="246">
        <f t="shared" si="30"/>
        <v>0.20899999999999999</v>
      </c>
      <c r="J53" s="242">
        <f t="shared" si="0"/>
        <v>8289</v>
      </c>
      <c r="K53" s="242">
        <f t="shared" si="21"/>
        <v>8289</v>
      </c>
      <c r="L53" s="242">
        <f t="shared" si="8"/>
        <v>1865.1613260839699</v>
      </c>
      <c r="M53" s="242">
        <f t="shared" si="22"/>
        <v>6423.8386739160305</v>
      </c>
      <c r="N53" s="242">
        <f t="shared" si="1"/>
        <v>0</v>
      </c>
      <c r="O53" s="242">
        <v>0</v>
      </c>
      <c r="P53" s="242">
        <f t="shared" si="23"/>
        <v>1865.1613260839699</v>
      </c>
      <c r="Q53" s="242">
        <f t="shared" si="2"/>
        <v>0</v>
      </c>
      <c r="R53" s="242">
        <f t="shared" si="9"/>
        <v>0</v>
      </c>
      <c r="S53" s="242">
        <f t="shared" si="10"/>
        <v>109909.70268299597</v>
      </c>
      <c r="T53" s="467"/>
      <c r="U53" s="198">
        <f t="shared" si="27"/>
        <v>16</v>
      </c>
      <c r="V53" s="36">
        <f t="shared" si="11"/>
        <v>16</v>
      </c>
      <c r="W53" s="2" t="e">
        <f>IF(AND(G18&gt;=$W$11,G18&lt;=$W$11+5),0,IF($C$9&gt;$AF$51,ROUND(S17*#REF!/(DATEVALUE(CONCATENATE("01/01/",YEAR(H18)+1))-DATEVALUE(CONCATENATE("01/01/",YEAR(H18))))*(H18-H17),2),0))</f>
        <v>#REF!</v>
      </c>
      <c r="X53" s="34">
        <f t="shared" si="41"/>
        <v>8289</v>
      </c>
      <c r="Y53" s="57">
        <f t="shared" si="39"/>
        <v>48360</v>
      </c>
      <c r="Z53" s="3"/>
      <c r="AA53" s="3"/>
      <c r="AB53" s="3"/>
      <c r="AC53" s="2"/>
      <c r="AD53" s="2"/>
      <c r="AE53" s="2"/>
      <c r="AF53" s="2"/>
      <c r="AG53" s="2"/>
      <c r="AH53" s="2"/>
      <c r="AI53" s="2"/>
      <c r="AJ53" s="2"/>
      <c r="AK53" s="2"/>
      <c r="AL53" s="2">
        <f>IF(AND(Y9&gt;=$W$11,Y9&lt;=$W$11+5),0,IF($C$9&gt;$AF$51,ROUND(AI13*#REF!/(DATEVALUE(CONCATENATE("01/01/",YEAR(Z9)+1))-DATEVALUE(CONCATENATE("01/01/",YEAR(Z9))))*(Z9-Z8),2),0))</f>
        <v>0</v>
      </c>
      <c r="AM53" s="34">
        <f t="shared" si="43"/>
        <v>8289</v>
      </c>
      <c r="AN53" s="57">
        <f t="shared" si="42"/>
        <v>46900</v>
      </c>
      <c r="AO53" s="130">
        <f t="shared" si="12"/>
        <v>1</v>
      </c>
      <c r="AP53" s="553">
        <f t="shared" si="28"/>
        <v>45</v>
      </c>
      <c r="AQ53" s="554">
        <f t="shared" si="13"/>
        <v>46082</v>
      </c>
      <c r="AR53" s="555">
        <f t="shared" si="40"/>
        <v>0.20899999999999999</v>
      </c>
      <c r="AS53" s="546">
        <f t="shared" si="14"/>
        <v>8289</v>
      </c>
      <c r="AT53" s="546">
        <f t="shared" si="15"/>
        <v>8289</v>
      </c>
      <c r="AU53" s="546">
        <f t="shared" si="16"/>
        <v>1865.1613260839699</v>
      </c>
      <c r="AV53" s="546">
        <f t="shared" si="17"/>
        <v>6423.8386739160305</v>
      </c>
      <c r="AW53" s="546">
        <f t="shared" si="4"/>
        <v>0</v>
      </c>
      <c r="AX53" s="546">
        <v>0</v>
      </c>
      <c r="AY53" s="546">
        <f t="shared" si="18"/>
        <v>1865.1613260839699</v>
      </c>
      <c r="AZ53" s="546">
        <f t="shared" si="35"/>
        <v>0</v>
      </c>
      <c r="BA53" s="546">
        <f t="shared" si="34"/>
        <v>0</v>
      </c>
      <c r="BB53" s="546"/>
      <c r="BC53" s="546"/>
      <c r="BD53" s="546"/>
      <c r="BE53" s="546"/>
      <c r="BF53" s="546"/>
      <c r="BG53" s="546">
        <f t="shared" si="20"/>
        <v>109909.70268299597</v>
      </c>
      <c r="BH53" s="108">
        <f t="shared" si="29"/>
        <v>16</v>
      </c>
      <c r="BI53" s="108">
        <f t="shared" si="24"/>
        <v>16</v>
      </c>
      <c r="BJ53" s="22">
        <f t="shared" si="25"/>
        <v>46082</v>
      </c>
      <c r="BK53" s="108">
        <f t="shared" si="6"/>
        <v>8289</v>
      </c>
    </row>
    <row r="54" spans="1:64" s="16" customFormat="1" ht="24" customHeight="1" x14ac:dyDescent="0.3">
      <c r="A54" s="178"/>
      <c r="B54" s="178"/>
      <c r="C54" s="184"/>
      <c r="D54" s="178"/>
      <c r="E54" s="178"/>
      <c r="F54" s="178"/>
      <c r="G54" s="244">
        <f t="shared" si="26"/>
        <v>46</v>
      </c>
      <c r="H54" s="245">
        <f t="shared" si="7"/>
        <v>46113</v>
      </c>
      <c r="I54" s="246">
        <f t="shared" si="30"/>
        <v>0.20899999999999999</v>
      </c>
      <c r="J54" s="242">
        <f t="shared" si="0"/>
        <v>8289</v>
      </c>
      <c r="K54" s="242">
        <f t="shared" si="21"/>
        <v>8289</v>
      </c>
      <c r="L54" s="242">
        <f t="shared" si="8"/>
        <v>1950.9725032414542</v>
      </c>
      <c r="M54" s="242">
        <f t="shared" si="22"/>
        <v>6338.0274967585456</v>
      </c>
      <c r="N54" s="242">
        <f t="shared" si="1"/>
        <v>0</v>
      </c>
      <c r="O54" s="242">
        <v>0</v>
      </c>
      <c r="P54" s="242">
        <f t="shared" si="23"/>
        <v>1950.9725032414542</v>
      </c>
      <c r="Q54" s="242">
        <f t="shared" si="2"/>
        <v>0</v>
      </c>
      <c r="R54" s="242">
        <f t="shared" si="9"/>
        <v>0</v>
      </c>
      <c r="S54" s="242">
        <f t="shared" si="10"/>
        <v>103571.67518623742</v>
      </c>
      <c r="T54" s="467"/>
      <c r="U54" s="198">
        <f t="shared" si="27"/>
        <v>15</v>
      </c>
      <c r="V54" s="36">
        <f t="shared" si="11"/>
        <v>15</v>
      </c>
      <c r="W54" s="2" t="e">
        <f>IF(AND(G19&gt;=$W$11,G19&lt;=$W$11+5),0,IF($C$9&gt;$AF$51,ROUND(S18*#REF!/(DATEVALUE(CONCATENATE("01/01/",YEAR(H19)+1))-DATEVALUE(CONCATENATE("01/01/",YEAR(H19))))*(H19-H18),2),0))</f>
        <v>#REF!</v>
      </c>
      <c r="X54" s="34">
        <f t="shared" si="41"/>
        <v>8289</v>
      </c>
      <c r="Y54" s="57">
        <f t="shared" si="39"/>
        <v>48725</v>
      </c>
      <c r="Z54" s="2"/>
      <c r="AA54" s="2"/>
      <c r="AB54" s="2"/>
      <c r="AC54" s="1"/>
      <c r="AD54" s="7">
        <f>H8</f>
        <v>44710</v>
      </c>
      <c r="AE54" s="47">
        <f>(C23+AI51)*AG36/12*(1+AG36/12)^(C10)/((1+AG36/12)^(C10)-1)+C23/10000*IF(C10&lt;11,20,IF(C10&lt;20,2.5,IF(C10&lt;37,1.5,IF(C10&lt;60,0.7,0.5))))*IF(AG36&lt;0.3,AG36/0.2,AG36/0.1)</f>
        <v>8304.1349570515831</v>
      </c>
      <c r="AF54" s="2"/>
      <c r="AG54" s="47">
        <f>(D23+AI51)*AE14/12*(1+AE14/12)^(C10)/((1+AE14/12)^(C10)-1)+D23/10000*IF(C10&lt;11,20,IF(C10&lt;20,2.5,IF(C10&lt;37,1.5,IF(C10&lt;60,0.7,0.5))))*IF(AE14&lt;0.3,AE14/0.2,AE14/0.1)</f>
        <v>8304.1349570515831</v>
      </c>
      <c r="AH54" s="2"/>
      <c r="AI54" s="2"/>
      <c r="AJ54" s="2"/>
      <c r="AK54" s="2"/>
      <c r="AL54" s="2">
        <f>IF(AND(Y10&gt;=$W$11,Y10&lt;=$W$11+5),0,IF($C$9&gt;$AF$51,ROUND(AI14*#REF!/(DATEVALUE(CONCATENATE("01/01/",YEAR(Z10)+1))-DATEVALUE(CONCATENATE("01/01/",YEAR(Z10))))*(Z10-Z9),2),0))</f>
        <v>0</v>
      </c>
      <c r="AM54" s="34">
        <f t="shared" si="43"/>
        <v>8289</v>
      </c>
      <c r="AN54" s="57">
        <f t="shared" si="42"/>
        <v>47265</v>
      </c>
      <c r="AO54" s="130">
        <f t="shared" si="12"/>
        <v>1</v>
      </c>
      <c r="AP54" s="553">
        <f t="shared" si="28"/>
        <v>46</v>
      </c>
      <c r="AQ54" s="554">
        <f t="shared" si="13"/>
        <v>46113</v>
      </c>
      <c r="AR54" s="555">
        <f t="shared" si="40"/>
        <v>0.20899999999999999</v>
      </c>
      <c r="AS54" s="546">
        <f t="shared" si="14"/>
        <v>8289</v>
      </c>
      <c r="AT54" s="546">
        <f t="shared" si="15"/>
        <v>8289</v>
      </c>
      <c r="AU54" s="546">
        <f t="shared" si="16"/>
        <v>1950.9725032414542</v>
      </c>
      <c r="AV54" s="546">
        <f t="shared" si="17"/>
        <v>6338.0274967585456</v>
      </c>
      <c r="AW54" s="546">
        <f t="shared" si="4"/>
        <v>0</v>
      </c>
      <c r="AX54" s="546">
        <v>0</v>
      </c>
      <c r="AY54" s="546">
        <f t="shared" si="18"/>
        <v>1950.9725032414542</v>
      </c>
      <c r="AZ54" s="546">
        <f t="shared" si="35"/>
        <v>0</v>
      </c>
      <c r="BA54" s="546">
        <f t="shared" si="34"/>
        <v>0</v>
      </c>
      <c r="BB54" s="546"/>
      <c r="BC54" s="546"/>
      <c r="BD54" s="546"/>
      <c r="BE54" s="546"/>
      <c r="BF54" s="546"/>
      <c r="BG54" s="546">
        <f t="shared" si="20"/>
        <v>103571.67518623742</v>
      </c>
      <c r="BH54" s="108">
        <f t="shared" si="29"/>
        <v>15</v>
      </c>
      <c r="BI54" s="108">
        <f t="shared" si="24"/>
        <v>15</v>
      </c>
      <c r="BJ54" s="22">
        <f t="shared" si="25"/>
        <v>46113</v>
      </c>
      <c r="BK54" s="108">
        <f t="shared" si="6"/>
        <v>8289</v>
      </c>
      <c r="BL54" s="2">
        <f>IF(AND(G9&gt;=$W$11,G9&lt;=$W$11+5),0,IF($C$9&gt;$AF$51,ROUND(BG8*IF(#REF!="",0,#REF!)/(DATEVALUE(CONCATENATE("01/01/",YEAR(AQ9)+1))-DATEVALUE(CONCATENATE("01/01/",YEAR(AQ9))))*(AQ9-AQ8),2),0))</f>
        <v>0</v>
      </c>
    </row>
    <row r="55" spans="1:64" s="16" customFormat="1" x14ac:dyDescent="0.3">
      <c r="A55" s="178"/>
      <c r="B55" s="178"/>
      <c r="C55" s="184"/>
      <c r="D55" s="178"/>
      <c r="E55" s="178"/>
      <c r="F55" s="178"/>
      <c r="G55" s="244">
        <f t="shared" si="26"/>
        <v>47</v>
      </c>
      <c r="H55" s="245">
        <f t="shared" si="7"/>
        <v>46143</v>
      </c>
      <c r="I55" s="246">
        <f t="shared" si="30"/>
        <v>0.20899999999999999</v>
      </c>
      <c r="J55" s="242">
        <f t="shared" si="0"/>
        <v>8289</v>
      </c>
      <c r="K55" s="242">
        <f t="shared" si="21"/>
        <v>8289</v>
      </c>
      <c r="L55" s="242">
        <f t="shared" si="8"/>
        <v>1779.1627490896126</v>
      </c>
      <c r="M55" s="242">
        <f t="shared" si="22"/>
        <v>6509.8372509103874</v>
      </c>
      <c r="N55" s="242">
        <f t="shared" si="1"/>
        <v>0</v>
      </c>
      <c r="O55" s="242">
        <v>0</v>
      </c>
      <c r="P55" s="242">
        <f t="shared" si="23"/>
        <v>1779.1627490896126</v>
      </c>
      <c r="Q55" s="242">
        <f t="shared" si="2"/>
        <v>0</v>
      </c>
      <c r="R55" s="242">
        <f t="shared" si="9"/>
        <v>0</v>
      </c>
      <c r="S55" s="242">
        <f t="shared" si="10"/>
        <v>97061.837935327028</v>
      </c>
      <c r="T55" s="467"/>
      <c r="U55" s="198">
        <f t="shared" si="27"/>
        <v>14</v>
      </c>
      <c r="V55" s="36">
        <f t="shared" si="11"/>
        <v>14</v>
      </c>
      <c r="W55" s="2" t="e">
        <f>IF(AND(G20&gt;=$W$11,G20&lt;=$W$11+5),0,IF($C$9&gt;$AF$51,ROUND(S19*#REF!/(DATEVALUE(CONCATENATE("01/01/",YEAR(H20)+1))-DATEVALUE(CONCATENATE("01/01/",YEAR(H20))))*(H20-H19),2),0))</f>
        <v>#REF!</v>
      </c>
      <c r="X55" s="34">
        <f t="shared" si="41"/>
        <v>8289</v>
      </c>
      <c r="Y55" s="57">
        <f t="shared" si="39"/>
        <v>49090</v>
      </c>
      <c r="AA55" s="170" t="s">
        <v>134</v>
      </c>
      <c r="AD55" s="47">
        <f>IF(DAY(C9)&lt;4,AE54,IF(DAY(C9)&gt;28,AE56,AE55))</f>
        <v>8288.0942593015825</v>
      </c>
      <c r="AE55" s="47">
        <f>(C23+AI51)*AG36/12*(1+AG36/12)^(C10)/((1+AG36/12)^(C10)-1)+C23/10000*IF(C10&lt;11,20,IF(C10&lt;34,0.7,IF(C10&lt;58,0.3,0.1)))*IF(AG36&lt;0.3,AG36/0.2,AG36/0.1)</f>
        <v>8291.3023988515833</v>
      </c>
      <c r="AF55" s="13">
        <f>IF(DAY(C9)&lt;4,AG54,IF(DAY(C9)&gt;28,AG56,AG55))</f>
        <v>8288.0942593015825</v>
      </c>
      <c r="AG55" s="156">
        <f>(D23+AI51)*AE14/12*(1+AE14/12)^(C10)/((1+AE14/12)^(C10)-1)+D23/10000*IF(C10&lt;11,20,IF(C10&lt;34,0.7,IF(C10&lt;58,0.3,0.1)))*IF(AE14&lt;0.3,AE14/0.2,AE14/0.1)</f>
        <v>8291.3023988515833</v>
      </c>
      <c r="AH55" s="2"/>
      <c r="AI55" s="2"/>
      <c r="AJ55" s="2"/>
      <c r="AK55" s="2"/>
      <c r="AL55" s="2">
        <f>IF(AND(Y11&gt;=$W$11,Y11&lt;=$W$11+5),0,IF($C$9&gt;$AF$51,ROUND(AI15*#REF!/(DATEVALUE(CONCATENATE("01/01/",YEAR(Z11)+1))-DATEVALUE(CONCATENATE("01/01/",YEAR(Z11))))*(Z11-Z10),2),0))</f>
        <v>0</v>
      </c>
      <c r="AM55" s="34">
        <f t="shared" si="43"/>
        <v>8289</v>
      </c>
      <c r="AN55" s="57">
        <f t="shared" si="42"/>
        <v>47630</v>
      </c>
      <c r="AO55" s="130">
        <f t="shared" si="12"/>
        <v>1</v>
      </c>
      <c r="AP55" s="553">
        <f t="shared" si="28"/>
        <v>47</v>
      </c>
      <c r="AQ55" s="554">
        <f t="shared" si="13"/>
        <v>46143</v>
      </c>
      <c r="AR55" s="555">
        <f t="shared" si="40"/>
        <v>0.20899999999999999</v>
      </c>
      <c r="AS55" s="546">
        <f t="shared" si="14"/>
        <v>8289</v>
      </c>
      <c r="AT55" s="546">
        <f t="shared" si="15"/>
        <v>8289</v>
      </c>
      <c r="AU55" s="546">
        <f t="shared" si="16"/>
        <v>1779.1627490896126</v>
      </c>
      <c r="AV55" s="546">
        <f t="shared" si="17"/>
        <v>6509.8372509103874</v>
      </c>
      <c r="AW55" s="546">
        <f t="shared" si="4"/>
        <v>0</v>
      </c>
      <c r="AX55" s="546">
        <v>0</v>
      </c>
      <c r="AY55" s="546">
        <f t="shared" si="18"/>
        <v>1779.1627490896126</v>
      </c>
      <c r="AZ55" s="546">
        <f t="shared" si="35"/>
        <v>0</v>
      </c>
      <c r="BA55" s="546">
        <f t="shared" si="34"/>
        <v>0</v>
      </c>
      <c r="BB55" s="546"/>
      <c r="BC55" s="546"/>
      <c r="BD55" s="546"/>
      <c r="BE55" s="546"/>
      <c r="BF55" s="546"/>
      <c r="BG55" s="546">
        <f t="shared" si="20"/>
        <v>97061.837935327028</v>
      </c>
      <c r="BH55" s="108">
        <f t="shared" si="29"/>
        <v>14</v>
      </c>
      <c r="BI55" s="108">
        <f t="shared" si="24"/>
        <v>14</v>
      </c>
      <c r="BJ55" s="22">
        <f t="shared" si="25"/>
        <v>46143</v>
      </c>
      <c r="BK55" s="108">
        <f t="shared" si="6"/>
        <v>8289</v>
      </c>
      <c r="BL55" s="2">
        <f>IF(AND(G10&gt;=$W$11,G10&lt;=$W$11+5),0,IF($C$9&gt;$AF$51,ROUND(BG9*IF(#REF!="",0,#REF!)/(DATEVALUE(CONCATENATE("01/01/",YEAR(AQ10)+1))-DATEVALUE(CONCATENATE("01/01/",YEAR(AQ10))))*(AQ10-AQ9),2),0))</f>
        <v>0</v>
      </c>
    </row>
    <row r="56" spans="1:64" s="16" customFormat="1" ht="13.8" thickBot="1" x14ac:dyDescent="0.35">
      <c r="A56" s="178"/>
      <c r="B56" s="178"/>
      <c r="C56" s="184"/>
      <c r="D56" s="178"/>
      <c r="E56" s="178"/>
      <c r="F56" s="178"/>
      <c r="G56" s="248">
        <f t="shared" si="26"/>
        <v>48</v>
      </c>
      <c r="H56" s="581">
        <f t="shared" si="7"/>
        <v>46174</v>
      </c>
      <c r="I56" s="250">
        <f t="shared" si="30"/>
        <v>0.20899999999999999</v>
      </c>
      <c r="J56" s="252">
        <f t="shared" si="0"/>
        <v>8289</v>
      </c>
      <c r="K56" s="252">
        <f t="shared" si="21"/>
        <v>8289</v>
      </c>
      <c r="L56" s="252">
        <f t="shared" si="8"/>
        <v>1722.914104062969</v>
      </c>
      <c r="M56" s="252">
        <f t="shared" si="22"/>
        <v>6566.0858959370307</v>
      </c>
      <c r="N56" s="252">
        <f t="shared" si="1"/>
        <v>0</v>
      </c>
      <c r="O56" s="252">
        <v>0</v>
      </c>
      <c r="P56" s="252">
        <f t="shared" si="23"/>
        <v>1722.914104062969</v>
      </c>
      <c r="Q56" s="252">
        <f t="shared" si="2"/>
        <v>0</v>
      </c>
      <c r="R56" s="252">
        <f t="shared" si="9"/>
        <v>0</v>
      </c>
      <c r="S56" s="252">
        <f t="shared" si="10"/>
        <v>90495.752039390005</v>
      </c>
      <c r="T56" s="468"/>
      <c r="U56" s="198">
        <f t="shared" si="27"/>
        <v>13</v>
      </c>
      <c r="V56" s="36">
        <f t="shared" si="11"/>
        <v>13</v>
      </c>
      <c r="W56" s="2" t="e">
        <f>IF(AND(G21&gt;=$W$11,G21&lt;=$W$11+5),0,IF($C$9&gt;$AF$51,ROUND(S20*#REF!/(DATEVALUE(CONCATENATE("01/01/",YEAR(H21)+1))-DATEVALUE(CONCATENATE("01/01/",YEAR(H21))))*(H21-H20),2),0))</f>
        <v>#REF!</v>
      </c>
      <c r="X56" s="34">
        <f t="shared" si="41"/>
        <v>8289</v>
      </c>
      <c r="Y56" s="57">
        <f t="shared" si="39"/>
        <v>49455</v>
      </c>
      <c r="AA56" s="171">
        <v>20000</v>
      </c>
      <c r="AB56" s="133" t="s">
        <v>135</v>
      </c>
      <c r="AC56" s="118">
        <f>ROUNDUP(AD56/AG47,0)*AG47</f>
        <v>6640</v>
      </c>
      <c r="AD56" s="13">
        <f>(C23+AI51)*AC57/12*(1+AC57/12)^(C10+AD57)/((1+AC57/12)^(C10+AD57)-1)+10*C23/100000*IF(C10+AD57&lt;24,4,IF(C10+AD57&lt;36,3,IF(C10+AD57&lt;48,2,IF(C10+AD57&lt;60,1.5,1))))*AC57/0.2</f>
        <v>6638.0409523155058</v>
      </c>
      <c r="AE56" s="47">
        <f>(C23+AI51)*AG36/12*(1+AG36/12)^(C10)/((1+AG36/12)^(C10)-1)+C23/10000*IF(C10&lt;11,20,IF(C10&lt;34,0.7,IF(C10&lt;48,0.3,0)))*IF(AG36&lt;0.3,AG36/0.2,AG36/0.1)</f>
        <v>8288.0942593015825</v>
      </c>
      <c r="AF56" s="13">
        <f>(D23+AI51)*AF57/12*(1+AF57/12)^(C10+AD57)/((1+AF57/12)^(C10+AD57)-1)+10*D23/100000*IF(C10+AD57&lt;24,4,IF(C10+AD57&lt;36,3,IF(C10+AD57&lt;48,2,IF(C10+AD57&lt;60,1.5,1))))*AF57/0.2</f>
        <v>6638.0409523155058</v>
      </c>
      <c r="AG56" s="157">
        <f>(D23+AI51)*AE14/12*(1+AE14/12)^(C10)/((1+AE14/12)^(C10)-1)+D23/10000*IF(C10&lt;11,20,IF(C10&lt;34,0.7,IF(C10&lt;48,0.3,0)))*IF(AE14&lt;0.3,AE14/0.2,AE14/0.1)</f>
        <v>8288.0942593015825</v>
      </c>
      <c r="AH56" s="2"/>
      <c r="AI56" s="2"/>
      <c r="AJ56" s="2"/>
      <c r="AK56" s="2"/>
      <c r="AL56" s="2">
        <f>IF(AND(Y12&gt;=$W$11,Y12&lt;=$W$11+5),0,IF($C$9&gt;$AF$51,ROUND(AI16*#REF!/(DATEVALUE(CONCATENATE("01/01/",YEAR(Z12)+1))-DATEVALUE(CONCATENATE("01/01/",YEAR(Z12))))*(Z12-Z11),2),0))</f>
        <v>0</v>
      </c>
      <c r="AM56" s="34">
        <f t="shared" si="43"/>
        <v>8289</v>
      </c>
      <c r="AN56" s="57">
        <f t="shared" si="42"/>
        <v>47995</v>
      </c>
      <c r="AO56" s="130">
        <f t="shared" si="12"/>
        <v>1</v>
      </c>
      <c r="AP56" s="556">
        <f t="shared" si="28"/>
        <v>48</v>
      </c>
      <c r="AQ56" s="582">
        <f t="shared" si="13"/>
        <v>46174</v>
      </c>
      <c r="AR56" s="557">
        <f t="shared" si="40"/>
        <v>0.20899999999999999</v>
      </c>
      <c r="AS56" s="547">
        <f t="shared" si="14"/>
        <v>8289</v>
      </c>
      <c r="AT56" s="547">
        <f t="shared" si="15"/>
        <v>8289</v>
      </c>
      <c r="AU56" s="547">
        <f t="shared" si="16"/>
        <v>1722.914104062969</v>
      </c>
      <c r="AV56" s="547">
        <f t="shared" si="17"/>
        <v>6566.0858959370307</v>
      </c>
      <c r="AW56" s="547">
        <f t="shared" si="4"/>
        <v>0</v>
      </c>
      <c r="AX56" s="547">
        <v>0</v>
      </c>
      <c r="AY56" s="547">
        <f t="shared" si="18"/>
        <v>1722.914104062969</v>
      </c>
      <c r="AZ56" s="547">
        <f t="shared" si="35"/>
        <v>0</v>
      </c>
      <c r="BA56" s="547">
        <f t="shared" si="34"/>
        <v>0</v>
      </c>
      <c r="BB56" s="547"/>
      <c r="BC56" s="547"/>
      <c r="BD56" s="547"/>
      <c r="BE56" s="547"/>
      <c r="BF56" s="547"/>
      <c r="BG56" s="547">
        <f t="shared" si="20"/>
        <v>90495.752039390005</v>
      </c>
      <c r="BH56" s="108">
        <f t="shared" si="29"/>
        <v>13</v>
      </c>
      <c r="BI56" s="108">
        <f t="shared" si="24"/>
        <v>13</v>
      </c>
      <c r="BJ56" s="22">
        <f t="shared" si="25"/>
        <v>46174</v>
      </c>
      <c r="BK56" s="108">
        <f t="shared" si="6"/>
        <v>8289</v>
      </c>
      <c r="BL56" s="2">
        <f>IF(AND(G11&gt;=$W$11,G11&lt;=$W$11+5),0,IF($C$9&gt;$AF$51,ROUND(BG10*IF(#REF!="",0,#REF!)/(DATEVALUE(CONCATENATE("01/01/",YEAR(AQ11)+1))-DATEVALUE(CONCATENATE("01/01/",YEAR(AQ11))))*(AQ11-AQ10),2),0))</f>
        <v>0</v>
      </c>
    </row>
    <row r="57" spans="1:64" s="16" customFormat="1" x14ac:dyDescent="0.3">
      <c r="A57" s="178"/>
      <c r="B57" s="178"/>
      <c r="C57" s="184"/>
      <c r="D57" s="178"/>
      <c r="E57" s="178"/>
      <c r="F57" s="178"/>
      <c r="G57" s="244">
        <f t="shared" si="26"/>
        <v>49</v>
      </c>
      <c r="H57" s="245">
        <f t="shared" si="7"/>
        <v>46204</v>
      </c>
      <c r="I57" s="246">
        <f t="shared" si="30"/>
        <v>0.20899999999999999</v>
      </c>
      <c r="J57" s="242">
        <f t="shared" si="0"/>
        <v>8289</v>
      </c>
      <c r="K57" s="242">
        <f t="shared" si="21"/>
        <v>8289</v>
      </c>
      <c r="L57" s="242">
        <f t="shared" si="8"/>
        <v>1554.5434665396583</v>
      </c>
      <c r="M57" s="242">
        <f t="shared" si="22"/>
        <v>6734.4565334603412</v>
      </c>
      <c r="N57" s="242">
        <f t="shared" si="1"/>
        <v>0</v>
      </c>
      <c r="O57" s="242">
        <v>0</v>
      </c>
      <c r="P57" s="242">
        <f t="shared" si="23"/>
        <v>1554.5434665396583</v>
      </c>
      <c r="Q57" s="242">
        <f t="shared" si="2"/>
        <v>0</v>
      </c>
      <c r="R57" s="242">
        <f t="shared" si="9"/>
        <v>0</v>
      </c>
      <c r="S57" s="242">
        <f t="shared" si="10"/>
        <v>83761.295505929666</v>
      </c>
      <c r="T57" s="467"/>
      <c r="U57" s="198">
        <f t="shared" si="27"/>
        <v>12</v>
      </c>
      <c r="V57" s="36">
        <f t="shared" si="11"/>
        <v>12</v>
      </c>
      <c r="W57" s="2" t="e">
        <f>IF(AND(G22&gt;=$W$11,G22&lt;=$W$11+5),0,IF($C$9&gt;$AF$51,ROUND(S21*#REF!/(DATEVALUE(CONCATENATE("01/01/",YEAR(H22)+1))-DATEVALUE(CONCATENATE("01/01/",YEAR(H22))))*(H22-H21),2),0))</f>
        <v>#REF!</v>
      </c>
      <c r="X57" s="34">
        <f t="shared" si="41"/>
        <v>8289</v>
      </c>
      <c r="Y57" s="57">
        <f t="shared" si="39"/>
        <v>49820</v>
      </c>
      <c r="AA57" s="171">
        <v>200000</v>
      </c>
      <c r="AB57" s="171">
        <v>200000</v>
      </c>
      <c r="AC57" s="15">
        <f>IF(C9&gt;AH48,C11,C11+0.05)</f>
        <v>0.20899999999999999</v>
      </c>
      <c r="AD57" s="2">
        <f xml:space="preserve"> IF(C9&gt;AH48,36,24)</f>
        <v>36</v>
      </c>
      <c r="AE57" s="44">
        <f>(C23+AI51)*AG36/12*(1+AG36/12)^(C10)/((1+AG36/12)^(C10)-1)</f>
        <v>8288.0942593015825</v>
      </c>
      <c r="AF57" s="15">
        <f>IF(C9&gt;AH48,D13,D13+0.05)</f>
        <v>0.20899999999999999</v>
      </c>
      <c r="AG57" s="118">
        <f>(D23+AI51)*AE14/12*(1+AE14/12)^(C10)/((1+AE14/12)^(C10)-1)</f>
        <v>8288.0942593015825</v>
      </c>
      <c r="AH57" s="2"/>
      <c r="AI57" s="2"/>
      <c r="AJ57" s="2"/>
      <c r="AK57" s="2"/>
      <c r="AL57" s="2">
        <f>IF(AND(Y13&gt;=$W$11,Y13&lt;=$W$11+5),0,IF($C$9&gt;$AF$51,ROUND(AI17*#REF!/(DATEVALUE(CONCATENATE("01/01/",YEAR(Z13)+1))-DATEVALUE(CONCATENATE("01/01/",YEAR(Z13))))*(Z13-Z12),2),0))</f>
        <v>0</v>
      </c>
      <c r="AM57" s="34">
        <f t="shared" si="43"/>
        <v>8289</v>
      </c>
      <c r="AN57" s="57">
        <f t="shared" si="42"/>
        <v>48360</v>
      </c>
      <c r="AO57" s="130">
        <f t="shared" si="12"/>
        <v>1</v>
      </c>
      <c r="AP57" s="553">
        <f t="shared" si="28"/>
        <v>49</v>
      </c>
      <c r="AQ57" s="554">
        <f t="shared" si="13"/>
        <v>46204</v>
      </c>
      <c r="AR57" s="555">
        <f t="shared" ref="AR57:AR108" si="44">IF($D$16="Да",$AM$40,$D$13)</f>
        <v>0.20899999999999999</v>
      </c>
      <c r="AS57" s="546">
        <f t="shared" si="14"/>
        <v>8289</v>
      </c>
      <c r="AT57" s="546">
        <f t="shared" si="15"/>
        <v>8289</v>
      </c>
      <c r="AU57" s="546">
        <f t="shared" si="16"/>
        <v>1554.5434665396583</v>
      </c>
      <c r="AV57" s="546">
        <f t="shared" si="17"/>
        <v>6734.4565334603412</v>
      </c>
      <c r="AW57" s="546">
        <f t="shared" si="4"/>
        <v>0</v>
      </c>
      <c r="AX57" s="546">
        <v>0</v>
      </c>
      <c r="AY57" s="546">
        <f t="shared" si="18"/>
        <v>1554.5434665396583</v>
      </c>
      <c r="AZ57" s="546">
        <f t="shared" si="35"/>
        <v>0</v>
      </c>
      <c r="BA57" s="546">
        <f t="shared" si="34"/>
        <v>0</v>
      </c>
      <c r="BB57" s="546"/>
      <c r="BC57" s="546"/>
      <c r="BD57" s="546"/>
      <c r="BE57" s="546"/>
      <c r="BF57" s="546"/>
      <c r="BG57" s="546">
        <f t="shared" si="20"/>
        <v>83761.295505929666</v>
      </c>
      <c r="BH57" s="108">
        <f t="shared" si="29"/>
        <v>12</v>
      </c>
      <c r="BI57" s="108">
        <f t="shared" si="24"/>
        <v>12</v>
      </c>
      <c r="BJ57" s="22">
        <f t="shared" si="25"/>
        <v>46204</v>
      </c>
      <c r="BK57" s="108">
        <f t="shared" si="6"/>
        <v>8289</v>
      </c>
      <c r="BL57" s="2">
        <f>IF(AND(G12&gt;=$W$11,G12&lt;=$W$11+5),0,IF($C$9&gt;$AF$51,ROUND(BG11*IF(#REF!="",0,#REF!)/(DATEVALUE(CONCATENATE("01/01/",YEAR(AQ12)+1))-DATEVALUE(CONCATENATE("01/01/",YEAR(AQ12))))*(AQ12-AQ11),2),0))</f>
        <v>0</v>
      </c>
    </row>
    <row r="58" spans="1:64" s="16" customFormat="1" ht="15.75" customHeight="1" x14ac:dyDescent="0.3">
      <c r="A58" s="178"/>
      <c r="B58" s="178"/>
      <c r="C58" s="184"/>
      <c r="D58" s="178"/>
      <c r="E58" s="178"/>
      <c r="F58" s="178"/>
      <c r="G58" s="244">
        <f t="shared" si="26"/>
        <v>50</v>
      </c>
      <c r="H58" s="245">
        <f t="shared" si="7"/>
        <v>46235</v>
      </c>
      <c r="I58" s="246">
        <f t="shared" si="30"/>
        <v>0.20899999999999999</v>
      </c>
      <c r="J58" s="242">
        <f t="shared" si="0"/>
        <v>8289</v>
      </c>
      <c r="K58" s="242">
        <f t="shared" si="21"/>
        <v>8289</v>
      </c>
      <c r="L58" s="242">
        <f t="shared" si="8"/>
        <v>1486.8203659805979</v>
      </c>
      <c r="M58" s="242">
        <f t="shared" si="22"/>
        <v>6802.1796340194023</v>
      </c>
      <c r="N58" s="242">
        <f t="shared" si="1"/>
        <v>0</v>
      </c>
      <c r="O58" s="242">
        <v>0</v>
      </c>
      <c r="P58" s="242">
        <f t="shared" si="23"/>
        <v>1486.8203659805979</v>
      </c>
      <c r="Q58" s="242">
        <f t="shared" si="2"/>
        <v>0</v>
      </c>
      <c r="R58" s="242">
        <f t="shared" si="9"/>
        <v>0</v>
      </c>
      <c r="S58" s="242">
        <f t="shared" si="10"/>
        <v>76959.115871910268</v>
      </c>
      <c r="T58" s="467"/>
      <c r="U58" s="198">
        <f t="shared" si="27"/>
        <v>11</v>
      </c>
      <c r="V58" s="36">
        <f t="shared" si="11"/>
        <v>11</v>
      </c>
      <c r="W58" s="2" t="e">
        <f>IF(AND(G23&gt;=$W$11,G23&lt;=$W$11+5),0,IF($C$9&gt;$AF$51,ROUND(S22*#REF!/(DATEVALUE(CONCATENATE("01/01/",YEAR(H23)+1))-DATEVALUE(CONCATENATE("01/01/",YEAR(H23))))*(H23-H22),2),0))</f>
        <v>#REF!</v>
      </c>
      <c r="X58" s="34">
        <f t="shared" si="41"/>
        <v>8289</v>
      </c>
      <c r="Y58" s="57">
        <f t="shared" si="39"/>
        <v>50185</v>
      </c>
      <c r="AA58" s="170">
        <v>600000</v>
      </c>
      <c r="AB58" s="171">
        <v>600000</v>
      </c>
      <c r="AC58" s="2"/>
      <c r="AD58" s="2"/>
      <c r="AE58" s="2"/>
      <c r="AF58" s="2"/>
      <c r="AG58" s="2"/>
      <c r="AH58" s="2"/>
      <c r="AI58" s="2"/>
      <c r="AJ58" s="2"/>
      <c r="AK58" s="2"/>
      <c r="AL58" s="2">
        <f>IF(AND(Y14&gt;=$W$11,Y14&lt;=$W$11+5),0,IF($C$9&gt;$AF$51,ROUND(AI18*#REF!/(DATEVALUE(CONCATENATE("01/01/",YEAR(Z14)+1))-DATEVALUE(CONCATENATE("01/01/",YEAR(Z14))))*(Z14-Z13),2),0))</f>
        <v>0</v>
      </c>
      <c r="AM58" s="34">
        <f t="shared" si="43"/>
        <v>8289</v>
      </c>
      <c r="AN58" s="57">
        <f t="shared" si="42"/>
        <v>48725</v>
      </c>
      <c r="AO58" s="130">
        <f t="shared" si="12"/>
        <v>1</v>
      </c>
      <c r="AP58" s="553">
        <f t="shared" si="28"/>
        <v>50</v>
      </c>
      <c r="AQ58" s="554">
        <f t="shared" si="13"/>
        <v>46235</v>
      </c>
      <c r="AR58" s="555">
        <f t="shared" si="44"/>
        <v>0.20899999999999999</v>
      </c>
      <c r="AS58" s="546">
        <f t="shared" si="14"/>
        <v>8289</v>
      </c>
      <c r="AT58" s="546">
        <f t="shared" si="15"/>
        <v>8289</v>
      </c>
      <c r="AU58" s="546">
        <f t="shared" si="16"/>
        <v>1486.8203659805979</v>
      </c>
      <c r="AV58" s="546">
        <f t="shared" si="17"/>
        <v>6802.1796340194023</v>
      </c>
      <c r="AW58" s="546">
        <f t="shared" si="4"/>
        <v>0</v>
      </c>
      <c r="AX58" s="546">
        <v>0</v>
      </c>
      <c r="AY58" s="546">
        <f t="shared" si="18"/>
        <v>1486.8203659805979</v>
      </c>
      <c r="AZ58" s="546">
        <f t="shared" si="35"/>
        <v>0</v>
      </c>
      <c r="BA58" s="546">
        <f t="shared" si="34"/>
        <v>0</v>
      </c>
      <c r="BB58" s="546"/>
      <c r="BC58" s="546"/>
      <c r="BD58" s="546"/>
      <c r="BE58" s="546"/>
      <c r="BF58" s="546"/>
      <c r="BG58" s="546">
        <f t="shared" si="20"/>
        <v>76959.115871910268</v>
      </c>
      <c r="BH58" s="108">
        <f t="shared" si="29"/>
        <v>11</v>
      </c>
      <c r="BI58" s="108">
        <f t="shared" si="24"/>
        <v>11</v>
      </c>
      <c r="BJ58" s="22">
        <f t="shared" si="25"/>
        <v>46235</v>
      </c>
      <c r="BK58" s="108">
        <f t="shared" si="6"/>
        <v>8289</v>
      </c>
      <c r="BL58" s="2">
        <f>IF(AND(G13&gt;=$W$11,G13&lt;=$W$11+5),0,IF($C$9&gt;$AF$51,ROUND(BG12*IF(#REF!="",0,#REF!)/(DATEVALUE(CONCATENATE("01/01/",YEAR(AQ13)+1))-DATEVALUE(CONCATENATE("01/01/",YEAR(AQ13))))*(AQ13-AQ12),2),0))</f>
        <v>0</v>
      </c>
    </row>
    <row r="59" spans="1:64" s="16" customFormat="1" x14ac:dyDescent="0.3">
      <c r="A59" s="178"/>
      <c r="B59" s="178"/>
      <c r="C59" s="184"/>
      <c r="D59" s="178"/>
      <c r="E59" s="178"/>
      <c r="F59" s="178"/>
      <c r="G59" s="244">
        <f t="shared" si="26"/>
        <v>51</v>
      </c>
      <c r="H59" s="245">
        <f t="shared" si="7"/>
        <v>46266</v>
      </c>
      <c r="I59" s="246">
        <f t="shared" si="30"/>
        <v>0.20899999999999999</v>
      </c>
      <c r="J59" s="242">
        <f t="shared" si="0"/>
        <v>8289</v>
      </c>
      <c r="K59" s="242">
        <f t="shared" si="21"/>
        <v>8289</v>
      </c>
      <c r="L59" s="242">
        <f t="shared" si="8"/>
        <v>1366.0770184496071</v>
      </c>
      <c r="M59" s="242">
        <f t="shared" si="22"/>
        <v>6922.9229815503932</v>
      </c>
      <c r="N59" s="242">
        <f t="shared" si="1"/>
        <v>0</v>
      </c>
      <c r="O59" s="242">
        <v>0</v>
      </c>
      <c r="P59" s="242">
        <f t="shared" si="23"/>
        <v>1366.0770184496071</v>
      </c>
      <c r="Q59" s="242">
        <f t="shared" si="2"/>
        <v>0</v>
      </c>
      <c r="R59" s="242">
        <f t="shared" si="9"/>
        <v>0</v>
      </c>
      <c r="S59" s="242">
        <f t="shared" si="10"/>
        <v>70036.192890359875</v>
      </c>
      <c r="T59" s="467"/>
      <c r="U59" s="198">
        <f t="shared" si="27"/>
        <v>10</v>
      </c>
      <c r="V59" s="36">
        <f t="shared" si="11"/>
        <v>10</v>
      </c>
      <c r="W59" s="2" t="e">
        <f>IF(AND(G24&gt;=$W$11,G24&lt;=$W$11+5),0,IF($C$9&gt;$AF$51,ROUND(S23*#REF!/(DATEVALUE(CONCATENATE("01/01/",YEAR(H24)+1))-DATEVALUE(CONCATENATE("01/01/",YEAR(H24))))*(H24-H23),2),0))</f>
        <v>#REF!</v>
      </c>
      <c r="X59" s="34">
        <f t="shared" si="41"/>
        <v>8289</v>
      </c>
      <c r="Y59" s="57">
        <f t="shared" si="39"/>
        <v>50550</v>
      </c>
      <c r="AA59" s="171">
        <v>1000000</v>
      </c>
      <c r="AB59" s="171">
        <v>1000000</v>
      </c>
      <c r="AC59" s="144" t="s">
        <v>330</v>
      </c>
      <c r="AD59" s="144" t="s">
        <v>111</v>
      </c>
      <c r="AE59" s="145" t="s">
        <v>114</v>
      </c>
      <c r="AF59" s="144" t="s">
        <v>367</v>
      </c>
      <c r="AG59" s="2" t="s">
        <v>35</v>
      </c>
      <c r="AH59" s="144" t="s">
        <v>118</v>
      </c>
      <c r="AI59" s="144" t="s">
        <v>119</v>
      </c>
      <c r="AJ59" s="145" t="s">
        <v>120</v>
      </c>
      <c r="AK59" s="2" t="s">
        <v>35</v>
      </c>
      <c r="AL59" s="2">
        <f>IF(AND(Y15&gt;=$W$11,Y15&lt;=$W$11+5),0,IF($C$9&gt;$AF$51,ROUND(AI19*#REF!/(DATEVALUE(CONCATENATE("01/01/",YEAR(Z15)+1))-DATEVALUE(CONCATENATE("01/01/",YEAR(Z15))))*(Z15-Z14),2),0))</f>
        <v>0</v>
      </c>
      <c r="AM59" s="34">
        <f t="shared" si="43"/>
        <v>8289</v>
      </c>
      <c r="AN59" s="57">
        <f t="shared" si="42"/>
        <v>49090</v>
      </c>
      <c r="AO59" s="130">
        <f t="shared" si="12"/>
        <v>1</v>
      </c>
      <c r="AP59" s="553">
        <f t="shared" si="28"/>
        <v>51</v>
      </c>
      <c r="AQ59" s="554">
        <f t="shared" si="13"/>
        <v>46266</v>
      </c>
      <c r="AR59" s="555">
        <f t="shared" si="44"/>
        <v>0.20899999999999999</v>
      </c>
      <c r="AS59" s="546">
        <f t="shared" si="14"/>
        <v>8289</v>
      </c>
      <c r="AT59" s="546">
        <f t="shared" si="15"/>
        <v>8289</v>
      </c>
      <c r="AU59" s="546">
        <f t="shared" si="16"/>
        <v>1366.0770184496071</v>
      </c>
      <c r="AV59" s="546">
        <f t="shared" si="17"/>
        <v>6922.9229815503932</v>
      </c>
      <c r="AW59" s="546">
        <f t="shared" si="4"/>
        <v>0</v>
      </c>
      <c r="AX59" s="546">
        <v>0</v>
      </c>
      <c r="AY59" s="546">
        <f t="shared" si="18"/>
        <v>1366.0770184496071</v>
      </c>
      <c r="AZ59" s="546">
        <f t="shared" si="35"/>
        <v>0</v>
      </c>
      <c r="BA59" s="546">
        <f t="shared" si="34"/>
        <v>0</v>
      </c>
      <c r="BB59" s="546"/>
      <c r="BC59" s="546"/>
      <c r="BD59" s="546"/>
      <c r="BE59" s="546"/>
      <c r="BF59" s="546"/>
      <c r="BG59" s="546">
        <f t="shared" si="20"/>
        <v>70036.192890359875</v>
      </c>
      <c r="BH59" s="108">
        <f t="shared" si="29"/>
        <v>10</v>
      </c>
      <c r="BI59" s="108">
        <f t="shared" si="24"/>
        <v>10</v>
      </c>
      <c r="BJ59" s="22">
        <f t="shared" si="25"/>
        <v>46266</v>
      </c>
      <c r="BK59" s="108">
        <f t="shared" si="6"/>
        <v>8289</v>
      </c>
      <c r="BL59" s="2" t="e">
        <f>IF(AND(G14&gt;=$W$11,G14&lt;=$W$11+5),0,IF($C$9&gt;$AF$51,ROUND(BG13*IF(#REF!="",0,#REF!)/(DATEVALUE(CONCATENATE("01/01/",YEAR(AQ14)+1))-DATEVALUE(CONCATENATE("01/01/",YEAR(AQ14))))*(AQ14-AQ13),2),0))</f>
        <v>#REF!</v>
      </c>
    </row>
    <row r="60" spans="1:64" s="16" customFormat="1" x14ac:dyDescent="0.3">
      <c r="A60" s="178"/>
      <c r="B60" s="178"/>
      <c r="C60" s="525"/>
      <c r="D60" s="182"/>
      <c r="E60" s="178"/>
      <c r="F60" s="178"/>
      <c r="G60" s="244">
        <f t="shared" si="26"/>
        <v>52</v>
      </c>
      <c r="H60" s="245">
        <f t="shared" si="7"/>
        <v>46296</v>
      </c>
      <c r="I60" s="246">
        <f t="shared" si="30"/>
        <v>0.20899999999999999</v>
      </c>
      <c r="J60" s="242">
        <f t="shared" si="0"/>
        <v>8289</v>
      </c>
      <c r="K60" s="242">
        <f t="shared" si="21"/>
        <v>8289</v>
      </c>
      <c r="L60" s="242">
        <f t="shared" si="8"/>
        <v>1203.0874778700174</v>
      </c>
      <c r="M60" s="242">
        <f t="shared" si="22"/>
        <v>7085.9125221299828</v>
      </c>
      <c r="N60" s="242">
        <f t="shared" si="1"/>
        <v>0</v>
      </c>
      <c r="O60" s="242">
        <v>0</v>
      </c>
      <c r="P60" s="242">
        <f t="shared" si="23"/>
        <v>1203.0874778700174</v>
      </c>
      <c r="Q60" s="242">
        <f t="shared" si="2"/>
        <v>0</v>
      </c>
      <c r="R60" s="242">
        <f t="shared" si="9"/>
        <v>0</v>
      </c>
      <c r="S60" s="242">
        <f t="shared" si="10"/>
        <v>62950.280368229891</v>
      </c>
      <c r="T60" s="467"/>
      <c r="U60" s="198">
        <f t="shared" si="27"/>
        <v>9</v>
      </c>
      <c r="V60" s="36">
        <f t="shared" si="11"/>
        <v>9</v>
      </c>
      <c r="W60" s="2" t="e">
        <f>IF(AND(G25&gt;=$W$11,G25&lt;=$W$11+5),0,IF($C$9&gt;$AF$51,ROUND(S24*#REF!/(DATEVALUE(CONCATENATE("01/01/",YEAR(H25)+1))-DATEVALUE(CONCATENATE("01/01/",YEAR(H25))))*(H25-H24),2),0))</f>
        <v>#REF!</v>
      </c>
      <c r="X60" s="34">
        <f t="shared" si="41"/>
        <v>8289</v>
      </c>
      <c r="Y60" s="57">
        <f t="shared" si="39"/>
        <v>50915</v>
      </c>
      <c r="AA60" s="171"/>
      <c r="AB60" s="171">
        <v>3000000</v>
      </c>
      <c r="AC60" s="133" t="s">
        <v>318</v>
      </c>
      <c r="AD60" s="155"/>
      <c r="AE60" s="155"/>
      <c r="AF60" s="155"/>
      <c r="AG60" s="155"/>
      <c r="AH60" s="155"/>
      <c r="AI60" s="155"/>
      <c r="AJ60" s="155"/>
      <c r="AK60" s="2"/>
      <c r="AL60" s="2">
        <f>IF(AND(Y16&gt;=$W$11,Y16&lt;=$W$11+5),0,IF($C$9&gt;$AF$51,ROUND(AI20*#REF!/(DATEVALUE(CONCATENATE("01/01/",YEAR(Z16)+1))-DATEVALUE(CONCATENATE("01/01/",YEAR(Z16))))*(Z16-Z15),2),0))</f>
        <v>0</v>
      </c>
      <c r="AM60" s="34">
        <f t="shared" si="43"/>
        <v>8289</v>
      </c>
      <c r="AN60" s="57">
        <f t="shared" si="42"/>
        <v>49455</v>
      </c>
      <c r="AO60" s="130">
        <f t="shared" si="12"/>
        <v>1</v>
      </c>
      <c r="AP60" s="553">
        <f t="shared" si="28"/>
        <v>52</v>
      </c>
      <c r="AQ60" s="554">
        <f t="shared" si="13"/>
        <v>46296</v>
      </c>
      <c r="AR60" s="555">
        <f t="shared" si="44"/>
        <v>0.20899999999999999</v>
      </c>
      <c r="AS60" s="546">
        <f t="shared" si="14"/>
        <v>8289</v>
      </c>
      <c r="AT60" s="546">
        <f t="shared" si="15"/>
        <v>8289</v>
      </c>
      <c r="AU60" s="546">
        <f t="shared" si="16"/>
        <v>1203.0874778700174</v>
      </c>
      <c r="AV60" s="546">
        <f t="shared" si="17"/>
        <v>7085.9125221299828</v>
      </c>
      <c r="AW60" s="546">
        <f t="shared" si="4"/>
        <v>0</v>
      </c>
      <c r="AX60" s="546">
        <v>0</v>
      </c>
      <c r="AY60" s="546">
        <f t="shared" si="18"/>
        <v>1203.0874778700174</v>
      </c>
      <c r="AZ60" s="546">
        <f t="shared" si="35"/>
        <v>0</v>
      </c>
      <c r="BA60" s="546">
        <f t="shared" si="34"/>
        <v>0</v>
      </c>
      <c r="BB60" s="546"/>
      <c r="BC60" s="546"/>
      <c r="BD60" s="546"/>
      <c r="BE60" s="546"/>
      <c r="BF60" s="546"/>
      <c r="BG60" s="546">
        <f t="shared" si="20"/>
        <v>62950.280368229891</v>
      </c>
      <c r="BH60" s="108">
        <f t="shared" si="29"/>
        <v>9</v>
      </c>
      <c r="BI60" s="108">
        <f t="shared" si="24"/>
        <v>9</v>
      </c>
      <c r="BJ60" s="22">
        <f t="shared" si="25"/>
        <v>46296</v>
      </c>
      <c r="BK60" s="108">
        <f t="shared" si="6"/>
        <v>8289</v>
      </c>
      <c r="BL60" s="2" t="e">
        <f>IF(AND(G15&gt;=$W$11,G15&lt;=$W$11+5),0,IF($C$9&gt;$AF$51,ROUND(BG14*IF(#REF!="",0,#REF!)/(DATEVALUE(CONCATENATE("01/01/",YEAR(AQ15)+1))-DATEVALUE(CONCATENATE("01/01/",YEAR(AQ15))))*(AQ15-AQ14),2),0))</f>
        <v>#REF!</v>
      </c>
    </row>
    <row r="61" spans="1:64" s="16" customFormat="1" ht="15.75" customHeight="1" x14ac:dyDescent="0.3">
      <c r="A61" s="178"/>
      <c r="B61" s="178"/>
      <c r="C61" s="184"/>
      <c r="D61" s="182"/>
      <c r="E61" s="178"/>
      <c r="F61" s="178"/>
      <c r="G61" s="244">
        <f t="shared" si="26"/>
        <v>53</v>
      </c>
      <c r="H61" s="245">
        <f t="shared" si="7"/>
        <v>46327</v>
      </c>
      <c r="I61" s="246">
        <f t="shared" si="30"/>
        <v>0.20899999999999999</v>
      </c>
      <c r="J61" s="242">
        <f t="shared" si="0"/>
        <v>8289</v>
      </c>
      <c r="K61" s="242">
        <f t="shared" si="21"/>
        <v>8289</v>
      </c>
      <c r="L61" s="242">
        <f t="shared" si="8"/>
        <v>1117.4105931664697</v>
      </c>
      <c r="M61" s="242">
        <f t="shared" si="22"/>
        <v>7171.5894068335301</v>
      </c>
      <c r="N61" s="242">
        <f t="shared" si="1"/>
        <v>0</v>
      </c>
      <c r="O61" s="242">
        <v>0</v>
      </c>
      <c r="P61" s="242">
        <f t="shared" si="23"/>
        <v>1117.4105931664697</v>
      </c>
      <c r="Q61" s="242">
        <f t="shared" si="2"/>
        <v>0</v>
      </c>
      <c r="R61" s="242">
        <f t="shared" si="9"/>
        <v>0</v>
      </c>
      <c r="S61" s="242">
        <f t="shared" si="10"/>
        <v>55778.690961396358</v>
      </c>
      <c r="T61" s="467"/>
      <c r="U61" s="198">
        <f t="shared" si="27"/>
        <v>8</v>
      </c>
      <c r="V61" s="36">
        <f t="shared" si="11"/>
        <v>8</v>
      </c>
      <c r="W61" s="2" t="e">
        <f>IF(AND(G26&gt;=$W$11,G26&lt;=$W$11+5),0,IF($C$9&gt;$AF$51,ROUND(S25*#REF!/(DATEVALUE(CONCATENATE("01/01/",YEAR(H26)+1))-DATEVALUE(CONCATENATE("01/01/",YEAR(H26))))*(H26-H25),2),0))</f>
        <v>#REF!</v>
      </c>
      <c r="X61" s="34">
        <f t="shared" si="41"/>
        <v>8289</v>
      </c>
      <c r="Y61" s="57">
        <f t="shared" si="39"/>
        <v>51280</v>
      </c>
      <c r="AB61" s="172"/>
      <c r="AC61" s="133">
        <v>3.5000000000000001E-3</v>
      </c>
      <c r="AD61" s="133">
        <v>3.5000000000000001E-3</v>
      </c>
      <c r="AE61" s="133">
        <v>2.5000000000000001E-3</v>
      </c>
      <c r="AF61" s="133">
        <v>3.5000000000000001E-3</v>
      </c>
      <c r="AG61" s="133">
        <v>0</v>
      </c>
      <c r="AH61" s="133">
        <v>1E-3</v>
      </c>
      <c r="AI61" s="133">
        <v>4.0000000000000001E-3</v>
      </c>
      <c r="AJ61" s="133">
        <v>0</v>
      </c>
      <c r="AK61" s="2"/>
      <c r="AL61" s="2">
        <f>IF(AND(Y17&gt;=$W$11,Y17&lt;=$W$11+5),0,IF($C$9&gt;$AF$51,ROUND(AI21*#REF!/(DATEVALUE(CONCATENATE("01/01/",YEAR(Z17)+1))-DATEVALUE(CONCATENATE("01/01/",YEAR(Z17))))*(Z17-Z16),2),0))</f>
        <v>0</v>
      </c>
      <c r="AM61" s="34">
        <f t="shared" si="43"/>
        <v>8289</v>
      </c>
      <c r="AN61" s="57">
        <f t="shared" si="42"/>
        <v>49820</v>
      </c>
      <c r="AO61" s="130">
        <f t="shared" si="12"/>
        <v>1</v>
      </c>
      <c r="AP61" s="553">
        <f t="shared" si="28"/>
        <v>53</v>
      </c>
      <c r="AQ61" s="554">
        <f t="shared" si="13"/>
        <v>46327</v>
      </c>
      <c r="AR61" s="555">
        <f t="shared" si="44"/>
        <v>0.20899999999999999</v>
      </c>
      <c r="AS61" s="546">
        <f t="shared" si="14"/>
        <v>8289</v>
      </c>
      <c r="AT61" s="546">
        <f t="shared" si="15"/>
        <v>8289</v>
      </c>
      <c r="AU61" s="546">
        <f t="shared" si="16"/>
        <v>1117.4105931664697</v>
      </c>
      <c r="AV61" s="546">
        <f t="shared" si="17"/>
        <v>7171.5894068335301</v>
      </c>
      <c r="AW61" s="546">
        <f t="shared" si="4"/>
        <v>0</v>
      </c>
      <c r="AX61" s="546">
        <v>0</v>
      </c>
      <c r="AY61" s="546">
        <f t="shared" si="18"/>
        <v>1117.4105931664697</v>
      </c>
      <c r="AZ61" s="546">
        <f t="shared" si="35"/>
        <v>0</v>
      </c>
      <c r="BA61" s="546">
        <f t="shared" si="34"/>
        <v>0</v>
      </c>
      <c r="BB61" s="546"/>
      <c r="BC61" s="546"/>
      <c r="BD61" s="546"/>
      <c r="BE61" s="546"/>
      <c r="BF61" s="546"/>
      <c r="BG61" s="546">
        <f t="shared" si="20"/>
        <v>55778.690961396358</v>
      </c>
      <c r="BH61" s="108">
        <f t="shared" si="29"/>
        <v>8</v>
      </c>
      <c r="BI61" s="108">
        <f t="shared" si="24"/>
        <v>8</v>
      </c>
      <c r="BJ61" s="22">
        <f t="shared" si="25"/>
        <v>46327</v>
      </c>
      <c r="BK61" s="108">
        <f t="shared" si="6"/>
        <v>8289</v>
      </c>
      <c r="BL61" s="2" t="e">
        <f>IF(AND(G16&gt;=$W$11,G16&lt;=$W$11+5),0,IF($C$9&gt;$AF$51,ROUND(BG15*IF(#REF!="",0,#REF!)/(DATEVALUE(CONCATENATE("01/01/",YEAR(AQ16)+1))-DATEVALUE(CONCATENATE("01/01/",YEAR(AQ16))))*(AQ16-AQ15),2),0))</f>
        <v>#REF!</v>
      </c>
    </row>
    <row r="62" spans="1:64" s="16" customFormat="1" x14ac:dyDescent="0.3">
      <c r="A62" s="178"/>
      <c r="B62" s="178"/>
      <c r="C62" s="184"/>
      <c r="D62" s="178"/>
      <c r="E62" s="178"/>
      <c r="F62" s="178"/>
      <c r="G62" s="244">
        <f t="shared" si="26"/>
        <v>54</v>
      </c>
      <c r="H62" s="245">
        <f t="shared" si="7"/>
        <v>46357</v>
      </c>
      <c r="I62" s="246">
        <f t="shared" si="30"/>
        <v>0.20899999999999999</v>
      </c>
      <c r="J62" s="242">
        <f t="shared" si="0"/>
        <v>8289</v>
      </c>
      <c r="K62" s="242">
        <f t="shared" si="21"/>
        <v>8289</v>
      </c>
      <c r="L62" s="242">
        <f t="shared" si="8"/>
        <v>958.17093788480861</v>
      </c>
      <c r="M62" s="242">
        <f t="shared" si="22"/>
        <v>7330.8290621151918</v>
      </c>
      <c r="N62" s="242">
        <f t="shared" si="1"/>
        <v>0</v>
      </c>
      <c r="O62" s="242">
        <v>0</v>
      </c>
      <c r="P62" s="242">
        <f t="shared" si="23"/>
        <v>958.17093788480861</v>
      </c>
      <c r="Q62" s="242">
        <f t="shared" si="2"/>
        <v>0</v>
      </c>
      <c r="R62" s="242">
        <f t="shared" si="9"/>
        <v>0</v>
      </c>
      <c r="S62" s="242">
        <f t="shared" si="10"/>
        <v>48447.861899281168</v>
      </c>
      <c r="T62" s="467"/>
      <c r="U62" s="198">
        <f t="shared" si="27"/>
        <v>7</v>
      </c>
      <c r="V62" s="36">
        <f t="shared" si="11"/>
        <v>7</v>
      </c>
      <c r="W62" s="2" t="e">
        <f>IF(AND(G27&gt;=$W$11,G27&lt;=$W$11+5),0,IF($C$9&gt;$AF$51,ROUND(S26*#REF!/(DATEVALUE(CONCATENATE("01/01/",YEAR(H27)+1))-DATEVALUE(CONCATENATE("01/01/",YEAR(H27))))*(H27-H26),2),0))</f>
        <v>#REF!</v>
      </c>
      <c r="X62" s="34">
        <f t="shared" si="41"/>
        <v>8289</v>
      </c>
      <c r="Y62" s="57">
        <f t="shared" si="39"/>
        <v>51645</v>
      </c>
      <c r="AC62" s="133">
        <v>3.0000000000000001E-3</v>
      </c>
      <c r="AD62" s="133">
        <v>3.0000000000000001E-3</v>
      </c>
      <c r="AE62" s="133">
        <v>2.5000000000000001E-3</v>
      </c>
      <c r="AF62" s="133">
        <v>3.0000000000000001E-3</v>
      </c>
      <c r="AG62" s="133">
        <v>0</v>
      </c>
      <c r="AH62" s="133">
        <v>1E-3</v>
      </c>
      <c r="AI62" s="133">
        <v>4.0000000000000001E-3</v>
      </c>
      <c r="AJ62" s="133">
        <v>0</v>
      </c>
      <c r="AK62" s="2"/>
      <c r="AL62" s="2">
        <f>IF(AND(Y18&gt;=$W$11,Y18&lt;=$W$11+5),0,IF($C$9&gt;$AF$51,ROUND(AI22*#REF!/(DATEVALUE(CONCATENATE("01/01/",YEAR(Z18)+1))-DATEVALUE(CONCATENATE("01/01/",YEAR(Z18))))*(Z18-Z17),2),0))</f>
        <v>0</v>
      </c>
      <c r="AM62" s="34">
        <f t="shared" si="43"/>
        <v>8289</v>
      </c>
      <c r="AN62" s="57">
        <f t="shared" si="42"/>
        <v>50185</v>
      </c>
      <c r="AO62" s="130">
        <f t="shared" si="12"/>
        <v>1</v>
      </c>
      <c r="AP62" s="553">
        <f t="shared" si="28"/>
        <v>54</v>
      </c>
      <c r="AQ62" s="554">
        <f t="shared" si="13"/>
        <v>46357</v>
      </c>
      <c r="AR62" s="555">
        <f t="shared" si="44"/>
        <v>0.20899999999999999</v>
      </c>
      <c r="AS62" s="546">
        <f t="shared" si="14"/>
        <v>8289</v>
      </c>
      <c r="AT62" s="546">
        <f t="shared" si="15"/>
        <v>8289</v>
      </c>
      <c r="AU62" s="546">
        <f t="shared" si="16"/>
        <v>958.17093788480861</v>
      </c>
      <c r="AV62" s="546">
        <f t="shared" si="17"/>
        <v>7330.8290621151918</v>
      </c>
      <c r="AW62" s="546">
        <f t="shared" si="4"/>
        <v>0</v>
      </c>
      <c r="AX62" s="546">
        <v>0</v>
      </c>
      <c r="AY62" s="546">
        <f t="shared" si="18"/>
        <v>958.17093788480861</v>
      </c>
      <c r="AZ62" s="546">
        <f t="shared" si="35"/>
        <v>0</v>
      </c>
      <c r="BA62" s="546">
        <f t="shared" si="34"/>
        <v>0</v>
      </c>
      <c r="BB62" s="546"/>
      <c r="BC62" s="546"/>
      <c r="BD62" s="546"/>
      <c r="BE62" s="546"/>
      <c r="BF62" s="546"/>
      <c r="BG62" s="546">
        <f t="shared" si="20"/>
        <v>48447.861899281168</v>
      </c>
      <c r="BH62" s="108">
        <f t="shared" si="29"/>
        <v>7</v>
      </c>
      <c r="BI62" s="108">
        <f t="shared" si="24"/>
        <v>7</v>
      </c>
      <c r="BJ62" s="22">
        <f t="shared" si="25"/>
        <v>46357</v>
      </c>
      <c r="BK62" s="108">
        <f t="shared" si="6"/>
        <v>8289</v>
      </c>
      <c r="BL62" s="2" t="e">
        <f>IF(AND(G17&gt;=$W$11,G17&lt;=$W$11+5),0,IF($C$9&gt;$AF$51,ROUND(BG16*IF(#REF!="",0,#REF!)/(DATEVALUE(CONCATENATE("01/01/",YEAR(AQ17)+1))-DATEVALUE(CONCATENATE("01/01/",YEAR(AQ17))))*(AQ17-AQ16),2),0))</f>
        <v>#REF!</v>
      </c>
    </row>
    <row r="63" spans="1:64" s="16" customFormat="1" x14ac:dyDescent="0.3">
      <c r="A63" s="178"/>
      <c r="B63" s="178"/>
      <c r="C63" s="184"/>
      <c r="D63" s="178"/>
      <c r="E63" s="178"/>
      <c r="F63" s="178"/>
      <c r="G63" s="244">
        <f t="shared" si="26"/>
        <v>55</v>
      </c>
      <c r="H63" s="245">
        <f t="shared" si="7"/>
        <v>46388</v>
      </c>
      <c r="I63" s="246">
        <f t="shared" si="30"/>
        <v>0.20899999999999999</v>
      </c>
      <c r="J63" s="242">
        <f t="shared" si="0"/>
        <v>8289</v>
      </c>
      <c r="K63" s="242">
        <f t="shared" si="21"/>
        <v>8289</v>
      </c>
      <c r="L63" s="242">
        <f t="shared" si="8"/>
        <v>859.98273217929489</v>
      </c>
      <c r="M63" s="242">
        <f t="shared" si="22"/>
        <v>7429.0172678207055</v>
      </c>
      <c r="N63" s="242">
        <f t="shared" si="1"/>
        <v>0</v>
      </c>
      <c r="O63" s="242">
        <v>0</v>
      </c>
      <c r="P63" s="242">
        <f t="shared" si="23"/>
        <v>859.98273217929489</v>
      </c>
      <c r="Q63" s="242">
        <f t="shared" si="2"/>
        <v>0</v>
      </c>
      <c r="R63" s="242">
        <f t="shared" si="9"/>
        <v>0</v>
      </c>
      <c r="S63" s="242">
        <f t="shared" si="10"/>
        <v>41018.844631460466</v>
      </c>
      <c r="T63" s="467"/>
      <c r="U63" s="198">
        <f t="shared" si="27"/>
        <v>6</v>
      </c>
      <c r="V63" s="36">
        <f t="shared" si="11"/>
        <v>6</v>
      </c>
      <c r="W63" s="2" t="e">
        <f>IF(AND(G28&gt;=$W$11,G28&lt;=$W$11+5),0,IF($C$9&gt;$AF$51,ROUND(S27*#REF!/(DATEVALUE(CONCATENATE("01/01/",YEAR(H28)+1))-DATEVALUE(CONCATENATE("01/01/",YEAR(H28))))*(H28-H27),2),0))</f>
        <v>#REF!</v>
      </c>
      <c r="X63" s="34">
        <f t="shared" si="41"/>
        <v>8289</v>
      </c>
      <c r="Y63" s="57">
        <f t="shared" si="39"/>
        <v>52010</v>
      </c>
      <c r="AC63" s="133">
        <v>2.5000000000000001E-3</v>
      </c>
      <c r="AD63" s="133">
        <v>2.5000000000000001E-3</v>
      </c>
      <c r="AE63" s="133">
        <v>2.5000000000000001E-3</v>
      </c>
      <c r="AF63" s="133">
        <v>2.5000000000000001E-3</v>
      </c>
      <c r="AG63" s="133">
        <v>0</v>
      </c>
      <c r="AH63" s="133">
        <v>1E-3</v>
      </c>
      <c r="AI63" s="133">
        <v>3.2000000000000002E-3</v>
      </c>
      <c r="AJ63" s="133">
        <v>0</v>
      </c>
      <c r="AL63" s="2">
        <f>IF(AND(Y19&gt;=$W$11,Y19&lt;=$W$11+5),0,IF($C$9&gt;$AF$51,ROUND(AI23*#REF!/(DATEVALUE(CONCATENATE("01/01/",YEAR(Z19)+1))-DATEVALUE(CONCATENATE("01/01/",YEAR(Z19))))*(Z19-Z18),2),0))</f>
        <v>0</v>
      </c>
      <c r="AM63" s="34">
        <f t="shared" si="43"/>
        <v>8289</v>
      </c>
      <c r="AN63" s="57">
        <f t="shared" si="42"/>
        <v>50550</v>
      </c>
      <c r="AO63" s="130">
        <f t="shared" si="12"/>
        <v>1</v>
      </c>
      <c r="AP63" s="553">
        <f t="shared" si="28"/>
        <v>55</v>
      </c>
      <c r="AQ63" s="554">
        <f t="shared" si="13"/>
        <v>46388</v>
      </c>
      <c r="AR63" s="555">
        <f t="shared" si="44"/>
        <v>0.20899999999999999</v>
      </c>
      <c r="AS63" s="546">
        <f t="shared" si="14"/>
        <v>8289</v>
      </c>
      <c r="AT63" s="546">
        <f t="shared" si="15"/>
        <v>8289</v>
      </c>
      <c r="AU63" s="546">
        <f t="shared" si="16"/>
        <v>859.98273217929489</v>
      </c>
      <c r="AV63" s="546">
        <f t="shared" si="17"/>
        <v>7429.0172678207055</v>
      </c>
      <c r="AW63" s="546">
        <f t="shared" si="4"/>
        <v>0</v>
      </c>
      <c r="AX63" s="546">
        <v>0</v>
      </c>
      <c r="AY63" s="546">
        <f t="shared" si="18"/>
        <v>859.98273217929489</v>
      </c>
      <c r="AZ63" s="546">
        <f t="shared" si="35"/>
        <v>0</v>
      </c>
      <c r="BA63" s="546">
        <f t="shared" si="34"/>
        <v>0</v>
      </c>
      <c r="BB63" s="546"/>
      <c r="BC63" s="546"/>
      <c r="BD63" s="546"/>
      <c r="BE63" s="546"/>
      <c r="BF63" s="546"/>
      <c r="BG63" s="546">
        <f t="shared" si="20"/>
        <v>41018.844631460466</v>
      </c>
      <c r="BH63" s="108">
        <f t="shared" si="29"/>
        <v>6</v>
      </c>
      <c r="BI63" s="108">
        <f t="shared" si="24"/>
        <v>6</v>
      </c>
      <c r="BJ63" s="22">
        <f t="shared" si="25"/>
        <v>46388</v>
      </c>
      <c r="BK63" s="108">
        <f t="shared" si="6"/>
        <v>8289</v>
      </c>
      <c r="BL63" s="2" t="e">
        <f>IF(AND(G18&gt;=$W$11,G18&lt;=$W$11+5),0,IF($C$9&gt;$AF$51,ROUND(BG17*IF(#REF!="",0,#REF!)/(DATEVALUE(CONCATENATE("01/01/",YEAR(AQ18)+1))-DATEVALUE(CONCATENATE("01/01/",YEAR(AQ18))))*(AQ18-AQ17),2),0))</f>
        <v>#REF!</v>
      </c>
    </row>
    <row r="64" spans="1:64" s="16" customFormat="1" x14ac:dyDescent="0.3">
      <c r="A64" s="178"/>
      <c r="B64" s="178"/>
      <c r="C64" s="184"/>
      <c r="D64" s="178"/>
      <c r="E64" s="178"/>
      <c r="F64" s="178"/>
      <c r="G64" s="244">
        <f t="shared" si="26"/>
        <v>56</v>
      </c>
      <c r="H64" s="245">
        <f t="shared" si="7"/>
        <v>46419</v>
      </c>
      <c r="I64" s="246">
        <f t="shared" si="30"/>
        <v>0.20899999999999999</v>
      </c>
      <c r="J64" s="242">
        <f t="shared" si="0"/>
        <v>8289</v>
      </c>
      <c r="K64" s="242">
        <f t="shared" si="21"/>
        <v>8289</v>
      </c>
      <c r="L64" s="242">
        <f t="shared" si="8"/>
        <v>728.1125873074858</v>
      </c>
      <c r="M64" s="242">
        <f t="shared" si="22"/>
        <v>7560.8874126925139</v>
      </c>
      <c r="N64" s="242">
        <f t="shared" si="1"/>
        <v>0</v>
      </c>
      <c r="O64" s="242">
        <v>0</v>
      </c>
      <c r="P64" s="242">
        <f t="shared" si="23"/>
        <v>728.1125873074858</v>
      </c>
      <c r="Q64" s="242">
        <f t="shared" si="2"/>
        <v>0</v>
      </c>
      <c r="R64" s="242">
        <f t="shared" si="9"/>
        <v>0</v>
      </c>
      <c r="S64" s="242">
        <f t="shared" si="10"/>
        <v>33457.957218767951</v>
      </c>
      <c r="T64" s="467"/>
      <c r="U64" s="198">
        <f t="shared" si="27"/>
        <v>5</v>
      </c>
      <c r="V64" s="36">
        <f t="shared" si="11"/>
        <v>5</v>
      </c>
      <c r="W64" s="2" t="e">
        <f>IF(AND(G29&gt;=$W$11,G29&lt;=$W$11+5),0,IF($C$9&gt;$AF$51,ROUND(S28*#REF!/(DATEVALUE(CONCATENATE("01/01/",YEAR(H29)+1))-DATEVALUE(CONCATENATE("01/01/",YEAR(H29))))*(H29-H28),2),0))</f>
        <v>#REF!</v>
      </c>
      <c r="X64" s="34">
        <f t="shared" si="41"/>
        <v>8289</v>
      </c>
      <c r="Y64" s="57">
        <f t="shared" si="39"/>
        <v>52375</v>
      </c>
      <c r="AC64" s="133">
        <v>2E-3</v>
      </c>
      <c r="AD64" s="133">
        <v>2E-3</v>
      </c>
      <c r="AE64" s="155"/>
      <c r="AF64" s="133">
        <v>2E-3</v>
      </c>
      <c r="AG64" s="133">
        <v>0</v>
      </c>
      <c r="AH64" s="133">
        <v>1E-3</v>
      </c>
      <c r="AI64" s="133">
        <v>2E-3</v>
      </c>
      <c r="AJ64" s="133">
        <v>0</v>
      </c>
      <c r="AL64" s="2">
        <f>IF(AND(Y20&gt;=$W$11,Y20&lt;=$W$11+5),0,IF($C$9&gt;$AF$51,ROUND(AI24*#REF!/(DATEVALUE(CONCATENATE("01/01/",YEAR(Z20)+1))-DATEVALUE(CONCATENATE("01/01/",YEAR(Z20))))*(Z20-Z19),2),0))</f>
        <v>0</v>
      </c>
      <c r="AM64" s="34">
        <f t="shared" si="43"/>
        <v>8289</v>
      </c>
      <c r="AN64" s="57">
        <f t="shared" si="42"/>
        <v>50915</v>
      </c>
      <c r="AO64" s="130">
        <f t="shared" si="12"/>
        <v>1</v>
      </c>
      <c r="AP64" s="553">
        <f t="shared" si="28"/>
        <v>56</v>
      </c>
      <c r="AQ64" s="554">
        <f t="shared" si="13"/>
        <v>46419</v>
      </c>
      <c r="AR64" s="555">
        <f t="shared" si="44"/>
        <v>0.20899999999999999</v>
      </c>
      <c r="AS64" s="546">
        <f t="shared" si="14"/>
        <v>8289</v>
      </c>
      <c r="AT64" s="546">
        <f t="shared" si="15"/>
        <v>8289</v>
      </c>
      <c r="AU64" s="546">
        <f t="shared" si="16"/>
        <v>728.1125873074858</v>
      </c>
      <c r="AV64" s="546">
        <f t="shared" si="17"/>
        <v>7560.8874126925139</v>
      </c>
      <c r="AW64" s="546">
        <f t="shared" si="4"/>
        <v>0</v>
      </c>
      <c r="AX64" s="546">
        <v>0</v>
      </c>
      <c r="AY64" s="546">
        <f t="shared" si="18"/>
        <v>728.1125873074858</v>
      </c>
      <c r="AZ64" s="546">
        <f t="shared" si="35"/>
        <v>0</v>
      </c>
      <c r="BA64" s="546">
        <f t="shared" si="34"/>
        <v>0</v>
      </c>
      <c r="BB64" s="546"/>
      <c r="BC64" s="546"/>
      <c r="BD64" s="546"/>
      <c r="BE64" s="546"/>
      <c r="BF64" s="546"/>
      <c r="BG64" s="546">
        <f t="shared" si="20"/>
        <v>33457.957218767951</v>
      </c>
      <c r="BH64" s="108">
        <f t="shared" si="29"/>
        <v>5</v>
      </c>
      <c r="BI64" s="108">
        <f t="shared" si="24"/>
        <v>5</v>
      </c>
      <c r="BJ64" s="22">
        <f t="shared" si="25"/>
        <v>46419</v>
      </c>
      <c r="BK64" s="108">
        <f t="shared" si="6"/>
        <v>8289</v>
      </c>
      <c r="BL64" s="2" t="e">
        <f>IF(AND(G19&gt;=$W$11,G19&lt;=$W$11+5),0,IF($C$9&gt;$AF$51,ROUND(BG18*IF(#REF!="",0,#REF!)/(DATEVALUE(CONCATENATE("01/01/",YEAR(AQ19)+1))-DATEVALUE(CONCATENATE("01/01/",YEAR(AQ19))))*(AQ19-AQ18),2),0))</f>
        <v>#REF!</v>
      </c>
    </row>
    <row r="65" spans="1:64" s="16" customFormat="1" x14ac:dyDescent="0.3">
      <c r="A65" s="178"/>
      <c r="B65" s="178"/>
      <c r="C65" s="184"/>
      <c r="D65" s="178"/>
      <c r="E65" s="178"/>
      <c r="F65" s="178"/>
      <c r="G65" s="244">
        <f t="shared" si="26"/>
        <v>57</v>
      </c>
      <c r="H65" s="245">
        <f t="shared" si="7"/>
        <v>46447</v>
      </c>
      <c r="I65" s="246">
        <f t="shared" si="30"/>
        <v>0.20899999999999999</v>
      </c>
      <c r="J65" s="242">
        <f t="shared" si="0"/>
        <v>8289</v>
      </c>
      <c r="K65" s="242">
        <f t="shared" si="21"/>
        <v>8289</v>
      </c>
      <c r="L65" s="242">
        <f t="shared" si="8"/>
        <v>536.42730313487687</v>
      </c>
      <c r="M65" s="242">
        <f t="shared" si="22"/>
        <v>7752.5726968651234</v>
      </c>
      <c r="N65" s="242">
        <f t="shared" si="1"/>
        <v>0</v>
      </c>
      <c r="O65" s="242">
        <v>0</v>
      </c>
      <c r="P65" s="242">
        <f t="shared" si="23"/>
        <v>536.42730313487687</v>
      </c>
      <c r="Q65" s="242">
        <f t="shared" si="2"/>
        <v>0</v>
      </c>
      <c r="R65" s="242">
        <f t="shared" si="9"/>
        <v>0</v>
      </c>
      <c r="S65" s="242">
        <f t="shared" si="10"/>
        <v>25705.38452190283</v>
      </c>
      <c r="T65" s="467"/>
      <c r="U65" s="198">
        <f t="shared" si="27"/>
        <v>4</v>
      </c>
      <c r="V65" s="36">
        <f t="shared" si="11"/>
        <v>4</v>
      </c>
      <c r="W65" s="2" t="e">
        <f>IF(AND(G30&gt;=$W$11,G30&lt;=$W$11+5),0,IF($C$9&gt;$AF$51,ROUND(S29*#REF!/(DATEVALUE(CONCATENATE("01/01/",YEAR(H30)+1))-DATEVALUE(CONCATENATE("01/01/",YEAR(H30))))*(H30-H29),2),0))</f>
        <v>#REF!</v>
      </c>
      <c r="X65" s="34">
        <f t="shared" si="41"/>
        <v>8289</v>
      </c>
      <c r="Y65" s="57">
        <f t="shared" si="39"/>
        <v>52740</v>
      </c>
      <c r="AB65" s="2"/>
      <c r="AC65" s="66">
        <f>IF(AC79&gt;$AA$59,AC64,IF(AC79&gt;$AA$58,AC63,IF(AC79&gt;$AA$57,AC62,AC61)))</f>
        <v>3.0000000000000001E-3</v>
      </c>
      <c r="AD65" s="66">
        <f>IF(AD79&gt;$AA$59,AD64,IF(AD79&gt;$AA$58,AD63,IF(AD79&gt;$AA$57,AD62,AD61)))</f>
        <v>3.0000000000000001E-3</v>
      </c>
      <c r="AE65" s="66">
        <f>IF(AE79&gt;$AA$59,AE64,IF(AE79&gt;$AA$58,AE63,IF(AE79&gt;$AA$57,AE62,AE61)))</f>
        <v>2.5000000000000001E-3</v>
      </c>
      <c r="AF65" s="66">
        <f>IF(AF79&gt;1000000,AF64,IF(AF79&gt;500000,AF63,IF(AF79&gt;200000,AF62,AF61)))</f>
        <v>3.0000000000000001E-3</v>
      </c>
      <c r="AG65" s="66">
        <f>IF(AG79&gt;$AA$59,AG64,IF(AG79&gt;$AA$58,AG63,IF(AG79&gt;$AA$57,AG62,AG61)))</f>
        <v>0</v>
      </c>
      <c r="AH65" s="66">
        <f>IF(AH79&gt;$AA$59,AH64,IF(AH79&gt;$AA$58,AH63,IF(AH79&gt;$AA$57,AH62,AH61)))</f>
        <v>1E-3</v>
      </c>
      <c r="AI65" s="66">
        <f t="shared" ref="AI65" si="45">IF(AI79&gt;$AA$59,AI64,IF(AI79&gt;$AA$58,AI63,IF(AI79&gt;$AA$57,AI62,AI61)))</f>
        <v>4.0000000000000001E-3</v>
      </c>
      <c r="AJ65" s="15" t="s">
        <v>126</v>
      </c>
      <c r="AL65" s="2">
        <f>IF(AND(Y21&gt;=$W$11,Y21&lt;=$W$11+5),0,IF($C$9&gt;$AF$51,ROUND(AI25*#REF!/(DATEVALUE(CONCATENATE("01/01/",YEAR(Z21)+1))-DATEVALUE(CONCATENATE("01/01/",YEAR(Z21))))*(Z21-Z20),2),0))</f>
        <v>0</v>
      </c>
      <c r="AM65" s="34">
        <f t="shared" si="43"/>
        <v>8289</v>
      </c>
      <c r="AN65" s="57">
        <f t="shared" si="42"/>
        <v>51280</v>
      </c>
      <c r="AO65" s="130">
        <f t="shared" si="12"/>
        <v>1</v>
      </c>
      <c r="AP65" s="553">
        <f t="shared" si="28"/>
        <v>57</v>
      </c>
      <c r="AQ65" s="554">
        <f t="shared" si="13"/>
        <v>46447</v>
      </c>
      <c r="AR65" s="555">
        <f t="shared" si="44"/>
        <v>0.20899999999999999</v>
      </c>
      <c r="AS65" s="546">
        <f t="shared" si="14"/>
        <v>8289</v>
      </c>
      <c r="AT65" s="546">
        <f t="shared" si="15"/>
        <v>8289</v>
      </c>
      <c r="AU65" s="546">
        <f t="shared" si="16"/>
        <v>536.42730313487687</v>
      </c>
      <c r="AV65" s="546">
        <f t="shared" si="17"/>
        <v>7752.5726968651234</v>
      </c>
      <c r="AW65" s="546">
        <f t="shared" si="4"/>
        <v>0</v>
      </c>
      <c r="AX65" s="546">
        <v>0</v>
      </c>
      <c r="AY65" s="546">
        <f t="shared" si="18"/>
        <v>536.42730313487687</v>
      </c>
      <c r="AZ65" s="546">
        <f t="shared" si="35"/>
        <v>0</v>
      </c>
      <c r="BA65" s="546">
        <f t="shared" si="34"/>
        <v>0</v>
      </c>
      <c r="BB65" s="546"/>
      <c r="BC65" s="546"/>
      <c r="BD65" s="546"/>
      <c r="BE65" s="546"/>
      <c r="BF65" s="546"/>
      <c r="BG65" s="546">
        <f t="shared" si="20"/>
        <v>25705.38452190283</v>
      </c>
      <c r="BH65" s="108">
        <f t="shared" si="29"/>
        <v>4</v>
      </c>
      <c r="BI65" s="108">
        <f t="shared" si="24"/>
        <v>4</v>
      </c>
      <c r="BJ65" s="22">
        <f t="shared" si="25"/>
        <v>46447</v>
      </c>
      <c r="BK65" s="108">
        <f t="shared" si="6"/>
        <v>8289</v>
      </c>
      <c r="BL65" s="2" t="e">
        <f>IF(AND(G20&gt;=$W$11,G20&lt;=$W$11+5),0,IF($C$9&gt;$AF$51,ROUND(BG19*IF(#REF!="",0,#REF!)/(DATEVALUE(CONCATENATE("01/01/",YEAR(AQ20)+1))-DATEVALUE(CONCATENATE("01/01/",YEAR(AQ20))))*(AQ20-AQ19),2),0))</f>
        <v>#REF!</v>
      </c>
    </row>
    <row r="66" spans="1:64" s="16" customFormat="1" x14ac:dyDescent="0.3">
      <c r="A66" s="178"/>
      <c r="B66" s="178"/>
      <c r="C66" s="184"/>
      <c r="D66" s="178"/>
      <c r="E66" s="178"/>
      <c r="F66" s="178"/>
      <c r="G66" s="244">
        <f t="shared" si="26"/>
        <v>58</v>
      </c>
      <c r="H66" s="245">
        <f t="shared" si="7"/>
        <v>46478</v>
      </c>
      <c r="I66" s="246">
        <f t="shared" si="30"/>
        <v>0.20899999999999999</v>
      </c>
      <c r="J66" s="242">
        <f t="shared" si="0"/>
        <v>8289</v>
      </c>
      <c r="K66" s="242">
        <f t="shared" si="21"/>
        <v>8289</v>
      </c>
      <c r="L66" s="242">
        <f t="shared" si="8"/>
        <v>456.28818169152987</v>
      </c>
      <c r="M66" s="242">
        <f t="shared" si="22"/>
        <v>7832.7118183084704</v>
      </c>
      <c r="N66" s="242">
        <f t="shared" si="1"/>
        <v>0</v>
      </c>
      <c r="O66" s="242">
        <v>0</v>
      </c>
      <c r="P66" s="242">
        <f t="shared" si="23"/>
        <v>456.28818169152987</v>
      </c>
      <c r="Q66" s="242">
        <f t="shared" si="2"/>
        <v>0</v>
      </c>
      <c r="R66" s="242">
        <f t="shared" si="9"/>
        <v>0</v>
      </c>
      <c r="S66" s="242">
        <f t="shared" si="10"/>
        <v>17872.672703594359</v>
      </c>
      <c r="T66" s="467"/>
      <c r="U66" s="198">
        <f t="shared" si="27"/>
        <v>3</v>
      </c>
      <c r="V66" s="36">
        <f t="shared" si="11"/>
        <v>3</v>
      </c>
      <c r="W66" s="2" t="e">
        <f>IF(AND(G31&gt;=$W$11,G31&lt;=$W$11+5),0,IF($C$9&gt;$AF$51,ROUND(S30*#REF!/(DATEVALUE(CONCATENATE("01/01/",YEAR(H31)+1))-DATEVALUE(CONCATENATE("01/01/",YEAR(H31))))*(H31-H30),2),0))</f>
        <v>#REF!</v>
      </c>
      <c r="X66" s="34">
        <f t="shared" si="41"/>
        <v>8289</v>
      </c>
      <c r="Y66" s="57">
        <f t="shared" si="39"/>
        <v>53105</v>
      </c>
      <c r="AA66" s="133" t="s">
        <v>96</v>
      </c>
      <c r="AB66" s="15"/>
      <c r="AC66" s="143">
        <f>AC65*AC79*IF($C$10&gt;60,60,$C$10)</f>
        <v>59400</v>
      </c>
      <c r="AD66" s="143">
        <f>AD65*AD79*IF($C$10&gt;60,60,$C$10)</f>
        <v>59400</v>
      </c>
      <c r="AE66" s="143">
        <f>AE65*AE79*IF($C$10&gt;60,60,$C$10)</f>
        <v>67500</v>
      </c>
      <c r="AF66" s="143">
        <f>AF65*AF79*IF($C$10&gt;60,60,$C$10)</f>
        <v>64800</v>
      </c>
      <c r="AG66" s="143">
        <f t="shared" ref="AG66:AH66" si="46">AG65*AG79*$C$10</f>
        <v>0</v>
      </c>
      <c r="AH66" s="143">
        <f t="shared" si="46"/>
        <v>18000</v>
      </c>
      <c r="AI66" s="143">
        <f>AI65*AI79*$C$10</f>
        <v>144000</v>
      </c>
      <c r="AJ66" s="143">
        <f>AI66+AH66</f>
        <v>162000</v>
      </c>
      <c r="AL66" s="2">
        <f>IF(AND(Y22&gt;=$W$11,Y22&lt;=$W$11+5),0,IF($C$9&gt;$AF$51,ROUND(AI26*#REF!/(DATEVALUE(CONCATENATE("01/01/",YEAR(Z22)+1))-DATEVALUE(CONCATENATE("01/01/",YEAR(Z22))))*(Z22-Z21),2),0))</f>
        <v>0</v>
      </c>
      <c r="AM66" s="34">
        <f t="shared" si="43"/>
        <v>8289</v>
      </c>
      <c r="AN66" s="57">
        <f t="shared" si="42"/>
        <v>51645</v>
      </c>
      <c r="AO66" s="130">
        <f t="shared" si="12"/>
        <v>1</v>
      </c>
      <c r="AP66" s="553">
        <f t="shared" si="28"/>
        <v>58</v>
      </c>
      <c r="AQ66" s="554">
        <f t="shared" si="13"/>
        <v>46478</v>
      </c>
      <c r="AR66" s="555">
        <f t="shared" si="44"/>
        <v>0.20899999999999999</v>
      </c>
      <c r="AS66" s="546">
        <f t="shared" si="14"/>
        <v>8289</v>
      </c>
      <c r="AT66" s="546">
        <f t="shared" si="15"/>
        <v>8289</v>
      </c>
      <c r="AU66" s="546">
        <f t="shared" si="16"/>
        <v>456.28818169152987</v>
      </c>
      <c r="AV66" s="546">
        <f t="shared" si="17"/>
        <v>7832.7118183084704</v>
      </c>
      <c r="AW66" s="546">
        <f t="shared" si="4"/>
        <v>0</v>
      </c>
      <c r="AX66" s="546">
        <v>0</v>
      </c>
      <c r="AY66" s="546">
        <f t="shared" si="18"/>
        <v>456.28818169152987</v>
      </c>
      <c r="AZ66" s="546">
        <f t="shared" si="35"/>
        <v>0</v>
      </c>
      <c r="BA66" s="546">
        <f t="shared" si="34"/>
        <v>0</v>
      </c>
      <c r="BB66" s="546"/>
      <c r="BC66" s="546"/>
      <c r="BD66" s="546"/>
      <c r="BE66" s="546"/>
      <c r="BF66" s="546"/>
      <c r="BG66" s="546">
        <f t="shared" si="20"/>
        <v>17872.672703594359</v>
      </c>
      <c r="BH66" s="108">
        <f t="shared" si="29"/>
        <v>3</v>
      </c>
      <c r="BI66" s="108">
        <f t="shared" si="24"/>
        <v>3</v>
      </c>
      <c r="BJ66" s="22">
        <f t="shared" si="25"/>
        <v>46478</v>
      </c>
      <c r="BK66" s="108">
        <f t="shared" si="6"/>
        <v>8289</v>
      </c>
      <c r="BL66" s="2" t="e">
        <f>IF(AND(G21&gt;=$W$11,G21&lt;=$W$11+5),0,IF($C$9&gt;$AF$51,ROUND(BG20*IF(#REF!="",0,#REF!)/(DATEVALUE(CONCATENATE("01/01/",YEAR(AQ21)+1))-DATEVALUE(CONCATENATE("01/01/",YEAR(AQ21))))*(AQ21-AQ20),2),0))</f>
        <v>#REF!</v>
      </c>
    </row>
    <row r="67" spans="1:64" s="16" customFormat="1" x14ac:dyDescent="0.3">
      <c r="A67" s="178"/>
      <c r="B67" s="178"/>
      <c r="C67" s="184"/>
      <c r="D67" s="178"/>
      <c r="E67" s="178"/>
      <c r="F67" s="178"/>
      <c r="G67" s="244">
        <f t="shared" si="26"/>
        <v>59</v>
      </c>
      <c r="H67" s="245">
        <f t="shared" si="7"/>
        <v>46508</v>
      </c>
      <c r="I67" s="246">
        <f t="shared" si="30"/>
        <v>0.20899999999999999</v>
      </c>
      <c r="J67" s="242">
        <f t="shared" si="0"/>
        <v>8289</v>
      </c>
      <c r="K67" s="242">
        <f t="shared" si="21"/>
        <v>8289</v>
      </c>
      <c r="L67" s="242">
        <f t="shared" si="8"/>
        <v>307.01824068914141</v>
      </c>
      <c r="M67" s="242">
        <f t="shared" si="22"/>
        <v>7981.9817593108583</v>
      </c>
      <c r="N67" s="242">
        <f t="shared" si="1"/>
        <v>0</v>
      </c>
      <c r="O67" s="242">
        <v>0</v>
      </c>
      <c r="P67" s="242">
        <f t="shared" si="23"/>
        <v>307.01824068914141</v>
      </c>
      <c r="Q67" s="242">
        <f t="shared" si="2"/>
        <v>0</v>
      </c>
      <c r="R67" s="242">
        <f t="shared" si="9"/>
        <v>0</v>
      </c>
      <c r="S67" s="242">
        <f t="shared" si="10"/>
        <v>9890.6909442835004</v>
      </c>
      <c r="T67" s="467"/>
      <c r="U67" s="198">
        <f t="shared" si="27"/>
        <v>2</v>
      </c>
      <c r="V67" s="36">
        <f t="shared" si="11"/>
        <v>2</v>
      </c>
      <c r="W67" s="2" t="e">
        <f>IF(AND(G32&gt;=$W$11,G32&lt;=$W$11+5),0,IF($C$9&gt;$AF$51,ROUND(S31*#REF!/(DATEVALUE(CONCATENATE("01/01/",YEAR(H32)+1))-DATEVALUE(CONCATENATE("01/01/",YEAR(H32))))*(H32-H31),2),0))</f>
        <v>#REF!</v>
      </c>
      <c r="X67" s="34">
        <f t="shared" si="41"/>
        <v>8289</v>
      </c>
      <c r="Y67" s="57">
        <f t="shared" si="39"/>
        <v>53470</v>
      </c>
      <c r="AA67" s="170">
        <v>20000</v>
      </c>
      <c r="AB67" s="133" t="s">
        <v>323</v>
      </c>
      <c r="AL67" s="2">
        <f>IF(AND(Y23&gt;=$W$11,Y23&lt;=$W$11+5),0,IF($C$9&gt;$AF$51,ROUND(AI27*#REF!/(DATEVALUE(CONCATENATE("01/01/",YEAR(Z23)+1))-DATEVALUE(CONCATENATE("01/01/",YEAR(Z23))))*(Z23-Z22),2),0))</f>
        <v>0</v>
      </c>
      <c r="AM67" s="34">
        <f t="shared" si="43"/>
        <v>8289</v>
      </c>
      <c r="AN67" s="57">
        <f t="shared" si="42"/>
        <v>52010</v>
      </c>
      <c r="AO67" s="130">
        <f t="shared" si="12"/>
        <v>1</v>
      </c>
      <c r="AP67" s="553">
        <f t="shared" si="28"/>
        <v>59</v>
      </c>
      <c r="AQ67" s="554">
        <f t="shared" si="13"/>
        <v>46508</v>
      </c>
      <c r="AR67" s="555">
        <f t="shared" si="44"/>
        <v>0.20899999999999999</v>
      </c>
      <c r="AS67" s="546">
        <f t="shared" si="14"/>
        <v>8289</v>
      </c>
      <c r="AT67" s="546">
        <f t="shared" si="15"/>
        <v>8289</v>
      </c>
      <c r="AU67" s="546">
        <f t="shared" si="16"/>
        <v>307.01824068914141</v>
      </c>
      <c r="AV67" s="546">
        <f t="shared" si="17"/>
        <v>7981.9817593108583</v>
      </c>
      <c r="AW67" s="546">
        <f t="shared" si="4"/>
        <v>0</v>
      </c>
      <c r="AX67" s="546">
        <v>0</v>
      </c>
      <c r="AY67" s="546">
        <f t="shared" si="18"/>
        <v>307.01824068914141</v>
      </c>
      <c r="AZ67" s="546">
        <f t="shared" si="35"/>
        <v>0</v>
      </c>
      <c r="BA67" s="546">
        <f t="shared" si="34"/>
        <v>0</v>
      </c>
      <c r="BB67" s="546"/>
      <c r="BC67" s="546"/>
      <c r="BD67" s="546"/>
      <c r="BE67" s="546"/>
      <c r="BF67" s="546"/>
      <c r="BG67" s="546">
        <f t="shared" si="20"/>
        <v>9890.6909442835004</v>
      </c>
      <c r="BH67" s="108">
        <f t="shared" si="29"/>
        <v>2</v>
      </c>
      <c r="BI67" s="108">
        <f t="shared" si="24"/>
        <v>2</v>
      </c>
      <c r="BJ67" s="22">
        <f t="shared" si="25"/>
        <v>46508</v>
      </c>
      <c r="BK67" s="108">
        <f t="shared" si="6"/>
        <v>8289</v>
      </c>
      <c r="BL67" s="2" t="e">
        <f>IF(AND(G22&gt;=$W$11,G22&lt;=$W$11+5),0,IF($C$9&gt;$AF$51,ROUND(BG21*IF(#REF!="",0,#REF!)/(DATEVALUE(CONCATENATE("01/01/",YEAR(AQ22)+1))-DATEVALUE(CONCATENATE("01/01/",YEAR(AQ22))))*(AQ22-AQ21),2),0))</f>
        <v>#REF!</v>
      </c>
    </row>
    <row r="68" spans="1:64" s="16" customFormat="1" ht="13.8" thickBot="1" x14ac:dyDescent="0.35">
      <c r="A68" s="178"/>
      <c r="B68" s="178"/>
      <c r="C68" s="184"/>
      <c r="D68" s="178"/>
      <c r="E68" s="178"/>
      <c r="F68" s="178"/>
      <c r="G68" s="248">
        <f t="shared" si="26"/>
        <v>60</v>
      </c>
      <c r="H68" s="581">
        <f t="shared" si="7"/>
        <v>46539</v>
      </c>
      <c r="I68" s="250">
        <f t="shared" si="30"/>
        <v>0.20899999999999999</v>
      </c>
      <c r="J68" s="242">
        <f t="shared" si="0"/>
        <v>8289</v>
      </c>
      <c r="K68" s="252">
        <f t="shared" si="21"/>
        <v>8289</v>
      </c>
      <c r="L68" s="252">
        <f t="shared" si="8"/>
        <v>175.56653870688436</v>
      </c>
      <c r="M68" s="252">
        <f t="shared" si="22"/>
        <v>8113.4334612931152</v>
      </c>
      <c r="N68" s="252">
        <f t="shared" si="1"/>
        <v>0</v>
      </c>
      <c r="O68" s="252">
        <v>0</v>
      </c>
      <c r="P68" s="252">
        <f t="shared" si="23"/>
        <v>175.56653870688436</v>
      </c>
      <c r="Q68" s="252">
        <f t="shared" si="2"/>
        <v>0</v>
      </c>
      <c r="R68" s="252">
        <f t="shared" si="9"/>
        <v>0</v>
      </c>
      <c r="S68" s="252">
        <f t="shared" si="10"/>
        <v>1777.2574829903851</v>
      </c>
      <c r="T68" s="252"/>
      <c r="U68" s="198">
        <f t="shared" si="27"/>
        <v>1</v>
      </c>
      <c r="V68" s="36">
        <f t="shared" si="11"/>
        <v>1</v>
      </c>
      <c r="W68" s="2" t="e">
        <f>IF(AND(G33&gt;=$W$11,G33&lt;=$W$11+5),0,IF($C$9&gt;$AF$51,ROUND(S32*#REF!/(DATEVALUE(CONCATENATE("01/01/",YEAR(H33)+1))-DATEVALUE(CONCATENATE("01/01/",YEAR(H33))))*(H33-H32),2),0))</f>
        <v>#REF!</v>
      </c>
      <c r="X68" s="34">
        <f t="shared" si="41"/>
        <v>8289</v>
      </c>
      <c r="Y68" s="57">
        <f t="shared" si="39"/>
        <v>53835</v>
      </c>
      <c r="AA68" s="170">
        <v>300001</v>
      </c>
      <c r="AB68" s="135">
        <v>160000</v>
      </c>
      <c r="AL68" s="2">
        <f>IF(AND(Y24&gt;=$W$11,Y24&lt;=$W$11+5),0,IF($C$9&gt;$AF$51,ROUND(AI28*#REF!/(DATEVALUE(CONCATENATE("01/01/",YEAR(Z24)+1))-DATEVALUE(CONCATENATE("01/01/",YEAR(Z24))))*(Z24-Z23),2),0))</f>
        <v>0</v>
      </c>
      <c r="AM68" s="34">
        <f t="shared" si="43"/>
        <v>8289</v>
      </c>
      <c r="AN68" s="57">
        <f t="shared" si="42"/>
        <v>52375</v>
      </c>
      <c r="AO68" s="130">
        <f t="shared" si="12"/>
        <v>1</v>
      </c>
      <c r="AP68" s="556">
        <f t="shared" si="28"/>
        <v>60</v>
      </c>
      <c r="AQ68" s="582">
        <f t="shared" si="13"/>
        <v>46539</v>
      </c>
      <c r="AR68" s="557">
        <f t="shared" si="44"/>
        <v>0.20899999999999999</v>
      </c>
      <c r="AS68" s="547">
        <f t="shared" si="14"/>
        <v>8289</v>
      </c>
      <c r="AT68" s="547">
        <f t="shared" si="15"/>
        <v>8289</v>
      </c>
      <c r="AU68" s="547">
        <f t="shared" si="16"/>
        <v>175.56653870688436</v>
      </c>
      <c r="AV68" s="547">
        <f t="shared" si="17"/>
        <v>9890.6909442835004</v>
      </c>
      <c r="AW68" s="547">
        <f t="shared" si="4"/>
        <v>0</v>
      </c>
      <c r="AX68" s="547">
        <v>0</v>
      </c>
      <c r="AY68" s="547">
        <f t="shared" si="18"/>
        <v>175.56653870688436</v>
      </c>
      <c r="AZ68" s="547">
        <f t="shared" si="35"/>
        <v>0</v>
      </c>
      <c r="BA68" s="547">
        <f t="shared" si="34"/>
        <v>0</v>
      </c>
      <c r="BB68" s="547"/>
      <c r="BC68" s="547"/>
      <c r="BD68" s="547"/>
      <c r="BE68" s="547"/>
      <c r="BF68" s="547"/>
      <c r="BG68" s="547">
        <f t="shared" si="20"/>
        <v>0</v>
      </c>
      <c r="BH68" s="108">
        <f t="shared" si="29"/>
        <v>1</v>
      </c>
      <c r="BI68" s="108">
        <f t="shared" si="24"/>
        <v>1</v>
      </c>
      <c r="BJ68" s="22">
        <f t="shared" si="25"/>
        <v>46539</v>
      </c>
      <c r="BK68" s="108">
        <f t="shared" si="6"/>
        <v>8289</v>
      </c>
      <c r="BL68" s="2" t="e">
        <f>IF(AND(G23&gt;=$W$11,G23&lt;=$W$11+5),0,IF($C$9&gt;$AF$51,ROUND(BG22*IF(#REF!="",0,#REF!)/(DATEVALUE(CONCATENATE("01/01/",YEAR(AQ23)+1))-DATEVALUE(CONCATENATE("01/01/",YEAR(AQ23))))*(AQ23-AQ22),2),0))</f>
        <v>#REF!</v>
      </c>
    </row>
    <row r="69" spans="1:64" s="16" customFormat="1" x14ac:dyDescent="0.3">
      <c r="A69" s="178"/>
      <c r="B69" s="178"/>
      <c r="C69" s="184"/>
      <c r="D69" s="178"/>
      <c r="E69" s="178"/>
      <c r="F69" s="178"/>
      <c r="G69" s="244">
        <f t="shared" si="26"/>
        <v>61</v>
      </c>
      <c r="H69" s="245">
        <f t="shared" si="7"/>
        <v>46569</v>
      </c>
      <c r="I69" s="246">
        <f t="shared" si="30"/>
        <v>0.20899999999999999</v>
      </c>
      <c r="J69" s="242">
        <f t="shared" si="0"/>
        <v>0</v>
      </c>
      <c r="K69" s="242">
        <f t="shared" si="21"/>
        <v>0</v>
      </c>
      <c r="L69" s="242">
        <f t="shared" si="8"/>
        <v>30.529875118766341</v>
      </c>
      <c r="M69" s="242">
        <f t="shared" si="22"/>
        <v>1777.2574829903851</v>
      </c>
      <c r="N69" s="242">
        <f t="shared" si="1"/>
        <v>0</v>
      </c>
      <c r="O69" s="242">
        <v>0</v>
      </c>
      <c r="P69" s="242">
        <f t="shared" si="23"/>
        <v>30.529875118766341</v>
      </c>
      <c r="Q69" s="242">
        <f t="shared" si="2"/>
        <v>0</v>
      </c>
      <c r="R69" s="242">
        <f t="shared" si="9"/>
        <v>0</v>
      </c>
      <c r="S69" s="242">
        <f t="shared" si="10"/>
        <v>0</v>
      </c>
      <c r="T69" s="467"/>
      <c r="U69" s="36">
        <f t="shared" si="27"/>
        <v>0</v>
      </c>
      <c r="V69" s="36">
        <f t="shared" si="11"/>
        <v>0</v>
      </c>
      <c r="W69" s="2" t="e">
        <f>IF(AND(G34&gt;=$W$11,G34&lt;=$W$11+5),0,IF($C$9&gt;$AF$51,ROUND(S33*#REF!/(DATEVALUE(CONCATENATE("01/01/",YEAR(H34)+1))-DATEVALUE(CONCATENATE("01/01/",YEAR(H34))))*(H34-H33),2),0))</f>
        <v>#REF!</v>
      </c>
      <c r="X69" s="34">
        <f t="shared" si="41"/>
        <v>8289</v>
      </c>
      <c r="Y69" s="57">
        <f t="shared" si="39"/>
        <v>54200</v>
      </c>
      <c r="AA69" s="170">
        <v>500001</v>
      </c>
      <c r="AB69" s="135">
        <v>400000</v>
      </c>
      <c r="AD69" s="2"/>
      <c r="AE69" s="2"/>
      <c r="AF69" s="2"/>
      <c r="AG69" s="2"/>
      <c r="AH69" s="2"/>
      <c r="AI69" s="63"/>
      <c r="AJ69" s="63"/>
      <c r="AK69" s="63"/>
      <c r="AL69" s="2">
        <f>IF(AND(Y25&gt;=$W$11,Y25&lt;=$W$11+5),0,IF($C$9&gt;$AF$51,ROUND(AI29*#REF!/(DATEVALUE(CONCATENATE("01/01/",YEAR(Z25)+1))-DATEVALUE(CONCATENATE("01/01/",YEAR(Z25))))*(Z25-Z24),2),0))</f>
        <v>0</v>
      </c>
      <c r="AM69" s="34">
        <f t="shared" si="43"/>
        <v>8289</v>
      </c>
      <c r="AN69" s="57">
        <f t="shared" si="42"/>
        <v>52740</v>
      </c>
      <c r="AO69" s="130">
        <f t="shared" si="12"/>
        <v>0</v>
      </c>
      <c r="AP69" s="553">
        <f t="shared" si="28"/>
        <v>61</v>
      </c>
      <c r="AQ69" s="554">
        <f t="shared" si="13"/>
        <v>46569</v>
      </c>
      <c r="AR69" s="555">
        <f t="shared" si="44"/>
        <v>0.20899999999999999</v>
      </c>
      <c r="AS69" s="546">
        <f t="shared" si="14"/>
        <v>0</v>
      </c>
      <c r="AT69" s="546">
        <f t="shared" si="15"/>
        <v>0</v>
      </c>
      <c r="AU69" s="546">
        <f t="shared" si="16"/>
        <v>0</v>
      </c>
      <c r="AV69" s="546">
        <f t="shared" si="17"/>
        <v>0</v>
      </c>
      <c r="AW69" s="546">
        <f t="shared" si="4"/>
        <v>0</v>
      </c>
      <c r="AX69" s="546">
        <v>0</v>
      </c>
      <c r="AY69" s="546">
        <f t="shared" si="18"/>
        <v>0</v>
      </c>
      <c r="AZ69" s="546">
        <f t="shared" si="35"/>
        <v>0</v>
      </c>
      <c r="BA69" s="546">
        <f t="shared" si="34"/>
        <v>0</v>
      </c>
      <c r="BB69" s="546"/>
      <c r="BC69" s="546"/>
      <c r="BD69" s="546"/>
      <c r="BE69" s="546"/>
      <c r="BF69" s="546"/>
      <c r="BG69" s="546">
        <f t="shared" si="20"/>
        <v>0</v>
      </c>
      <c r="BH69" s="108">
        <f t="shared" si="29"/>
        <v>0</v>
      </c>
      <c r="BI69" s="108">
        <f t="shared" si="24"/>
        <v>0</v>
      </c>
      <c r="BJ69" s="22">
        <f t="shared" si="25"/>
        <v>46569</v>
      </c>
      <c r="BK69" s="108">
        <f t="shared" si="6"/>
        <v>0</v>
      </c>
      <c r="BL69" s="2" t="e">
        <f>IF(AND(G24&gt;=$W$11,G24&lt;=$W$11+5),0,IF($C$9&gt;$AF$51,ROUND(BG23*IF(#REF!="",0,#REF!)/(DATEVALUE(CONCATENATE("01/01/",YEAR(AQ24)+1))-DATEVALUE(CONCATENATE("01/01/",YEAR(AQ24))))*(AQ24-AQ23),2),0))</f>
        <v>#REF!</v>
      </c>
    </row>
    <row r="70" spans="1:64" s="16" customFormat="1" x14ac:dyDescent="0.3">
      <c r="A70" s="178"/>
      <c r="B70" s="178"/>
      <c r="C70" s="525"/>
      <c r="D70" s="182"/>
      <c r="E70" s="178"/>
      <c r="F70" s="178"/>
      <c r="G70" s="244">
        <f t="shared" si="26"/>
        <v>62</v>
      </c>
      <c r="H70" s="245">
        <f t="shared" si="7"/>
        <v>46600</v>
      </c>
      <c r="I70" s="246">
        <f t="shared" si="30"/>
        <v>0.20899999999999999</v>
      </c>
      <c r="J70" s="242">
        <f t="shared" si="0"/>
        <v>0</v>
      </c>
      <c r="K70" s="242">
        <f t="shared" si="21"/>
        <v>0</v>
      </c>
      <c r="L70" s="242">
        <f t="shared" si="8"/>
        <v>0</v>
      </c>
      <c r="M70" s="242">
        <f t="shared" si="22"/>
        <v>0</v>
      </c>
      <c r="N70" s="242">
        <f t="shared" si="1"/>
        <v>0</v>
      </c>
      <c r="O70" s="242">
        <v>0</v>
      </c>
      <c r="P70" s="242">
        <f t="shared" si="23"/>
        <v>0</v>
      </c>
      <c r="Q70" s="242">
        <f t="shared" si="2"/>
        <v>0</v>
      </c>
      <c r="R70" s="242">
        <f t="shared" si="9"/>
        <v>0</v>
      </c>
      <c r="S70" s="242">
        <f t="shared" si="10"/>
        <v>0</v>
      </c>
      <c r="T70" s="467"/>
      <c r="U70" s="36">
        <f t="shared" si="27"/>
        <v>0</v>
      </c>
      <c r="V70" s="36">
        <f t="shared" si="11"/>
        <v>0</v>
      </c>
      <c r="W70" s="2" t="e">
        <f>IF(AND(G35&gt;=$W$11,G35&lt;=$W$11+5),0,IF($C$9&gt;$AF$51,ROUND(S34*#REF!/(DATEVALUE(CONCATENATE("01/01/",YEAR(H35)+1))-DATEVALUE(CONCATENATE("01/01/",YEAR(H35))))*(H35-H34),2),0))</f>
        <v>#REF!</v>
      </c>
      <c r="X70" s="34">
        <f t="shared" si="41"/>
        <v>8289</v>
      </c>
      <c r="Y70" s="57">
        <f t="shared" si="39"/>
        <v>54565</v>
      </c>
      <c r="AA70" s="171">
        <v>600001</v>
      </c>
      <c r="AB70" s="135">
        <v>500000</v>
      </c>
      <c r="AC70" s="145" t="s">
        <v>330</v>
      </c>
      <c r="AD70" s="145" t="s">
        <v>111</v>
      </c>
      <c r="AE70" s="145" t="s">
        <v>114</v>
      </c>
      <c r="AF70" s="144" t="s">
        <v>366</v>
      </c>
      <c r="AG70" s="2" t="s">
        <v>35</v>
      </c>
      <c r="AH70" s="144" t="s">
        <v>118</v>
      </c>
      <c r="AI70" s="144" t="s">
        <v>119</v>
      </c>
      <c r="AJ70" s="145" t="s">
        <v>120</v>
      </c>
      <c r="AK70" s="15"/>
      <c r="AL70" s="2">
        <f>IF(AND(Y26&gt;=$W$11,Y26&lt;=$W$11+5),0,IF($C$9&gt;$AF$51,ROUND(AI30*#REF!/(DATEVALUE(CONCATENATE("01/01/",YEAR(Z26)+1))-DATEVALUE(CONCATENATE("01/01/",YEAR(Z26))))*(Z26-Z25),2),0))</f>
        <v>0</v>
      </c>
      <c r="AM70" s="34">
        <f t="shared" si="43"/>
        <v>8289</v>
      </c>
      <c r="AN70" s="57">
        <f t="shared" si="42"/>
        <v>53105</v>
      </c>
      <c r="AO70" s="130">
        <f t="shared" si="12"/>
        <v>0</v>
      </c>
      <c r="AP70" s="553">
        <f t="shared" si="28"/>
        <v>62</v>
      </c>
      <c r="AQ70" s="554">
        <f t="shared" si="13"/>
        <v>46600</v>
      </c>
      <c r="AR70" s="555">
        <f t="shared" si="44"/>
        <v>0.20899999999999999</v>
      </c>
      <c r="AS70" s="546">
        <f t="shared" si="14"/>
        <v>0</v>
      </c>
      <c r="AT70" s="546">
        <f t="shared" si="15"/>
        <v>0</v>
      </c>
      <c r="AU70" s="546">
        <f t="shared" si="16"/>
        <v>0</v>
      </c>
      <c r="AV70" s="546">
        <f t="shared" si="17"/>
        <v>0</v>
      </c>
      <c r="AW70" s="546">
        <f t="shared" si="4"/>
        <v>0</v>
      </c>
      <c r="AX70" s="546">
        <v>0</v>
      </c>
      <c r="AY70" s="546">
        <f t="shared" si="18"/>
        <v>0</v>
      </c>
      <c r="AZ70" s="546">
        <f t="shared" si="35"/>
        <v>0</v>
      </c>
      <c r="BA70" s="546">
        <f t="shared" si="34"/>
        <v>0</v>
      </c>
      <c r="BB70" s="546"/>
      <c r="BC70" s="546"/>
      <c r="BD70" s="546"/>
      <c r="BE70" s="546"/>
      <c r="BF70" s="546"/>
      <c r="BG70" s="546">
        <f t="shared" si="20"/>
        <v>0</v>
      </c>
      <c r="BH70" s="108">
        <f t="shared" si="29"/>
        <v>0</v>
      </c>
      <c r="BI70" s="108">
        <f t="shared" si="24"/>
        <v>0</v>
      </c>
      <c r="BJ70" s="22">
        <f t="shared" si="25"/>
        <v>46600</v>
      </c>
      <c r="BK70" s="108">
        <f t="shared" si="6"/>
        <v>0</v>
      </c>
      <c r="BL70" s="2" t="e">
        <f>IF(AND(G25&gt;=$W$11,G25&lt;=$W$11+5),0,IF($C$9&gt;$AF$51,ROUND(BG24*IF(#REF!="",0,#REF!)/(DATEVALUE(CONCATENATE("01/01/",YEAR(AQ25)+1))-DATEVALUE(CONCATENATE("01/01/",YEAR(AQ25))))*(AQ25-AQ24),2),0))</f>
        <v>#REF!</v>
      </c>
    </row>
    <row r="71" spans="1:64" s="16" customFormat="1" x14ac:dyDescent="0.3">
      <c r="A71" s="178"/>
      <c r="B71" s="178"/>
      <c r="C71" s="184"/>
      <c r="D71" s="182"/>
      <c r="E71" s="178"/>
      <c r="F71" s="178"/>
      <c r="G71" s="244">
        <f t="shared" si="26"/>
        <v>63</v>
      </c>
      <c r="H71" s="245">
        <f t="shared" si="7"/>
        <v>46631</v>
      </c>
      <c r="I71" s="246">
        <f t="shared" si="30"/>
        <v>0.20899999999999999</v>
      </c>
      <c r="J71" s="242">
        <f t="shared" si="0"/>
        <v>0</v>
      </c>
      <c r="K71" s="242">
        <f t="shared" si="21"/>
        <v>0</v>
      </c>
      <c r="L71" s="242">
        <f t="shared" si="8"/>
        <v>0</v>
      </c>
      <c r="M71" s="242">
        <f t="shared" si="22"/>
        <v>0</v>
      </c>
      <c r="N71" s="242">
        <f t="shared" si="1"/>
        <v>0</v>
      </c>
      <c r="O71" s="242">
        <v>0</v>
      </c>
      <c r="P71" s="242">
        <f t="shared" si="23"/>
        <v>0</v>
      </c>
      <c r="Q71" s="242">
        <f t="shared" si="2"/>
        <v>0</v>
      </c>
      <c r="R71" s="242">
        <f t="shared" si="9"/>
        <v>0</v>
      </c>
      <c r="S71" s="242">
        <f t="shared" si="10"/>
        <v>0</v>
      </c>
      <c r="T71" s="467"/>
      <c r="U71" s="36">
        <f t="shared" si="27"/>
        <v>0</v>
      </c>
      <c r="V71" s="36">
        <f t="shared" si="11"/>
        <v>0</v>
      </c>
      <c r="W71" s="2" t="e">
        <f>IF(AND(G36&gt;=$W$11,G36&lt;=$W$11+5),0,IF($C$9&gt;$AF$51,ROUND(S35*#REF!/(DATEVALUE(CONCATENATE("01/01/",YEAR(H36)+1))-DATEVALUE(CONCATENATE("01/01/",YEAR(H36))))*(H36-H35),2),0))</f>
        <v>#REF!</v>
      </c>
      <c r="X71" s="34">
        <f t="shared" si="41"/>
        <v>8289</v>
      </c>
      <c r="Y71" s="57">
        <f t="shared" si="39"/>
        <v>54930</v>
      </c>
      <c r="AA71" s="171">
        <v>1000001</v>
      </c>
      <c r="AB71" s="135">
        <v>800000</v>
      </c>
      <c r="AC71" s="133" t="s">
        <v>98</v>
      </c>
      <c r="AD71" s="134"/>
      <c r="AE71" s="134"/>
      <c r="AF71" s="134"/>
      <c r="AG71" s="134"/>
      <c r="AH71" s="134"/>
      <c r="AI71" s="134"/>
      <c r="AJ71" s="134"/>
      <c r="AK71" s="15"/>
      <c r="AL71" s="2">
        <f>IF(AND(Y27&gt;=$W$11,Y27&lt;=$W$11+5),0,IF($C$9&gt;$AF$51,ROUND(AI31*#REF!/(DATEVALUE(CONCATENATE("01/01/",YEAR(Z27)+1))-DATEVALUE(CONCATENATE("01/01/",YEAR(Z27))))*(Z27-Z26),2),0))</f>
        <v>0</v>
      </c>
      <c r="AM71" s="34">
        <f t="shared" si="43"/>
        <v>8289</v>
      </c>
      <c r="AN71" s="57">
        <f t="shared" si="42"/>
        <v>53470</v>
      </c>
      <c r="AO71" s="130">
        <f t="shared" si="12"/>
        <v>0</v>
      </c>
      <c r="AP71" s="553">
        <f t="shared" si="28"/>
        <v>63</v>
      </c>
      <c r="AQ71" s="554">
        <f t="shared" si="13"/>
        <v>46631</v>
      </c>
      <c r="AR71" s="555">
        <f t="shared" si="44"/>
        <v>0.20899999999999999</v>
      </c>
      <c r="AS71" s="546">
        <f t="shared" si="14"/>
        <v>0</v>
      </c>
      <c r="AT71" s="546">
        <f t="shared" si="15"/>
        <v>0</v>
      </c>
      <c r="AU71" s="546">
        <f t="shared" si="16"/>
        <v>0</v>
      </c>
      <c r="AV71" s="546">
        <f t="shared" si="17"/>
        <v>0</v>
      </c>
      <c r="AW71" s="546">
        <f t="shared" si="4"/>
        <v>0</v>
      </c>
      <c r="AX71" s="546">
        <v>0</v>
      </c>
      <c r="AY71" s="546">
        <f t="shared" si="18"/>
        <v>0</v>
      </c>
      <c r="AZ71" s="546">
        <f t="shared" si="35"/>
        <v>0</v>
      </c>
      <c r="BA71" s="546">
        <f t="shared" si="34"/>
        <v>0</v>
      </c>
      <c r="BB71" s="546"/>
      <c r="BC71" s="546"/>
      <c r="BD71" s="546"/>
      <c r="BE71" s="546"/>
      <c r="BF71" s="546"/>
      <c r="BG71" s="546">
        <f t="shared" si="20"/>
        <v>0</v>
      </c>
      <c r="BH71" s="108">
        <f t="shared" si="29"/>
        <v>0</v>
      </c>
      <c r="BI71" s="108">
        <f t="shared" si="24"/>
        <v>0</v>
      </c>
      <c r="BJ71" s="22">
        <f t="shared" si="25"/>
        <v>46631</v>
      </c>
      <c r="BK71" s="108">
        <f t="shared" si="6"/>
        <v>0</v>
      </c>
      <c r="BL71" s="2" t="e">
        <f>IF(AND(G26&gt;=$W$11,G26&lt;=$W$11+5),0,IF($C$9&gt;$AF$51,ROUND(BG25*IF(#REF!="",0,#REF!)/(DATEVALUE(CONCATENATE("01/01/",YEAR(AQ26)+1))-DATEVALUE(CONCATENATE("01/01/",YEAR(AQ26))))*(AQ26-AQ25),2),0))</f>
        <v>#REF!</v>
      </c>
    </row>
    <row r="72" spans="1:64" s="16" customFormat="1" x14ac:dyDescent="0.3">
      <c r="A72" s="178"/>
      <c r="B72" s="178"/>
      <c r="C72" s="184"/>
      <c r="D72" s="178"/>
      <c r="E72" s="178"/>
      <c r="F72" s="178"/>
      <c r="G72" s="244">
        <f t="shared" si="26"/>
        <v>64</v>
      </c>
      <c r="H72" s="245">
        <f t="shared" si="7"/>
        <v>46661</v>
      </c>
      <c r="I72" s="246">
        <f t="shared" si="30"/>
        <v>0.20899999999999999</v>
      </c>
      <c r="J72" s="242">
        <f t="shared" si="0"/>
        <v>0</v>
      </c>
      <c r="K72" s="242">
        <f t="shared" si="21"/>
        <v>0</v>
      </c>
      <c r="L72" s="242">
        <f t="shared" si="8"/>
        <v>0</v>
      </c>
      <c r="M72" s="242">
        <f t="shared" si="22"/>
        <v>0</v>
      </c>
      <c r="N72" s="242">
        <f t="shared" si="1"/>
        <v>0</v>
      </c>
      <c r="O72" s="242">
        <v>0</v>
      </c>
      <c r="P72" s="242">
        <f t="shared" si="23"/>
        <v>0</v>
      </c>
      <c r="Q72" s="242">
        <f t="shared" si="2"/>
        <v>0</v>
      </c>
      <c r="R72" s="242">
        <f t="shared" si="9"/>
        <v>0</v>
      </c>
      <c r="S72" s="242">
        <f t="shared" si="10"/>
        <v>0</v>
      </c>
      <c r="T72" s="467"/>
      <c r="U72" s="36">
        <f t="shared" si="27"/>
        <v>0</v>
      </c>
      <c r="V72" s="36">
        <f t="shared" si="11"/>
        <v>0</v>
      </c>
      <c r="W72" s="2" t="e">
        <f>IF(AND(G37&gt;=$W$11,G37&lt;=$W$11+5),0,IF($C$9&gt;$AF$51,ROUND(S36*#REF!/(DATEVALUE(CONCATENATE("01/01/",YEAR(H37)+1))-DATEVALUE(CONCATENATE("01/01/",YEAR(H37))))*(H37-H36),2),0))</f>
        <v>#REF!</v>
      </c>
      <c r="X72" s="34">
        <f t="shared" si="41"/>
        <v>8289</v>
      </c>
      <c r="Y72" s="57">
        <f t="shared" si="39"/>
        <v>55295</v>
      </c>
      <c r="AA72" s="16" t="s">
        <v>101</v>
      </c>
      <c r="AB72" s="135">
        <v>900000</v>
      </c>
      <c r="AC72" s="134">
        <v>1</v>
      </c>
      <c r="AD72" s="134">
        <v>1.25</v>
      </c>
      <c r="AE72" s="134">
        <v>1.5</v>
      </c>
      <c r="AF72" s="134">
        <v>1.5</v>
      </c>
      <c r="AG72" s="134">
        <v>0</v>
      </c>
      <c r="AH72" s="134">
        <v>1</v>
      </c>
      <c r="AI72" s="134">
        <v>2</v>
      </c>
      <c r="AJ72" s="134">
        <v>2.5</v>
      </c>
      <c r="AK72" s="15"/>
      <c r="AL72" s="2" t="e">
        <f>IF(AND(Y28&gt;=$W$11,Y28&lt;=$W$11+5),0,IF($C$9&gt;$AF$51,ROUND(AI32*#REF!/(DATEVALUE(CONCATENATE("01/01/",YEAR(Z28)+1))-DATEVALUE(CONCATENATE("01/01/",YEAR(Z28))))*(Z28-Z27),2),0))</f>
        <v>#REF!</v>
      </c>
      <c r="AM72" s="34">
        <f t="shared" si="43"/>
        <v>8289</v>
      </c>
      <c r="AN72" s="57">
        <f t="shared" si="42"/>
        <v>53835</v>
      </c>
      <c r="AO72" s="130">
        <f t="shared" si="12"/>
        <v>0</v>
      </c>
      <c r="AP72" s="553">
        <f t="shared" si="28"/>
        <v>64</v>
      </c>
      <c r="AQ72" s="554">
        <f t="shared" si="13"/>
        <v>46661</v>
      </c>
      <c r="AR72" s="555">
        <f t="shared" si="44"/>
        <v>0.20899999999999999</v>
      </c>
      <c r="AS72" s="546">
        <f t="shared" si="14"/>
        <v>0</v>
      </c>
      <c r="AT72" s="546">
        <f t="shared" si="15"/>
        <v>0</v>
      </c>
      <c r="AU72" s="546">
        <f t="shared" si="16"/>
        <v>0</v>
      </c>
      <c r="AV72" s="546">
        <f t="shared" si="17"/>
        <v>0</v>
      </c>
      <c r="AW72" s="546">
        <f t="shared" si="4"/>
        <v>0</v>
      </c>
      <c r="AX72" s="546">
        <v>0</v>
      </c>
      <c r="AY72" s="546">
        <f t="shared" si="18"/>
        <v>0</v>
      </c>
      <c r="AZ72" s="546">
        <f t="shared" si="35"/>
        <v>0</v>
      </c>
      <c r="BA72" s="546">
        <f t="shared" si="34"/>
        <v>0</v>
      </c>
      <c r="BB72" s="546"/>
      <c r="BC72" s="546"/>
      <c r="BD72" s="546"/>
      <c r="BE72" s="546"/>
      <c r="BF72" s="546"/>
      <c r="BG72" s="546">
        <f t="shared" si="20"/>
        <v>0</v>
      </c>
      <c r="BH72" s="108">
        <f t="shared" si="29"/>
        <v>0</v>
      </c>
      <c r="BI72" s="108">
        <f t="shared" si="24"/>
        <v>0</v>
      </c>
      <c r="BJ72" s="22">
        <f t="shared" si="25"/>
        <v>46661</v>
      </c>
      <c r="BK72" s="108">
        <f t="shared" si="6"/>
        <v>0</v>
      </c>
      <c r="BL72" s="2" t="e">
        <f>IF(AND(G27&gt;=$W$11,G27&lt;=$W$11+5),0,IF($C$9&gt;$AF$51,ROUND(BG26*IF(#REF!="",0,#REF!)/(DATEVALUE(CONCATENATE("01/01/",YEAR(AQ27)+1))-DATEVALUE(CONCATENATE("01/01/",YEAR(AQ27))))*(AQ27-AQ26),2),0))</f>
        <v>#REF!</v>
      </c>
    </row>
    <row r="73" spans="1:64" s="16" customFormat="1" x14ac:dyDescent="0.3">
      <c r="A73" s="178"/>
      <c r="B73" s="178"/>
      <c r="C73" s="184"/>
      <c r="D73" s="178"/>
      <c r="E73" s="178"/>
      <c r="F73" s="178"/>
      <c r="G73" s="244">
        <f t="shared" si="26"/>
        <v>65</v>
      </c>
      <c r="H73" s="245">
        <f t="shared" si="7"/>
        <v>46692</v>
      </c>
      <c r="I73" s="246">
        <f t="shared" si="30"/>
        <v>0.20899999999999999</v>
      </c>
      <c r="J73" s="242">
        <f t="shared" si="0"/>
        <v>0</v>
      </c>
      <c r="K73" s="242">
        <f t="shared" si="21"/>
        <v>0</v>
      </c>
      <c r="L73" s="242">
        <f t="shared" si="8"/>
        <v>0</v>
      </c>
      <c r="M73" s="242">
        <f t="shared" si="22"/>
        <v>0</v>
      </c>
      <c r="N73" s="242">
        <f t="shared" ref="N73:N108" si="47">IF(P73-Q73&gt;$C$24,$C$24-L73,IF(V73=0,0,R73)+$AI$51)</f>
        <v>0</v>
      </c>
      <c r="O73" s="242">
        <v>0</v>
      </c>
      <c r="P73" s="242">
        <f t="shared" si="23"/>
        <v>0</v>
      </c>
      <c r="Q73" s="242">
        <f t="shared" ref="Q73:Q108" si="48">IF(V73=0,0,0)</f>
        <v>0</v>
      </c>
      <c r="R73" s="242">
        <f t="shared" si="9"/>
        <v>0</v>
      </c>
      <c r="S73" s="242">
        <f t="shared" si="10"/>
        <v>0</v>
      </c>
      <c r="T73" s="467"/>
      <c r="U73" s="36">
        <f t="shared" si="27"/>
        <v>0</v>
      </c>
      <c r="V73" s="36">
        <f t="shared" si="11"/>
        <v>0</v>
      </c>
      <c r="W73" s="2" t="e">
        <f>IF(AND(G38&gt;=$W$11,G38&lt;=$W$11+5),0,IF($C$9&gt;$AF$51,ROUND(S37*#REF!/(DATEVALUE(CONCATENATE("01/01/",YEAR(H38)+1))-DATEVALUE(CONCATENATE("01/01/",YEAR(H38))))*(H38-H37),2),0))</f>
        <v>#REF!</v>
      </c>
      <c r="X73" s="34">
        <f t="shared" si="41"/>
        <v>8289</v>
      </c>
      <c r="Y73" s="57">
        <f t="shared" si="39"/>
        <v>55660</v>
      </c>
      <c r="AB73" s="16">
        <v>1500000</v>
      </c>
      <c r="AC73" s="134">
        <v>1.1000000000000001</v>
      </c>
      <c r="AD73" s="134">
        <v>1.35</v>
      </c>
      <c r="AE73" s="134">
        <v>1.5</v>
      </c>
      <c r="AF73" s="134">
        <v>1.5</v>
      </c>
      <c r="AG73" s="134">
        <v>0</v>
      </c>
      <c r="AH73" s="134">
        <v>1</v>
      </c>
      <c r="AI73" s="134">
        <v>2</v>
      </c>
      <c r="AJ73" s="134">
        <v>2</v>
      </c>
      <c r="AK73" s="15"/>
      <c r="AL73" s="2">
        <f>IF(AND(Y29&gt;=$W$11,Y29&lt;=$W$11+5),0,IF($C$9&gt;$AF$51,ROUND(AI33*#REF!/(DATEVALUE(CONCATENATE("01/01/",YEAR(Z29)+1))-DATEVALUE(CONCATENATE("01/01/",YEAR(Z29))))*(Z29-Z28),2),0))</f>
        <v>0</v>
      </c>
      <c r="AM73" s="34">
        <f t="shared" si="43"/>
        <v>8289</v>
      </c>
      <c r="AN73" s="57">
        <f t="shared" si="42"/>
        <v>54200</v>
      </c>
      <c r="AO73" s="130">
        <f t="shared" si="12"/>
        <v>0</v>
      </c>
      <c r="AP73" s="553">
        <f t="shared" si="28"/>
        <v>65</v>
      </c>
      <c r="AQ73" s="554">
        <f t="shared" si="13"/>
        <v>46692</v>
      </c>
      <c r="AR73" s="555">
        <f t="shared" si="44"/>
        <v>0.20899999999999999</v>
      </c>
      <c r="AS73" s="546">
        <f t="shared" si="14"/>
        <v>0</v>
      </c>
      <c r="AT73" s="546">
        <f t="shared" si="15"/>
        <v>0</v>
      </c>
      <c r="AU73" s="546">
        <f t="shared" si="16"/>
        <v>0</v>
      </c>
      <c r="AV73" s="546">
        <f t="shared" si="17"/>
        <v>0</v>
      </c>
      <c r="AW73" s="546">
        <f t="shared" ref="AW73:AW108" si="49">IF(AY73-AZ73&gt;$D$24,$D$24-AU73,IF(BI73=0,0,BA73)+BX121)</f>
        <v>0</v>
      </c>
      <c r="AX73" s="546">
        <v>0</v>
      </c>
      <c r="AY73" s="546">
        <f t="shared" si="18"/>
        <v>0</v>
      </c>
      <c r="AZ73" s="546">
        <f t="shared" si="35"/>
        <v>0</v>
      </c>
      <c r="BA73" s="546">
        <f t="shared" si="34"/>
        <v>0</v>
      </c>
      <c r="BB73" s="546"/>
      <c r="BC73" s="546"/>
      <c r="BD73" s="546"/>
      <c r="BE73" s="546"/>
      <c r="BF73" s="546"/>
      <c r="BG73" s="546">
        <f t="shared" si="20"/>
        <v>0</v>
      </c>
      <c r="BH73" s="108">
        <f t="shared" si="29"/>
        <v>0</v>
      </c>
      <c r="BI73" s="108">
        <f t="shared" si="24"/>
        <v>0</v>
      </c>
      <c r="BJ73" s="22">
        <f t="shared" si="25"/>
        <v>46692</v>
      </c>
      <c r="BK73" s="108">
        <f t="shared" ref="BK73:BK114" si="50">K73</f>
        <v>0</v>
      </c>
      <c r="BL73" s="2" t="e">
        <f>IF(AND(G28&gt;=$W$11,G28&lt;=$W$11+5),0,IF($C$9&gt;$AF$51,ROUND(BG27*IF(#REF!="",0,#REF!)/(DATEVALUE(CONCATENATE("01/01/",YEAR(AQ28)+1))-DATEVALUE(CONCATENATE("01/01/",YEAR(AQ28))))*(AQ28-AQ27),2),0))</f>
        <v>#REF!</v>
      </c>
    </row>
    <row r="74" spans="1:64" s="16" customFormat="1" x14ac:dyDescent="0.3">
      <c r="A74" s="178"/>
      <c r="B74" s="178"/>
      <c r="C74" s="184"/>
      <c r="D74" s="178"/>
      <c r="E74" s="178"/>
      <c r="F74" s="178"/>
      <c r="G74" s="244">
        <f t="shared" si="26"/>
        <v>66</v>
      </c>
      <c r="H74" s="245">
        <f t="shared" ref="H74:H92" si="51">IF((OR(DAY($AD$54)=29,DAY($AD$54)=30,DAY($AD$54)=31)),(EDATE($C$9-28,G74+1)),EDATE($C$9,G74))</f>
        <v>46722</v>
      </c>
      <c r="I74" s="246">
        <f t="shared" si="30"/>
        <v>0.20899999999999999</v>
      </c>
      <c r="J74" s="242">
        <f t="shared" ref="J74:J108" si="52">K74+Q74</f>
        <v>0</v>
      </c>
      <c r="K74" s="242">
        <f t="shared" si="21"/>
        <v>0</v>
      </c>
      <c r="L74" s="242">
        <f t="shared" ref="L74:L92" si="53">S73*($C$11/365*(H74-H73))</f>
        <v>0</v>
      </c>
      <c r="M74" s="242">
        <f t="shared" si="22"/>
        <v>0</v>
      </c>
      <c r="N74" s="242">
        <f t="shared" si="47"/>
        <v>0</v>
      </c>
      <c r="O74" s="242">
        <v>0</v>
      </c>
      <c r="P74" s="242">
        <f t="shared" si="23"/>
        <v>0</v>
      </c>
      <c r="Q74" s="242">
        <f t="shared" si="48"/>
        <v>0</v>
      </c>
      <c r="R74" s="242">
        <f t="shared" ref="R74:R108" si="54">IF(V74=0,0,0)</f>
        <v>0</v>
      </c>
      <c r="S74" s="242">
        <f t="shared" ref="S74" si="55">S73-M74-T74</f>
        <v>0</v>
      </c>
      <c r="T74" s="467"/>
      <c r="U74" s="36">
        <f t="shared" si="27"/>
        <v>0</v>
      </c>
      <c r="V74" s="36">
        <f t="shared" ref="V74:V107" si="56">U74</f>
        <v>0</v>
      </c>
      <c r="W74" s="2" t="e">
        <f>IF(AND(G39&gt;=$W$11,G39&lt;=$W$11+5),0,IF($C$9&gt;$AF$51,ROUND(S38*#REF!/(DATEVALUE(CONCATENATE("01/01/",YEAR(H39)+1))-DATEVALUE(CONCATENATE("01/01/",YEAR(H39))))*(H39-H38),2),0))</f>
        <v>#REF!</v>
      </c>
      <c r="X74" s="34">
        <f t="shared" si="41"/>
        <v>8289</v>
      </c>
      <c r="Y74" s="57">
        <f t="shared" si="39"/>
        <v>56025</v>
      </c>
      <c r="AC74" s="134">
        <v>1.2</v>
      </c>
      <c r="AD74" s="134">
        <v>1.5</v>
      </c>
      <c r="AE74" s="134">
        <v>1.3</v>
      </c>
      <c r="AF74" s="134">
        <v>1.2</v>
      </c>
      <c r="AG74" s="134">
        <v>0</v>
      </c>
      <c r="AH74" s="134">
        <v>1</v>
      </c>
      <c r="AI74" s="134">
        <v>1.5</v>
      </c>
      <c r="AJ74" s="134">
        <v>1.5</v>
      </c>
      <c r="AK74" s="15"/>
      <c r="AL74" s="2">
        <f>IF(AND(Y30&gt;=$W$11,Y30&lt;=$W$11+5),0,IF($C$9&gt;$AF$51,ROUND(AI34*#REF!/(DATEVALUE(CONCATENATE("01/01/",YEAR(Z30)+1))-DATEVALUE(CONCATENATE("01/01/",YEAR(Z30))))*(Z30-Z29),2),0))</f>
        <v>0</v>
      </c>
      <c r="AM74" s="34">
        <f t="shared" si="43"/>
        <v>8289</v>
      </c>
      <c r="AN74" s="57">
        <f t="shared" si="42"/>
        <v>54565</v>
      </c>
      <c r="AO74" s="130">
        <f t="shared" ref="AO74:AO108" si="57">IF(OR(AT74="",AT74=0),0,1)</f>
        <v>0</v>
      </c>
      <c r="AP74" s="553">
        <f t="shared" si="28"/>
        <v>66</v>
      </c>
      <c r="AQ74" s="554">
        <f t="shared" ref="AQ74:AQ92" si="58">IF((OR(DAY($AD$54)=29,DAY($AD$54)=30,DAY($AD$54)=31)),(EDATE($C$9-28,AP74+1)),EDATE($C$9,AP74))</f>
        <v>46722</v>
      </c>
      <c r="AR74" s="555">
        <f t="shared" si="44"/>
        <v>0.20899999999999999</v>
      </c>
      <c r="AS74" s="546">
        <f t="shared" ref="AS74:AS108" si="59">AT74+AZ74</f>
        <v>0</v>
      </c>
      <c r="AT74" s="546">
        <f t="shared" ref="AT74:AT92" si="60">IF(AP74&gt;$C$10,0,ROUNDUP($BG$8*$C$11/12/((1-(1+$C$11/12)^(0-$C$10))),0))</f>
        <v>0</v>
      </c>
      <c r="AU74" s="546">
        <f t="shared" ref="AU74:AU92" si="61">BG73*($C$11/365*(AQ74-AQ73))</f>
        <v>0</v>
      </c>
      <c r="AV74" s="546">
        <f t="shared" ref="AV74:AV108" si="62">IF(BI74=0,0,IF(BI74=1,BG73,IF(BG73+AW74+AU74&gt;AT73,AT74-AU74-AW74,BG73)))</f>
        <v>0</v>
      </c>
      <c r="AW74" s="546">
        <f t="shared" si="49"/>
        <v>0</v>
      </c>
      <c r="AX74" s="546">
        <v>0</v>
      </c>
      <c r="AY74" s="546">
        <f t="shared" si="18"/>
        <v>0</v>
      </c>
      <c r="AZ74" s="546">
        <f t="shared" si="35"/>
        <v>0</v>
      </c>
      <c r="BA74" s="546">
        <f t="shared" si="34"/>
        <v>0</v>
      </c>
      <c r="BB74" s="546"/>
      <c r="BC74" s="546"/>
      <c r="BD74" s="546"/>
      <c r="BE74" s="546"/>
      <c r="BF74" s="546"/>
      <c r="BG74" s="546">
        <f t="shared" ref="BG74:BG108" si="63">IF(OR(BI74=1,BG73=0),0,BG73-AV74)</f>
        <v>0</v>
      </c>
      <c r="BH74" s="108">
        <f t="shared" si="29"/>
        <v>0</v>
      </c>
      <c r="BI74" s="108">
        <f t="shared" si="24"/>
        <v>0</v>
      </c>
      <c r="BJ74" s="22">
        <f t="shared" si="25"/>
        <v>46722</v>
      </c>
      <c r="BK74" s="108">
        <f t="shared" si="50"/>
        <v>0</v>
      </c>
      <c r="BL74" s="2" t="e">
        <f>IF(AND(G29&gt;=$W$11,G29&lt;=$W$11+5),0,IF($C$9&gt;$AF$51,ROUND(BG28*IF(#REF!="",0,#REF!)/(DATEVALUE(CONCATENATE("01/01/",YEAR(AQ29)+1))-DATEVALUE(CONCATENATE("01/01/",YEAR(AQ29))))*(AQ29-AQ28),2),0))</f>
        <v>#REF!</v>
      </c>
    </row>
    <row r="75" spans="1:64" s="16" customFormat="1" x14ac:dyDescent="0.3">
      <c r="A75" s="178"/>
      <c r="B75" s="178"/>
      <c r="C75" s="184"/>
      <c r="D75" s="178"/>
      <c r="E75" s="178"/>
      <c r="F75" s="178"/>
      <c r="G75" s="244">
        <f t="shared" si="26"/>
        <v>67</v>
      </c>
      <c r="H75" s="245">
        <f t="shared" si="51"/>
        <v>46753</v>
      </c>
      <c r="I75" s="246">
        <f t="shared" si="30"/>
        <v>0.20899999999999999</v>
      </c>
      <c r="J75" s="242">
        <f t="shared" si="52"/>
        <v>0</v>
      </c>
      <c r="K75" s="242">
        <f t="shared" ref="K75:K92" si="64">IF(G75&gt;$C$10,0,IF(T74=0,K74,ROUNDUP(S74*$C$11/12/((1-(1+$C$11/12)^(0-($C$10-G75)))),0)))</f>
        <v>0</v>
      </c>
      <c r="L75" s="242">
        <f t="shared" si="53"/>
        <v>0</v>
      </c>
      <c r="M75" s="242">
        <f t="shared" ref="M75:M92" si="65">IF(S74=0,0,IF(S74+L75&gt;K74,K75-L75,S74))</f>
        <v>0</v>
      </c>
      <c r="N75" s="242">
        <f t="shared" si="47"/>
        <v>0</v>
      </c>
      <c r="O75" s="242">
        <v>0</v>
      </c>
      <c r="P75" s="242">
        <f t="shared" si="23"/>
        <v>0</v>
      </c>
      <c r="Q75" s="242">
        <f t="shared" si="48"/>
        <v>0</v>
      </c>
      <c r="R75" s="242">
        <f t="shared" si="54"/>
        <v>0</v>
      </c>
      <c r="S75" s="242">
        <f t="shared" ref="S75:S108" si="66">IF(OR(V75=1,S74=0),0,S74-M75)</f>
        <v>0</v>
      </c>
      <c r="T75" s="467"/>
      <c r="U75" s="36">
        <f t="shared" si="27"/>
        <v>0</v>
      </c>
      <c r="V75" s="36">
        <f t="shared" si="56"/>
        <v>0</v>
      </c>
      <c r="W75" s="2" t="e">
        <f>IF(AND(G40&gt;=$W$11,G40&lt;=$W$11+5),0,IF($C$9&gt;$AF$51,ROUND(S39*#REF!/(DATEVALUE(CONCATENATE("01/01/",YEAR(H40)+1))-DATEVALUE(CONCATENATE("01/01/",YEAR(H40))))*(H40-H39),2),0))</f>
        <v>#REF!</v>
      </c>
      <c r="X75" s="34">
        <f t="shared" si="41"/>
        <v>8289</v>
      </c>
      <c r="Y75" s="57">
        <f t="shared" si="39"/>
        <v>56390</v>
      </c>
      <c r="AC75" s="134">
        <v>1.1000000000000001</v>
      </c>
      <c r="AD75" s="134">
        <v>1.25</v>
      </c>
      <c r="AE75" s="134">
        <v>1.3</v>
      </c>
      <c r="AF75" s="134">
        <v>1.2</v>
      </c>
      <c r="AG75" s="134">
        <v>0</v>
      </c>
      <c r="AH75" s="134">
        <v>1</v>
      </c>
      <c r="AI75" s="134">
        <v>1.3</v>
      </c>
      <c r="AJ75" s="134">
        <v>1.3</v>
      </c>
      <c r="AK75" s="2"/>
      <c r="AL75" s="2">
        <f>IF(AND(Y31&gt;=$W$11,Y31&lt;=$W$11+5),0,IF($C$9&gt;$AF$51,ROUND(AI35*#REF!/(DATEVALUE(CONCATENATE("01/01/",YEAR(Z31)+1))-DATEVALUE(CONCATENATE("01/01/",YEAR(Z31))))*(Z31-Z30),2),0))</f>
        <v>0</v>
      </c>
      <c r="AM75" s="34">
        <f t="shared" si="43"/>
        <v>8289</v>
      </c>
      <c r="AN75" s="57">
        <f t="shared" si="42"/>
        <v>54930</v>
      </c>
      <c r="AO75" s="130">
        <f t="shared" si="57"/>
        <v>0</v>
      </c>
      <c r="AP75" s="553">
        <f t="shared" si="28"/>
        <v>67</v>
      </c>
      <c r="AQ75" s="554">
        <f t="shared" si="58"/>
        <v>46753</v>
      </c>
      <c r="AR75" s="555">
        <f t="shared" si="44"/>
        <v>0.20899999999999999</v>
      </c>
      <c r="AS75" s="559">
        <f t="shared" si="59"/>
        <v>0</v>
      </c>
      <c r="AT75" s="546">
        <f t="shared" si="60"/>
        <v>0</v>
      </c>
      <c r="AU75" s="546">
        <f t="shared" si="61"/>
        <v>0</v>
      </c>
      <c r="AV75" s="546">
        <f t="shared" si="62"/>
        <v>0</v>
      </c>
      <c r="AW75" s="559">
        <f t="shared" si="49"/>
        <v>0</v>
      </c>
      <c r="AX75" s="559">
        <v>0</v>
      </c>
      <c r="AY75" s="559">
        <f t="shared" si="18"/>
        <v>0</v>
      </c>
      <c r="AZ75" s="559">
        <f t="shared" si="35"/>
        <v>0</v>
      </c>
      <c r="BA75" s="559">
        <f t="shared" si="34"/>
        <v>0</v>
      </c>
      <c r="BB75" s="559"/>
      <c r="BC75" s="559"/>
      <c r="BD75" s="559"/>
      <c r="BE75" s="559"/>
      <c r="BF75" s="559"/>
      <c r="BG75" s="546">
        <f t="shared" si="63"/>
        <v>0</v>
      </c>
      <c r="BH75" s="108">
        <f t="shared" si="29"/>
        <v>0</v>
      </c>
      <c r="BI75" s="108">
        <f t="shared" ref="BI75:BI114" si="67">BH75</f>
        <v>0</v>
      </c>
      <c r="BJ75" s="22">
        <f t="shared" ref="BJ75:BJ114" si="68">H75</f>
        <v>46753</v>
      </c>
      <c r="BK75" s="108">
        <f t="shared" si="50"/>
        <v>0</v>
      </c>
      <c r="BL75" s="2" t="e">
        <f>IF(AND(G30&gt;=$W$11,G30&lt;=$W$11+5),0,IF($C$9&gt;$AF$51,ROUND(BG29*IF(#REF!="",0,#REF!)/(DATEVALUE(CONCATENATE("01/01/",YEAR(AQ30)+1))-DATEVALUE(CONCATENATE("01/01/",YEAR(AQ30))))*(AQ30-AQ29),2),0))</f>
        <v>#REF!</v>
      </c>
    </row>
    <row r="76" spans="1:64" s="16" customFormat="1" x14ac:dyDescent="0.3">
      <c r="A76" s="178"/>
      <c r="B76" s="178"/>
      <c r="C76" s="184"/>
      <c r="D76" s="178"/>
      <c r="E76" s="178"/>
      <c r="F76" s="178"/>
      <c r="G76" s="244">
        <f t="shared" ref="G76:G108" si="69">G75+1</f>
        <v>68</v>
      </c>
      <c r="H76" s="245">
        <f t="shared" si="51"/>
        <v>46784</v>
      </c>
      <c r="I76" s="246">
        <f t="shared" si="30"/>
        <v>0.20899999999999999</v>
      </c>
      <c r="J76" s="242">
        <f t="shared" si="52"/>
        <v>0</v>
      </c>
      <c r="K76" s="242">
        <f t="shared" si="64"/>
        <v>0</v>
      </c>
      <c r="L76" s="242">
        <f t="shared" si="53"/>
        <v>0</v>
      </c>
      <c r="M76" s="242">
        <f t="shared" si="65"/>
        <v>0</v>
      </c>
      <c r="N76" s="242">
        <f t="shared" si="47"/>
        <v>0</v>
      </c>
      <c r="O76" s="242">
        <v>0</v>
      </c>
      <c r="P76" s="242">
        <f t="shared" si="23"/>
        <v>0</v>
      </c>
      <c r="Q76" s="242">
        <f t="shared" si="48"/>
        <v>0</v>
      </c>
      <c r="R76" s="242">
        <f t="shared" si="54"/>
        <v>0</v>
      </c>
      <c r="S76" s="242">
        <f t="shared" si="66"/>
        <v>0</v>
      </c>
      <c r="T76" s="467"/>
      <c r="U76" s="36">
        <f t="shared" ref="U76:U108" si="70">IF((U75-1)&lt;0,0,U75-1)</f>
        <v>0</v>
      </c>
      <c r="V76" s="36">
        <f t="shared" si="56"/>
        <v>0</v>
      </c>
      <c r="W76" s="2" t="e">
        <f>IF(AND(G41&gt;=$W$11,G41&lt;=$W$11+5),0,IF($C$9&gt;$AF$51,ROUND(S40*#REF!/(DATEVALUE(CONCATENATE("01/01/",YEAR(H41)+1))-DATEVALUE(CONCATENATE("01/01/",YEAR(H41))))*(H41-H40),2),0))</f>
        <v>#REF!</v>
      </c>
      <c r="X76" s="34">
        <f t="shared" si="41"/>
        <v>8289</v>
      </c>
      <c r="Y76" s="57">
        <f t="shared" si="39"/>
        <v>56755</v>
      </c>
      <c r="AC76" s="134">
        <v>1</v>
      </c>
      <c r="AD76" s="134">
        <v>1.1000000000000001</v>
      </c>
      <c r="AE76" s="134">
        <v>1.3</v>
      </c>
      <c r="AF76" s="134">
        <v>1</v>
      </c>
      <c r="AG76" s="134">
        <v>0</v>
      </c>
      <c r="AH76" s="134">
        <v>1</v>
      </c>
      <c r="AI76" s="134">
        <v>1</v>
      </c>
      <c r="AJ76" s="134">
        <v>1</v>
      </c>
      <c r="AL76" s="2">
        <f>IF(AND(Y32&gt;=$W$11,Y32&lt;=$W$11+5),0,IF($C$9&gt;$AF$51,ROUND(AI36*#REF!/(DATEVALUE(CONCATENATE("01/01/",YEAR(Z32)+1))-DATEVALUE(CONCATENATE("01/01/",YEAR(Z32))))*(Z32-Z31),2),0))</f>
        <v>0</v>
      </c>
      <c r="AM76" s="34">
        <f t="shared" si="43"/>
        <v>8289</v>
      </c>
      <c r="AN76" s="57">
        <f t="shared" si="42"/>
        <v>55295</v>
      </c>
      <c r="AO76" s="130">
        <f t="shared" si="57"/>
        <v>0</v>
      </c>
      <c r="AP76" s="553">
        <f t="shared" ref="AP76:AP108" si="71">AP75+1</f>
        <v>68</v>
      </c>
      <c r="AQ76" s="554">
        <f t="shared" si="58"/>
        <v>46784</v>
      </c>
      <c r="AR76" s="555">
        <f t="shared" si="44"/>
        <v>0.20899999999999999</v>
      </c>
      <c r="AS76" s="559">
        <f t="shared" si="59"/>
        <v>0</v>
      </c>
      <c r="AT76" s="546">
        <f t="shared" si="60"/>
        <v>0</v>
      </c>
      <c r="AU76" s="546">
        <f t="shared" si="61"/>
        <v>0</v>
      </c>
      <c r="AV76" s="546">
        <f t="shared" si="62"/>
        <v>0</v>
      </c>
      <c r="AW76" s="559">
        <f t="shared" si="49"/>
        <v>0</v>
      </c>
      <c r="AX76" s="559">
        <v>0</v>
      </c>
      <c r="AY76" s="559">
        <f t="shared" si="18"/>
        <v>0</v>
      </c>
      <c r="AZ76" s="559">
        <f t="shared" si="35"/>
        <v>0</v>
      </c>
      <c r="BA76" s="559">
        <f t="shared" si="34"/>
        <v>0</v>
      </c>
      <c r="BB76" s="559"/>
      <c r="BC76" s="559"/>
      <c r="BD76" s="559"/>
      <c r="BE76" s="559"/>
      <c r="BF76" s="559"/>
      <c r="BG76" s="546">
        <f t="shared" si="63"/>
        <v>0</v>
      </c>
      <c r="BH76" s="108">
        <f t="shared" ref="BH76:BH114" si="72">IF((BH75-1)&lt;0,0,BH75-1)</f>
        <v>0</v>
      </c>
      <c r="BI76" s="108">
        <f t="shared" si="67"/>
        <v>0</v>
      </c>
      <c r="BJ76" s="22">
        <f t="shared" si="68"/>
        <v>46784</v>
      </c>
      <c r="BK76" s="108">
        <f t="shared" si="50"/>
        <v>0</v>
      </c>
      <c r="BL76" s="2" t="e">
        <f>IF(AND(G31&gt;=$W$11,G31&lt;=$W$11+5),0,IF($C$9&gt;$AF$51,ROUND(BG30*IF(#REF!="",0,#REF!)/(DATEVALUE(CONCATENATE("01/01/",YEAR(AQ31)+1))-DATEVALUE(CONCATENATE("01/01/",YEAR(AQ31))))*(AQ31-AQ30),2),0))</f>
        <v>#REF!</v>
      </c>
    </row>
    <row r="77" spans="1:64" s="16" customFormat="1" x14ac:dyDescent="0.3">
      <c r="A77" s="178"/>
      <c r="B77" s="178"/>
      <c r="C77" s="184"/>
      <c r="D77" s="178"/>
      <c r="E77" s="178"/>
      <c r="F77" s="178"/>
      <c r="G77" s="244">
        <f t="shared" si="69"/>
        <v>69</v>
      </c>
      <c r="H77" s="245">
        <f t="shared" si="51"/>
        <v>46813</v>
      </c>
      <c r="I77" s="246">
        <f t="shared" si="30"/>
        <v>0.20899999999999999</v>
      </c>
      <c r="J77" s="242">
        <f t="shared" si="52"/>
        <v>0</v>
      </c>
      <c r="K77" s="242">
        <f t="shared" si="64"/>
        <v>0</v>
      </c>
      <c r="L77" s="242">
        <f t="shared" si="53"/>
        <v>0</v>
      </c>
      <c r="M77" s="242">
        <f t="shared" si="65"/>
        <v>0</v>
      </c>
      <c r="N77" s="242">
        <f t="shared" si="47"/>
        <v>0</v>
      </c>
      <c r="O77" s="242">
        <v>0</v>
      </c>
      <c r="P77" s="242">
        <f t="shared" si="23"/>
        <v>0</v>
      </c>
      <c r="Q77" s="242">
        <f t="shared" si="48"/>
        <v>0</v>
      </c>
      <c r="R77" s="242">
        <f t="shared" si="54"/>
        <v>0</v>
      </c>
      <c r="S77" s="242">
        <f t="shared" si="66"/>
        <v>0</v>
      </c>
      <c r="T77" s="467"/>
      <c r="U77" s="36">
        <f t="shared" si="70"/>
        <v>0</v>
      </c>
      <c r="V77" s="36">
        <f t="shared" si="56"/>
        <v>0</v>
      </c>
      <c r="W77" s="2" t="e">
        <f>IF(AND(G42&gt;=$W$11,G42&lt;=$W$11+5),0,IF($C$9&gt;$AF$51,ROUND(S41*#REF!/(DATEVALUE(CONCATENATE("01/01/",YEAR(H42)+1))-DATEVALUE(CONCATENATE("01/01/",YEAR(H42))))*(H42-H41),2),0))</f>
        <v>#REF!</v>
      </c>
      <c r="X77" s="34">
        <f t="shared" si="41"/>
        <v>8289</v>
      </c>
      <c r="Y77" s="57">
        <f t="shared" si="39"/>
        <v>57120</v>
      </c>
      <c r="AC77" s="16">
        <f>IF($C$7&gt;=$AA$71,AC76,IF($C$7&gt;=$AA$70,AC75,IF($C$7&gt;=$AA$69,AC74,IF($C$7&gt;=$AA$68,AC73,AC72))))</f>
        <v>1</v>
      </c>
      <c r="AD77" s="16">
        <v>1.3</v>
      </c>
      <c r="AE77" s="16">
        <f t="shared" ref="AE77:AI77" si="73">IF($C$7&gt;=$AA$71,AE76,IF($C$7&gt;=$AA$70,AE75,IF($C$7&gt;=$AA$69,AE74,IF($C$7&gt;=$AA$68,AE73,AE72))))</f>
        <v>1.5</v>
      </c>
      <c r="AF77" s="16">
        <f>IF($C$7&gt;=$AA$71,AF76,IF($C$7&gt;=$AA$70,AF75,IF($C$7&gt;=$AA$69,AF74,IF($C$7&gt;=$AA$68,AF73,AF72))))</f>
        <v>1.5</v>
      </c>
      <c r="AG77" s="16">
        <f t="shared" si="73"/>
        <v>0</v>
      </c>
      <c r="AH77" s="16">
        <f t="shared" si="73"/>
        <v>1</v>
      </c>
      <c r="AI77" s="16">
        <f t="shared" si="73"/>
        <v>2</v>
      </c>
      <c r="AJ77" s="16">
        <v>1</v>
      </c>
      <c r="AL77" s="2" t="e">
        <f>IF(AND(#REF!&gt;=$W$11,#REF!&lt;=$W$11+5),0,IF($C$9&gt;$AF$51,ROUND(AI37*#REF!/(DATEVALUE(CONCATENATE("01/01/",YEAR(#REF!)+1))-DATEVALUE(CONCATENATE("01/01/",YEAR(#REF!))))*(#REF!-Z32),2),0))</f>
        <v>#REF!</v>
      </c>
      <c r="AM77" s="34">
        <f t="shared" si="43"/>
        <v>8289</v>
      </c>
      <c r="AN77" s="57">
        <f t="shared" si="42"/>
        <v>55660</v>
      </c>
      <c r="AO77" s="130">
        <f t="shared" si="57"/>
        <v>0</v>
      </c>
      <c r="AP77" s="553">
        <f t="shared" si="71"/>
        <v>69</v>
      </c>
      <c r="AQ77" s="554">
        <f t="shared" si="58"/>
        <v>46813</v>
      </c>
      <c r="AR77" s="555">
        <f t="shared" si="44"/>
        <v>0.20899999999999999</v>
      </c>
      <c r="AS77" s="559">
        <f t="shared" si="59"/>
        <v>0</v>
      </c>
      <c r="AT77" s="546">
        <f t="shared" si="60"/>
        <v>0</v>
      </c>
      <c r="AU77" s="546">
        <f t="shared" si="61"/>
        <v>0</v>
      </c>
      <c r="AV77" s="546">
        <f t="shared" si="62"/>
        <v>0</v>
      </c>
      <c r="AW77" s="559">
        <f t="shared" si="49"/>
        <v>0</v>
      </c>
      <c r="AX77" s="559">
        <v>0</v>
      </c>
      <c r="AY77" s="559">
        <f t="shared" si="18"/>
        <v>0</v>
      </c>
      <c r="AZ77" s="559">
        <f t="shared" si="35"/>
        <v>0</v>
      </c>
      <c r="BA77" s="559">
        <f t="shared" si="34"/>
        <v>0</v>
      </c>
      <c r="BB77" s="559"/>
      <c r="BC77" s="559"/>
      <c r="BD77" s="559"/>
      <c r="BE77" s="559"/>
      <c r="BF77" s="559"/>
      <c r="BG77" s="546">
        <f t="shared" si="63"/>
        <v>0</v>
      </c>
      <c r="BH77" s="108">
        <f t="shared" si="72"/>
        <v>0</v>
      </c>
      <c r="BI77" s="108">
        <f t="shared" si="67"/>
        <v>0</v>
      </c>
      <c r="BJ77" s="22">
        <f t="shared" si="68"/>
        <v>46813</v>
      </c>
      <c r="BK77" s="108">
        <f t="shared" si="50"/>
        <v>0</v>
      </c>
      <c r="BL77" s="2" t="e">
        <f>IF(AND(G32&gt;=$W$11,G32&lt;=$W$11+5),0,IF($C$9&gt;$AF$51,ROUND(BG31*IF(#REF!="",0,#REF!)/(DATEVALUE(CONCATENATE("01/01/",YEAR(AQ32)+1))-DATEVALUE(CONCATENATE("01/01/",YEAR(AQ32))))*(AQ32-AQ31),2),0))</f>
        <v>#REF!</v>
      </c>
    </row>
    <row r="78" spans="1:64" s="16" customFormat="1" x14ac:dyDescent="0.3">
      <c r="A78" s="178"/>
      <c r="B78" s="178"/>
      <c r="C78" s="184"/>
      <c r="D78" s="178"/>
      <c r="E78" s="178"/>
      <c r="F78" s="178"/>
      <c r="G78" s="244">
        <f t="shared" si="69"/>
        <v>70</v>
      </c>
      <c r="H78" s="245">
        <f t="shared" si="51"/>
        <v>46844</v>
      </c>
      <c r="I78" s="246">
        <f t="shared" si="30"/>
        <v>0.20899999999999999</v>
      </c>
      <c r="J78" s="242">
        <f t="shared" si="52"/>
        <v>0</v>
      </c>
      <c r="K78" s="242">
        <f t="shared" si="64"/>
        <v>0</v>
      </c>
      <c r="L78" s="242">
        <f t="shared" si="53"/>
        <v>0</v>
      </c>
      <c r="M78" s="242">
        <f t="shared" si="65"/>
        <v>0</v>
      </c>
      <c r="N78" s="242">
        <f t="shared" si="47"/>
        <v>0</v>
      </c>
      <c r="O78" s="242">
        <v>0</v>
      </c>
      <c r="P78" s="242">
        <f t="shared" si="23"/>
        <v>0</v>
      </c>
      <c r="Q78" s="242">
        <f t="shared" si="48"/>
        <v>0</v>
      </c>
      <c r="R78" s="242">
        <f t="shared" si="54"/>
        <v>0</v>
      </c>
      <c r="S78" s="242">
        <f t="shared" si="66"/>
        <v>0</v>
      </c>
      <c r="T78" s="467"/>
      <c r="U78" s="36">
        <f t="shared" si="70"/>
        <v>0</v>
      </c>
      <c r="V78" s="36">
        <f t="shared" si="56"/>
        <v>0</v>
      </c>
      <c r="W78" s="2" t="e">
        <f>IF(AND(G43&gt;=$W$11,G43&lt;=$W$11+5),0,IF($C$9&gt;$AF$51,ROUND(S42*#REF!/(DATEVALUE(CONCATENATE("01/01/",YEAR(H43)+1))-DATEVALUE(CONCATENATE("01/01/",YEAR(H43))))*(H43-H42),2),0))</f>
        <v>#REF!</v>
      </c>
      <c r="X78" s="34">
        <f t="shared" si="41"/>
        <v>8289</v>
      </c>
      <c r="Y78" s="57">
        <f t="shared" si="39"/>
        <v>57485</v>
      </c>
      <c r="AC78" s="16" t="s">
        <v>330</v>
      </c>
      <c r="AD78" s="16" t="s">
        <v>112</v>
      </c>
      <c r="AE78" s="16" t="s">
        <v>116</v>
      </c>
      <c r="AG78" s="16" t="s">
        <v>113</v>
      </c>
      <c r="AH78" s="16" t="s">
        <v>122</v>
      </c>
      <c r="AI78" s="16" t="s">
        <v>121</v>
      </c>
      <c r="AL78" s="2" t="e">
        <f>IF(AND(#REF!&gt;=$W$11,#REF!&lt;=$W$11+5),0,IF($C$9&gt;$AF$51,ROUND(AI38*#REF!/(DATEVALUE(CONCATENATE("01/01/",YEAR(#REF!)+1))-DATEVALUE(CONCATENATE("01/01/",YEAR(#REF!))))*(#REF!-#REF!),2),0))</f>
        <v>#REF!</v>
      </c>
      <c r="AM78" s="34">
        <f t="shared" si="43"/>
        <v>8289</v>
      </c>
      <c r="AN78" s="57">
        <f t="shared" si="42"/>
        <v>56025</v>
      </c>
      <c r="AO78" s="130">
        <f t="shared" si="57"/>
        <v>0</v>
      </c>
      <c r="AP78" s="553">
        <f t="shared" si="71"/>
        <v>70</v>
      </c>
      <c r="AQ78" s="554">
        <f t="shared" si="58"/>
        <v>46844</v>
      </c>
      <c r="AR78" s="555">
        <f t="shared" si="44"/>
        <v>0.20899999999999999</v>
      </c>
      <c r="AS78" s="559">
        <f t="shared" si="59"/>
        <v>0</v>
      </c>
      <c r="AT78" s="546">
        <f t="shared" si="60"/>
        <v>0</v>
      </c>
      <c r="AU78" s="546">
        <f t="shared" si="61"/>
        <v>0</v>
      </c>
      <c r="AV78" s="546">
        <f t="shared" si="62"/>
        <v>0</v>
      </c>
      <c r="AW78" s="559">
        <f t="shared" si="49"/>
        <v>0</v>
      </c>
      <c r="AX78" s="559">
        <v>0</v>
      </c>
      <c r="AY78" s="559">
        <f t="shared" si="18"/>
        <v>0</v>
      </c>
      <c r="AZ78" s="559">
        <f t="shared" si="35"/>
        <v>0</v>
      </c>
      <c r="BA78" s="559">
        <f t="shared" si="34"/>
        <v>0</v>
      </c>
      <c r="BB78" s="559"/>
      <c r="BC78" s="559"/>
      <c r="BD78" s="559"/>
      <c r="BE78" s="559"/>
      <c r="BF78" s="559"/>
      <c r="BG78" s="546">
        <f t="shared" si="63"/>
        <v>0</v>
      </c>
      <c r="BH78" s="108">
        <f t="shared" si="72"/>
        <v>0</v>
      </c>
      <c r="BI78" s="108">
        <f t="shared" si="67"/>
        <v>0</v>
      </c>
      <c r="BJ78" s="22">
        <f t="shared" si="68"/>
        <v>46844</v>
      </c>
      <c r="BK78" s="108">
        <f t="shared" si="50"/>
        <v>0</v>
      </c>
      <c r="BL78" s="2" t="e">
        <f>IF(AND(G33&gt;=$W$11,G33&lt;=$W$11+5),0,IF($C$9&gt;$AF$51,ROUND(BG32*IF(#REF!="",0,#REF!)/(DATEVALUE(CONCATENATE("01/01/",YEAR(AQ33)+1))-DATEVALUE(CONCATENATE("01/01/",YEAR(AQ33))))*(AQ33-AQ32),2),0))</f>
        <v>#REF!</v>
      </c>
    </row>
    <row r="79" spans="1:64" s="16" customFormat="1" x14ac:dyDescent="0.3">
      <c r="A79" s="178"/>
      <c r="B79" s="178"/>
      <c r="C79" s="184"/>
      <c r="D79" s="178"/>
      <c r="E79" s="178"/>
      <c r="F79" s="178"/>
      <c r="G79" s="244">
        <f t="shared" si="69"/>
        <v>71</v>
      </c>
      <c r="H79" s="245">
        <f t="shared" si="51"/>
        <v>46874</v>
      </c>
      <c r="I79" s="246">
        <f t="shared" ref="I79:I108" si="74">IF(AND($W$11=1,G79&gt;=$W$11,G79&lt;=$W$11+5),0%,$C$11)</f>
        <v>0.20899999999999999</v>
      </c>
      <c r="J79" s="242">
        <f t="shared" si="52"/>
        <v>0</v>
      </c>
      <c r="K79" s="242">
        <f t="shared" si="64"/>
        <v>0</v>
      </c>
      <c r="L79" s="242">
        <f t="shared" si="53"/>
        <v>0</v>
      </c>
      <c r="M79" s="242">
        <f t="shared" si="65"/>
        <v>0</v>
      </c>
      <c r="N79" s="242">
        <f t="shared" si="47"/>
        <v>0</v>
      </c>
      <c r="O79" s="242">
        <v>0</v>
      </c>
      <c r="P79" s="242">
        <f t="shared" si="23"/>
        <v>0</v>
      </c>
      <c r="Q79" s="242">
        <f t="shared" si="48"/>
        <v>0</v>
      </c>
      <c r="R79" s="242">
        <f t="shared" si="54"/>
        <v>0</v>
      </c>
      <c r="S79" s="242">
        <f t="shared" si="66"/>
        <v>0</v>
      </c>
      <c r="T79" s="467"/>
      <c r="U79" s="36">
        <f t="shared" si="70"/>
        <v>0</v>
      </c>
      <c r="V79" s="36">
        <f t="shared" si="56"/>
        <v>0</v>
      </c>
      <c r="W79" s="2" t="e">
        <f>IF(AND(G44&gt;=$W$11,G44&lt;=$W$11+5),0,IF($C$9&gt;$AF$51,ROUND(S43*#REF!/(DATEVALUE(CONCATENATE("01/01/",YEAR(H44)+1))-DATEVALUE(CONCATENATE("01/01/",YEAR(H44))))*(H44-H43),2),0))</f>
        <v>#REF!</v>
      </c>
      <c r="X79" s="34">
        <f t="shared" si="41"/>
        <v>8289</v>
      </c>
      <c r="Y79" s="57">
        <f t="shared" si="39"/>
        <v>57850</v>
      </c>
      <c r="AC79" s="143">
        <f>MIN($C$7*IF($C$7&gt;$AB$71,AC76,IF($C$7&gt;$AB$70,AC75,IF($C$7&gt;$AB$69,AC74,IF($C$7&gt;$AB$68,AC73,AC72)))),5000000)</f>
        <v>330000</v>
      </c>
      <c r="AD79" s="143">
        <f>MIN($C$7*IF($C$7&gt;$AB$72,AD77,IF($C$7&gt;$AB$77,AD76,IF($C$7&gt;$AB$70,AD75,IF($C$7&gt;$AB$69,AD74,IF($C$7&gt;$AB$68,AD73,AD72))))),5000000)</f>
        <v>330000</v>
      </c>
      <c r="AE79" s="143">
        <f>MIN(3000000,$C$7*IF($C$7&gt;=$AA$71,AE76,IF($C$7&gt;=$AA$70,AE75,IF($C$7&gt;=$AA$69,AE74,IF($C$7&gt;=$AA$68,AE73,AE72)))))</f>
        <v>450000</v>
      </c>
      <c r="AF79" s="143">
        <f>MIN(5000000,$C$7*IF($C$7&gt;500000,AF76,IF($C$7&gt;200000,AF75,AF72)))</f>
        <v>360000</v>
      </c>
      <c r="AG79" s="143">
        <f>MIN(3000000,$C$7*IF($C$7&gt;=$AA$71,AG76,IF($C$7&gt;=$AA$70,AG75,IF($C$7&gt;=$AA$69,AG74,IF($C$7&gt;=$AA$68,AG73,AG72)))))</f>
        <v>0</v>
      </c>
      <c r="AH79" s="143">
        <f>$C$7*IF($C$7&gt;=$AA$71,AH76,IF($C$7&gt;=$AA$70,AH75,IF($C$7&gt;=$AA$69,AH74,IF($C$7&gt;=$AA$68,AH73,AH72))))</f>
        <v>300000</v>
      </c>
      <c r="AI79" s="143">
        <f>$C$7*IF($C$7&gt;=$AA$71,AI76,IF($C$7&gt;=$AA$70,AI75,IF($C$7&gt;=$AA$69,AI74,IF($C$7&gt;=$AA$68,AI73,AI72))))</f>
        <v>600000</v>
      </c>
      <c r="AL79" s="2" t="e">
        <f>IF(AND(#REF!&gt;=$W$11,#REF!&lt;=$W$11+5),0,IF($C$9&gt;$AF$51,ROUND(AI39*#REF!/(DATEVALUE(CONCATENATE("01/01/",YEAR(#REF!)+1))-DATEVALUE(CONCATENATE("01/01/",YEAR(#REF!))))*(#REF!-#REF!),2),0))</f>
        <v>#REF!</v>
      </c>
      <c r="AM79" s="34">
        <f t="shared" si="43"/>
        <v>8289</v>
      </c>
      <c r="AN79" s="57">
        <f t="shared" si="42"/>
        <v>56390</v>
      </c>
      <c r="AO79" s="130">
        <f t="shared" si="57"/>
        <v>0</v>
      </c>
      <c r="AP79" s="553">
        <f t="shared" si="71"/>
        <v>71</v>
      </c>
      <c r="AQ79" s="554">
        <f t="shared" si="58"/>
        <v>46874</v>
      </c>
      <c r="AR79" s="555">
        <f t="shared" si="44"/>
        <v>0.20899999999999999</v>
      </c>
      <c r="AS79" s="559">
        <f t="shared" si="59"/>
        <v>0</v>
      </c>
      <c r="AT79" s="546">
        <f t="shared" si="60"/>
        <v>0</v>
      </c>
      <c r="AU79" s="546">
        <f t="shared" si="61"/>
        <v>0</v>
      </c>
      <c r="AV79" s="546">
        <f t="shared" si="62"/>
        <v>0</v>
      </c>
      <c r="AW79" s="559">
        <f t="shared" si="49"/>
        <v>0</v>
      </c>
      <c r="AX79" s="559">
        <v>0</v>
      </c>
      <c r="AY79" s="559">
        <f t="shared" si="18"/>
        <v>0</v>
      </c>
      <c r="AZ79" s="559">
        <f t="shared" si="35"/>
        <v>0</v>
      </c>
      <c r="BA79" s="559">
        <f t="shared" si="34"/>
        <v>0</v>
      </c>
      <c r="BB79" s="559"/>
      <c r="BC79" s="559"/>
      <c r="BD79" s="559"/>
      <c r="BE79" s="559"/>
      <c r="BF79" s="559"/>
      <c r="BG79" s="546">
        <f t="shared" si="63"/>
        <v>0</v>
      </c>
      <c r="BH79" s="108">
        <f t="shared" si="72"/>
        <v>0</v>
      </c>
      <c r="BI79" s="108">
        <f t="shared" si="67"/>
        <v>0</v>
      </c>
      <c r="BJ79" s="22">
        <f t="shared" si="68"/>
        <v>46874</v>
      </c>
      <c r="BK79" s="108">
        <f t="shared" si="50"/>
        <v>0</v>
      </c>
      <c r="BL79" s="2" t="e">
        <f>IF(AND(G34&gt;=$W$11,G34&lt;=$W$11+5),0,IF($C$9&gt;$AF$51,ROUND(BG33*IF(#REF!="",0,#REF!)/(DATEVALUE(CONCATENATE("01/01/",YEAR(AQ34)+1))-DATEVALUE(CONCATENATE("01/01/",YEAR(AQ34))))*(AQ34-AQ33),2),0))</f>
        <v>#REF!</v>
      </c>
    </row>
    <row r="80" spans="1:64" s="16" customFormat="1" ht="13.8" thickBot="1" x14ac:dyDescent="0.35">
      <c r="A80" s="178"/>
      <c r="B80" s="178"/>
      <c r="C80" s="184"/>
      <c r="D80" s="178"/>
      <c r="E80" s="178"/>
      <c r="F80" s="178"/>
      <c r="G80" s="248">
        <f t="shared" si="69"/>
        <v>72</v>
      </c>
      <c r="H80" s="581">
        <f t="shared" si="51"/>
        <v>46905</v>
      </c>
      <c r="I80" s="250">
        <f t="shared" si="74"/>
        <v>0.20899999999999999</v>
      </c>
      <c r="J80" s="242">
        <f t="shared" si="52"/>
        <v>0</v>
      </c>
      <c r="K80" s="252">
        <f t="shared" si="64"/>
        <v>0</v>
      </c>
      <c r="L80" s="252">
        <f t="shared" si="53"/>
        <v>0</v>
      </c>
      <c r="M80" s="252">
        <f t="shared" si="65"/>
        <v>0</v>
      </c>
      <c r="N80" s="252">
        <f t="shared" si="47"/>
        <v>0</v>
      </c>
      <c r="O80" s="252">
        <v>0</v>
      </c>
      <c r="P80" s="252">
        <f t="shared" si="23"/>
        <v>0</v>
      </c>
      <c r="Q80" s="252">
        <f t="shared" si="48"/>
        <v>0</v>
      </c>
      <c r="R80" s="252">
        <f t="shared" si="54"/>
        <v>0</v>
      </c>
      <c r="S80" s="252">
        <f t="shared" si="66"/>
        <v>0</v>
      </c>
      <c r="T80" s="252"/>
      <c r="U80" s="36">
        <f t="shared" si="70"/>
        <v>0</v>
      </c>
      <c r="V80" s="36">
        <f t="shared" si="56"/>
        <v>0</v>
      </c>
      <c r="W80" s="2" t="e">
        <f>IF(AND(G45&gt;=$W$11,G45&lt;=$W$11+5),0,IF($C$9&gt;$AF$51,ROUND(S44*#REF!/(DATEVALUE(CONCATENATE("01/01/",YEAR(H45)+1))-DATEVALUE(CONCATENATE("01/01/",YEAR(H45))))*(H45-H44),2),0))</f>
        <v>#REF!</v>
      </c>
      <c r="X80" s="34">
        <f t="shared" si="41"/>
        <v>8289</v>
      </c>
      <c r="Y80" s="57">
        <f t="shared" si="39"/>
        <v>58215</v>
      </c>
      <c r="AL80" s="2" t="e">
        <f>IF(AND(#REF!&gt;=$W$11,#REF!&lt;=$W$11+5),0,IF($C$9&gt;$AF$51,ROUND(AI40*#REF!/(DATEVALUE(CONCATENATE("01/01/",YEAR(#REF!)+1))-DATEVALUE(CONCATENATE("01/01/",YEAR(#REF!))))*(#REF!-#REF!),2),0))</f>
        <v>#REF!</v>
      </c>
      <c r="AM80" s="34">
        <f t="shared" si="43"/>
        <v>8289</v>
      </c>
      <c r="AN80" s="57">
        <f t="shared" si="42"/>
        <v>56755</v>
      </c>
      <c r="AO80" s="130">
        <f t="shared" si="57"/>
        <v>0</v>
      </c>
      <c r="AP80" s="556">
        <f t="shared" si="71"/>
        <v>72</v>
      </c>
      <c r="AQ80" s="582">
        <f t="shared" si="58"/>
        <v>46905</v>
      </c>
      <c r="AR80" s="557">
        <f t="shared" si="44"/>
        <v>0.20899999999999999</v>
      </c>
      <c r="AS80" s="560">
        <f t="shared" si="59"/>
        <v>0</v>
      </c>
      <c r="AT80" s="547">
        <f t="shared" si="60"/>
        <v>0</v>
      </c>
      <c r="AU80" s="547">
        <f t="shared" si="61"/>
        <v>0</v>
      </c>
      <c r="AV80" s="547">
        <f t="shared" si="62"/>
        <v>0</v>
      </c>
      <c r="AW80" s="560">
        <f t="shared" si="49"/>
        <v>0</v>
      </c>
      <c r="AX80" s="560">
        <v>0</v>
      </c>
      <c r="AY80" s="560">
        <f t="shared" si="18"/>
        <v>0</v>
      </c>
      <c r="AZ80" s="560">
        <f t="shared" si="35"/>
        <v>0</v>
      </c>
      <c r="BA80" s="560">
        <f t="shared" si="34"/>
        <v>0</v>
      </c>
      <c r="BB80" s="560"/>
      <c r="BC80" s="560"/>
      <c r="BD80" s="560"/>
      <c r="BE80" s="560"/>
      <c r="BF80" s="560"/>
      <c r="BG80" s="547">
        <f t="shared" si="63"/>
        <v>0</v>
      </c>
      <c r="BH80" s="108">
        <f t="shared" si="72"/>
        <v>0</v>
      </c>
      <c r="BI80" s="108">
        <f t="shared" si="67"/>
        <v>0</v>
      </c>
      <c r="BJ80" s="22">
        <f t="shared" si="68"/>
        <v>46905</v>
      </c>
      <c r="BK80" s="108">
        <f t="shared" si="50"/>
        <v>0</v>
      </c>
      <c r="BL80" s="2" t="e">
        <f>IF(AND(G35&gt;=$W$11,G35&lt;=$W$11+5),0,IF($C$9&gt;$AF$51,ROUND(BG34*IF(#REF!="",0,#REF!)/(DATEVALUE(CONCATENATE("01/01/",YEAR(AQ35)+1))-DATEVALUE(CONCATENATE("01/01/",YEAR(AQ35))))*(AQ35-AQ34),2),0))</f>
        <v>#REF!</v>
      </c>
    </row>
    <row r="81" spans="1:64" s="16" customFormat="1" x14ac:dyDescent="0.3">
      <c r="A81" s="178"/>
      <c r="B81" s="178"/>
      <c r="C81" s="184"/>
      <c r="D81" s="178"/>
      <c r="E81" s="178"/>
      <c r="F81" s="178"/>
      <c r="G81" s="244">
        <f t="shared" si="69"/>
        <v>73</v>
      </c>
      <c r="H81" s="245">
        <f t="shared" si="51"/>
        <v>46935</v>
      </c>
      <c r="I81" s="246">
        <f t="shared" si="74"/>
        <v>0.20899999999999999</v>
      </c>
      <c r="J81" s="242">
        <f t="shared" si="52"/>
        <v>0</v>
      </c>
      <c r="K81" s="242">
        <f t="shared" si="64"/>
        <v>0</v>
      </c>
      <c r="L81" s="242">
        <f t="shared" si="53"/>
        <v>0</v>
      </c>
      <c r="M81" s="242">
        <f t="shared" si="65"/>
        <v>0</v>
      </c>
      <c r="N81" s="242">
        <f t="shared" si="47"/>
        <v>0</v>
      </c>
      <c r="O81" s="242">
        <v>0</v>
      </c>
      <c r="P81" s="242">
        <f t="shared" si="23"/>
        <v>0</v>
      </c>
      <c r="Q81" s="242">
        <f t="shared" si="48"/>
        <v>0</v>
      </c>
      <c r="R81" s="242">
        <f t="shared" si="54"/>
        <v>0</v>
      </c>
      <c r="S81" s="242">
        <f t="shared" si="66"/>
        <v>0</v>
      </c>
      <c r="T81" s="467"/>
      <c r="U81" s="36">
        <f t="shared" si="70"/>
        <v>0</v>
      </c>
      <c r="V81" s="36">
        <f t="shared" si="56"/>
        <v>0</v>
      </c>
      <c r="W81" s="2" t="e">
        <f>IF(AND(G46&gt;=$W$11,G46&lt;=$W$11+5),0,IF($C$9&gt;$AF$51,ROUND(S45*#REF!/(DATEVALUE(CONCATENATE("01/01/",YEAR(H46)+1))-DATEVALUE(CONCATENATE("01/01/",YEAR(H46))))*(H46-H45),2),0))</f>
        <v>#REF!</v>
      </c>
      <c r="X81" s="34">
        <f t="shared" si="41"/>
        <v>8289</v>
      </c>
      <c r="Y81" s="57">
        <f t="shared" si="39"/>
        <v>58580</v>
      </c>
      <c r="AL81" s="2" t="e">
        <f>IF(AND(#REF!&gt;=$W$11,#REF!&lt;=$W$11+5),0,IF($C$9&gt;$AF$51,ROUND(AI41*#REF!/(DATEVALUE(CONCATENATE("01/01/",YEAR(#REF!)+1))-DATEVALUE(CONCATENATE("01/01/",YEAR(#REF!))))*(#REF!-#REF!),2),0))</f>
        <v>#REF!</v>
      </c>
      <c r="AM81" s="34">
        <f t="shared" si="43"/>
        <v>8289</v>
      </c>
      <c r="AN81" s="57">
        <f t="shared" si="42"/>
        <v>57120</v>
      </c>
      <c r="AO81" s="130">
        <f t="shared" si="57"/>
        <v>0</v>
      </c>
      <c r="AP81" s="553">
        <f t="shared" si="71"/>
        <v>73</v>
      </c>
      <c r="AQ81" s="554">
        <f t="shared" si="58"/>
        <v>46935</v>
      </c>
      <c r="AR81" s="555">
        <f t="shared" si="44"/>
        <v>0.20899999999999999</v>
      </c>
      <c r="AS81" s="559">
        <f t="shared" si="59"/>
        <v>0</v>
      </c>
      <c r="AT81" s="546">
        <f t="shared" si="60"/>
        <v>0</v>
      </c>
      <c r="AU81" s="546">
        <f t="shared" si="61"/>
        <v>0</v>
      </c>
      <c r="AV81" s="546">
        <f t="shared" si="62"/>
        <v>0</v>
      </c>
      <c r="AW81" s="559">
        <f t="shared" si="49"/>
        <v>0</v>
      </c>
      <c r="AX81" s="559">
        <v>0</v>
      </c>
      <c r="AY81" s="559">
        <f t="shared" si="18"/>
        <v>0</v>
      </c>
      <c r="AZ81" s="559">
        <f t="shared" si="35"/>
        <v>0</v>
      </c>
      <c r="BA81" s="559">
        <f t="shared" si="34"/>
        <v>0</v>
      </c>
      <c r="BB81" s="559"/>
      <c r="BC81" s="559"/>
      <c r="BD81" s="559"/>
      <c r="BE81" s="559"/>
      <c r="BF81" s="559"/>
      <c r="BG81" s="546">
        <f t="shared" si="63"/>
        <v>0</v>
      </c>
      <c r="BH81" s="108">
        <f t="shared" si="72"/>
        <v>0</v>
      </c>
      <c r="BI81" s="108">
        <f t="shared" si="67"/>
        <v>0</v>
      </c>
      <c r="BJ81" s="22">
        <f t="shared" si="68"/>
        <v>46935</v>
      </c>
      <c r="BK81" s="108">
        <f t="shared" si="50"/>
        <v>0</v>
      </c>
      <c r="BL81" s="2" t="e">
        <f>IF(AND(G36&gt;=$W$11,G36&lt;=$W$11+5),0,IF($C$9&gt;$AF$51,ROUND(BG35*IF(#REF!="",0,#REF!)/(DATEVALUE(CONCATENATE("01/01/",YEAR(AQ36)+1))-DATEVALUE(CONCATENATE("01/01/",YEAR(AQ36))))*(AQ36-AQ35),2),0))</f>
        <v>#REF!</v>
      </c>
    </row>
    <row r="82" spans="1:64" s="16" customFormat="1" x14ac:dyDescent="0.3">
      <c r="A82" s="183"/>
      <c r="B82" s="180"/>
      <c r="C82" s="184"/>
      <c r="D82" s="182"/>
      <c r="E82" s="178"/>
      <c r="F82" s="178"/>
      <c r="G82" s="244">
        <f t="shared" si="69"/>
        <v>74</v>
      </c>
      <c r="H82" s="245">
        <f t="shared" si="51"/>
        <v>46966</v>
      </c>
      <c r="I82" s="246">
        <f t="shared" si="74"/>
        <v>0.20899999999999999</v>
      </c>
      <c r="J82" s="242">
        <f t="shared" si="52"/>
        <v>0</v>
      </c>
      <c r="K82" s="242">
        <f t="shared" si="64"/>
        <v>0</v>
      </c>
      <c r="L82" s="242">
        <f t="shared" si="53"/>
        <v>0</v>
      </c>
      <c r="M82" s="242">
        <f t="shared" si="65"/>
        <v>0</v>
      </c>
      <c r="N82" s="242">
        <f t="shared" si="47"/>
        <v>0</v>
      </c>
      <c r="O82" s="242">
        <v>0</v>
      </c>
      <c r="P82" s="242">
        <f t="shared" si="23"/>
        <v>0</v>
      </c>
      <c r="Q82" s="242">
        <f t="shared" si="48"/>
        <v>0</v>
      </c>
      <c r="R82" s="242">
        <f t="shared" si="54"/>
        <v>0</v>
      </c>
      <c r="S82" s="242">
        <f t="shared" si="66"/>
        <v>0</v>
      </c>
      <c r="T82" s="467"/>
      <c r="U82" s="36">
        <f t="shared" si="70"/>
        <v>0</v>
      </c>
      <c r="V82" s="36">
        <f t="shared" si="56"/>
        <v>0</v>
      </c>
      <c r="W82" s="2" t="e">
        <f>IF(AND(G47&gt;=$W$11,G47&lt;=$W$11+5),0,IF($C$9&gt;$AF$51,ROUND(S46*#REF!/(DATEVALUE(CONCATENATE("01/01/",YEAR(H47)+1))-DATEVALUE(CONCATENATE("01/01/",YEAR(H47))))*(H47-H46),2),0))</f>
        <v>#REF!</v>
      </c>
      <c r="X82" s="34">
        <f t="shared" si="41"/>
        <v>8289</v>
      </c>
      <c r="Y82" s="57">
        <f t="shared" si="39"/>
        <v>58945</v>
      </c>
      <c r="Z82" s="60">
        <v>43858</v>
      </c>
      <c r="AE82" s="16">
        <f>500000*0.3*60</f>
        <v>9000000</v>
      </c>
      <c r="AL82" s="2" t="e">
        <f>IF(AND(#REF!&gt;=$W$11,#REF!&lt;=$W$11+5),0,IF($C$9&gt;$AF$51,ROUND(AI42*#REF!/(DATEVALUE(CONCATENATE("01/01/",YEAR(#REF!)+1))-DATEVALUE(CONCATENATE("01/01/",YEAR(#REF!))))*(#REF!-#REF!),2),0))</f>
        <v>#REF!</v>
      </c>
      <c r="AM82" s="34">
        <f t="shared" si="43"/>
        <v>8289</v>
      </c>
      <c r="AN82" s="57">
        <f t="shared" si="42"/>
        <v>57485</v>
      </c>
      <c r="AO82" s="130">
        <f t="shared" si="57"/>
        <v>0</v>
      </c>
      <c r="AP82" s="553">
        <f t="shared" si="71"/>
        <v>74</v>
      </c>
      <c r="AQ82" s="554">
        <f t="shared" si="58"/>
        <v>46966</v>
      </c>
      <c r="AR82" s="555">
        <f t="shared" si="44"/>
        <v>0.20899999999999999</v>
      </c>
      <c r="AS82" s="559">
        <f t="shared" si="59"/>
        <v>0</v>
      </c>
      <c r="AT82" s="546">
        <f t="shared" si="60"/>
        <v>0</v>
      </c>
      <c r="AU82" s="546">
        <f t="shared" si="61"/>
        <v>0</v>
      </c>
      <c r="AV82" s="546">
        <f t="shared" si="62"/>
        <v>0</v>
      </c>
      <c r="AW82" s="559">
        <f t="shared" si="49"/>
        <v>0</v>
      </c>
      <c r="AX82" s="559">
        <v>0</v>
      </c>
      <c r="AY82" s="559">
        <f t="shared" si="18"/>
        <v>0</v>
      </c>
      <c r="AZ82" s="559">
        <f t="shared" si="35"/>
        <v>0</v>
      </c>
      <c r="BA82" s="559">
        <f t="shared" si="34"/>
        <v>0</v>
      </c>
      <c r="BB82" s="559"/>
      <c r="BC82" s="559"/>
      <c r="BD82" s="559"/>
      <c r="BE82" s="559"/>
      <c r="BF82" s="559"/>
      <c r="BG82" s="546">
        <f t="shared" si="63"/>
        <v>0</v>
      </c>
      <c r="BH82" s="108">
        <f t="shared" si="72"/>
        <v>0</v>
      </c>
      <c r="BI82" s="108">
        <f t="shared" si="67"/>
        <v>0</v>
      </c>
      <c r="BJ82" s="22">
        <f t="shared" si="68"/>
        <v>46966</v>
      </c>
      <c r="BK82" s="108">
        <f t="shared" si="50"/>
        <v>0</v>
      </c>
      <c r="BL82" s="2" t="e">
        <f>IF(AND(G37&gt;=$W$11,G37&lt;=$W$11+5),0,IF($C$9&gt;$AF$51,ROUND(BG36*IF(#REF!="",0,#REF!)/(DATEVALUE(CONCATENATE("01/01/",YEAR(AQ37)+1))-DATEVALUE(CONCATENATE("01/01/",YEAR(AQ37))))*(AQ37-AQ36),2),0))</f>
        <v>#REF!</v>
      </c>
    </row>
    <row r="83" spans="1:64" s="16" customFormat="1" x14ac:dyDescent="0.3">
      <c r="A83" s="183"/>
      <c r="B83" s="178"/>
      <c r="C83" s="184"/>
      <c r="D83" s="178"/>
      <c r="E83" s="178"/>
      <c r="F83" s="178"/>
      <c r="G83" s="244">
        <f t="shared" si="69"/>
        <v>75</v>
      </c>
      <c r="H83" s="245">
        <f t="shared" si="51"/>
        <v>46997</v>
      </c>
      <c r="I83" s="246">
        <f t="shared" si="74"/>
        <v>0.20899999999999999</v>
      </c>
      <c r="J83" s="242">
        <f t="shared" si="52"/>
        <v>0</v>
      </c>
      <c r="K83" s="242">
        <f t="shared" si="64"/>
        <v>0</v>
      </c>
      <c r="L83" s="242">
        <f t="shared" si="53"/>
        <v>0</v>
      </c>
      <c r="M83" s="242">
        <f t="shared" si="65"/>
        <v>0</v>
      </c>
      <c r="N83" s="242">
        <f t="shared" si="47"/>
        <v>0</v>
      </c>
      <c r="O83" s="242">
        <v>0</v>
      </c>
      <c r="P83" s="242">
        <f t="shared" si="23"/>
        <v>0</v>
      </c>
      <c r="Q83" s="242">
        <f t="shared" si="48"/>
        <v>0</v>
      </c>
      <c r="R83" s="242">
        <f t="shared" si="54"/>
        <v>0</v>
      </c>
      <c r="S83" s="242">
        <f t="shared" si="66"/>
        <v>0</v>
      </c>
      <c r="T83" s="467"/>
      <c r="U83" s="36">
        <f t="shared" si="70"/>
        <v>0</v>
      </c>
      <c r="V83" s="36">
        <f t="shared" si="56"/>
        <v>0</v>
      </c>
      <c r="W83" s="2" t="e">
        <f>IF(AND(G48&gt;=$W$11,G48&lt;=$W$11+5),0,IF($C$9&gt;$AF$51,ROUND(S47*#REF!/(DATEVALUE(CONCATENATE("01/01/",YEAR(H48)+1))-DATEVALUE(CONCATENATE("01/01/",YEAR(H48))))*(H48-H47),2),0))</f>
        <v>#REF!</v>
      </c>
      <c r="X83" s="34">
        <f t="shared" si="41"/>
        <v>8289</v>
      </c>
      <c r="Y83" s="57">
        <f t="shared" si="39"/>
        <v>59310</v>
      </c>
      <c r="AL83" s="2" t="e">
        <f>IF(AND(#REF!&gt;=$W$11,#REF!&lt;=$W$11+5),0,IF($C$9&gt;$AF$51,ROUND(AI43*#REF!/(DATEVALUE(CONCATENATE("01/01/",YEAR(#REF!)+1))-DATEVALUE(CONCATENATE("01/01/",YEAR(#REF!))))*(#REF!-#REF!),2),0))</f>
        <v>#REF!</v>
      </c>
      <c r="AM83" s="34">
        <f t="shared" si="43"/>
        <v>8289</v>
      </c>
      <c r="AN83" s="57">
        <f t="shared" si="42"/>
        <v>57850</v>
      </c>
      <c r="AO83" s="130">
        <f t="shared" si="57"/>
        <v>0</v>
      </c>
      <c r="AP83" s="553">
        <f t="shared" si="71"/>
        <v>75</v>
      </c>
      <c r="AQ83" s="554">
        <f t="shared" si="58"/>
        <v>46997</v>
      </c>
      <c r="AR83" s="555">
        <f t="shared" si="44"/>
        <v>0.20899999999999999</v>
      </c>
      <c r="AS83" s="559">
        <f t="shared" si="59"/>
        <v>0</v>
      </c>
      <c r="AT83" s="546">
        <f t="shared" si="60"/>
        <v>0</v>
      </c>
      <c r="AU83" s="546">
        <f t="shared" si="61"/>
        <v>0</v>
      </c>
      <c r="AV83" s="546">
        <f t="shared" si="62"/>
        <v>0</v>
      </c>
      <c r="AW83" s="559">
        <f t="shared" si="49"/>
        <v>0</v>
      </c>
      <c r="AX83" s="559">
        <v>0</v>
      </c>
      <c r="AY83" s="559">
        <f t="shared" si="18"/>
        <v>0</v>
      </c>
      <c r="AZ83" s="559">
        <f t="shared" si="35"/>
        <v>0</v>
      </c>
      <c r="BA83" s="559">
        <f t="shared" si="34"/>
        <v>0</v>
      </c>
      <c r="BB83" s="559"/>
      <c r="BC83" s="559"/>
      <c r="BD83" s="559"/>
      <c r="BE83" s="559"/>
      <c r="BF83" s="559"/>
      <c r="BG83" s="546">
        <f t="shared" si="63"/>
        <v>0</v>
      </c>
      <c r="BH83" s="108">
        <f t="shared" si="72"/>
        <v>0</v>
      </c>
      <c r="BI83" s="108">
        <f t="shared" si="67"/>
        <v>0</v>
      </c>
      <c r="BJ83" s="22">
        <f t="shared" si="68"/>
        <v>46997</v>
      </c>
      <c r="BK83" s="108">
        <f t="shared" si="50"/>
        <v>0</v>
      </c>
      <c r="BL83" s="2" t="e">
        <f>IF(AND(G38&gt;=$W$11,G38&lt;=$W$11+5),0,IF($C$9&gt;$AF$51,ROUND(BG37*IF(#REF!="",0,#REF!)/(DATEVALUE(CONCATENATE("01/01/",YEAR(AQ38)+1))-DATEVALUE(CONCATENATE("01/01/",YEAR(AQ38))))*(AQ38-AQ37),2),0))</f>
        <v>#REF!</v>
      </c>
    </row>
    <row r="84" spans="1:64" s="16" customFormat="1" x14ac:dyDescent="0.3">
      <c r="A84" s="178"/>
      <c r="B84" s="178"/>
      <c r="C84" s="184"/>
      <c r="D84" s="184"/>
      <c r="E84" s="178"/>
      <c r="F84" s="178"/>
      <c r="G84" s="244">
        <f t="shared" si="69"/>
        <v>76</v>
      </c>
      <c r="H84" s="245">
        <f t="shared" si="51"/>
        <v>47027</v>
      </c>
      <c r="I84" s="246">
        <f t="shared" si="74"/>
        <v>0.20899999999999999</v>
      </c>
      <c r="J84" s="242">
        <f t="shared" si="52"/>
        <v>0</v>
      </c>
      <c r="K84" s="242">
        <f t="shared" si="64"/>
        <v>0</v>
      </c>
      <c r="L84" s="242">
        <f t="shared" si="53"/>
        <v>0</v>
      </c>
      <c r="M84" s="242">
        <f t="shared" si="65"/>
        <v>0</v>
      </c>
      <c r="N84" s="242">
        <f t="shared" si="47"/>
        <v>0</v>
      </c>
      <c r="O84" s="242">
        <v>0</v>
      </c>
      <c r="P84" s="242">
        <f t="shared" si="23"/>
        <v>0</v>
      </c>
      <c r="Q84" s="242">
        <f t="shared" si="48"/>
        <v>0</v>
      </c>
      <c r="R84" s="242">
        <f t="shared" si="54"/>
        <v>0</v>
      </c>
      <c r="S84" s="242">
        <f t="shared" si="66"/>
        <v>0</v>
      </c>
      <c r="T84" s="467"/>
      <c r="U84" s="36">
        <f t="shared" si="70"/>
        <v>0</v>
      </c>
      <c r="V84" s="36">
        <f t="shared" si="56"/>
        <v>0</v>
      </c>
      <c r="W84" s="2" t="e">
        <f>IF(AND(G49&gt;=$W$11,G49&lt;=$W$11+5),0,IF($C$9&gt;$AF$51,ROUND(S48*#REF!/(DATEVALUE(CONCATENATE("01/01/",YEAR(H49)+1))-DATEVALUE(CONCATENATE("01/01/",YEAR(H49))))*(H49-H48),2),0))</f>
        <v>#REF!</v>
      </c>
      <c r="X84" s="34">
        <f t="shared" si="41"/>
        <v>8289</v>
      </c>
      <c r="Y84" s="57">
        <f t="shared" si="39"/>
        <v>59675</v>
      </c>
      <c r="AL84" s="2" t="e">
        <f>IF(AND(#REF!&gt;=$W$11,#REF!&lt;=$W$11+5),0,IF($C$9&gt;$AF$51,ROUND(AI44*#REF!/(DATEVALUE(CONCATENATE("01/01/",YEAR(#REF!)+1))-DATEVALUE(CONCATENATE("01/01/",YEAR(#REF!))))*(#REF!-#REF!),2),0))</f>
        <v>#REF!</v>
      </c>
      <c r="AM84" s="34">
        <f t="shared" si="43"/>
        <v>8289</v>
      </c>
      <c r="AN84" s="57">
        <f t="shared" si="42"/>
        <v>58215</v>
      </c>
      <c r="AO84" s="130">
        <f t="shared" si="57"/>
        <v>0</v>
      </c>
      <c r="AP84" s="553">
        <f t="shared" si="71"/>
        <v>76</v>
      </c>
      <c r="AQ84" s="554">
        <f t="shared" si="58"/>
        <v>47027</v>
      </c>
      <c r="AR84" s="555">
        <f t="shared" si="44"/>
        <v>0.20899999999999999</v>
      </c>
      <c r="AS84" s="559">
        <f t="shared" si="59"/>
        <v>0</v>
      </c>
      <c r="AT84" s="546">
        <f t="shared" si="60"/>
        <v>0</v>
      </c>
      <c r="AU84" s="546">
        <f t="shared" si="61"/>
        <v>0</v>
      </c>
      <c r="AV84" s="546">
        <f t="shared" si="62"/>
        <v>0</v>
      </c>
      <c r="AW84" s="559">
        <f t="shared" si="49"/>
        <v>0</v>
      </c>
      <c r="AX84" s="559">
        <v>0</v>
      </c>
      <c r="AY84" s="559">
        <f t="shared" si="18"/>
        <v>0</v>
      </c>
      <c r="AZ84" s="559">
        <f t="shared" si="35"/>
        <v>0</v>
      </c>
      <c r="BA84" s="559">
        <f t="shared" ref="BA84:BA108" si="75">IF(BI90=0,0,0)</f>
        <v>0</v>
      </c>
      <c r="BB84" s="559"/>
      <c r="BC84" s="559"/>
      <c r="BD84" s="559"/>
      <c r="BE84" s="559"/>
      <c r="BF84" s="559"/>
      <c r="BG84" s="546">
        <f t="shared" si="63"/>
        <v>0</v>
      </c>
      <c r="BH84" s="108">
        <f t="shared" si="72"/>
        <v>0</v>
      </c>
      <c r="BI84" s="108">
        <f t="shared" si="67"/>
        <v>0</v>
      </c>
      <c r="BJ84" s="22">
        <f t="shared" si="68"/>
        <v>47027</v>
      </c>
      <c r="BK84" s="108">
        <f t="shared" si="50"/>
        <v>0</v>
      </c>
      <c r="BL84" s="2" t="e">
        <f>IF(AND(G39&gt;=$W$11,G39&lt;=$W$11+5),0,IF($C$9&gt;$AF$51,ROUND(BG38*IF(#REF!="",0,#REF!)/(DATEVALUE(CONCATENATE("01/01/",YEAR(AQ39)+1))-DATEVALUE(CONCATENATE("01/01/",YEAR(AQ39))))*(AQ39-AQ38),2),0))</f>
        <v>#REF!</v>
      </c>
    </row>
    <row r="85" spans="1:64" s="16" customFormat="1" x14ac:dyDescent="0.3">
      <c r="A85" s="178"/>
      <c r="B85" s="178"/>
      <c r="C85" s="184"/>
      <c r="D85" s="184"/>
      <c r="E85" s="178"/>
      <c r="F85" s="178"/>
      <c r="G85" s="244">
        <f t="shared" si="69"/>
        <v>77</v>
      </c>
      <c r="H85" s="245">
        <f t="shared" si="51"/>
        <v>47058</v>
      </c>
      <c r="I85" s="246">
        <f t="shared" si="74"/>
        <v>0.20899999999999999</v>
      </c>
      <c r="J85" s="242">
        <f t="shared" si="52"/>
        <v>0</v>
      </c>
      <c r="K85" s="242">
        <f t="shared" si="64"/>
        <v>0</v>
      </c>
      <c r="L85" s="242">
        <f t="shared" si="53"/>
        <v>0</v>
      </c>
      <c r="M85" s="242">
        <f t="shared" si="65"/>
        <v>0</v>
      </c>
      <c r="N85" s="242">
        <f t="shared" si="47"/>
        <v>0</v>
      </c>
      <c r="O85" s="242">
        <v>0</v>
      </c>
      <c r="P85" s="242">
        <f t="shared" si="23"/>
        <v>0</v>
      </c>
      <c r="Q85" s="242">
        <f t="shared" si="48"/>
        <v>0</v>
      </c>
      <c r="R85" s="242">
        <f t="shared" si="54"/>
        <v>0</v>
      </c>
      <c r="S85" s="242">
        <f t="shared" si="66"/>
        <v>0</v>
      </c>
      <c r="T85" s="467"/>
      <c r="U85" s="36">
        <f t="shared" si="70"/>
        <v>0</v>
      </c>
      <c r="V85" s="36">
        <f t="shared" si="56"/>
        <v>0</v>
      </c>
      <c r="W85" s="2" t="e">
        <f>IF(AND(G50&gt;=$W$11,G50&lt;=$W$11+5),0,IF($C$9&gt;$AF$51,ROUND(S49*#REF!/(DATEVALUE(CONCATENATE("01/01/",YEAR(H50)+1))-DATEVALUE(CONCATENATE("01/01/",YEAR(H50))))*(H50-H49),2),0))</f>
        <v>#REF!</v>
      </c>
      <c r="X85" s="34">
        <f t="shared" si="41"/>
        <v>8289</v>
      </c>
      <c r="Y85" s="57">
        <f t="shared" si="39"/>
        <v>60040</v>
      </c>
      <c r="AC85" s="890" t="s">
        <v>104</v>
      </c>
      <c r="AD85" s="890"/>
      <c r="AE85" s="890"/>
      <c r="AF85" s="890"/>
      <c r="AG85" s="890"/>
      <c r="AH85" s="890"/>
      <c r="AI85" s="890"/>
      <c r="AL85" s="2" t="e">
        <f>IF(AND(Y42&gt;=$W$11,Y42&lt;=$W$11+5),0,IF($C$9&gt;$AF$51,ROUND(AI45*#REF!/(DATEVALUE(CONCATENATE("01/01/",YEAR(Z42)+1))-DATEVALUE(CONCATENATE("01/01/",YEAR(Z42))))*(Z42-#REF!),2),0))</f>
        <v>#REF!</v>
      </c>
      <c r="AM85" s="34">
        <f t="shared" si="43"/>
        <v>8289</v>
      </c>
      <c r="AN85" s="57">
        <f t="shared" si="42"/>
        <v>58580</v>
      </c>
      <c r="AO85" s="130">
        <f t="shared" si="57"/>
        <v>0</v>
      </c>
      <c r="AP85" s="553">
        <f t="shared" si="71"/>
        <v>77</v>
      </c>
      <c r="AQ85" s="554">
        <f t="shared" si="58"/>
        <v>47058</v>
      </c>
      <c r="AR85" s="555">
        <f t="shared" si="44"/>
        <v>0.20899999999999999</v>
      </c>
      <c r="AS85" s="559">
        <f t="shared" si="59"/>
        <v>0</v>
      </c>
      <c r="AT85" s="546">
        <f t="shared" si="60"/>
        <v>0</v>
      </c>
      <c r="AU85" s="546">
        <f t="shared" si="61"/>
        <v>0</v>
      </c>
      <c r="AV85" s="546">
        <f t="shared" si="62"/>
        <v>0</v>
      </c>
      <c r="AW85" s="559">
        <f t="shared" si="49"/>
        <v>0</v>
      </c>
      <c r="AX85" s="559">
        <v>0</v>
      </c>
      <c r="AY85" s="559">
        <f t="shared" si="18"/>
        <v>0</v>
      </c>
      <c r="AZ85" s="559">
        <f t="shared" ref="AZ85:AZ108" si="76">IF(BI91=0,0,0)</f>
        <v>0</v>
      </c>
      <c r="BA85" s="559">
        <f t="shared" si="75"/>
        <v>0</v>
      </c>
      <c r="BB85" s="559"/>
      <c r="BC85" s="559"/>
      <c r="BD85" s="559"/>
      <c r="BE85" s="559"/>
      <c r="BF85" s="559"/>
      <c r="BG85" s="546">
        <f t="shared" si="63"/>
        <v>0</v>
      </c>
      <c r="BH85" s="108">
        <f t="shared" si="72"/>
        <v>0</v>
      </c>
      <c r="BI85" s="108">
        <f t="shared" si="67"/>
        <v>0</v>
      </c>
      <c r="BJ85" s="22">
        <f t="shared" si="68"/>
        <v>47058</v>
      </c>
      <c r="BK85" s="108">
        <f t="shared" si="50"/>
        <v>0</v>
      </c>
      <c r="BL85" s="2" t="e">
        <f>IF(AND(G40&gt;=$W$11,G40&lt;=$W$11+5),0,IF($C$9&gt;$AF$51,ROUND(BG39*IF(#REF!="",0,#REF!)/(DATEVALUE(CONCATENATE("01/01/",YEAR(AQ40)+1))-DATEVALUE(CONCATENATE("01/01/",YEAR(AQ40))))*(AQ40-AQ39),2),0))</f>
        <v>#REF!</v>
      </c>
    </row>
    <row r="86" spans="1:64" s="16" customFormat="1" ht="14.4" x14ac:dyDescent="0.3">
      <c r="A86" s="178"/>
      <c r="B86" s="178"/>
      <c r="C86" s="184"/>
      <c r="D86" s="184"/>
      <c r="E86" s="178"/>
      <c r="F86" s="178"/>
      <c r="G86" s="244">
        <f t="shared" si="69"/>
        <v>78</v>
      </c>
      <c r="H86" s="245">
        <f t="shared" si="51"/>
        <v>47088</v>
      </c>
      <c r="I86" s="246">
        <f t="shared" si="74"/>
        <v>0.20899999999999999</v>
      </c>
      <c r="J86" s="242">
        <f t="shared" si="52"/>
        <v>0</v>
      </c>
      <c r="K86" s="242">
        <f t="shared" si="64"/>
        <v>0</v>
      </c>
      <c r="L86" s="242">
        <f t="shared" si="53"/>
        <v>0</v>
      </c>
      <c r="M86" s="242">
        <f t="shared" si="65"/>
        <v>0</v>
      </c>
      <c r="N86" s="242">
        <f t="shared" si="47"/>
        <v>0</v>
      </c>
      <c r="O86" s="242">
        <v>0</v>
      </c>
      <c r="P86" s="242">
        <f t="shared" ref="P86:P108" si="77">L86+Q86</f>
        <v>0</v>
      </c>
      <c r="Q86" s="242">
        <f t="shared" si="48"/>
        <v>0</v>
      </c>
      <c r="R86" s="242">
        <f t="shared" si="54"/>
        <v>0</v>
      </c>
      <c r="S86" s="242">
        <f t="shared" si="66"/>
        <v>0</v>
      </c>
      <c r="T86" s="467"/>
      <c r="U86" s="36">
        <f t="shared" si="70"/>
        <v>0</v>
      </c>
      <c r="V86" s="36">
        <f t="shared" si="56"/>
        <v>0</v>
      </c>
      <c r="W86" s="2" t="e">
        <f>IF(AND(G51&gt;=$W$11,G51&lt;=$W$11+5),0,IF($C$9&gt;$AF$51,ROUND(S50*#REF!/(DATEVALUE(CONCATENATE("01/01/",YEAR(H51)+1))-DATEVALUE(CONCATENATE("01/01/",YEAR(H51))))*(H51-H50),2),0))</f>
        <v>#REF!</v>
      </c>
      <c r="X86" s="34">
        <f t="shared" si="41"/>
        <v>8289</v>
      </c>
      <c r="Y86" s="57">
        <f t="shared" si="39"/>
        <v>60405</v>
      </c>
      <c r="AC86" s="140"/>
      <c r="AD86" s="140"/>
      <c r="AE86" s="140" t="s">
        <v>106</v>
      </c>
      <c r="AF86" s="140" t="s">
        <v>107</v>
      </c>
      <c r="AG86" s="140" t="s">
        <v>108</v>
      </c>
      <c r="AH86" s="140" t="s">
        <v>109</v>
      </c>
      <c r="AI86" s="140" t="s">
        <v>110</v>
      </c>
      <c r="AL86" s="2" t="e">
        <f>IF(AND(Y43&gt;=$W$11,Y43&lt;=$W$11+5),0,IF($C$9&gt;$AF$51,ROUND(AI46*#REF!/(DATEVALUE(CONCATENATE("01/01/",YEAR(Z43)+1))-DATEVALUE(CONCATENATE("01/01/",YEAR(Z43))))*(Z43-Z42),2),0))</f>
        <v>#REF!</v>
      </c>
      <c r="AM86" s="34">
        <f t="shared" si="43"/>
        <v>8289</v>
      </c>
      <c r="AN86" s="57">
        <f t="shared" si="42"/>
        <v>58945</v>
      </c>
      <c r="AO86" s="130">
        <f t="shared" si="57"/>
        <v>0</v>
      </c>
      <c r="AP86" s="553">
        <f t="shared" si="71"/>
        <v>78</v>
      </c>
      <c r="AQ86" s="554">
        <f t="shared" si="58"/>
        <v>47088</v>
      </c>
      <c r="AR86" s="555">
        <f t="shared" si="44"/>
        <v>0.20899999999999999</v>
      </c>
      <c r="AS86" s="559">
        <f t="shared" si="59"/>
        <v>0</v>
      </c>
      <c r="AT86" s="546">
        <f t="shared" si="60"/>
        <v>0</v>
      </c>
      <c r="AU86" s="546">
        <f t="shared" si="61"/>
        <v>0</v>
      </c>
      <c r="AV86" s="546">
        <f t="shared" si="62"/>
        <v>0</v>
      </c>
      <c r="AW86" s="559">
        <f t="shared" si="49"/>
        <v>0</v>
      </c>
      <c r="AX86" s="559">
        <v>0</v>
      </c>
      <c r="AY86" s="559">
        <f t="shared" ref="AY86:AY108" si="78">AU86+AZ86</f>
        <v>0</v>
      </c>
      <c r="AZ86" s="559">
        <f t="shared" si="76"/>
        <v>0</v>
      </c>
      <c r="BA86" s="559">
        <f t="shared" si="75"/>
        <v>0</v>
      </c>
      <c r="BB86" s="559"/>
      <c r="BC86" s="559"/>
      <c r="BD86" s="559"/>
      <c r="BE86" s="559"/>
      <c r="BF86" s="559"/>
      <c r="BG86" s="546">
        <f t="shared" si="63"/>
        <v>0</v>
      </c>
      <c r="BH86" s="108">
        <f t="shared" si="72"/>
        <v>0</v>
      </c>
      <c r="BI86" s="108">
        <f t="shared" si="67"/>
        <v>0</v>
      </c>
      <c r="BJ86" s="22">
        <f t="shared" si="68"/>
        <v>47088</v>
      </c>
      <c r="BK86" s="108">
        <f t="shared" si="50"/>
        <v>0</v>
      </c>
      <c r="BL86" s="2" t="e">
        <f>IF(AND(G41&gt;=$W$11,G41&lt;=$W$11+5),0,IF($C$9&gt;$AF$51,ROUND(BG40*IF(#REF!="",0,#REF!)/(DATEVALUE(CONCATENATE("01/01/",YEAR(AQ41)+1))-DATEVALUE(CONCATENATE("01/01/",YEAR(AQ41))))*(AQ41-AQ40),2),0))</f>
        <v>#REF!</v>
      </c>
    </row>
    <row r="87" spans="1:64" s="16" customFormat="1" ht="14.4" x14ac:dyDescent="0.3">
      <c r="A87" s="178"/>
      <c r="B87" s="178"/>
      <c r="C87" s="184"/>
      <c r="D87" s="184"/>
      <c r="E87" s="178"/>
      <c r="F87" s="178"/>
      <c r="G87" s="244">
        <f t="shared" si="69"/>
        <v>79</v>
      </c>
      <c r="H87" s="245">
        <f t="shared" si="51"/>
        <v>47119</v>
      </c>
      <c r="I87" s="246">
        <f t="shared" si="74"/>
        <v>0.20899999999999999</v>
      </c>
      <c r="J87" s="242">
        <f t="shared" si="52"/>
        <v>0</v>
      </c>
      <c r="K87" s="242">
        <f t="shared" si="64"/>
        <v>0</v>
      </c>
      <c r="L87" s="242">
        <f t="shared" si="53"/>
        <v>0</v>
      </c>
      <c r="M87" s="242">
        <f t="shared" si="65"/>
        <v>0</v>
      </c>
      <c r="N87" s="242">
        <f t="shared" si="47"/>
        <v>0</v>
      </c>
      <c r="O87" s="242">
        <v>0</v>
      </c>
      <c r="P87" s="242">
        <f t="shared" si="77"/>
        <v>0</v>
      </c>
      <c r="Q87" s="242">
        <f t="shared" si="48"/>
        <v>0</v>
      </c>
      <c r="R87" s="242">
        <f t="shared" si="54"/>
        <v>0</v>
      </c>
      <c r="S87" s="242">
        <f t="shared" si="66"/>
        <v>0</v>
      </c>
      <c r="T87" s="467"/>
      <c r="U87" s="36">
        <f t="shared" si="70"/>
        <v>0</v>
      </c>
      <c r="V87" s="36">
        <f t="shared" si="56"/>
        <v>0</v>
      </c>
      <c r="W87" s="2" t="e">
        <f>IF(AND(G52&gt;=$W$11,G52&lt;=$W$11+5),0,IF($C$9&gt;$AF$51,ROUND(S51*#REF!/(DATEVALUE(CONCATENATE("01/01/",YEAR(H52)+1))-DATEVALUE(CONCATENATE("01/01/",YEAR(H52))))*(H52-H51),2),0))</f>
        <v>#REF!</v>
      </c>
      <c r="X87" s="34">
        <f t="shared" si="41"/>
        <v>8289</v>
      </c>
      <c r="Y87" s="57">
        <f t="shared" si="39"/>
        <v>60770</v>
      </c>
      <c r="AC87" s="140"/>
      <c r="AD87" s="140"/>
      <c r="AE87" s="141">
        <v>36</v>
      </c>
      <c r="AF87" s="142">
        <v>37</v>
      </c>
      <c r="AG87" s="142">
        <v>49</v>
      </c>
      <c r="AH87" s="141">
        <v>61</v>
      </c>
      <c r="AI87" s="141">
        <v>73</v>
      </c>
      <c r="AL87" s="2" t="e">
        <f>IF(AND(Y44&gt;=$W$11,Y44&lt;=$W$11+5),0,IF($C$9&gt;$AF$51,ROUND(AI47*#REF!/(DATEVALUE(CONCATENATE("01/01/",YEAR(Z44)+1))-DATEVALUE(CONCATENATE("01/01/",YEAR(Z44))))*(Z44-Z43),2),0))</f>
        <v>#REF!</v>
      </c>
      <c r="AM87" s="34">
        <f t="shared" si="43"/>
        <v>8289</v>
      </c>
      <c r="AN87" s="57">
        <f t="shared" si="42"/>
        <v>59310</v>
      </c>
      <c r="AO87" s="130">
        <f t="shared" si="57"/>
        <v>0</v>
      </c>
      <c r="AP87" s="553">
        <f t="shared" si="71"/>
        <v>79</v>
      </c>
      <c r="AQ87" s="554">
        <f t="shared" si="58"/>
        <v>47119</v>
      </c>
      <c r="AR87" s="555">
        <f t="shared" si="44"/>
        <v>0.20899999999999999</v>
      </c>
      <c r="AS87" s="559">
        <f t="shared" si="59"/>
        <v>0</v>
      </c>
      <c r="AT87" s="546">
        <f t="shared" si="60"/>
        <v>0</v>
      </c>
      <c r="AU87" s="546">
        <f t="shared" si="61"/>
        <v>0</v>
      </c>
      <c r="AV87" s="546">
        <f t="shared" si="62"/>
        <v>0</v>
      </c>
      <c r="AW87" s="559">
        <f t="shared" si="49"/>
        <v>0</v>
      </c>
      <c r="AX87" s="559">
        <v>0</v>
      </c>
      <c r="AY87" s="559">
        <f t="shared" si="78"/>
        <v>0</v>
      </c>
      <c r="AZ87" s="559">
        <f t="shared" si="76"/>
        <v>0</v>
      </c>
      <c r="BA87" s="559">
        <f t="shared" si="75"/>
        <v>0</v>
      </c>
      <c r="BB87" s="559"/>
      <c r="BC87" s="559"/>
      <c r="BD87" s="559"/>
      <c r="BE87" s="559"/>
      <c r="BF87" s="559"/>
      <c r="BG87" s="546">
        <f t="shared" si="63"/>
        <v>0</v>
      </c>
      <c r="BH87" s="108">
        <f t="shared" si="72"/>
        <v>0</v>
      </c>
      <c r="BI87" s="108">
        <f t="shared" si="67"/>
        <v>0</v>
      </c>
      <c r="BJ87" s="22">
        <f t="shared" si="68"/>
        <v>47119</v>
      </c>
      <c r="BK87" s="108">
        <f t="shared" si="50"/>
        <v>0</v>
      </c>
      <c r="BL87" s="2" t="e">
        <f>IF(AND(G42&gt;=$W$11,G42&lt;=$W$11+5),0,IF($C$9&gt;$AF$51,ROUND(BG41*IF(#REF!="",0,#REF!)/(DATEVALUE(CONCATENATE("01/01/",YEAR(AQ42)+1))-DATEVALUE(CONCATENATE("01/01/",YEAR(AQ42))))*(AQ42-AQ41),2),0))</f>
        <v>#REF!</v>
      </c>
    </row>
    <row r="88" spans="1:64" s="16" customFormat="1" ht="14.4" x14ac:dyDescent="0.3">
      <c r="A88" s="178"/>
      <c r="B88" s="178"/>
      <c r="C88" s="184"/>
      <c r="D88" s="184"/>
      <c r="E88" s="178"/>
      <c r="F88" s="178"/>
      <c r="G88" s="244">
        <f t="shared" si="69"/>
        <v>80</v>
      </c>
      <c r="H88" s="245">
        <f t="shared" si="51"/>
        <v>47150</v>
      </c>
      <c r="I88" s="246">
        <f t="shared" si="74"/>
        <v>0.20899999999999999</v>
      </c>
      <c r="J88" s="242">
        <f t="shared" si="52"/>
        <v>0</v>
      </c>
      <c r="K88" s="242">
        <f t="shared" si="64"/>
        <v>0</v>
      </c>
      <c r="L88" s="242">
        <f t="shared" si="53"/>
        <v>0</v>
      </c>
      <c r="M88" s="242">
        <f t="shared" si="65"/>
        <v>0</v>
      </c>
      <c r="N88" s="242">
        <f t="shared" si="47"/>
        <v>0</v>
      </c>
      <c r="O88" s="242">
        <v>0</v>
      </c>
      <c r="P88" s="242">
        <f t="shared" si="77"/>
        <v>0</v>
      </c>
      <c r="Q88" s="242">
        <f t="shared" si="48"/>
        <v>0</v>
      </c>
      <c r="R88" s="242">
        <f t="shared" si="54"/>
        <v>0</v>
      </c>
      <c r="S88" s="242">
        <f t="shared" si="66"/>
        <v>0</v>
      </c>
      <c r="T88" s="467"/>
      <c r="U88" s="36">
        <f t="shared" si="70"/>
        <v>0</v>
      </c>
      <c r="V88" s="36">
        <f t="shared" si="56"/>
        <v>0</v>
      </c>
      <c r="W88" s="2" t="e">
        <f>IF(AND(G53&gt;=$W$11,G53&lt;=$W$11+5),0,IF($C$9&gt;$AF$51,ROUND(S52*#REF!/(DATEVALUE(CONCATENATE("01/01/",YEAR(H53)+1))-DATEVALUE(CONCATENATE("01/01/",YEAR(H53))))*(H53-H52),2),0))</f>
        <v>#REF!</v>
      </c>
      <c r="X88" s="34">
        <f t="shared" si="41"/>
        <v>8289</v>
      </c>
      <c r="Y88" s="57">
        <f t="shared" si="39"/>
        <v>61135</v>
      </c>
      <c r="AC88" s="140"/>
      <c r="AD88" s="140"/>
      <c r="AE88" s="142">
        <v>36</v>
      </c>
      <c r="AF88" s="142">
        <v>48</v>
      </c>
      <c r="AG88" s="142">
        <v>60</v>
      </c>
      <c r="AH88" s="142">
        <v>72</v>
      </c>
      <c r="AI88" s="142">
        <v>84</v>
      </c>
      <c r="AL88" s="2" t="e">
        <f>IF(AND(Y45&gt;=$W$11,Y45&lt;=$W$11+5),0,IF($C$9&gt;$AF$51,ROUND(AI48*#REF!/(DATEVALUE(CONCATENATE("01/01/",YEAR(Z45)+1))-DATEVALUE(CONCATENATE("01/01/",YEAR(Z45))))*(Z45-Z44),2),0))</f>
        <v>#REF!</v>
      </c>
      <c r="AM88" s="34">
        <f t="shared" si="43"/>
        <v>8289</v>
      </c>
      <c r="AN88" s="57">
        <f t="shared" si="42"/>
        <v>59675</v>
      </c>
      <c r="AO88" s="130">
        <f t="shared" si="57"/>
        <v>0</v>
      </c>
      <c r="AP88" s="553">
        <f t="shared" si="71"/>
        <v>80</v>
      </c>
      <c r="AQ88" s="554">
        <f t="shared" si="58"/>
        <v>47150</v>
      </c>
      <c r="AR88" s="555">
        <f t="shared" si="44"/>
        <v>0.20899999999999999</v>
      </c>
      <c r="AS88" s="559">
        <f t="shared" si="59"/>
        <v>0</v>
      </c>
      <c r="AT88" s="546">
        <f t="shared" si="60"/>
        <v>0</v>
      </c>
      <c r="AU88" s="546">
        <f t="shared" si="61"/>
        <v>0</v>
      </c>
      <c r="AV88" s="546">
        <f t="shared" si="62"/>
        <v>0</v>
      </c>
      <c r="AW88" s="559">
        <f t="shared" si="49"/>
        <v>0</v>
      </c>
      <c r="AX88" s="559">
        <v>0</v>
      </c>
      <c r="AY88" s="559">
        <f t="shared" si="78"/>
        <v>0</v>
      </c>
      <c r="AZ88" s="559">
        <f t="shared" si="76"/>
        <v>0</v>
      </c>
      <c r="BA88" s="559">
        <f t="shared" si="75"/>
        <v>0</v>
      </c>
      <c r="BB88" s="559"/>
      <c r="BC88" s="559"/>
      <c r="BD88" s="559"/>
      <c r="BE88" s="559"/>
      <c r="BF88" s="559"/>
      <c r="BG88" s="546">
        <f t="shared" si="63"/>
        <v>0</v>
      </c>
      <c r="BH88" s="108">
        <f t="shared" si="72"/>
        <v>0</v>
      </c>
      <c r="BI88" s="108">
        <f t="shared" si="67"/>
        <v>0</v>
      </c>
      <c r="BJ88" s="22">
        <f t="shared" si="68"/>
        <v>47150</v>
      </c>
      <c r="BK88" s="108">
        <f t="shared" si="50"/>
        <v>0</v>
      </c>
      <c r="BL88" s="2" t="e">
        <f>IF(AND(G43&gt;=$W$11,G43&lt;=$W$11+5),0,IF($C$9&gt;$AF$51,ROUND(BG42*IF(#REF!="",0,#REF!)/(DATEVALUE(CONCATENATE("01/01/",YEAR(AQ43)+1))-DATEVALUE(CONCATENATE("01/01/",YEAR(AQ43))))*(AQ43-AQ42),2),0))</f>
        <v>#REF!</v>
      </c>
    </row>
    <row r="89" spans="1:64" s="16" customFormat="1" ht="13.8" x14ac:dyDescent="0.3">
      <c r="A89" s="178"/>
      <c r="B89" s="178"/>
      <c r="C89" s="184"/>
      <c r="D89" s="184"/>
      <c r="E89" s="178"/>
      <c r="F89" s="178"/>
      <c r="G89" s="244">
        <f t="shared" si="69"/>
        <v>81</v>
      </c>
      <c r="H89" s="245">
        <f t="shared" si="51"/>
        <v>47178</v>
      </c>
      <c r="I89" s="246">
        <f t="shared" si="74"/>
        <v>0.20899999999999999</v>
      </c>
      <c r="J89" s="242">
        <f t="shared" si="52"/>
        <v>0</v>
      </c>
      <c r="K89" s="242">
        <f t="shared" si="64"/>
        <v>0</v>
      </c>
      <c r="L89" s="242">
        <f t="shared" si="53"/>
        <v>0</v>
      </c>
      <c r="M89" s="242">
        <f t="shared" si="65"/>
        <v>0</v>
      </c>
      <c r="N89" s="242">
        <f t="shared" si="47"/>
        <v>0</v>
      </c>
      <c r="O89" s="242">
        <v>0</v>
      </c>
      <c r="P89" s="242">
        <f t="shared" si="77"/>
        <v>0</v>
      </c>
      <c r="Q89" s="242">
        <f t="shared" si="48"/>
        <v>0</v>
      </c>
      <c r="R89" s="242">
        <f t="shared" si="54"/>
        <v>0</v>
      </c>
      <c r="S89" s="242">
        <f t="shared" si="66"/>
        <v>0</v>
      </c>
      <c r="T89" s="467"/>
      <c r="U89" s="36">
        <f t="shared" si="70"/>
        <v>0</v>
      </c>
      <c r="V89" s="36">
        <f t="shared" si="56"/>
        <v>0</v>
      </c>
      <c r="W89" s="2" t="e">
        <f>IF(AND(G54&gt;=$W$11,G54&lt;=$W$11+5),0,IF($C$9&gt;$AF$51,ROUND(S53*#REF!/(DATEVALUE(CONCATENATE("01/01/",YEAR(H54)+1))-DATEVALUE(CONCATENATE("01/01/",YEAR(H54))))*(H54-H53),2),0))</f>
        <v>#REF!</v>
      </c>
      <c r="X89" s="34">
        <f t="shared" si="41"/>
        <v>8289</v>
      </c>
      <c r="Y89" s="57">
        <f t="shared" si="39"/>
        <v>61500</v>
      </c>
      <c r="AC89" s="142">
        <v>0</v>
      </c>
      <c r="AD89" s="142">
        <v>300000</v>
      </c>
      <c r="AE89" s="580">
        <v>2499</v>
      </c>
      <c r="AF89" s="580">
        <v>3499</v>
      </c>
      <c r="AG89" s="580">
        <v>5499</v>
      </c>
      <c r="AH89" s="580"/>
      <c r="AI89" s="580"/>
      <c r="AL89" s="2" t="e">
        <f>IF(AND(Y46&gt;=$W$11,Y46&lt;=$W$11+5),0,IF($C$9&gt;$AF$51,ROUND(AI49*#REF!/(DATEVALUE(CONCATENATE("01/01/",YEAR(Z46)+1))-DATEVALUE(CONCATENATE("01/01/",YEAR(Z46))))*(Z46-Z45),2),0))</f>
        <v>#REF!</v>
      </c>
      <c r="AM89" s="34">
        <f t="shared" si="43"/>
        <v>8289</v>
      </c>
      <c r="AN89" s="57">
        <f t="shared" si="42"/>
        <v>60040</v>
      </c>
      <c r="AO89" s="130">
        <f t="shared" si="57"/>
        <v>0</v>
      </c>
      <c r="AP89" s="553">
        <f t="shared" si="71"/>
        <v>81</v>
      </c>
      <c r="AQ89" s="554">
        <f t="shared" si="58"/>
        <v>47178</v>
      </c>
      <c r="AR89" s="555">
        <f t="shared" si="44"/>
        <v>0.20899999999999999</v>
      </c>
      <c r="AS89" s="559">
        <f t="shared" si="59"/>
        <v>0</v>
      </c>
      <c r="AT89" s="546">
        <f t="shared" si="60"/>
        <v>0</v>
      </c>
      <c r="AU89" s="546">
        <f t="shared" si="61"/>
        <v>0</v>
      </c>
      <c r="AV89" s="546">
        <f t="shared" si="62"/>
        <v>0</v>
      </c>
      <c r="AW89" s="559">
        <f t="shared" si="49"/>
        <v>0</v>
      </c>
      <c r="AX89" s="559">
        <v>0</v>
      </c>
      <c r="AY89" s="559">
        <f t="shared" si="78"/>
        <v>0</v>
      </c>
      <c r="AZ89" s="559">
        <f t="shared" si="76"/>
        <v>0</v>
      </c>
      <c r="BA89" s="559">
        <f t="shared" si="75"/>
        <v>0</v>
      </c>
      <c r="BB89" s="559"/>
      <c r="BC89" s="559"/>
      <c r="BD89" s="559"/>
      <c r="BE89" s="559"/>
      <c r="BF89" s="559"/>
      <c r="BG89" s="546">
        <f t="shared" si="63"/>
        <v>0</v>
      </c>
      <c r="BH89" s="108">
        <f t="shared" si="72"/>
        <v>0</v>
      </c>
      <c r="BI89" s="108">
        <f t="shared" si="67"/>
        <v>0</v>
      </c>
      <c r="BJ89" s="22">
        <f t="shared" si="68"/>
        <v>47178</v>
      </c>
      <c r="BK89" s="108">
        <f t="shared" si="50"/>
        <v>0</v>
      </c>
      <c r="BL89" s="2" t="e">
        <f>IF(AND(G44&gt;=$W$11,G44&lt;=$W$11+5),0,IF($C$9&gt;$AF$51,ROUND(BG43*IF(#REF!="",0,#REF!)/(DATEVALUE(CONCATENATE("01/01/",YEAR(AQ44)+1))-DATEVALUE(CONCATENATE("01/01/",YEAR(AQ44))))*(AQ44-AQ43),2),0))</f>
        <v>#REF!</v>
      </c>
    </row>
    <row r="90" spans="1:64" s="16" customFormat="1" ht="13.8" x14ac:dyDescent="0.3">
      <c r="A90" s="178"/>
      <c r="B90" s="178"/>
      <c r="C90" s="184"/>
      <c r="D90" s="184"/>
      <c r="E90" s="184"/>
      <c r="F90" s="184"/>
      <c r="G90" s="244">
        <f t="shared" si="69"/>
        <v>82</v>
      </c>
      <c r="H90" s="245">
        <f t="shared" si="51"/>
        <v>47209</v>
      </c>
      <c r="I90" s="246">
        <f t="shared" si="74"/>
        <v>0.20899999999999999</v>
      </c>
      <c r="J90" s="242">
        <f t="shared" si="52"/>
        <v>0</v>
      </c>
      <c r="K90" s="242">
        <f t="shared" si="64"/>
        <v>0</v>
      </c>
      <c r="L90" s="242">
        <f t="shared" si="53"/>
        <v>0</v>
      </c>
      <c r="M90" s="242">
        <f t="shared" si="65"/>
        <v>0</v>
      </c>
      <c r="N90" s="242">
        <f t="shared" si="47"/>
        <v>0</v>
      </c>
      <c r="O90" s="242">
        <v>0</v>
      </c>
      <c r="P90" s="242">
        <f t="shared" si="77"/>
        <v>0</v>
      </c>
      <c r="Q90" s="242">
        <f t="shared" si="48"/>
        <v>0</v>
      </c>
      <c r="R90" s="242">
        <f t="shared" si="54"/>
        <v>0</v>
      </c>
      <c r="S90" s="242">
        <f t="shared" si="66"/>
        <v>0</v>
      </c>
      <c r="T90" s="467"/>
      <c r="U90" s="36">
        <f t="shared" si="70"/>
        <v>0</v>
      </c>
      <c r="V90" s="36">
        <f t="shared" si="56"/>
        <v>0</v>
      </c>
      <c r="W90" s="2" t="e">
        <f>IF(AND(G55&gt;=$W$11,G55&lt;=$W$11+5),0,IF($C$9&gt;$AF$51,ROUND(S54*#REF!/(DATEVALUE(CONCATENATE("01/01/",YEAR(H55)+1))-DATEVALUE(CONCATENATE("01/01/",YEAR(H55))))*(H55-H54),2),0))</f>
        <v>#REF!</v>
      </c>
      <c r="X90" s="34">
        <f t="shared" si="41"/>
        <v>8289</v>
      </c>
      <c r="Y90" s="57">
        <f t="shared" si="39"/>
        <v>61865</v>
      </c>
      <c r="AC90" s="142">
        <v>300001</v>
      </c>
      <c r="AD90" s="142">
        <v>500000</v>
      </c>
      <c r="AE90" s="580">
        <v>3499</v>
      </c>
      <c r="AF90" s="580">
        <v>4999</v>
      </c>
      <c r="AG90" s="580">
        <v>6999</v>
      </c>
      <c r="AH90" s="580"/>
      <c r="AI90" s="580"/>
      <c r="AL90" s="2" t="e">
        <f>IF(AND(Y47&gt;=$W$11,Y47&lt;=$W$11+5),0,IF($C$9&gt;$AF$51,ROUND(AI50*#REF!/(DATEVALUE(CONCATENATE("01/01/",YEAR(Z47)+1))-DATEVALUE(CONCATENATE("01/01/",YEAR(Z47))))*(Z47-Z46),2),0))</f>
        <v>#REF!</v>
      </c>
      <c r="AM90" s="34">
        <f t="shared" si="43"/>
        <v>8289</v>
      </c>
      <c r="AN90" s="57">
        <f t="shared" si="42"/>
        <v>60405</v>
      </c>
      <c r="AO90" s="130">
        <f t="shared" si="57"/>
        <v>0</v>
      </c>
      <c r="AP90" s="553">
        <f t="shared" si="71"/>
        <v>82</v>
      </c>
      <c r="AQ90" s="554">
        <f t="shared" si="58"/>
        <v>47209</v>
      </c>
      <c r="AR90" s="555">
        <f t="shared" si="44"/>
        <v>0.20899999999999999</v>
      </c>
      <c r="AS90" s="559">
        <f t="shared" si="59"/>
        <v>0</v>
      </c>
      <c r="AT90" s="546">
        <f t="shared" si="60"/>
        <v>0</v>
      </c>
      <c r="AU90" s="546">
        <f t="shared" si="61"/>
        <v>0</v>
      </c>
      <c r="AV90" s="546">
        <f t="shared" si="62"/>
        <v>0</v>
      </c>
      <c r="AW90" s="559">
        <f t="shared" si="49"/>
        <v>0</v>
      </c>
      <c r="AX90" s="559">
        <v>0</v>
      </c>
      <c r="AY90" s="559">
        <f t="shared" si="78"/>
        <v>0</v>
      </c>
      <c r="AZ90" s="559">
        <f t="shared" si="76"/>
        <v>0</v>
      </c>
      <c r="BA90" s="559">
        <f t="shared" si="75"/>
        <v>0</v>
      </c>
      <c r="BB90" s="559"/>
      <c r="BC90" s="559"/>
      <c r="BD90" s="559"/>
      <c r="BE90" s="559"/>
      <c r="BF90" s="559"/>
      <c r="BG90" s="546">
        <f t="shared" si="63"/>
        <v>0</v>
      </c>
      <c r="BH90" s="108">
        <f t="shared" si="72"/>
        <v>0</v>
      </c>
      <c r="BI90" s="108">
        <f t="shared" si="67"/>
        <v>0</v>
      </c>
      <c r="BJ90" s="22">
        <f t="shared" si="68"/>
        <v>47209</v>
      </c>
      <c r="BK90" s="108">
        <f t="shared" si="50"/>
        <v>0</v>
      </c>
      <c r="BL90" s="2" t="e">
        <f>IF(AND(G45&gt;=$W$11,G45&lt;=$W$11+5),0,IF($C$9&gt;$AF$51,ROUND(BG44*IF(#REF!="",0,#REF!)/(DATEVALUE(CONCATENATE("01/01/",YEAR(AQ45)+1))-DATEVALUE(CONCATENATE("01/01/",YEAR(AQ45))))*(AQ45-AQ44),2),0))</f>
        <v>#REF!</v>
      </c>
    </row>
    <row r="91" spans="1:64" s="16" customFormat="1" ht="13.8" x14ac:dyDescent="0.3">
      <c r="A91" s="178"/>
      <c r="B91" s="178"/>
      <c r="C91" s="184"/>
      <c r="D91" s="184"/>
      <c r="E91" s="184"/>
      <c r="F91" s="184"/>
      <c r="G91" s="244">
        <f t="shared" si="69"/>
        <v>83</v>
      </c>
      <c r="H91" s="245">
        <f t="shared" si="51"/>
        <v>47239</v>
      </c>
      <c r="I91" s="246">
        <f t="shared" si="74"/>
        <v>0.20899999999999999</v>
      </c>
      <c r="J91" s="242">
        <f t="shared" si="52"/>
        <v>0</v>
      </c>
      <c r="K91" s="242">
        <f t="shared" si="64"/>
        <v>0</v>
      </c>
      <c r="L91" s="242">
        <f t="shared" si="53"/>
        <v>0</v>
      </c>
      <c r="M91" s="242">
        <f t="shared" si="65"/>
        <v>0</v>
      </c>
      <c r="N91" s="242">
        <f t="shared" si="47"/>
        <v>0</v>
      </c>
      <c r="O91" s="242">
        <v>0</v>
      </c>
      <c r="P91" s="242">
        <f t="shared" si="77"/>
        <v>0</v>
      </c>
      <c r="Q91" s="242">
        <f t="shared" si="48"/>
        <v>0</v>
      </c>
      <c r="R91" s="242">
        <f t="shared" si="54"/>
        <v>0</v>
      </c>
      <c r="S91" s="242">
        <f t="shared" si="66"/>
        <v>0</v>
      </c>
      <c r="T91" s="467"/>
      <c r="U91" s="36">
        <f t="shared" si="70"/>
        <v>0</v>
      </c>
      <c r="V91" s="36">
        <f t="shared" si="56"/>
        <v>0</v>
      </c>
      <c r="W91" s="2" t="e">
        <f>IF(AND(G56&gt;=$W$11,G56&lt;=$W$11+5),0,IF($C$9&gt;$AF$51,ROUND(S55*#REF!/(DATEVALUE(CONCATENATE("01/01/",YEAR(H56)+1))-DATEVALUE(CONCATENATE("01/01/",YEAR(H56))))*(H56-H55),2),0))</f>
        <v>#REF!</v>
      </c>
      <c r="X91" s="34">
        <f t="shared" si="41"/>
        <v>8289</v>
      </c>
      <c r="Y91" s="57">
        <f t="shared" si="39"/>
        <v>62230</v>
      </c>
      <c r="AC91" s="142">
        <v>500001</v>
      </c>
      <c r="AD91" s="142">
        <v>1000000</v>
      </c>
      <c r="AE91" s="580">
        <v>4999</v>
      </c>
      <c r="AF91" s="580">
        <v>6499</v>
      </c>
      <c r="AG91" s="580">
        <v>8499</v>
      </c>
      <c r="AH91" s="580">
        <v>9499</v>
      </c>
      <c r="AI91" s="580">
        <v>10999</v>
      </c>
      <c r="AL91" s="2" t="e">
        <f>IF(AND(Y48&gt;=$W$11,Y48&lt;=$W$11+5),0,IF($C$9&gt;$AF$51,ROUND(AI51*#REF!/(DATEVALUE(CONCATENATE("01/01/",YEAR(Z48)+1))-DATEVALUE(CONCATENATE("01/01/",YEAR(Z48))))*(Z48-Z47),2),0))</f>
        <v>#REF!</v>
      </c>
      <c r="AM91" s="34">
        <f t="shared" si="43"/>
        <v>8289</v>
      </c>
      <c r="AN91" s="57">
        <f t="shared" si="42"/>
        <v>60770</v>
      </c>
      <c r="AO91" s="130">
        <f t="shared" si="57"/>
        <v>0</v>
      </c>
      <c r="AP91" s="553">
        <f t="shared" si="71"/>
        <v>83</v>
      </c>
      <c r="AQ91" s="554">
        <f t="shared" si="58"/>
        <v>47239</v>
      </c>
      <c r="AR91" s="555">
        <f t="shared" si="44"/>
        <v>0.20899999999999999</v>
      </c>
      <c r="AS91" s="559">
        <f t="shared" si="59"/>
        <v>0</v>
      </c>
      <c r="AT91" s="546">
        <f t="shared" si="60"/>
        <v>0</v>
      </c>
      <c r="AU91" s="546">
        <f t="shared" si="61"/>
        <v>0</v>
      </c>
      <c r="AV91" s="546">
        <f t="shared" si="62"/>
        <v>0</v>
      </c>
      <c r="AW91" s="559">
        <f t="shared" si="49"/>
        <v>0</v>
      </c>
      <c r="AX91" s="559">
        <v>0</v>
      </c>
      <c r="AY91" s="559">
        <f t="shared" si="78"/>
        <v>0</v>
      </c>
      <c r="AZ91" s="559">
        <f t="shared" si="76"/>
        <v>0</v>
      </c>
      <c r="BA91" s="559">
        <f t="shared" si="75"/>
        <v>0</v>
      </c>
      <c r="BB91" s="559"/>
      <c r="BC91" s="559"/>
      <c r="BD91" s="559"/>
      <c r="BE91" s="559"/>
      <c r="BF91" s="559"/>
      <c r="BG91" s="546">
        <f t="shared" si="63"/>
        <v>0</v>
      </c>
      <c r="BH91" s="108">
        <f t="shared" si="72"/>
        <v>0</v>
      </c>
      <c r="BI91" s="108">
        <f t="shared" si="67"/>
        <v>0</v>
      </c>
      <c r="BJ91" s="22">
        <f t="shared" si="68"/>
        <v>47239</v>
      </c>
      <c r="BK91" s="108">
        <f t="shared" si="50"/>
        <v>0</v>
      </c>
      <c r="BL91" s="2" t="e">
        <f>IF(AND(G46&gt;=$W$11,G46&lt;=$W$11+5),0,IF($C$9&gt;$AF$51,ROUND(BG45*IF(#REF!="",0,#REF!)/(DATEVALUE(CONCATENATE("01/01/",YEAR(AQ46)+1))-DATEVALUE(CONCATENATE("01/01/",YEAR(AQ46))))*(AQ46-AQ45),2),0))</f>
        <v>#REF!</v>
      </c>
    </row>
    <row r="92" spans="1:64" s="16" customFormat="1" ht="13.8" x14ac:dyDescent="0.3">
      <c r="A92" s="178"/>
      <c r="B92" s="178"/>
      <c r="C92" s="184"/>
      <c r="D92" s="184"/>
      <c r="E92" s="184"/>
      <c r="F92" s="184"/>
      <c r="G92" s="244">
        <f t="shared" si="69"/>
        <v>84</v>
      </c>
      <c r="H92" s="245">
        <f t="shared" si="51"/>
        <v>47270</v>
      </c>
      <c r="I92" s="246">
        <f t="shared" si="74"/>
        <v>0.20899999999999999</v>
      </c>
      <c r="J92" s="242">
        <f t="shared" si="52"/>
        <v>0</v>
      </c>
      <c r="K92" s="242">
        <f t="shared" si="64"/>
        <v>0</v>
      </c>
      <c r="L92" s="242">
        <f t="shared" si="53"/>
        <v>0</v>
      </c>
      <c r="M92" s="242">
        <f t="shared" si="65"/>
        <v>0</v>
      </c>
      <c r="N92" s="242">
        <f t="shared" si="47"/>
        <v>0</v>
      </c>
      <c r="O92" s="242">
        <v>0</v>
      </c>
      <c r="P92" s="242">
        <f t="shared" si="77"/>
        <v>0</v>
      </c>
      <c r="Q92" s="242">
        <f t="shared" si="48"/>
        <v>0</v>
      </c>
      <c r="R92" s="242">
        <f t="shared" si="54"/>
        <v>0</v>
      </c>
      <c r="S92" s="242">
        <f t="shared" si="66"/>
        <v>0</v>
      </c>
      <c r="T92" s="467"/>
      <c r="U92" s="36">
        <f t="shared" si="70"/>
        <v>0</v>
      </c>
      <c r="V92" s="36">
        <f t="shared" si="56"/>
        <v>0</v>
      </c>
      <c r="W92" s="2" t="e">
        <f>IF(AND(G57&gt;=$W$11,G57&lt;=$W$11+5),0,IF($C$9&gt;$AF$51,ROUND(S56*#REF!/(DATEVALUE(CONCATENATE("01/01/",YEAR(H57)+1))-DATEVALUE(CONCATENATE("01/01/",YEAR(H57))))*(H57-H56),2),0))</f>
        <v>#REF!</v>
      </c>
      <c r="X92" s="34">
        <f t="shared" si="41"/>
        <v>8289</v>
      </c>
      <c r="Y92" s="57">
        <f t="shared" si="39"/>
        <v>62595</v>
      </c>
      <c r="AC92" s="142">
        <v>1000001</v>
      </c>
      <c r="AD92" s="142">
        <v>10000000</v>
      </c>
      <c r="AE92" s="580">
        <v>6499</v>
      </c>
      <c r="AF92" s="580">
        <v>8499</v>
      </c>
      <c r="AG92" s="580">
        <v>9999</v>
      </c>
      <c r="AH92" s="580">
        <v>10999</v>
      </c>
      <c r="AI92" s="580">
        <v>11999</v>
      </c>
      <c r="AL92" s="2" t="e">
        <f>IF(AND(Y49&gt;=$W$11,Y49&lt;=$W$11+5),0,IF($C$9&gt;$AF$51,ROUND(AI52*#REF!/(DATEVALUE(CONCATENATE("01/01/",YEAR(Z49)+1))-DATEVALUE(CONCATENATE("01/01/",YEAR(Z49))))*(Z49-Z48),2),0))</f>
        <v>#REF!</v>
      </c>
      <c r="AM92" s="34">
        <f t="shared" si="43"/>
        <v>8289</v>
      </c>
      <c r="AN92" s="57">
        <f t="shared" si="42"/>
        <v>61135</v>
      </c>
      <c r="AO92" s="130">
        <f t="shared" si="57"/>
        <v>0</v>
      </c>
      <c r="AP92" s="553">
        <f t="shared" si="71"/>
        <v>84</v>
      </c>
      <c r="AQ92" s="554">
        <f t="shared" si="58"/>
        <v>47270</v>
      </c>
      <c r="AR92" s="555">
        <f t="shared" si="44"/>
        <v>0.20899999999999999</v>
      </c>
      <c r="AS92" s="559">
        <f t="shared" si="59"/>
        <v>0</v>
      </c>
      <c r="AT92" s="546">
        <f t="shared" si="60"/>
        <v>0</v>
      </c>
      <c r="AU92" s="546">
        <f t="shared" si="61"/>
        <v>0</v>
      </c>
      <c r="AV92" s="546">
        <f t="shared" si="62"/>
        <v>0</v>
      </c>
      <c r="AW92" s="559">
        <f t="shared" si="49"/>
        <v>0</v>
      </c>
      <c r="AX92" s="559">
        <v>0</v>
      </c>
      <c r="AY92" s="559">
        <f t="shared" si="78"/>
        <v>0</v>
      </c>
      <c r="AZ92" s="559">
        <f t="shared" si="76"/>
        <v>0</v>
      </c>
      <c r="BA92" s="559">
        <f t="shared" si="75"/>
        <v>0</v>
      </c>
      <c r="BB92" s="559"/>
      <c r="BC92" s="559"/>
      <c r="BD92" s="559"/>
      <c r="BE92" s="559"/>
      <c r="BF92" s="559"/>
      <c r="BG92" s="546">
        <f t="shared" si="63"/>
        <v>0</v>
      </c>
      <c r="BH92" s="108">
        <f t="shared" si="72"/>
        <v>0</v>
      </c>
      <c r="BI92" s="108">
        <f t="shared" si="67"/>
        <v>0</v>
      </c>
      <c r="BJ92" s="22">
        <f t="shared" si="68"/>
        <v>47270</v>
      </c>
      <c r="BK92" s="108">
        <f t="shared" si="50"/>
        <v>0</v>
      </c>
      <c r="BL92" s="2" t="e">
        <f>IF(AND(G47&gt;=$W$11,G47&lt;=$W$11+5),0,IF($C$9&gt;$AF$51,ROUND(BG46*IF(#REF!="",0,#REF!)/(DATEVALUE(CONCATENATE("01/01/",YEAR(AQ47)+1))-DATEVALUE(CONCATENATE("01/01/",YEAR(AQ47))))*(AQ47-AQ46),2),0))</f>
        <v>#REF!</v>
      </c>
    </row>
    <row r="93" spans="1:64" s="16" customFormat="1" hidden="1" x14ac:dyDescent="0.3">
      <c r="A93" s="178"/>
      <c r="B93" s="178"/>
      <c r="C93" s="184"/>
      <c r="D93" s="184"/>
      <c r="E93" s="184"/>
      <c r="F93" s="184"/>
      <c r="G93" s="114">
        <f t="shared" si="69"/>
        <v>85</v>
      </c>
      <c r="H93" s="111">
        <f t="shared" ref="H93:H108" si="79">IF((OR(DAY($AD$54)=29,DAY($AD$54)=30,DAY($AD$54)=31)),(EDATE($C$9-3,G93)),(IF((OR(DAY($AD$54)=1,DAY($AD$54)=2,DAY($AD$54)=3)),(EDATE($C$9,G93)+3),EDATE($C$9,G93))))</f>
        <v>47295</v>
      </c>
      <c r="I93" s="176">
        <f t="shared" si="74"/>
        <v>0.20899999999999999</v>
      </c>
      <c r="J93" s="24">
        <f t="shared" si="52"/>
        <v>0</v>
      </c>
      <c r="K93" s="24">
        <f t="shared" ref="K93:K108" si="80">IF(AND(G93&gt;=$W$11,G93&lt;=$W$11+5),$W$10,IF(AND(S92+N93+L93&gt;K92,K92&lt;&gt;0),IF(AND($C$16="Да",$C$8&lt;&gt;"Нет"),$AF$40,$C$24),IF(S92=0,0,S92+N93+L93+L94)))</f>
        <v>0</v>
      </c>
      <c r="L93" s="24">
        <f t="shared" ref="L93:L108" si="81">IF(AND(G93&gt;=$W$11,G93&lt;=$W$11+5),0,IF($C$9&gt;$AF$51,ROUND(S92*I93*((H93-DATE(YEAR(H93),MONTH(H93),1)+1)/(DATE(YEAR(H93)+1,1,1)-DATE(YEAR(H93),1,1))+(EOMONTH(H92,0)-H92)/(DATE(YEAR(H92)+1,1,1)-DATE(YEAR(H92),1,1))),2),0))</f>
        <v>0</v>
      </c>
      <c r="M93" s="24">
        <f t="shared" ref="M93:M108" si="82">IF(V93=0,0,IF(V93=1,S92,IF(S92+N93+L93&gt;K92,K93-L93-N93,S92)))</f>
        <v>0</v>
      </c>
      <c r="N93" s="24">
        <f t="shared" si="47"/>
        <v>0</v>
      </c>
      <c r="O93" s="24">
        <v>0</v>
      </c>
      <c r="P93" s="24">
        <f t="shared" si="77"/>
        <v>0</v>
      </c>
      <c r="Q93" s="24">
        <f t="shared" si="48"/>
        <v>0</v>
      </c>
      <c r="R93" s="24">
        <f t="shared" si="54"/>
        <v>0</v>
      </c>
      <c r="S93" s="24">
        <f t="shared" si="66"/>
        <v>0</v>
      </c>
      <c r="T93" s="24"/>
      <c r="U93" s="36">
        <f t="shared" si="70"/>
        <v>0</v>
      </c>
      <c r="V93" s="36">
        <f t="shared" si="56"/>
        <v>0</v>
      </c>
      <c r="W93" s="2" t="e">
        <f>IF(AND(G58&gt;=$W$11,G58&lt;=$W$11+5),0,IF($C$9&gt;$AF$51,ROUND(S57*#REF!/(DATEVALUE(CONCATENATE("01/01/",YEAR(H58)+1))-DATEVALUE(CONCATENATE("01/01/",YEAR(H58))))*(H58-H57),2),0))</f>
        <v>#REF!</v>
      </c>
      <c r="X93" s="34">
        <f t="shared" si="41"/>
        <v>8289</v>
      </c>
      <c r="Y93" s="57">
        <f t="shared" si="39"/>
        <v>62960</v>
      </c>
      <c r="AL93" s="2" t="e">
        <f>IF(AND(Y50&gt;=$W$11,Y50&lt;=$W$11+5),0,IF($C$9&gt;$AF$51,ROUND(AI53*#REF!/(DATEVALUE(CONCATENATE("01/01/",YEAR(Z50)+1))-DATEVALUE(CONCATENATE("01/01/",YEAR(Z50))))*(Z50-Z49),2),0))</f>
        <v>#REF!</v>
      </c>
      <c r="AM93" s="34">
        <f t="shared" si="43"/>
        <v>8289</v>
      </c>
      <c r="AN93" s="57">
        <f t="shared" si="42"/>
        <v>61500</v>
      </c>
      <c r="AO93" s="130">
        <f t="shared" si="57"/>
        <v>0</v>
      </c>
      <c r="AP93" s="109">
        <f t="shared" si="71"/>
        <v>85</v>
      </c>
      <c r="AQ93" s="110">
        <f t="shared" ref="AQ93:AQ108" si="83">IF((OR(DAY($AD$54)=29,DAY($AD$54)=30,DAY($AD$54)=31)),(EDATE($C$9-3,AP93)),(IF((OR(DAY($AD$54)=1,DAY($AD$54)=2,DAY($AD$54)=3)),(EDATE($C$9,AP93)+3),EDATE($C$9,AP93))))</f>
        <v>47295</v>
      </c>
      <c r="AR93" s="177">
        <f t="shared" si="44"/>
        <v>0.20899999999999999</v>
      </c>
      <c r="AS93" s="105">
        <f t="shared" si="59"/>
        <v>0</v>
      </c>
      <c r="AT93" s="105">
        <f t="shared" ref="AT93:AT108" si="84">IF(AND(G93&gt;=$W$11,G93&lt;=$W$11+5),$W$10,IF(AND(BG92+AW93+AU93&gt;AT92,AT92&lt;&gt;0),IF($D$16="Да",$AL$40,$D$24),IF(BG92=0,0,BG92+AW93+AU93+AU94)))</f>
        <v>0</v>
      </c>
      <c r="AU93" s="105">
        <f t="shared" ref="AU93:AU108" si="85">IF(AND(G93&gt;=$W$11,G93&lt;=$W$11+5),0,IF($C$9&gt;$AF$51,ROUND(BG92*AR93*((AQ93-DATE(YEAR(AQ93),MONTH(AQ93),1)+1)/(DATE(YEAR(AQ93)+1,1,1)-DATE(YEAR(AQ93),1,1))+(EOMONTH(AQ92,0)-AQ92)/(DATE(YEAR(AQ92)+1,1,1)-DATE(YEAR(AQ92),1,1))),2),0))</f>
        <v>0</v>
      </c>
      <c r="AV93" s="105">
        <f t="shared" si="62"/>
        <v>0</v>
      </c>
      <c r="AW93" s="105">
        <f t="shared" si="49"/>
        <v>0</v>
      </c>
      <c r="AX93" s="105">
        <v>0</v>
      </c>
      <c r="AY93" s="105">
        <f t="shared" si="78"/>
        <v>0</v>
      </c>
      <c r="AZ93" s="105">
        <f t="shared" si="76"/>
        <v>0</v>
      </c>
      <c r="BA93" s="105">
        <f t="shared" si="75"/>
        <v>0</v>
      </c>
      <c r="BB93" s="105"/>
      <c r="BC93" s="105"/>
      <c r="BD93" s="105"/>
      <c r="BE93" s="105"/>
      <c r="BF93" s="105"/>
      <c r="BG93" s="105">
        <f t="shared" si="63"/>
        <v>0</v>
      </c>
      <c r="BH93" s="108">
        <f t="shared" si="72"/>
        <v>0</v>
      </c>
      <c r="BI93" s="108">
        <f t="shared" si="67"/>
        <v>0</v>
      </c>
      <c r="BJ93" s="22">
        <f t="shared" si="68"/>
        <v>47295</v>
      </c>
      <c r="BK93" s="108">
        <f t="shared" si="50"/>
        <v>0</v>
      </c>
      <c r="BL93" s="2" t="e">
        <f>IF(AND(G48&gt;=$W$11,G48&lt;=$W$11+5),0,IF($C$9&gt;$AF$51,ROUND(BG47*IF(#REF!="",0,#REF!)/(DATEVALUE(CONCATENATE("01/01/",YEAR(AQ48)+1))-DATEVALUE(CONCATENATE("01/01/",YEAR(AQ48))))*(AQ48-AQ47),2),0))</f>
        <v>#REF!</v>
      </c>
    </row>
    <row r="94" spans="1:64" s="16" customFormat="1" hidden="1" x14ac:dyDescent="0.3">
      <c r="A94" s="178"/>
      <c r="B94" s="178"/>
      <c r="C94" s="184"/>
      <c r="D94" s="184"/>
      <c r="E94" s="184"/>
      <c r="F94" s="184"/>
      <c r="G94" s="114">
        <f t="shared" si="69"/>
        <v>86</v>
      </c>
      <c r="H94" s="111">
        <f t="shared" si="79"/>
        <v>47325</v>
      </c>
      <c r="I94" s="176">
        <f t="shared" si="74"/>
        <v>0.20899999999999999</v>
      </c>
      <c r="J94" s="24">
        <f t="shared" si="52"/>
        <v>0</v>
      </c>
      <c r="K94" s="24">
        <f t="shared" si="80"/>
        <v>0</v>
      </c>
      <c r="L94" s="24">
        <f t="shared" si="81"/>
        <v>0</v>
      </c>
      <c r="M94" s="24">
        <f t="shared" si="82"/>
        <v>0</v>
      </c>
      <c r="N94" s="24">
        <f t="shared" si="47"/>
        <v>0</v>
      </c>
      <c r="O94" s="24">
        <v>0</v>
      </c>
      <c r="P94" s="24">
        <f t="shared" si="77"/>
        <v>0</v>
      </c>
      <c r="Q94" s="24">
        <f t="shared" si="48"/>
        <v>0</v>
      </c>
      <c r="R94" s="24">
        <f t="shared" si="54"/>
        <v>0</v>
      </c>
      <c r="S94" s="24">
        <f t="shared" si="66"/>
        <v>0</v>
      </c>
      <c r="T94" s="24"/>
      <c r="U94" s="36">
        <f t="shared" si="70"/>
        <v>0</v>
      </c>
      <c r="V94" s="36">
        <f t="shared" si="56"/>
        <v>0</v>
      </c>
      <c r="W94" s="2" t="e">
        <f>IF(AND(G59&gt;=$W$11,G59&lt;=$W$11+5),0,IF($C$9&gt;$AF$51,ROUND(S58*#REF!/(DATEVALUE(CONCATENATE("01/01/",YEAR(H59)+1))-DATEVALUE(CONCATENATE("01/01/",YEAR(H59))))*(H59-H58),2),0))</f>
        <v>#REF!</v>
      </c>
      <c r="X94" s="34">
        <f t="shared" si="41"/>
        <v>8289</v>
      </c>
      <c r="Y94" s="57">
        <f t="shared" si="39"/>
        <v>63325</v>
      </c>
      <c r="AL94" s="2" t="e">
        <f>IF(AND(Y51&gt;=$W$11,Y51&lt;=$W$11+5),0,IF($C$9&gt;$AF$51,ROUND(AI54*#REF!/(DATEVALUE(CONCATENATE("01/01/",YEAR(Z51)+1))-DATEVALUE(CONCATENATE("01/01/",YEAR(Z51))))*(Z51-Z50),2),0))</f>
        <v>#REF!</v>
      </c>
      <c r="AM94" s="34">
        <f t="shared" si="43"/>
        <v>8289</v>
      </c>
      <c r="AN94" s="57">
        <f t="shared" si="42"/>
        <v>61865</v>
      </c>
      <c r="AO94" s="130">
        <f t="shared" si="57"/>
        <v>0</v>
      </c>
      <c r="AP94" s="109">
        <f t="shared" si="71"/>
        <v>86</v>
      </c>
      <c r="AQ94" s="110">
        <f t="shared" si="83"/>
        <v>47325</v>
      </c>
      <c r="AR94" s="177">
        <f t="shared" si="44"/>
        <v>0.20899999999999999</v>
      </c>
      <c r="AS94" s="105">
        <f t="shared" si="59"/>
        <v>0</v>
      </c>
      <c r="AT94" s="105">
        <f t="shared" si="84"/>
        <v>0</v>
      </c>
      <c r="AU94" s="105">
        <f t="shared" si="85"/>
        <v>0</v>
      </c>
      <c r="AV94" s="105">
        <f t="shared" si="62"/>
        <v>0</v>
      </c>
      <c r="AW94" s="105">
        <f t="shared" si="49"/>
        <v>0</v>
      </c>
      <c r="AX94" s="105">
        <v>0</v>
      </c>
      <c r="AY94" s="105">
        <f t="shared" si="78"/>
        <v>0</v>
      </c>
      <c r="AZ94" s="105">
        <f t="shared" si="76"/>
        <v>0</v>
      </c>
      <c r="BA94" s="105">
        <f t="shared" si="75"/>
        <v>0</v>
      </c>
      <c r="BB94" s="105"/>
      <c r="BC94" s="105"/>
      <c r="BD94" s="105"/>
      <c r="BE94" s="105"/>
      <c r="BF94" s="105"/>
      <c r="BG94" s="105">
        <f t="shared" si="63"/>
        <v>0</v>
      </c>
      <c r="BH94" s="108">
        <f t="shared" si="72"/>
        <v>0</v>
      </c>
      <c r="BI94" s="108">
        <f t="shared" si="67"/>
        <v>0</v>
      </c>
      <c r="BJ94" s="22">
        <f t="shared" si="68"/>
        <v>47325</v>
      </c>
      <c r="BK94" s="108">
        <f t="shared" si="50"/>
        <v>0</v>
      </c>
      <c r="BL94" s="2" t="e">
        <f>IF(AND(G49&gt;=$W$11,G49&lt;=$W$11+5),0,IF($C$9&gt;$AF$51,ROUND(BG48*IF(#REF!="",0,#REF!)/(DATEVALUE(CONCATENATE("01/01/",YEAR(AQ49)+1))-DATEVALUE(CONCATENATE("01/01/",YEAR(AQ49))))*(AQ49-AQ48),2),0))</f>
        <v>#REF!</v>
      </c>
    </row>
    <row r="95" spans="1:64" s="16" customFormat="1" hidden="1" x14ac:dyDescent="0.3">
      <c r="A95" s="178"/>
      <c r="B95" s="178"/>
      <c r="C95" s="184"/>
      <c r="D95" s="184"/>
      <c r="E95" s="184"/>
      <c r="F95" s="184"/>
      <c r="G95" s="114">
        <f t="shared" si="69"/>
        <v>87</v>
      </c>
      <c r="H95" s="111">
        <f t="shared" si="79"/>
        <v>47356</v>
      </c>
      <c r="I95" s="176">
        <f t="shared" si="74"/>
        <v>0.20899999999999999</v>
      </c>
      <c r="J95" s="24">
        <f t="shared" si="52"/>
        <v>0</v>
      </c>
      <c r="K95" s="24">
        <f t="shared" si="80"/>
        <v>0</v>
      </c>
      <c r="L95" s="24">
        <f t="shared" si="81"/>
        <v>0</v>
      </c>
      <c r="M95" s="24">
        <f t="shared" si="82"/>
        <v>0</v>
      </c>
      <c r="N95" s="24">
        <f t="shared" si="47"/>
        <v>0</v>
      </c>
      <c r="O95" s="24">
        <v>0</v>
      </c>
      <c r="P95" s="24">
        <f t="shared" si="77"/>
        <v>0</v>
      </c>
      <c r="Q95" s="24">
        <f t="shared" si="48"/>
        <v>0</v>
      </c>
      <c r="R95" s="24">
        <f t="shared" si="54"/>
        <v>0</v>
      </c>
      <c r="S95" s="24">
        <f t="shared" si="66"/>
        <v>0</v>
      </c>
      <c r="T95" s="24"/>
      <c r="U95" s="36">
        <f t="shared" si="70"/>
        <v>0</v>
      </c>
      <c r="V95" s="36">
        <f t="shared" si="56"/>
        <v>0</v>
      </c>
      <c r="W95" s="2" t="e">
        <f>IF(AND(G60&gt;=$W$11,G60&lt;=$W$11+5),0,IF($C$9&gt;$AF$51,ROUND(S59*#REF!/(DATEVALUE(CONCATENATE("01/01/",YEAR(H60)+1))-DATEVALUE(CONCATENATE("01/01/",YEAR(H60))))*(H60-H59),2),0))</f>
        <v>#REF!</v>
      </c>
      <c r="X95" s="34">
        <f t="shared" si="41"/>
        <v>8289</v>
      </c>
      <c r="Y95" s="57">
        <f t="shared" si="39"/>
        <v>63690</v>
      </c>
      <c r="AL95" s="2" t="e">
        <f>IF(AND(Y52&gt;=$W$11,Y52&lt;=$W$11+5),0,IF($C$9&gt;$AF$51,ROUND(AI55*#REF!/(DATEVALUE(CONCATENATE("01/01/",YEAR(Z52)+1))-DATEVALUE(CONCATENATE("01/01/",YEAR(Z52))))*(Z52-Z51),2),0))</f>
        <v>#REF!</v>
      </c>
      <c r="AM95" s="34">
        <f t="shared" si="43"/>
        <v>8289</v>
      </c>
      <c r="AN95" s="57">
        <f t="shared" si="42"/>
        <v>62230</v>
      </c>
      <c r="AO95" s="130">
        <f t="shared" si="57"/>
        <v>0</v>
      </c>
      <c r="AP95" s="109">
        <f t="shared" si="71"/>
        <v>87</v>
      </c>
      <c r="AQ95" s="110">
        <f t="shared" si="83"/>
        <v>47356</v>
      </c>
      <c r="AR95" s="177">
        <f t="shared" si="44"/>
        <v>0.20899999999999999</v>
      </c>
      <c r="AS95" s="105">
        <f t="shared" si="59"/>
        <v>0</v>
      </c>
      <c r="AT95" s="105">
        <f t="shared" si="84"/>
        <v>0</v>
      </c>
      <c r="AU95" s="105">
        <f t="shared" si="85"/>
        <v>0</v>
      </c>
      <c r="AV95" s="105">
        <f t="shared" si="62"/>
        <v>0</v>
      </c>
      <c r="AW95" s="105">
        <f t="shared" si="49"/>
        <v>0</v>
      </c>
      <c r="AX95" s="105">
        <v>0</v>
      </c>
      <c r="AY95" s="105">
        <f t="shared" si="78"/>
        <v>0</v>
      </c>
      <c r="AZ95" s="105">
        <f t="shared" si="76"/>
        <v>0</v>
      </c>
      <c r="BA95" s="105">
        <f t="shared" si="75"/>
        <v>0</v>
      </c>
      <c r="BB95" s="105"/>
      <c r="BC95" s="105"/>
      <c r="BD95" s="105"/>
      <c r="BE95" s="105"/>
      <c r="BF95" s="105"/>
      <c r="BG95" s="105">
        <f t="shared" si="63"/>
        <v>0</v>
      </c>
      <c r="BH95" s="108">
        <f t="shared" si="72"/>
        <v>0</v>
      </c>
      <c r="BI95" s="108">
        <f t="shared" si="67"/>
        <v>0</v>
      </c>
      <c r="BJ95" s="22">
        <f t="shared" si="68"/>
        <v>47356</v>
      </c>
      <c r="BK95" s="108">
        <f t="shared" si="50"/>
        <v>0</v>
      </c>
      <c r="BL95" s="2" t="e">
        <f>IF(AND(G50&gt;=$W$11,G50&lt;=$W$11+5),0,IF($C$9&gt;$AF$51,ROUND(BG49*IF(#REF!="",0,#REF!)/(DATEVALUE(CONCATENATE("01/01/",YEAR(AQ50)+1))-DATEVALUE(CONCATENATE("01/01/",YEAR(AQ50))))*(AQ50-AQ49),2),0))</f>
        <v>#REF!</v>
      </c>
    </row>
    <row r="96" spans="1:64" s="16" customFormat="1" hidden="1" x14ac:dyDescent="0.3">
      <c r="A96" s="178"/>
      <c r="B96" s="178"/>
      <c r="C96" s="184"/>
      <c r="D96" s="184"/>
      <c r="E96" s="184"/>
      <c r="F96" s="184"/>
      <c r="G96" s="114">
        <f t="shared" si="69"/>
        <v>88</v>
      </c>
      <c r="H96" s="111">
        <f t="shared" si="79"/>
        <v>47387</v>
      </c>
      <c r="I96" s="176">
        <f t="shared" si="74"/>
        <v>0.20899999999999999</v>
      </c>
      <c r="J96" s="24">
        <f t="shared" si="52"/>
        <v>0</v>
      </c>
      <c r="K96" s="24">
        <f t="shared" si="80"/>
        <v>0</v>
      </c>
      <c r="L96" s="24">
        <f t="shared" si="81"/>
        <v>0</v>
      </c>
      <c r="M96" s="24">
        <f t="shared" si="82"/>
        <v>0</v>
      </c>
      <c r="N96" s="24">
        <f t="shared" si="47"/>
        <v>0</v>
      </c>
      <c r="O96" s="24">
        <v>0</v>
      </c>
      <c r="P96" s="24">
        <f t="shared" si="77"/>
        <v>0</v>
      </c>
      <c r="Q96" s="24">
        <f t="shared" si="48"/>
        <v>0</v>
      </c>
      <c r="R96" s="24">
        <f t="shared" si="54"/>
        <v>0</v>
      </c>
      <c r="S96" s="24">
        <f t="shared" si="66"/>
        <v>0</v>
      </c>
      <c r="T96" s="24"/>
      <c r="U96" s="36">
        <f t="shared" si="70"/>
        <v>0</v>
      </c>
      <c r="V96" s="36">
        <f t="shared" si="56"/>
        <v>0</v>
      </c>
      <c r="W96" s="2" t="e">
        <f>IF(AND(G61&gt;=$W$11,G61&lt;=$W$11+5),0,IF($C$9&gt;$AF$51,ROUND(S60*#REF!/(DATEVALUE(CONCATENATE("01/01/",YEAR(H61)+1))-DATEVALUE(CONCATENATE("01/01/",YEAR(H61))))*(H61-H60),2),0))</f>
        <v>#REF!</v>
      </c>
      <c r="X96" s="34">
        <f t="shared" si="41"/>
        <v>8289</v>
      </c>
      <c r="Y96" s="57">
        <f t="shared" si="39"/>
        <v>64055</v>
      </c>
      <c r="AL96" s="2" t="e">
        <f>IF(AND(Y53&gt;=$W$11,Y53&lt;=$W$11+5),0,IF($C$9&gt;$AF$51,ROUND(AI56*#REF!/(DATEVALUE(CONCATENATE("01/01/",YEAR(Z53)+1))-DATEVALUE(CONCATENATE("01/01/",YEAR(Z53))))*(Z53-Z52),2),0))</f>
        <v>#REF!</v>
      </c>
      <c r="AM96" s="34">
        <f t="shared" si="43"/>
        <v>8289</v>
      </c>
      <c r="AN96" s="57">
        <f t="shared" si="42"/>
        <v>62595</v>
      </c>
      <c r="AO96" s="130">
        <f t="shared" si="57"/>
        <v>0</v>
      </c>
      <c r="AP96" s="109">
        <f t="shared" si="71"/>
        <v>88</v>
      </c>
      <c r="AQ96" s="110">
        <f t="shared" si="83"/>
        <v>47387</v>
      </c>
      <c r="AR96" s="177">
        <f t="shared" si="44"/>
        <v>0.20899999999999999</v>
      </c>
      <c r="AS96" s="105">
        <f t="shared" si="59"/>
        <v>0</v>
      </c>
      <c r="AT96" s="105">
        <f t="shared" si="84"/>
        <v>0</v>
      </c>
      <c r="AU96" s="105">
        <f t="shared" si="85"/>
        <v>0</v>
      </c>
      <c r="AV96" s="105">
        <f t="shared" si="62"/>
        <v>0</v>
      </c>
      <c r="AW96" s="105">
        <f t="shared" si="49"/>
        <v>0</v>
      </c>
      <c r="AX96" s="105">
        <v>0</v>
      </c>
      <c r="AY96" s="105">
        <f t="shared" si="78"/>
        <v>0</v>
      </c>
      <c r="AZ96" s="105">
        <f t="shared" si="76"/>
        <v>0</v>
      </c>
      <c r="BA96" s="105">
        <f t="shared" si="75"/>
        <v>0</v>
      </c>
      <c r="BB96" s="105"/>
      <c r="BC96" s="105"/>
      <c r="BD96" s="105"/>
      <c r="BE96" s="105"/>
      <c r="BF96" s="105"/>
      <c r="BG96" s="105">
        <f t="shared" si="63"/>
        <v>0</v>
      </c>
      <c r="BH96" s="108">
        <f t="shared" si="72"/>
        <v>0</v>
      </c>
      <c r="BI96" s="108">
        <f t="shared" si="67"/>
        <v>0</v>
      </c>
      <c r="BJ96" s="22">
        <f t="shared" si="68"/>
        <v>47387</v>
      </c>
      <c r="BK96" s="108">
        <f t="shared" si="50"/>
        <v>0</v>
      </c>
      <c r="BL96" s="2" t="e">
        <f>IF(AND(G51&gt;=$W$11,G51&lt;=$W$11+5),0,IF($C$9&gt;$AF$51,ROUND(BG50*IF(#REF!="",0,#REF!)/(DATEVALUE(CONCATENATE("01/01/",YEAR(AQ51)+1))-DATEVALUE(CONCATENATE("01/01/",YEAR(AQ51))))*(AQ51-AQ50),2),0))</f>
        <v>#REF!</v>
      </c>
    </row>
    <row r="97" spans="1:1217" s="16" customFormat="1" hidden="1" x14ac:dyDescent="0.3">
      <c r="A97" s="178"/>
      <c r="B97" s="178"/>
      <c r="C97" s="184"/>
      <c r="D97" s="184"/>
      <c r="E97" s="184"/>
      <c r="F97" s="184"/>
      <c r="G97" s="114">
        <f t="shared" si="69"/>
        <v>89</v>
      </c>
      <c r="H97" s="111">
        <f t="shared" si="79"/>
        <v>47417</v>
      </c>
      <c r="I97" s="176">
        <f t="shared" si="74"/>
        <v>0.20899999999999999</v>
      </c>
      <c r="J97" s="24">
        <f t="shared" si="52"/>
        <v>0</v>
      </c>
      <c r="K97" s="24">
        <f t="shared" si="80"/>
        <v>0</v>
      </c>
      <c r="L97" s="24">
        <f t="shared" si="81"/>
        <v>0</v>
      </c>
      <c r="M97" s="24">
        <f t="shared" si="82"/>
        <v>0</v>
      </c>
      <c r="N97" s="24">
        <f t="shared" si="47"/>
        <v>0</v>
      </c>
      <c r="O97" s="24">
        <v>0</v>
      </c>
      <c r="P97" s="24">
        <f t="shared" si="77"/>
        <v>0</v>
      </c>
      <c r="Q97" s="24">
        <f t="shared" si="48"/>
        <v>0</v>
      </c>
      <c r="R97" s="24">
        <f t="shared" si="54"/>
        <v>0</v>
      </c>
      <c r="S97" s="24">
        <f t="shared" si="66"/>
        <v>0</v>
      </c>
      <c r="T97" s="24"/>
      <c r="U97" s="36">
        <f t="shared" si="70"/>
        <v>0</v>
      </c>
      <c r="V97" s="36">
        <f t="shared" si="56"/>
        <v>0</v>
      </c>
      <c r="W97" s="2" t="e">
        <f>IF(AND(G62&gt;=$W$11,G62&lt;=$W$11+5),0,IF($C$9&gt;$AF$51,ROUND(S61*#REF!/(DATEVALUE(CONCATENATE("01/01/",YEAR(H62)+1))-DATEVALUE(CONCATENATE("01/01/",YEAR(H62))))*(H62-H61),2),0))</f>
        <v>#REF!</v>
      </c>
      <c r="X97" s="34">
        <f t="shared" si="41"/>
        <v>8289</v>
      </c>
      <c r="Y97" s="57">
        <f t="shared" si="39"/>
        <v>64420</v>
      </c>
      <c r="AL97" s="2" t="e">
        <f>IF(AND(Y54&gt;=$W$11,Y54&lt;=$W$11+5),0,IF($C$9&gt;$AF$51,ROUND(AI57*#REF!/(DATEVALUE(CONCATENATE("01/01/",YEAR(Z54)+1))-DATEVALUE(CONCATENATE("01/01/",YEAR(Z54))))*(Z54-Z53),2),0))</f>
        <v>#REF!</v>
      </c>
      <c r="AM97" s="34">
        <f t="shared" si="43"/>
        <v>8289</v>
      </c>
      <c r="AN97" s="57">
        <f t="shared" si="42"/>
        <v>62960</v>
      </c>
      <c r="AO97" s="130">
        <f t="shared" si="57"/>
        <v>0</v>
      </c>
      <c r="AP97" s="109">
        <f t="shared" si="71"/>
        <v>89</v>
      </c>
      <c r="AQ97" s="110">
        <f t="shared" si="83"/>
        <v>47417</v>
      </c>
      <c r="AR97" s="177">
        <f t="shared" si="44"/>
        <v>0.20899999999999999</v>
      </c>
      <c r="AS97" s="105">
        <f t="shared" si="59"/>
        <v>0</v>
      </c>
      <c r="AT97" s="105">
        <f t="shared" si="84"/>
        <v>0</v>
      </c>
      <c r="AU97" s="105">
        <f t="shared" si="85"/>
        <v>0</v>
      </c>
      <c r="AV97" s="105">
        <f t="shared" si="62"/>
        <v>0</v>
      </c>
      <c r="AW97" s="105">
        <f t="shared" si="49"/>
        <v>0</v>
      </c>
      <c r="AX97" s="105">
        <v>0</v>
      </c>
      <c r="AY97" s="105">
        <f t="shared" si="78"/>
        <v>0</v>
      </c>
      <c r="AZ97" s="105">
        <f t="shared" si="76"/>
        <v>0</v>
      </c>
      <c r="BA97" s="105">
        <f t="shared" si="75"/>
        <v>0</v>
      </c>
      <c r="BB97" s="105"/>
      <c r="BC97" s="105"/>
      <c r="BD97" s="105"/>
      <c r="BE97" s="105"/>
      <c r="BF97" s="105"/>
      <c r="BG97" s="105">
        <f t="shared" si="63"/>
        <v>0</v>
      </c>
      <c r="BH97" s="108">
        <f t="shared" si="72"/>
        <v>0</v>
      </c>
      <c r="BI97" s="108">
        <f t="shared" si="67"/>
        <v>0</v>
      </c>
      <c r="BJ97" s="22">
        <f t="shared" si="68"/>
        <v>47417</v>
      </c>
      <c r="BK97" s="108">
        <f t="shared" si="50"/>
        <v>0</v>
      </c>
      <c r="BL97" s="2" t="e">
        <f>IF(AND(G52&gt;=$W$11,G52&lt;=$W$11+5),0,IF($C$9&gt;$AF$51,ROUND(BG51*IF(#REF!="",0,#REF!)/(DATEVALUE(CONCATENATE("01/01/",YEAR(AQ52)+1))-DATEVALUE(CONCATENATE("01/01/",YEAR(AQ52))))*(AQ52-AQ51),2),0))</f>
        <v>#REF!</v>
      </c>
    </row>
    <row r="98" spans="1:1217" s="16" customFormat="1" hidden="1" x14ac:dyDescent="0.3">
      <c r="A98" s="178"/>
      <c r="B98" s="178"/>
      <c r="C98" s="184"/>
      <c r="D98" s="184"/>
      <c r="E98" s="184"/>
      <c r="F98" s="184"/>
      <c r="G98" s="114">
        <f t="shared" si="69"/>
        <v>90</v>
      </c>
      <c r="H98" s="111">
        <f t="shared" si="79"/>
        <v>47448</v>
      </c>
      <c r="I98" s="176">
        <f t="shared" si="74"/>
        <v>0.20899999999999999</v>
      </c>
      <c r="J98" s="24">
        <f t="shared" si="52"/>
        <v>0</v>
      </c>
      <c r="K98" s="24">
        <f t="shared" si="80"/>
        <v>0</v>
      </c>
      <c r="L98" s="24">
        <f t="shared" si="81"/>
        <v>0</v>
      </c>
      <c r="M98" s="24">
        <f t="shared" si="82"/>
        <v>0</v>
      </c>
      <c r="N98" s="24">
        <f t="shared" si="47"/>
        <v>0</v>
      </c>
      <c r="O98" s="24">
        <v>0</v>
      </c>
      <c r="P98" s="24">
        <f t="shared" si="77"/>
        <v>0</v>
      </c>
      <c r="Q98" s="24">
        <f t="shared" si="48"/>
        <v>0</v>
      </c>
      <c r="R98" s="24">
        <f t="shared" si="54"/>
        <v>0</v>
      </c>
      <c r="S98" s="24">
        <f t="shared" si="66"/>
        <v>0</v>
      </c>
      <c r="T98" s="24"/>
      <c r="U98" s="36">
        <f t="shared" si="70"/>
        <v>0</v>
      </c>
      <c r="V98" s="36">
        <f t="shared" si="56"/>
        <v>0</v>
      </c>
      <c r="W98" s="2" t="e">
        <f>IF(AND(G63&gt;=$W$11,G63&lt;=$W$11+5),0,IF($C$9&gt;$AF$51,ROUND(S62*#REF!/(DATEVALUE(CONCATENATE("01/01/",YEAR(H63)+1))-DATEVALUE(CONCATENATE("01/01/",YEAR(H63))))*(H63-H62),2),0))</f>
        <v>#REF!</v>
      </c>
      <c r="X98" s="34">
        <f t="shared" si="41"/>
        <v>8289</v>
      </c>
      <c r="Y98" s="57">
        <f t="shared" si="39"/>
        <v>64785</v>
      </c>
      <c r="AL98" s="2" t="e">
        <f>IF(AND(Y55&gt;=$W$11,Y55&lt;=$W$11+5),0,IF($C$9&gt;$AF$51,ROUND(AI58*#REF!/(DATEVALUE(CONCATENATE("01/01/",YEAR(Z55)+1))-DATEVALUE(CONCATENATE("01/01/",YEAR(Z55))))*(Z55-Z54),2),0))</f>
        <v>#REF!</v>
      </c>
      <c r="AM98" s="34">
        <f t="shared" si="43"/>
        <v>8289</v>
      </c>
      <c r="AN98" s="57">
        <f t="shared" si="42"/>
        <v>63325</v>
      </c>
      <c r="AO98" s="130">
        <f t="shared" si="57"/>
        <v>0</v>
      </c>
      <c r="AP98" s="109">
        <f t="shared" si="71"/>
        <v>90</v>
      </c>
      <c r="AQ98" s="110">
        <f t="shared" si="83"/>
        <v>47448</v>
      </c>
      <c r="AR98" s="177">
        <f t="shared" si="44"/>
        <v>0.20899999999999999</v>
      </c>
      <c r="AS98" s="105">
        <f t="shared" si="59"/>
        <v>0</v>
      </c>
      <c r="AT98" s="105">
        <f t="shared" si="84"/>
        <v>0</v>
      </c>
      <c r="AU98" s="105">
        <f t="shared" si="85"/>
        <v>0</v>
      </c>
      <c r="AV98" s="105">
        <f t="shared" si="62"/>
        <v>0</v>
      </c>
      <c r="AW98" s="105">
        <f t="shared" si="49"/>
        <v>0</v>
      </c>
      <c r="AX98" s="105">
        <v>0</v>
      </c>
      <c r="AY98" s="105">
        <f t="shared" si="78"/>
        <v>0</v>
      </c>
      <c r="AZ98" s="105">
        <f t="shared" si="76"/>
        <v>0</v>
      </c>
      <c r="BA98" s="105">
        <f t="shared" si="75"/>
        <v>0</v>
      </c>
      <c r="BB98" s="105"/>
      <c r="BC98" s="105"/>
      <c r="BD98" s="105"/>
      <c r="BE98" s="105"/>
      <c r="BF98" s="105"/>
      <c r="BG98" s="105">
        <f t="shared" si="63"/>
        <v>0</v>
      </c>
      <c r="BH98" s="108">
        <f t="shared" si="72"/>
        <v>0</v>
      </c>
      <c r="BI98" s="108">
        <f t="shared" si="67"/>
        <v>0</v>
      </c>
      <c r="BJ98" s="22">
        <f t="shared" si="68"/>
        <v>47448</v>
      </c>
      <c r="BK98" s="108">
        <f t="shared" si="50"/>
        <v>0</v>
      </c>
      <c r="BL98" s="2" t="e">
        <f>IF(AND(G53&gt;=$W$11,G53&lt;=$W$11+5),0,IF($C$9&gt;$AF$51,ROUND(BG52*IF(#REF!="",0,#REF!)/(DATEVALUE(CONCATENATE("01/01/",YEAR(AQ53)+1))-DATEVALUE(CONCATENATE("01/01/",YEAR(AQ53))))*(AQ53-AQ52),2),0))</f>
        <v>#REF!</v>
      </c>
    </row>
    <row r="99" spans="1:1217" s="16" customFormat="1" hidden="1" x14ac:dyDescent="0.3">
      <c r="A99" s="178"/>
      <c r="B99" s="178"/>
      <c r="C99" s="184"/>
      <c r="D99" s="184"/>
      <c r="E99" s="184"/>
      <c r="F99" s="184"/>
      <c r="G99" s="114">
        <f t="shared" si="69"/>
        <v>91</v>
      </c>
      <c r="H99" s="111">
        <f t="shared" si="79"/>
        <v>47478</v>
      </c>
      <c r="I99" s="176">
        <f t="shared" si="74"/>
        <v>0.20899999999999999</v>
      </c>
      <c r="J99" s="24">
        <f t="shared" si="52"/>
        <v>0</v>
      </c>
      <c r="K99" s="24">
        <f t="shared" si="80"/>
        <v>0</v>
      </c>
      <c r="L99" s="24">
        <f t="shared" si="81"/>
        <v>0</v>
      </c>
      <c r="M99" s="24">
        <f t="shared" si="82"/>
        <v>0</v>
      </c>
      <c r="N99" s="24">
        <f t="shared" si="47"/>
        <v>0</v>
      </c>
      <c r="O99" s="24">
        <v>0</v>
      </c>
      <c r="P99" s="24">
        <f t="shared" si="77"/>
        <v>0</v>
      </c>
      <c r="Q99" s="24">
        <f t="shared" si="48"/>
        <v>0</v>
      </c>
      <c r="R99" s="24">
        <f t="shared" si="54"/>
        <v>0</v>
      </c>
      <c r="S99" s="24">
        <f t="shared" si="66"/>
        <v>0</v>
      </c>
      <c r="T99" s="24"/>
      <c r="U99" s="36">
        <f t="shared" si="70"/>
        <v>0</v>
      </c>
      <c r="V99" s="36">
        <f t="shared" si="56"/>
        <v>0</v>
      </c>
      <c r="W99" s="2" t="e">
        <f>IF(AND(G64&gt;=$W$11,G64&lt;=$W$11+5),0,IF($C$9&gt;$AF$51,ROUND(S63*#REF!/(DATEVALUE(CONCATENATE("01/01/",YEAR(H64)+1))-DATEVALUE(CONCATENATE("01/01/",YEAR(H64))))*(H64-H63),2),0))</f>
        <v>#REF!</v>
      </c>
      <c r="X99" s="34">
        <f t="shared" si="41"/>
        <v>8289</v>
      </c>
      <c r="Y99" s="57">
        <f t="shared" si="39"/>
        <v>65150</v>
      </c>
      <c r="AL99" s="2" t="e">
        <f>IF(AND(Y56&gt;=$W$11,Y56&lt;=$W$11+5),0,IF($C$9&gt;$AF$51,ROUND(AI59*#REF!/(DATEVALUE(CONCATENATE("01/01/",YEAR(Z56)+1))-DATEVALUE(CONCATENATE("01/01/",YEAR(Z56))))*(Z56-Z55),2),0))</f>
        <v>#VALUE!</v>
      </c>
      <c r="AM99" s="34">
        <f t="shared" si="43"/>
        <v>8289</v>
      </c>
      <c r="AN99" s="57">
        <f t="shared" si="42"/>
        <v>63690</v>
      </c>
      <c r="AO99" s="130">
        <f t="shared" si="57"/>
        <v>0</v>
      </c>
      <c r="AP99" s="109">
        <f t="shared" si="71"/>
        <v>91</v>
      </c>
      <c r="AQ99" s="110">
        <f t="shared" si="83"/>
        <v>47478</v>
      </c>
      <c r="AR99" s="177">
        <f t="shared" si="44"/>
        <v>0.20899999999999999</v>
      </c>
      <c r="AS99" s="105">
        <f t="shared" si="59"/>
        <v>0</v>
      </c>
      <c r="AT99" s="105">
        <f t="shared" si="84"/>
        <v>0</v>
      </c>
      <c r="AU99" s="105">
        <f t="shared" si="85"/>
        <v>0</v>
      </c>
      <c r="AV99" s="105">
        <f t="shared" si="62"/>
        <v>0</v>
      </c>
      <c r="AW99" s="105">
        <f t="shared" si="49"/>
        <v>0</v>
      </c>
      <c r="AX99" s="105">
        <v>0</v>
      </c>
      <c r="AY99" s="105">
        <f t="shared" si="78"/>
        <v>0</v>
      </c>
      <c r="AZ99" s="105">
        <f t="shared" si="76"/>
        <v>0</v>
      </c>
      <c r="BA99" s="105">
        <f t="shared" si="75"/>
        <v>0</v>
      </c>
      <c r="BB99" s="105"/>
      <c r="BC99" s="105"/>
      <c r="BD99" s="105"/>
      <c r="BE99" s="105"/>
      <c r="BF99" s="105"/>
      <c r="BG99" s="105">
        <f t="shared" si="63"/>
        <v>0</v>
      </c>
      <c r="BH99" s="108">
        <f t="shared" si="72"/>
        <v>0</v>
      </c>
      <c r="BI99" s="108">
        <f t="shared" si="67"/>
        <v>0</v>
      </c>
      <c r="BJ99" s="22">
        <f t="shared" si="68"/>
        <v>47478</v>
      </c>
      <c r="BK99" s="108">
        <f t="shared" si="50"/>
        <v>0</v>
      </c>
      <c r="BL99" s="2" t="e">
        <f>IF(AND(G54&gt;=$W$11,G54&lt;=$W$11+5),0,IF($C$9&gt;$AF$51,ROUND(BG53*IF(#REF!="",0,#REF!)/(DATEVALUE(CONCATENATE("01/01/",YEAR(AQ54)+1))-DATEVALUE(CONCATENATE("01/01/",YEAR(AQ54))))*(AQ54-AQ53),2),0))</f>
        <v>#REF!</v>
      </c>
    </row>
    <row r="100" spans="1:1217" s="16" customFormat="1" hidden="1" x14ac:dyDescent="0.3">
      <c r="A100" s="178"/>
      <c r="B100" s="178"/>
      <c r="C100" s="184"/>
      <c r="D100" s="184"/>
      <c r="E100" s="184"/>
      <c r="F100" s="184"/>
      <c r="G100" s="114">
        <f t="shared" si="69"/>
        <v>92</v>
      </c>
      <c r="H100" s="111">
        <f t="shared" si="79"/>
        <v>47509</v>
      </c>
      <c r="I100" s="176">
        <f t="shared" si="74"/>
        <v>0.20899999999999999</v>
      </c>
      <c r="J100" s="24">
        <f t="shared" si="52"/>
        <v>0</v>
      </c>
      <c r="K100" s="24">
        <f t="shared" si="80"/>
        <v>0</v>
      </c>
      <c r="L100" s="24">
        <f t="shared" si="81"/>
        <v>0</v>
      </c>
      <c r="M100" s="24">
        <f t="shared" si="82"/>
        <v>0</v>
      </c>
      <c r="N100" s="24">
        <f t="shared" si="47"/>
        <v>0</v>
      </c>
      <c r="O100" s="24">
        <v>0</v>
      </c>
      <c r="P100" s="24">
        <f t="shared" si="77"/>
        <v>0</v>
      </c>
      <c r="Q100" s="24">
        <f t="shared" si="48"/>
        <v>0</v>
      </c>
      <c r="R100" s="24">
        <f t="shared" si="54"/>
        <v>0</v>
      </c>
      <c r="S100" s="24">
        <f t="shared" si="66"/>
        <v>0</v>
      </c>
      <c r="T100" s="24"/>
      <c r="U100" s="36">
        <f t="shared" si="70"/>
        <v>0</v>
      </c>
      <c r="V100" s="36">
        <f t="shared" si="56"/>
        <v>0</v>
      </c>
      <c r="W100" s="2" t="e">
        <f>IF(AND(G65&gt;=$W$11,G65&lt;=$W$11+5),0,IF($C$9&gt;$AF$51,ROUND(S64*#REF!/(DATEVALUE(CONCATENATE("01/01/",YEAR(H65)+1))-DATEVALUE(CONCATENATE("01/01/",YEAR(H65))))*(H65-H64),2),0))</f>
        <v>#REF!</v>
      </c>
      <c r="X100" s="34">
        <f t="shared" si="41"/>
        <v>8289</v>
      </c>
      <c r="Y100" s="57">
        <f t="shared" si="39"/>
        <v>65515</v>
      </c>
      <c r="AL100" s="2" t="e">
        <f>IF(AND(Y57&gt;=$W$11,Y57&lt;=$W$11+5),0,IF($C$9&gt;$AF$51,ROUND(AI60*#REF!/(DATEVALUE(CONCATENATE("01/01/",YEAR(Z57)+1))-DATEVALUE(CONCATENATE("01/01/",YEAR(Z57))))*(Z57-Z56),2),0))</f>
        <v>#REF!</v>
      </c>
      <c r="AM100" s="34">
        <f t="shared" si="43"/>
        <v>8289</v>
      </c>
      <c r="AN100" s="57">
        <f t="shared" si="42"/>
        <v>64055</v>
      </c>
      <c r="AO100" s="130">
        <f t="shared" si="57"/>
        <v>0</v>
      </c>
      <c r="AP100" s="109">
        <f t="shared" si="71"/>
        <v>92</v>
      </c>
      <c r="AQ100" s="110">
        <f t="shared" si="83"/>
        <v>47509</v>
      </c>
      <c r="AR100" s="177">
        <f t="shared" si="44"/>
        <v>0.20899999999999999</v>
      </c>
      <c r="AS100" s="105">
        <f t="shared" si="59"/>
        <v>0</v>
      </c>
      <c r="AT100" s="105">
        <f t="shared" si="84"/>
        <v>0</v>
      </c>
      <c r="AU100" s="105">
        <f t="shared" si="85"/>
        <v>0</v>
      </c>
      <c r="AV100" s="105">
        <f t="shared" si="62"/>
        <v>0</v>
      </c>
      <c r="AW100" s="105">
        <f t="shared" si="49"/>
        <v>0</v>
      </c>
      <c r="AX100" s="105">
        <v>0</v>
      </c>
      <c r="AY100" s="105">
        <f t="shared" si="78"/>
        <v>0</v>
      </c>
      <c r="AZ100" s="105">
        <f t="shared" si="76"/>
        <v>0</v>
      </c>
      <c r="BA100" s="105">
        <f t="shared" si="75"/>
        <v>0</v>
      </c>
      <c r="BB100" s="105"/>
      <c r="BC100" s="105"/>
      <c r="BD100" s="105"/>
      <c r="BE100" s="105"/>
      <c r="BF100" s="105"/>
      <c r="BG100" s="105">
        <f t="shared" si="63"/>
        <v>0</v>
      </c>
      <c r="BH100" s="108">
        <f t="shared" si="72"/>
        <v>0</v>
      </c>
      <c r="BI100" s="108">
        <f t="shared" si="67"/>
        <v>0</v>
      </c>
      <c r="BJ100" s="22">
        <f t="shared" si="68"/>
        <v>47509</v>
      </c>
      <c r="BK100" s="108">
        <f t="shared" si="50"/>
        <v>0</v>
      </c>
      <c r="BL100" s="2" t="e">
        <f>IF(AND(G55&gt;=$W$11,G55&lt;=$W$11+5),0,IF($C$9&gt;$AF$51,ROUND(BG54*IF(#REF!="",0,#REF!)/(DATEVALUE(CONCATENATE("01/01/",YEAR(AQ55)+1))-DATEVALUE(CONCATENATE("01/01/",YEAR(AQ55))))*(AQ55-AQ54),2),0))</f>
        <v>#REF!</v>
      </c>
    </row>
    <row r="101" spans="1:1217" s="16" customFormat="1" hidden="1" x14ac:dyDescent="0.3">
      <c r="A101" s="178"/>
      <c r="B101" s="178"/>
      <c r="C101" s="184"/>
      <c r="D101" s="184"/>
      <c r="E101" s="184"/>
      <c r="F101" s="184"/>
      <c r="G101" s="114">
        <f t="shared" si="69"/>
        <v>93</v>
      </c>
      <c r="H101" s="111">
        <f t="shared" si="79"/>
        <v>47540</v>
      </c>
      <c r="I101" s="176">
        <f t="shared" si="74"/>
        <v>0.20899999999999999</v>
      </c>
      <c r="J101" s="24">
        <f t="shared" si="52"/>
        <v>0</v>
      </c>
      <c r="K101" s="24">
        <f t="shared" si="80"/>
        <v>0</v>
      </c>
      <c r="L101" s="24">
        <f t="shared" si="81"/>
        <v>0</v>
      </c>
      <c r="M101" s="24">
        <f t="shared" si="82"/>
        <v>0</v>
      </c>
      <c r="N101" s="24">
        <f t="shared" si="47"/>
        <v>0</v>
      </c>
      <c r="O101" s="24">
        <v>0</v>
      </c>
      <c r="P101" s="24">
        <f t="shared" si="77"/>
        <v>0</v>
      </c>
      <c r="Q101" s="24">
        <f t="shared" si="48"/>
        <v>0</v>
      </c>
      <c r="R101" s="24">
        <f t="shared" si="54"/>
        <v>0</v>
      </c>
      <c r="S101" s="24">
        <f t="shared" si="66"/>
        <v>0</v>
      </c>
      <c r="T101" s="24"/>
      <c r="U101" s="36">
        <f t="shared" si="70"/>
        <v>0</v>
      </c>
      <c r="V101" s="36">
        <f t="shared" si="56"/>
        <v>0</v>
      </c>
      <c r="W101" s="2" t="e">
        <f>IF(AND(G66&gt;=$W$11,G66&lt;=$W$11+5),0,IF($C$9&gt;$AF$51,ROUND(S65*#REF!/(DATEVALUE(CONCATENATE("01/01/",YEAR(H66)+1))-DATEVALUE(CONCATENATE("01/01/",YEAR(H66))))*(H66-H65),2),0))</f>
        <v>#REF!</v>
      </c>
      <c r="X101" s="34">
        <f t="shared" si="41"/>
        <v>8289</v>
      </c>
      <c r="Y101" s="57">
        <f t="shared" si="39"/>
        <v>65880</v>
      </c>
      <c r="AL101" s="2" t="e">
        <f>IF(AND(Y58&gt;=$W$11,Y58&lt;=$W$11+5),0,IF($C$9&gt;$AF$51,ROUND(AI61*#REF!/(DATEVALUE(CONCATENATE("01/01/",YEAR(Z58)+1))-DATEVALUE(CONCATENATE("01/01/",YEAR(Z58))))*(Z58-Z57),2),0))</f>
        <v>#REF!</v>
      </c>
      <c r="AM101" s="34">
        <f t="shared" si="43"/>
        <v>8289</v>
      </c>
      <c r="AN101" s="57">
        <f t="shared" si="42"/>
        <v>64420</v>
      </c>
      <c r="AO101" s="130">
        <f t="shared" si="57"/>
        <v>0</v>
      </c>
      <c r="AP101" s="109">
        <f t="shared" si="71"/>
        <v>93</v>
      </c>
      <c r="AQ101" s="110">
        <f t="shared" si="83"/>
        <v>47540</v>
      </c>
      <c r="AR101" s="177">
        <f t="shared" si="44"/>
        <v>0.20899999999999999</v>
      </c>
      <c r="AS101" s="105">
        <f t="shared" si="59"/>
        <v>0</v>
      </c>
      <c r="AT101" s="105">
        <f t="shared" si="84"/>
        <v>0</v>
      </c>
      <c r="AU101" s="105">
        <f t="shared" si="85"/>
        <v>0</v>
      </c>
      <c r="AV101" s="105">
        <f t="shared" si="62"/>
        <v>0</v>
      </c>
      <c r="AW101" s="105">
        <f t="shared" si="49"/>
        <v>0</v>
      </c>
      <c r="AX101" s="105">
        <v>0</v>
      </c>
      <c r="AY101" s="105">
        <f t="shared" si="78"/>
        <v>0</v>
      </c>
      <c r="AZ101" s="105">
        <f t="shared" si="76"/>
        <v>0</v>
      </c>
      <c r="BA101" s="105">
        <f t="shared" si="75"/>
        <v>0</v>
      </c>
      <c r="BB101" s="105"/>
      <c r="BC101" s="105"/>
      <c r="BD101" s="105"/>
      <c r="BE101" s="105"/>
      <c r="BF101" s="105"/>
      <c r="BG101" s="105">
        <f t="shared" si="63"/>
        <v>0</v>
      </c>
      <c r="BH101" s="108">
        <f t="shared" si="72"/>
        <v>0</v>
      </c>
      <c r="BI101" s="108">
        <f t="shared" si="67"/>
        <v>0</v>
      </c>
      <c r="BJ101" s="22">
        <f t="shared" si="68"/>
        <v>47540</v>
      </c>
      <c r="BK101" s="108">
        <f t="shared" si="50"/>
        <v>0</v>
      </c>
      <c r="BL101" s="2" t="e">
        <f>IF(AND(G56&gt;=$W$11,G56&lt;=$W$11+5),0,IF($C$9&gt;$AF$51,ROUND(BG55*IF(#REF!="",0,#REF!)/(DATEVALUE(CONCATENATE("01/01/",YEAR(AQ56)+1))-DATEVALUE(CONCATENATE("01/01/",YEAR(AQ56))))*(AQ56-AQ55),2),0))</f>
        <v>#REF!</v>
      </c>
    </row>
    <row r="102" spans="1:1217" s="16" customFormat="1" hidden="1" x14ac:dyDescent="0.3">
      <c r="A102" s="178"/>
      <c r="B102" s="178"/>
      <c r="C102" s="184"/>
      <c r="D102" s="184"/>
      <c r="E102" s="184"/>
      <c r="F102" s="184"/>
      <c r="G102" s="114">
        <f t="shared" si="69"/>
        <v>94</v>
      </c>
      <c r="H102" s="111">
        <f t="shared" si="79"/>
        <v>47568</v>
      </c>
      <c r="I102" s="176">
        <f t="shared" si="74"/>
        <v>0.20899999999999999</v>
      </c>
      <c r="J102" s="24">
        <f t="shared" si="52"/>
        <v>0</v>
      </c>
      <c r="K102" s="24">
        <f t="shared" si="80"/>
        <v>0</v>
      </c>
      <c r="L102" s="24">
        <f t="shared" si="81"/>
        <v>0</v>
      </c>
      <c r="M102" s="24">
        <f t="shared" si="82"/>
        <v>0</v>
      </c>
      <c r="N102" s="24">
        <f t="shared" si="47"/>
        <v>0</v>
      </c>
      <c r="O102" s="24">
        <v>0</v>
      </c>
      <c r="P102" s="24">
        <f t="shared" si="77"/>
        <v>0</v>
      </c>
      <c r="Q102" s="24">
        <f t="shared" si="48"/>
        <v>0</v>
      </c>
      <c r="R102" s="24">
        <f t="shared" si="54"/>
        <v>0</v>
      </c>
      <c r="S102" s="24">
        <f t="shared" si="66"/>
        <v>0</v>
      </c>
      <c r="T102" s="24"/>
      <c r="U102" s="36">
        <f t="shared" si="70"/>
        <v>0</v>
      </c>
      <c r="V102" s="36">
        <f t="shared" si="56"/>
        <v>0</v>
      </c>
      <c r="W102" s="2" t="e">
        <f>IF(AND(G67&gt;=$W$11,G67&lt;=$W$11+5),0,IF($C$9&gt;$AF$51,ROUND(S66*#REF!/(DATEVALUE(CONCATENATE("01/01/",YEAR(H67)+1))-DATEVALUE(CONCATENATE("01/01/",YEAR(H67))))*(H67-H66),2),0))</f>
        <v>#REF!</v>
      </c>
      <c r="X102" s="34">
        <f t="shared" si="41"/>
        <v>8289</v>
      </c>
      <c r="Y102" s="57">
        <f t="shared" si="39"/>
        <v>66245</v>
      </c>
      <c r="AL102" s="2" t="e">
        <f>IF(AND(Y59&gt;=$W$11,Y59&lt;=$W$11+5),0,IF($C$9&gt;$AF$51,ROUND(AI62*#REF!/(DATEVALUE(CONCATENATE("01/01/",YEAR(Z59)+1))-DATEVALUE(CONCATENATE("01/01/",YEAR(Z59))))*(Z59-Z58),2),0))</f>
        <v>#REF!</v>
      </c>
      <c r="AM102" s="34">
        <f t="shared" si="43"/>
        <v>8289</v>
      </c>
      <c r="AN102" s="57">
        <f t="shared" si="42"/>
        <v>64785</v>
      </c>
      <c r="AO102" s="130">
        <f t="shared" si="57"/>
        <v>0</v>
      </c>
      <c r="AP102" s="109">
        <f t="shared" si="71"/>
        <v>94</v>
      </c>
      <c r="AQ102" s="110">
        <f t="shared" si="83"/>
        <v>47568</v>
      </c>
      <c r="AR102" s="177">
        <f t="shared" si="44"/>
        <v>0.20899999999999999</v>
      </c>
      <c r="AS102" s="105">
        <f t="shared" si="59"/>
        <v>0</v>
      </c>
      <c r="AT102" s="105">
        <f t="shared" si="84"/>
        <v>0</v>
      </c>
      <c r="AU102" s="105">
        <f t="shared" si="85"/>
        <v>0</v>
      </c>
      <c r="AV102" s="105">
        <f t="shared" si="62"/>
        <v>0</v>
      </c>
      <c r="AW102" s="105">
        <f t="shared" si="49"/>
        <v>0</v>
      </c>
      <c r="AX102" s="105">
        <v>0</v>
      </c>
      <c r="AY102" s="105">
        <f t="shared" si="78"/>
        <v>0</v>
      </c>
      <c r="AZ102" s="105">
        <f t="shared" si="76"/>
        <v>0</v>
      </c>
      <c r="BA102" s="105">
        <f t="shared" si="75"/>
        <v>0</v>
      </c>
      <c r="BB102" s="105"/>
      <c r="BC102" s="105"/>
      <c r="BD102" s="105"/>
      <c r="BE102" s="105"/>
      <c r="BF102" s="105"/>
      <c r="BG102" s="105">
        <f t="shared" si="63"/>
        <v>0</v>
      </c>
      <c r="BH102" s="108">
        <f t="shared" si="72"/>
        <v>0</v>
      </c>
      <c r="BI102" s="108">
        <f t="shared" si="67"/>
        <v>0</v>
      </c>
      <c r="BJ102" s="22">
        <f t="shared" si="68"/>
        <v>47568</v>
      </c>
      <c r="BK102" s="108">
        <f t="shared" si="50"/>
        <v>0</v>
      </c>
      <c r="BL102" s="2" t="e">
        <f>IF(AND(G57&gt;=$W$11,G57&lt;=$W$11+5),0,IF($C$9&gt;$AF$51,ROUND(BG56*IF(#REF!="",0,#REF!)/(DATEVALUE(CONCATENATE("01/01/",YEAR(AQ57)+1))-DATEVALUE(CONCATENATE("01/01/",YEAR(AQ57))))*(AQ57-AQ56),2),0))</f>
        <v>#REF!</v>
      </c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  <c r="AAB102" s="2"/>
      <c r="AAC102" s="2"/>
      <c r="AAD102" s="2"/>
      <c r="AAE102" s="2"/>
      <c r="AAF102" s="2"/>
      <c r="AAG102" s="2"/>
      <c r="AAH102" s="2"/>
      <c r="AAI102" s="2"/>
      <c r="AAJ102" s="2"/>
      <c r="AAK102" s="2"/>
      <c r="AAL102" s="2"/>
      <c r="AAM102" s="2"/>
      <c r="AAN102" s="2"/>
      <c r="AAO102" s="2"/>
      <c r="AAP102" s="2"/>
      <c r="AAQ102" s="2"/>
      <c r="AAR102" s="2"/>
      <c r="AAS102" s="2"/>
      <c r="AAT102" s="2"/>
      <c r="AAU102" s="2"/>
      <c r="AAV102" s="2"/>
      <c r="AAW102" s="2"/>
      <c r="AAX102" s="2"/>
      <c r="AAY102" s="2"/>
      <c r="AAZ102" s="2"/>
      <c r="ABA102" s="2"/>
      <c r="ABB102" s="2"/>
      <c r="ABC102" s="2"/>
      <c r="ABD102" s="2"/>
      <c r="ABE102" s="2"/>
      <c r="ABF102" s="2"/>
      <c r="ABG102" s="2"/>
      <c r="ABH102" s="2"/>
      <c r="ABI102" s="2"/>
      <c r="ABJ102" s="2"/>
      <c r="ABK102" s="2"/>
      <c r="ABL102" s="2"/>
      <c r="ABM102" s="2"/>
      <c r="ABN102" s="2"/>
      <c r="ABO102" s="2"/>
      <c r="ABP102" s="2"/>
      <c r="ABQ102" s="2"/>
      <c r="ABR102" s="2"/>
      <c r="ABS102" s="2"/>
      <c r="ABT102" s="2"/>
      <c r="ABU102" s="2"/>
      <c r="ABV102" s="2"/>
      <c r="ABW102" s="2"/>
      <c r="ABX102" s="2"/>
      <c r="ABY102" s="2"/>
      <c r="ABZ102" s="2"/>
      <c r="ACA102" s="2"/>
      <c r="ACB102" s="2"/>
      <c r="ACC102" s="2"/>
      <c r="ACD102" s="2"/>
      <c r="ACE102" s="2"/>
      <c r="ACF102" s="2"/>
      <c r="ACG102" s="2"/>
      <c r="ACH102" s="2"/>
      <c r="ACI102" s="2"/>
      <c r="ACJ102" s="2"/>
      <c r="ACK102" s="2"/>
      <c r="ACL102" s="2"/>
      <c r="ACM102" s="2"/>
      <c r="ACN102" s="2"/>
      <c r="ACO102" s="2"/>
      <c r="ACP102" s="2"/>
      <c r="ACQ102" s="2"/>
      <c r="ACR102" s="2"/>
      <c r="ACS102" s="2"/>
      <c r="ACT102" s="2"/>
      <c r="ACU102" s="2"/>
      <c r="ACV102" s="2"/>
      <c r="ACW102" s="2"/>
      <c r="ACX102" s="2"/>
      <c r="ACY102" s="2"/>
      <c r="ACZ102" s="2"/>
      <c r="ADA102" s="2"/>
      <c r="ADB102" s="2"/>
      <c r="ADC102" s="2"/>
      <c r="ADD102" s="2"/>
      <c r="ADE102" s="2"/>
      <c r="ADF102" s="2"/>
      <c r="ADG102" s="2"/>
      <c r="ADH102" s="2"/>
      <c r="ADI102" s="2"/>
      <c r="ADJ102" s="2"/>
      <c r="ADK102" s="2"/>
      <c r="ADL102" s="2"/>
      <c r="ADM102" s="2"/>
      <c r="ADN102" s="2"/>
      <c r="ADO102" s="2"/>
      <c r="ADP102" s="2"/>
      <c r="ADQ102" s="2"/>
      <c r="ADR102" s="2"/>
      <c r="ADS102" s="2"/>
      <c r="ADT102" s="2"/>
      <c r="ADU102" s="2"/>
      <c r="ADV102" s="2"/>
      <c r="ADW102" s="2"/>
      <c r="ADX102" s="2"/>
      <c r="ADY102" s="2"/>
      <c r="ADZ102" s="2"/>
      <c r="AEA102" s="2"/>
      <c r="AEB102" s="2"/>
      <c r="AEC102" s="2"/>
      <c r="AED102" s="2"/>
      <c r="AEE102" s="2"/>
      <c r="AEF102" s="2"/>
      <c r="AEG102" s="2"/>
      <c r="AEH102" s="2"/>
      <c r="AEI102" s="2"/>
      <c r="AEJ102" s="2"/>
      <c r="AEK102" s="2"/>
      <c r="AEL102" s="2"/>
      <c r="AEM102" s="2"/>
      <c r="AEN102" s="2"/>
      <c r="AEO102" s="2"/>
      <c r="AEP102" s="2"/>
      <c r="AEQ102" s="2"/>
      <c r="AER102" s="2"/>
      <c r="AES102" s="2"/>
      <c r="AET102" s="2"/>
      <c r="AEU102" s="2"/>
      <c r="AEV102" s="2"/>
      <c r="AEW102" s="2"/>
      <c r="AEX102" s="2"/>
      <c r="AEY102" s="2"/>
      <c r="AEZ102" s="2"/>
      <c r="AFA102" s="2"/>
      <c r="AFB102" s="2"/>
      <c r="AFC102" s="2"/>
      <c r="AFD102" s="2"/>
      <c r="AFE102" s="2"/>
      <c r="AFF102" s="2"/>
      <c r="AFG102" s="2"/>
      <c r="AFH102" s="2"/>
      <c r="AFI102" s="2"/>
      <c r="AFJ102" s="2"/>
      <c r="AFK102" s="2"/>
      <c r="AFL102" s="2"/>
      <c r="AFM102" s="2"/>
      <c r="AFN102" s="2"/>
      <c r="AFO102" s="2"/>
      <c r="AFP102" s="2"/>
      <c r="AFQ102" s="2"/>
      <c r="AFR102" s="2"/>
      <c r="AFS102" s="2"/>
      <c r="AFT102" s="2"/>
      <c r="AFU102" s="2"/>
      <c r="AFV102" s="2"/>
      <c r="AFW102" s="2"/>
      <c r="AFX102" s="2"/>
      <c r="AFY102" s="2"/>
      <c r="AFZ102" s="2"/>
      <c r="AGA102" s="2"/>
      <c r="AGB102" s="2"/>
      <c r="AGC102" s="2"/>
      <c r="AGD102" s="2"/>
      <c r="AGE102" s="2"/>
      <c r="AGF102" s="2"/>
      <c r="AGG102" s="2"/>
      <c r="AGH102" s="2"/>
      <c r="AGI102" s="2"/>
      <c r="AGJ102" s="2"/>
      <c r="AGK102" s="2"/>
      <c r="AGL102" s="2"/>
      <c r="AGM102" s="2"/>
      <c r="AGN102" s="2"/>
      <c r="AGO102" s="2"/>
      <c r="AGP102" s="2"/>
      <c r="AGQ102" s="2"/>
      <c r="AGR102" s="2"/>
      <c r="AGS102" s="2"/>
      <c r="AGT102" s="2"/>
      <c r="AGU102" s="2"/>
      <c r="AGV102" s="2"/>
      <c r="AGW102" s="2"/>
      <c r="AGX102" s="2"/>
      <c r="AGY102" s="2"/>
      <c r="AGZ102" s="2"/>
      <c r="AHA102" s="2"/>
      <c r="AHB102" s="2"/>
      <c r="AHC102" s="2"/>
      <c r="AHD102" s="2"/>
      <c r="AHE102" s="2"/>
      <c r="AHF102" s="2"/>
      <c r="AHG102" s="2"/>
      <c r="AHH102" s="2"/>
      <c r="AHI102" s="2"/>
      <c r="AHJ102" s="2"/>
      <c r="AHK102" s="2"/>
      <c r="AHL102" s="2"/>
      <c r="AHM102" s="2"/>
      <c r="AHN102" s="2"/>
      <c r="AHO102" s="2"/>
      <c r="AHP102" s="2"/>
      <c r="AHQ102" s="2"/>
      <c r="AHR102" s="2"/>
      <c r="AHS102" s="2"/>
      <c r="AHT102" s="2"/>
      <c r="AHU102" s="2"/>
      <c r="AHV102" s="2"/>
      <c r="AHW102" s="2"/>
      <c r="AHX102" s="2"/>
      <c r="AHY102" s="2"/>
      <c r="AHZ102" s="2"/>
      <c r="AIA102" s="2"/>
      <c r="AIB102" s="2"/>
      <c r="AIC102" s="2"/>
      <c r="AID102" s="2"/>
      <c r="AIE102" s="2"/>
      <c r="AIF102" s="2"/>
      <c r="AIG102" s="2"/>
      <c r="AIH102" s="2"/>
      <c r="AII102" s="2"/>
      <c r="AIJ102" s="2"/>
      <c r="AIK102" s="2"/>
      <c r="AIL102" s="2"/>
      <c r="AIM102" s="2"/>
      <c r="AIN102" s="2"/>
      <c r="AIO102" s="2"/>
      <c r="AIP102" s="2"/>
      <c r="AIQ102" s="2"/>
      <c r="AIR102" s="2"/>
      <c r="AIS102" s="2"/>
      <c r="AIT102" s="2"/>
      <c r="AIU102" s="2"/>
      <c r="AIV102" s="2"/>
      <c r="AIW102" s="2"/>
      <c r="AIX102" s="2"/>
      <c r="AIY102" s="2"/>
      <c r="AIZ102" s="2"/>
      <c r="AJA102" s="2"/>
      <c r="AJB102" s="2"/>
      <c r="AJC102" s="2"/>
      <c r="AJD102" s="2"/>
      <c r="AJE102" s="2"/>
      <c r="AJF102" s="2"/>
      <c r="AJG102" s="2"/>
      <c r="AJH102" s="2"/>
      <c r="AJI102" s="2"/>
      <c r="AJJ102" s="2"/>
      <c r="AJK102" s="2"/>
      <c r="AJL102" s="2"/>
      <c r="AJM102" s="2"/>
      <c r="AJN102" s="2"/>
      <c r="AJO102" s="2"/>
      <c r="AJP102" s="2"/>
      <c r="AJQ102" s="2"/>
      <c r="AJR102" s="2"/>
      <c r="AJS102" s="2"/>
      <c r="AJT102" s="2"/>
      <c r="AJU102" s="2"/>
      <c r="AJV102" s="2"/>
      <c r="AJW102" s="2"/>
      <c r="AJX102" s="2"/>
      <c r="AJY102" s="2"/>
      <c r="AJZ102" s="2"/>
      <c r="AKA102" s="2"/>
      <c r="AKB102" s="2"/>
      <c r="AKC102" s="2"/>
      <c r="AKD102" s="2"/>
      <c r="AKE102" s="2"/>
      <c r="AKF102" s="2"/>
      <c r="AKG102" s="2"/>
      <c r="AKH102" s="2"/>
      <c r="AKI102" s="2"/>
      <c r="AKJ102" s="2"/>
      <c r="AKK102" s="2"/>
      <c r="AKL102" s="2"/>
      <c r="AKM102" s="2"/>
      <c r="AKN102" s="2"/>
      <c r="AKO102" s="2"/>
      <c r="AKP102" s="2"/>
      <c r="AKQ102" s="2"/>
      <c r="AKR102" s="2"/>
      <c r="AKS102" s="2"/>
      <c r="AKT102" s="2"/>
      <c r="AKU102" s="2"/>
      <c r="AKV102" s="2"/>
      <c r="AKW102" s="2"/>
      <c r="AKX102" s="2"/>
      <c r="AKY102" s="2"/>
      <c r="AKZ102" s="2"/>
      <c r="ALA102" s="2"/>
      <c r="ALB102" s="2"/>
      <c r="ALC102" s="2"/>
      <c r="ALD102" s="2"/>
      <c r="ALE102" s="2"/>
      <c r="ALF102" s="2"/>
      <c r="ALG102" s="2"/>
      <c r="ALH102" s="2"/>
      <c r="ALI102" s="2"/>
      <c r="ALJ102" s="2"/>
      <c r="ALK102" s="2"/>
      <c r="ALL102" s="2"/>
      <c r="ALM102" s="2"/>
      <c r="ALN102" s="2"/>
      <c r="ALO102" s="2"/>
      <c r="ALP102" s="2"/>
      <c r="ALQ102" s="2"/>
      <c r="ALR102" s="2"/>
      <c r="ALS102" s="2"/>
      <c r="ALT102" s="2"/>
      <c r="ALU102" s="2"/>
      <c r="ALV102" s="2"/>
      <c r="ALW102" s="2"/>
      <c r="ALX102" s="2"/>
      <c r="ALY102" s="2"/>
      <c r="ALZ102" s="2"/>
      <c r="AMA102" s="2"/>
      <c r="AMB102" s="2"/>
      <c r="AMC102" s="2"/>
      <c r="AMD102" s="2"/>
      <c r="AME102" s="2"/>
      <c r="AMF102" s="2"/>
      <c r="AMG102" s="2"/>
      <c r="AMH102" s="2"/>
      <c r="AMI102" s="2"/>
      <c r="AMJ102" s="2"/>
      <c r="AMK102" s="2"/>
      <c r="AML102" s="2"/>
      <c r="AMM102" s="2"/>
      <c r="AMN102" s="2"/>
      <c r="AMO102" s="2"/>
      <c r="AMP102" s="2"/>
      <c r="AMQ102" s="2"/>
      <c r="AMR102" s="2"/>
      <c r="AMS102" s="2"/>
      <c r="AMT102" s="2"/>
      <c r="AMU102" s="2"/>
      <c r="AMV102" s="2"/>
      <c r="AMW102" s="2"/>
      <c r="AMX102" s="2"/>
      <c r="AMY102" s="2"/>
      <c r="AMZ102" s="2"/>
      <c r="ANA102" s="2"/>
      <c r="ANB102" s="2"/>
      <c r="ANC102" s="2"/>
      <c r="AND102" s="2"/>
      <c r="ANE102" s="2"/>
      <c r="ANF102" s="2"/>
      <c r="ANG102" s="2"/>
      <c r="ANH102" s="2"/>
      <c r="ANI102" s="2"/>
      <c r="ANJ102" s="2"/>
      <c r="ANK102" s="2"/>
      <c r="ANL102" s="2"/>
      <c r="ANM102" s="2"/>
      <c r="ANN102" s="2"/>
      <c r="ANO102" s="2"/>
      <c r="ANP102" s="2"/>
      <c r="ANQ102" s="2"/>
      <c r="ANR102" s="2"/>
      <c r="ANS102" s="2"/>
      <c r="ANT102" s="2"/>
      <c r="ANU102" s="2"/>
      <c r="ANV102" s="2"/>
      <c r="ANW102" s="2"/>
      <c r="ANX102" s="2"/>
      <c r="ANY102" s="2"/>
      <c r="ANZ102" s="2"/>
      <c r="AOA102" s="2"/>
      <c r="AOB102" s="2"/>
      <c r="AOC102" s="2"/>
      <c r="AOD102" s="2"/>
      <c r="AOE102" s="2"/>
      <c r="AOF102" s="2"/>
      <c r="AOG102" s="2"/>
      <c r="AOH102" s="2"/>
      <c r="AOI102" s="2"/>
      <c r="AOJ102" s="2"/>
      <c r="AOK102" s="2"/>
      <c r="AOL102" s="2"/>
      <c r="AOM102" s="2"/>
      <c r="AON102" s="2"/>
      <c r="AOO102" s="2"/>
      <c r="AOP102" s="2"/>
      <c r="AOQ102" s="2"/>
      <c r="AOR102" s="2"/>
      <c r="AOS102" s="2"/>
      <c r="AOT102" s="2"/>
      <c r="AOU102" s="2"/>
      <c r="AOV102" s="2"/>
      <c r="AOW102" s="2"/>
      <c r="AOX102" s="2"/>
      <c r="AOY102" s="2"/>
      <c r="AOZ102" s="2"/>
      <c r="APA102" s="2"/>
      <c r="APB102" s="2"/>
      <c r="APC102" s="2"/>
      <c r="APD102" s="2"/>
      <c r="APE102" s="2"/>
      <c r="APF102" s="2"/>
      <c r="APG102" s="2"/>
      <c r="APH102" s="2"/>
      <c r="API102" s="2"/>
      <c r="APJ102" s="2"/>
      <c r="APK102" s="2"/>
      <c r="APL102" s="2"/>
      <c r="APM102" s="2"/>
      <c r="APN102" s="2"/>
      <c r="APO102" s="2"/>
      <c r="APP102" s="2"/>
      <c r="APQ102" s="2"/>
      <c r="APR102" s="2"/>
      <c r="APS102" s="2"/>
      <c r="APT102" s="2"/>
      <c r="APU102" s="2"/>
      <c r="APV102" s="2"/>
      <c r="APW102" s="2"/>
      <c r="APX102" s="2"/>
      <c r="APY102" s="2"/>
      <c r="APZ102" s="2"/>
      <c r="AQA102" s="2"/>
      <c r="AQB102" s="2"/>
      <c r="AQC102" s="2"/>
      <c r="AQD102" s="2"/>
      <c r="AQE102" s="2"/>
      <c r="AQF102" s="2"/>
      <c r="AQG102" s="2"/>
      <c r="AQH102" s="2"/>
      <c r="AQI102" s="2"/>
      <c r="AQJ102" s="2"/>
      <c r="AQK102" s="2"/>
      <c r="AQL102" s="2"/>
      <c r="AQM102" s="2"/>
      <c r="AQN102" s="2"/>
      <c r="AQO102" s="2"/>
      <c r="AQP102" s="2"/>
      <c r="AQQ102" s="2"/>
      <c r="AQR102" s="2"/>
      <c r="AQS102" s="2"/>
      <c r="AQT102" s="2"/>
      <c r="AQU102" s="2"/>
      <c r="AQV102" s="2"/>
      <c r="AQW102" s="2"/>
      <c r="AQX102" s="2"/>
      <c r="AQY102" s="2"/>
      <c r="AQZ102" s="2"/>
      <c r="ARA102" s="2"/>
      <c r="ARB102" s="2"/>
      <c r="ARC102" s="2"/>
      <c r="ARD102" s="2"/>
      <c r="ARE102" s="2"/>
      <c r="ARF102" s="2"/>
      <c r="ARG102" s="2"/>
      <c r="ARH102" s="2"/>
      <c r="ARI102" s="2"/>
      <c r="ARJ102" s="2"/>
      <c r="ARK102" s="2"/>
      <c r="ARL102" s="2"/>
      <c r="ARM102" s="2"/>
      <c r="ARN102" s="2"/>
      <c r="ARO102" s="2"/>
      <c r="ARP102" s="2"/>
      <c r="ARQ102" s="2"/>
      <c r="ARR102" s="2"/>
      <c r="ARS102" s="2"/>
      <c r="ART102" s="2"/>
      <c r="ARU102" s="2"/>
      <c r="ARV102" s="2"/>
      <c r="ARW102" s="2"/>
      <c r="ARX102" s="2"/>
      <c r="ARY102" s="2"/>
      <c r="ARZ102" s="2"/>
      <c r="ASA102" s="2"/>
      <c r="ASB102" s="2"/>
      <c r="ASC102" s="2"/>
      <c r="ASD102" s="2"/>
      <c r="ASE102" s="2"/>
      <c r="ASF102" s="2"/>
      <c r="ASG102" s="2"/>
      <c r="ASH102" s="2"/>
      <c r="ASI102" s="2"/>
      <c r="ASJ102" s="2"/>
      <c r="ASK102" s="2"/>
      <c r="ASL102" s="2"/>
      <c r="ASM102" s="2"/>
      <c r="ASN102" s="2"/>
      <c r="ASO102" s="2"/>
      <c r="ASP102" s="2"/>
      <c r="ASQ102" s="2"/>
      <c r="ASR102" s="2"/>
      <c r="ASS102" s="2"/>
      <c r="AST102" s="2"/>
      <c r="ASU102" s="2"/>
      <c r="ASV102" s="2"/>
      <c r="ASW102" s="2"/>
      <c r="ASX102" s="2"/>
      <c r="ASY102" s="2"/>
      <c r="ASZ102" s="2"/>
      <c r="ATA102" s="2"/>
      <c r="ATB102" s="2"/>
      <c r="ATC102" s="2"/>
      <c r="ATD102" s="2"/>
      <c r="ATE102" s="2"/>
      <c r="ATF102" s="2"/>
      <c r="ATG102" s="2"/>
      <c r="ATH102" s="2"/>
      <c r="ATI102" s="2"/>
      <c r="ATJ102" s="2"/>
      <c r="ATK102" s="2"/>
      <c r="ATL102" s="2"/>
      <c r="ATM102" s="2"/>
      <c r="ATN102" s="2"/>
      <c r="ATO102" s="2"/>
      <c r="ATP102" s="2"/>
      <c r="ATQ102" s="2"/>
      <c r="ATR102" s="2"/>
      <c r="ATS102" s="2"/>
      <c r="ATT102" s="2"/>
      <c r="ATU102" s="2"/>
    </row>
    <row r="103" spans="1:1217" hidden="1" x14ac:dyDescent="0.3">
      <c r="A103" s="178"/>
      <c r="B103" s="178"/>
      <c r="C103" s="184"/>
      <c r="D103" s="184"/>
      <c r="E103" s="184"/>
      <c r="F103" s="184"/>
      <c r="G103" s="114">
        <f t="shared" si="69"/>
        <v>95</v>
      </c>
      <c r="H103" s="111">
        <f t="shared" si="79"/>
        <v>47599</v>
      </c>
      <c r="I103" s="176">
        <f t="shared" si="74"/>
        <v>0.20899999999999999</v>
      </c>
      <c r="J103" s="24">
        <f t="shared" si="52"/>
        <v>0</v>
      </c>
      <c r="K103" s="24">
        <f t="shared" si="80"/>
        <v>0</v>
      </c>
      <c r="L103" s="24">
        <f t="shared" si="81"/>
        <v>0</v>
      </c>
      <c r="M103" s="24">
        <f t="shared" si="82"/>
        <v>0</v>
      </c>
      <c r="N103" s="24">
        <f t="shared" si="47"/>
        <v>0</v>
      </c>
      <c r="O103" s="24">
        <v>0</v>
      </c>
      <c r="P103" s="24">
        <f t="shared" si="77"/>
        <v>0</v>
      </c>
      <c r="Q103" s="24">
        <f t="shared" si="48"/>
        <v>0</v>
      </c>
      <c r="R103" s="24">
        <f t="shared" si="54"/>
        <v>0</v>
      </c>
      <c r="S103" s="24">
        <f t="shared" si="66"/>
        <v>0</v>
      </c>
      <c r="T103" s="24"/>
      <c r="U103" s="36">
        <f t="shared" si="70"/>
        <v>0</v>
      </c>
      <c r="V103" s="36">
        <f t="shared" si="56"/>
        <v>0</v>
      </c>
      <c r="W103" s="2" t="e">
        <f>IF(AND(G68&gt;=$W$11,G68&lt;=$W$11+5),0,IF($C$9&gt;$AF$51,ROUND(S67*#REF!/(DATEVALUE(CONCATENATE("01/01/",YEAR(H68)+1))-DATEVALUE(CONCATENATE("01/01/",YEAR(H68))))*(H68-H67),2),0))</f>
        <v>#REF!</v>
      </c>
      <c r="X103" s="34">
        <f t="shared" si="41"/>
        <v>8289</v>
      </c>
      <c r="Y103" s="57">
        <f t="shared" si="39"/>
        <v>66610</v>
      </c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2" t="e">
        <f>IF(AND(Y60&gt;=$W$11,Y60&lt;=$W$11+5),0,IF($C$9&gt;$AF$51,ROUND(AI63*#REF!/(DATEVALUE(CONCATENATE("01/01/",YEAR(Z60)+1))-DATEVALUE(CONCATENATE("01/01/",YEAR(Z60))))*(Z60-Z59),2),0))</f>
        <v>#REF!</v>
      </c>
      <c r="AM103" s="34">
        <f t="shared" si="43"/>
        <v>8289</v>
      </c>
      <c r="AN103" s="57">
        <f t="shared" si="42"/>
        <v>65150</v>
      </c>
      <c r="AO103" s="130">
        <f t="shared" si="57"/>
        <v>0</v>
      </c>
      <c r="AP103" s="109">
        <f t="shared" si="71"/>
        <v>95</v>
      </c>
      <c r="AQ103" s="110">
        <f t="shared" si="83"/>
        <v>47599</v>
      </c>
      <c r="AR103" s="177">
        <f t="shared" si="44"/>
        <v>0.20899999999999999</v>
      </c>
      <c r="AS103" s="105">
        <f t="shared" si="59"/>
        <v>0</v>
      </c>
      <c r="AT103" s="105">
        <f t="shared" si="84"/>
        <v>0</v>
      </c>
      <c r="AU103" s="105">
        <f t="shared" si="85"/>
        <v>0</v>
      </c>
      <c r="AV103" s="105">
        <f t="shared" si="62"/>
        <v>0</v>
      </c>
      <c r="AW103" s="105">
        <f t="shared" si="49"/>
        <v>0</v>
      </c>
      <c r="AX103" s="105">
        <v>0</v>
      </c>
      <c r="AY103" s="105">
        <f t="shared" si="78"/>
        <v>0</v>
      </c>
      <c r="AZ103" s="105">
        <f t="shared" si="76"/>
        <v>0</v>
      </c>
      <c r="BA103" s="105">
        <f t="shared" si="75"/>
        <v>0</v>
      </c>
      <c r="BB103" s="105"/>
      <c r="BC103" s="105"/>
      <c r="BD103" s="105"/>
      <c r="BE103" s="105"/>
      <c r="BF103" s="105"/>
      <c r="BG103" s="105">
        <f t="shared" si="63"/>
        <v>0</v>
      </c>
      <c r="BH103" s="108">
        <f t="shared" si="72"/>
        <v>0</v>
      </c>
      <c r="BI103" s="108">
        <f t="shared" si="67"/>
        <v>0</v>
      </c>
      <c r="BJ103" s="22">
        <f t="shared" si="68"/>
        <v>47599</v>
      </c>
      <c r="BK103" s="108">
        <f t="shared" si="50"/>
        <v>0</v>
      </c>
      <c r="BL103" s="2" t="e">
        <f>IF(AND(G58&gt;=$W$11,G58&lt;=$W$11+5),0,IF($C$9&gt;$AF$51,ROUND(BG57*IF(#REF!="",0,#REF!)/(DATEVALUE(CONCATENATE("01/01/",YEAR(AQ58)+1))-DATEVALUE(CONCATENATE("01/01/",YEAR(AQ58))))*(AQ58-AQ57),2),0))</f>
        <v>#REF!</v>
      </c>
    </row>
    <row r="104" spans="1:1217" hidden="1" x14ac:dyDescent="0.3">
      <c r="A104" s="178"/>
      <c r="B104" s="178"/>
      <c r="C104" s="184"/>
      <c r="D104" s="184"/>
      <c r="E104" s="184"/>
      <c r="F104" s="184"/>
      <c r="G104" s="114">
        <f t="shared" si="69"/>
        <v>96</v>
      </c>
      <c r="H104" s="111">
        <f t="shared" si="79"/>
        <v>47629</v>
      </c>
      <c r="I104" s="176">
        <f t="shared" si="74"/>
        <v>0.20899999999999999</v>
      </c>
      <c r="J104" s="24">
        <f t="shared" si="52"/>
        <v>0</v>
      </c>
      <c r="K104" s="24">
        <f t="shared" si="80"/>
        <v>0</v>
      </c>
      <c r="L104" s="24">
        <f t="shared" si="81"/>
        <v>0</v>
      </c>
      <c r="M104" s="24">
        <f t="shared" si="82"/>
        <v>0</v>
      </c>
      <c r="N104" s="24">
        <f t="shared" si="47"/>
        <v>0</v>
      </c>
      <c r="O104" s="24">
        <v>0</v>
      </c>
      <c r="P104" s="24">
        <f t="shared" si="77"/>
        <v>0</v>
      </c>
      <c r="Q104" s="24">
        <f t="shared" si="48"/>
        <v>0</v>
      </c>
      <c r="R104" s="24">
        <f t="shared" si="54"/>
        <v>0</v>
      </c>
      <c r="S104" s="24">
        <f t="shared" si="66"/>
        <v>0</v>
      </c>
      <c r="T104" s="24"/>
      <c r="U104" s="36">
        <f t="shared" si="70"/>
        <v>0</v>
      </c>
      <c r="V104" s="36">
        <f t="shared" si="56"/>
        <v>0</v>
      </c>
      <c r="W104" s="2" t="e">
        <f>IF(AND(G69&gt;=$W$11,G69&lt;=$W$11+5),0,IF($C$9&gt;$AF$51,ROUND(S68*#REF!/(DATEVALUE(CONCATENATE("01/01/",YEAR(H69)+1))-DATEVALUE(CONCATENATE("01/01/",YEAR(H69))))*(H69-H68),2),0))</f>
        <v>#REF!</v>
      </c>
      <c r="X104" s="34">
        <f t="shared" si="41"/>
        <v>0</v>
      </c>
      <c r="Y104" s="57">
        <f t="shared" si="39"/>
        <v>66975</v>
      </c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2" t="e">
        <f>IF(AND(Y61&gt;=$W$11,Y61&lt;=$W$11+5),0,IF($C$9&gt;$AF$51,ROUND(AI64*#REF!/(DATEVALUE(CONCATENATE("01/01/",YEAR(Z61)+1))-DATEVALUE(CONCATENATE("01/01/",YEAR(Z61))))*(Z61-Z60),2),0))</f>
        <v>#REF!</v>
      </c>
      <c r="AM104" s="34">
        <f t="shared" si="43"/>
        <v>8289</v>
      </c>
      <c r="AN104" s="57">
        <f t="shared" si="42"/>
        <v>65515</v>
      </c>
      <c r="AO104" s="130">
        <f t="shared" si="57"/>
        <v>0</v>
      </c>
      <c r="AP104" s="109">
        <f t="shared" si="71"/>
        <v>96</v>
      </c>
      <c r="AQ104" s="110">
        <f t="shared" si="83"/>
        <v>47629</v>
      </c>
      <c r="AR104" s="177">
        <f t="shared" si="44"/>
        <v>0.20899999999999999</v>
      </c>
      <c r="AS104" s="105">
        <f t="shared" si="59"/>
        <v>0</v>
      </c>
      <c r="AT104" s="105">
        <f t="shared" si="84"/>
        <v>0</v>
      </c>
      <c r="AU104" s="105">
        <f t="shared" si="85"/>
        <v>0</v>
      </c>
      <c r="AV104" s="105">
        <f t="shared" si="62"/>
        <v>0</v>
      </c>
      <c r="AW104" s="105">
        <f t="shared" si="49"/>
        <v>0</v>
      </c>
      <c r="AX104" s="105">
        <v>0</v>
      </c>
      <c r="AY104" s="105">
        <f t="shared" si="78"/>
        <v>0</v>
      </c>
      <c r="AZ104" s="105">
        <f t="shared" si="76"/>
        <v>0</v>
      </c>
      <c r="BA104" s="105">
        <f t="shared" si="75"/>
        <v>0</v>
      </c>
      <c r="BB104" s="105"/>
      <c r="BC104" s="105"/>
      <c r="BD104" s="105"/>
      <c r="BE104" s="105"/>
      <c r="BF104" s="105"/>
      <c r="BG104" s="105">
        <f t="shared" si="63"/>
        <v>0</v>
      </c>
      <c r="BH104" s="108">
        <f t="shared" si="72"/>
        <v>0</v>
      </c>
      <c r="BI104" s="108">
        <f t="shared" si="67"/>
        <v>0</v>
      </c>
      <c r="BJ104" s="22">
        <f t="shared" si="68"/>
        <v>47629</v>
      </c>
      <c r="BK104" s="108">
        <f t="shared" si="50"/>
        <v>0</v>
      </c>
      <c r="BL104" s="2" t="e">
        <f>IF(AND(G59&gt;=$W$11,G59&lt;=$W$11+5),0,IF($C$9&gt;$AF$51,ROUND(BG58*IF(#REF!="",0,#REF!)/(DATEVALUE(CONCATENATE("01/01/",YEAR(AQ59)+1))-DATEVALUE(CONCATENATE("01/01/",YEAR(AQ59))))*(AQ59-AQ58),2),0))</f>
        <v>#REF!</v>
      </c>
    </row>
    <row r="105" spans="1:1217" hidden="1" x14ac:dyDescent="0.3">
      <c r="A105" s="178"/>
      <c r="B105" s="178"/>
      <c r="C105" s="184"/>
      <c r="D105" s="184"/>
      <c r="E105" s="184"/>
      <c r="F105" s="184"/>
      <c r="G105" s="114">
        <f t="shared" si="69"/>
        <v>97</v>
      </c>
      <c r="H105" s="111">
        <f t="shared" si="79"/>
        <v>47660</v>
      </c>
      <c r="I105" s="176">
        <f t="shared" si="74"/>
        <v>0.20899999999999999</v>
      </c>
      <c r="J105" s="24">
        <f t="shared" si="52"/>
        <v>0</v>
      </c>
      <c r="K105" s="24">
        <f t="shared" si="80"/>
        <v>0</v>
      </c>
      <c r="L105" s="24">
        <f t="shared" si="81"/>
        <v>0</v>
      </c>
      <c r="M105" s="24">
        <f t="shared" si="82"/>
        <v>0</v>
      </c>
      <c r="N105" s="24">
        <f t="shared" si="47"/>
        <v>0</v>
      </c>
      <c r="O105" s="24">
        <v>0</v>
      </c>
      <c r="P105" s="24">
        <f t="shared" si="77"/>
        <v>0</v>
      </c>
      <c r="Q105" s="24">
        <f t="shared" si="48"/>
        <v>0</v>
      </c>
      <c r="R105" s="24">
        <f t="shared" si="54"/>
        <v>0</v>
      </c>
      <c r="S105" s="24">
        <f t="shared" si="66"/>
        <v>0</v>
      </c>
      <c r="T105" s="24"/>
      <c r="U105" s="36">
        <f t="shared" si="70"/>
        <v>0</v>
      </c>
      <c r="V105" s="36">
        <f t="shared" si="56"/>
        <v>0</v>
      </c>
      <c r="W105" s="2" t="e">
        <f>IF(AND(G70&gt;=$W$11,G70&lt;=$W$11+5),0,IF($C$9&gt;$AF$51,ROUND(S69*#REF!/(DATEVALUE(CONCATENATE("01/01/",YEAR(H70)+1))-DATEVALUE(CONCATENATE("01/01/",YEAR(H70))))*(H70-H69),2),0))</f>
        <v>#REF!</v>
      </c>
      <c r="X105" s="34">
        <f t="shared" si="41"/>
        <v>0</v>
      </c>
      <c r="Y105" s="57">
        <f t="shared" si="39"/>
        <v>67340</v>
      </c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2" t="e">
        <f>IF(AND(Y62&gt;=$W$11,Y62&lt;=$W$11+5),0,IF($C$9&gt;$AF$51,ROUND(AI65*#REF!/(DATEVALUE(CONCATENATE("01/01/",YEAR(Z62)+1))-DATEVALUE(CONCATENATE("01/01/",YEAR(Z62))))*(Z62-Z61),2),0))</f>
        <v>#REF!</v>
      </c>
      <c r="AM105" s="34">
        <f t="shared" si="43"/>
        <v>8289</v>
      </c>
      <c r="AN105" s="57">
        <f t="shared" si="42"/>
        <v>65880</v>
      </c>
      <c r="AO105" s="130">
        <f t="shared" si="57"/>
        <v>0</v>
      </c>
      <c r="AP105" s="109">
        <f t="shared" si="71"/>
        <v>97</v>
      </c>
      <c r="AQ105" s="110">
        <f t="shared" si="83"/>
        <v>47660</v>
      </c>
      <c r="AR105" s="177">
        <f t="shared" si="44"/>
        <v>0.20899999999999999</v>
      </c>
      <c r="AS105" s="105">
        <f t="shared" si="59"/>
        <v>0</v>
      </c>
      <c r="AT105" s="105">
        <f t="shared" si="84"/>
        <v>0</v>
      </c>
      <c r="AU105" s="105">
        <f t="shared" si="85"/>
        <v>0</v>
      </c>
      <c r="AV105" s="105">
        <f t="shared" si="62"/>
        <v>0</v>
      </c>
      <c r="AW105" s="105">
        <f t="shared" si="49"/>
        <v>0</v>
      </c>
      <c r="AX105" s="105">
        <v>0</v>
      </c>
      <c r="AY105" s="105">
        <f t="shared" si="78"/>
        <v>0</v>
      </c>
      <c r="AZ105" s="105">
        <f t="shared" si="76"/>
        <v>0</v>
      </c>
      <c r="BA105" s="105">
        <f t="shared" si="75"/>
        <v>0</v>
      </c>
      <c r="BB105" s="105"/>
      <c r="BC105" s="105"/>
      <c r="BD105" s="105"/>
      <c r="BE105" s="105"/>
      <c r="BF105" s="105"/>
      <c r="BG105" s="105">
        <f t="shared" si="63"/>
        <v>0</v>
      </c>
      <c r="BH105" s="108">
        <f t="shared" si="72"/>
        <v>0</v>
      </c>
      <c r="BI105" s="108">
        <f t="shared" si="67"/>
        <v>0</v>
      </c>
      <c r="BJ105" s="22">
        <f t="shared" si="68"/>
        <v>47660</v>
      </c>
      <c r="BK105" s="108">
        <f t="shared" si="50"/>
        <v>0</v>
      </c>
      <c r="BL105" s="2" t="e">
        <f>IF(AND(G60&gt;=$W$11,G60&lt;=$W$11+5),0,IF($C$9&gt;$AF$51,ROUND(BG59*IF(#REF!="",0,#REF!)/(DATEVALUE(CONCATENATE("01/01/",YEAR(AQ60)+1))-DATEVALUE(CONCATENATE("01/01/",YEAR(AQ60))))*(AQ60-AQ59),2),0))</f>
        <v>#REF!</v>
      </c>
    </row>
    <row r="106" spans="1:1217" hidden="1" x14ac:dyDescent="0.3">
      <c r="A106" s="178"/>
      <c r="B106" s="178"/>
      <c r="C106" s="184"/>
      <c r="D106" s="184"/>
      <c r="E106" s="184"/>
      <c r="F106" s="184"/>
      <c r="G106" s="114">
        <f t="shared" si="69"/>
        <v>98</v>
      </c>
      <c r="H106" s="111">
        <f t="shared" si="79"/>
        <v>47690</v>
      </c>
      <c r="I106" s="176">
        <f t="shared" si="74"/>
        <v>0.20899999999999999</v>
      </c>
      <c r="J106" s="24">
        <f t="shared" si="52"/>
        <v>0</v>
      </c>
      <c r="K106" s="24">
        <f t="shared" si="80"/>
        <v>0</v>
      </c>
      <c r="L106" s="24">
        <f t="shared" si="81"/>
        <v>0</v>
      </c>
      <c r="M106" s="24">
        <f t="shared" si="82"/>
        <v>0</v>
      </c>
      <c r="N106" s="24">
        <f t="shared" si="47"/>
        <v>0</v>
      </c>
      <c r="O106" s="24">
        <v>0</v>
      </c>
      <c r="P106" s="24">
        <f t="shared" si="77"/>
        <v>0</v>
      </c>
      <c r="Q106" s="24">
        <f t="shared" si="48"/>
        <v>0</v>
      </c>
      <c r="R106" s="24">
        <f t="shared" si="54"/>
        <v>0</v>
      </c>
      <c r="S106" s="24">
        <f t="shared" si="66"/>
        <v>0</v>
      </c>
      <c r="T106" s="24"/>
      <c r="U106" s="36">
        <f t="shared" si="70"/>
        <v>0</v>
      </c>
      <c r="V106" s="36">
        <f t="shared" si="56"/>
        <v>0</v>
      </c>
      <c r="W106" s="2" t="e">
        <f>IF(AND(G71&gt;=$W$11,G71&lt;=$W$11+5),0,IF($C$9&gt;$AF$51,ROUND(S70*#REF!/(DATEVALUE(CONCATENATE("01/01/",YEAR(H71)+1))-DATEVALUE(CONCATENATE("01/01/",YEAR(H71))))*(H71-H70),2),0))</f>
        <v>#REF!</v>
      </c>
      <c r="X106" s="34">
        <f t="shared" si="41"/>
        <v>0</v>
      </c>
      <c r="Y106" s="57">
        <f t="shared" si="39"/>
        <v>67705</v>
      </c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2" t="e">
        <f>IF(AND(Y63&gt;=$W$11,Y63&lt;=$W$11+5),0,IF($C$9&gt;$AF$51,ROUND(AI66*#REF!/(DATEVALUE(CONCATENATE("01/01/",YEAR(Z63)+1))-DATEVALUE(CONCATENATE("01/01/",YEAR(Z63))))*(Z63-Z62),2),0))</f>
        <v>#REF!</v>
      </c>
      <c r="AM106" s="34">
        <f t="shared" si="43"/>
        <v>8289</v>
      </c>
      <c r="AN106" s="57">
        <f t="shared" si="42"/>
        <v>66245</v>
      </c>
      <c r="AO106" s="130">
        <f t="shared" si="57"/>
        <v>0</v>
      </c>
      <c r="AP106" s="109">
        <f t="shared" si="71"/>
        <v>98</v>
      </c>
      <c r="AQ106" s="110">
        <f t="shared" si="83"/>
        <v>47690</v>
      </c>
      <c r="AR106" s="177">
        <f t="shared" si="44"/>
        <v>0.20899999999999999</v>
      </c>
      <c r="AS106" s="105">
        <f t="shared" si="59"/>
        <v>0</v>
      </c>
      <c r="AT106" s="105">
        <f t="shared" si="84"/>
        <v>0</v>
      </c>
      <c r="AU106" s="105">
        <f t="shared" si="85"/>
        <v>0</v>
      </c>
      <c r="AV106" s="105">
        <f t="shared" si="62"/>
        <v>0</v>
      </c>
      <c r="AW106" s="105">
        <f t="shared" si="49"/>
        <v>0</v>
      </c>
      <c r="AX106" s="105">
        <v>0</v>
      </c>
      <c r="AY106" s="105">
        <f t="shared" si="78"/>
        <v>0</v>
      </c>
      <c r="AZ106" s="105">
        <f t="shared" si="76"/>
        <v>0</v>
      </c>
      <c r="BA106" s="105">
        <f t="shared" si="75"/>
        <v>0</v>
      </c>
      <c r="BB106" s="105"/>
      <c r="BC106" s="105"/>
      <c r="BD106" s="105"/>
      <c r="BE106" s="105"/>
      <c r="BF106" s="105"/>
      <c r="BG106" s="105">
        <f t="shared" si="63"/>
        <v>0</v>
      </c>
      <c r="BH106" s="108">
        <f t="shared" si="72"/>
        <v>0</v>
      </c>
      <c r="BI106" s="108">
        <f t="shared" si="67"/>
        <v>0</v>
      </c>
      <c r="BJ106" s="22">
        <f t="shared" si="68"/>
        <v>47690</v>
      </c>
      <c r="BK106" s="108">
        <f t="shared" si="50"/>
        <v>0</v>
      </c>
      <c r="BL106" s="2" t="e">
        <f>IF(AND(G61&gt;=$W$11,G61&lt;=$W$11+5),0,IF($C$9&gt;$AF$51,ROUND(BG60*IF(#REF!="",0,#REF!)/(DATEVALUE(CONCATENATE("01/01/",YEAR(AQ61)+1))-DATEVALUE(CONCATENATE("01/01/",YEAR(AQ61))))*(AQ61-AQ60),2),0))</f>
        <v>#REF!</v>
      </c>
    </row>
    <row r="107" spans="1:1217" hidden="1" x14ac:dyDescent="0.3">
      <c r="A107" s="178"/>
      <c r="B107" s="178"/>
      <c r="C107" s="184"/>
      <c r="D107" s="184"/>
      <c r="E107" s="184"/>
      <c r="F107" s="184"/>
      <c r="G107" s="114">
        <f t="shared" si="69"/>
        <v>99</v>
      </c>
      <c r="H107" s="111">
        <f t="shared" si="79"/>
        <v>47721</v>
      </c>
      <c r="I107" s="176">
        <f t="shared" si="74"/>
        <v>0.20899999999999999</v>
      </c>
      <c r="J107" s="24">
        <f t="shared" si="52"/>
        <v>0</v>
      </c>
      <c r="K107" s="24">
        <f t="shared" si="80"/>
        <v>0</v>
      </c>
      <c r="L107" s="24">
        <f t="shared" si="81"/>
        <v>0</v>
      </c>
      <c r="M107" s="24">
        <f t="shared" si="82"/>
        <v>0</v>
      </c>
      <c r="N107" s="24">
        <f t="shared" si="47"/>
        <v>0</v>
      </c>
      <c r="O107" s="24">
        <v>0</v>
      </c>
      <c r="P107" s="24">
        <f t="shared" si="77"/>
        <v>0</v>
      </c>
      <c r="Q107" s="24">
        <f t="shared" si="48"/>
        <v>0</v>
      </c>
      <c r="R107" s="24">
        <f t="shared" si="54"/>
        <v>0</v>
      </c>
      <c r="S107" s="24">
        <f t="shared" si="66"/>
        <v>0</v>
      </c>
      <c r="T107" s="24"/>
      <c r="U107" s="36">
        <f t="shared" si="70"/>
        <v>0</v>
      </c>
      <c r="V107" s="36">
        <f t="shared" si="56"/>
        <v>0</v>
      </c>
      <c r="W107" s="2" t="e">
        <f>IF(AND(G72&gt;=$W$11,G72&lt;=$W$11+5),0,IF($C$9&gt;$AF$51,ROUND(S71*#REF!/(DATEVALUE(CONCATENATE("01/01/",YEAR(H72)+1))-DATEVALUE(CONCATENATE("01/01/",YEAR(H72))))*(H72-H71),2),0))</f>
        <v>#REF!</v>
      </c>
      <c r="X107" s="34">
        <f t="shared" si="41"/>
        <v>0</v>
      </c>
      <c r="Y107" s="57">
        <f t="shared" si="39"/>
        <v>68070</v>
      </c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2" t="e">
        <f>IF(AND(Y64&gt;=$W$11,Y64&lt;=$W$11+5),0,IF($C$9&gt;$AF$51,ROUND(AI67*#REF!/(DATEVALUE(CONCATENATE("01/01/",YEAR(Z64)+1))-DATEVALUE(CONCATENATE("01/01/",YEAR(Z64))))*(Z64-Z63),2),0))</f>
        <v>#REF!</v>
      </c>
      <c r="AM107" s="34">
        <f t="shared" si="43"/>
        <v>8289</v>
      </c>
      <c r="AN107" s="57">
        <f t="shared" si="42"/>
        <v>66610</v>
      </c>
      <c r="AO107" s="130">
        <f t="shared" si="57"/>
        <v>0</v>
      </c>
      <c r="AP107" s="109">
        <f t="shared" si="71"/>
        <v>99</v>
      </c>
      <c r="AQ107" s="110">
        <f t="shared" si="83"/>
        <v>47721</v>
      </c>
      <c r="AR107" s="177">
        <f t="shared" si="44"/>
        <v>0.20899999999999999</v>
      </c>
      <c r="AS107" s="105">
        <f t="shared" si="59"/>
        <v>0</v>
      </c>
      <c r="AT107" s="105">
        <f t="shared" si="84"/>
        <v>0</v>
      </c>
      <c r="AU107" s="105">
        <f t="shared" si="85"/>
        <v>0</v>
      </c>
      <c r="AV107" s="105">
        <f t="shared" si="62"/>
        <v>0</v>
      </c>
      <c r="AW107" s="105">
        <f t="shared" si="49"/>
        <v>0</v>
      </c>
      <c r="AX107" s="105">
        <v>0</v>
      </c>
      <c r="AY107" s="105">
        <f t="shared" si="78"/>
        <v>0</v>
      </c>
      <c r="AZ107" s="105">
        <f t="shared" si="76"/>
        <v>0</v>
      </c>
      <c r="BA107" s="105">
        <f t="shared" si="75"/>
        <v>0</v>
      </c>
      <c r="BB107" s="105"/>
      <c r="BC107" s="105"/>
      <c r="BD107" s="105"/>
      <c r="BE107" s="105"/>
      <c r="BF107" s="105"/>
      <c r="BG107" s="105">
        <f t="shared" si="63"/>
        <v>0</v>
      </c>
      <c r="BH107" s="108">
        <f t="shared" si="72"/>
        <v>0</v>
      </c>
      <c r="BI107" s="108">
        <f t="shared" si="67"/>
        <v>0</v>
      </c>
      <c r="BJ107" s="22">
        <f t="shared" si="68"/>
        <v>47721</v>
      </c>
      <c r="BK107" s="108">
        <f t="shared" si="50"/>
        <v>0</v>
      </c>
      <c r="BL107" s="2" t="e">
        <f>IF(AND(G62&gt;=$W$11,G62&lt;=$W$11+5),0,IF($C$9&gt;$AF$51,ROUND(BG61*IF(#REF!="",0,#REF!)/(DATEVALUE(CONCATENATE("01/01/",YEAR(AQ62)+1))-DATEVALUE(CONCATENATE("01/01/",YEAR(AQ62))))*(AQ62-AQ61),2),0))</f>
        <v>#REF!</v>
      </c>
    </row>
    <row r="108" spans="1:1217" hidden="1" x14ac:dyDescent="0.3">
      <c r="A108" s="178"/>
      <c r="B108" s="178"/>
      <c r="C108" s="184"/>
      <c r="D108" s="184"/>
      <c r="E108" s="184"/>
      <c r="F108" s="184"/>
      <c r="G108" s="114">
        <f t="shared" si="69"/>
        <v>100</v>
      </c>
      <c r="H108" s="111">
        <f t="shared" si="79"/>
        <v>47752</v>
      </c>
      <c r="I108" s="176">
        <f t="shared" si="74"/>
        <v>0.20899999999999999</v>
      </c>
      <c r="J108" s="24">
        <f t="shared" si="52"/>
        <v>0</v>
      </c>
      <c r="K108" s="24">
        <f t="shared" si="80"/>
        <v>0</v>
      </c>
      <c r="L108" s="24">
        <f t="shared" si="81"/>
        <v>0</v>
      </c>
      <c r="M108" s="24">
        <f t="shared" si="82"/>
        <v>0</v>
      </c>
      <c r="N108" s="24">
        <f t="shared" si="47"/>
        <v>0</v>
      </c>
      <c r="O108" s="24">
        <v>0</v>
      </c>
      <c r="P108" s="24">
        <f t="shared" si="77"/>
        <v>0</v>
      </c>
      <c r="Q108" s="24">
        <f t="shared" si="48"/>
        <v>0</v>
      </c>
      <c r="R108" s="24">
        <f t="shared" si="54"/>
        <v>0</v>
      </c>
      <c r="S108" s="24">
        <f t="shared" si="66"/>
        <v>0</v>
      </c>
      <c r="T108" s="24"/>
      <c r="U108" s="36">
        <f t="shared" si="70"/>
        <v>0</v>
      </c>
      <c r="V108" s="36">
        <f>IF(ISERR(CEILING(FLOOR(NPER($C$11/12,-$AD$55,S107),0.1),1))=TRUE,0,CEILING(FLOOR(NPER($C$11/12,-$AD$55,S107),0.1),1))</f>
        <v>0</v>
      </c>
      <c r="W108" s="2" t="e">
        <f>IF(AND(G73&gt;=$W$11,G73&lt;=$W$11+5),0,IF($C$9&gt;$AF$51,ROUND(S72*#REF!/(DATEVALUE(CONCATENATE("01/01/",YEAR(H73)+1))-DATEVALUE(CONCATENATE("01/01/",YEAR(H73))))*(H73-H72),2),0))</f>
        <v>#REF!</v>
      </c>
      <c r="X108" s="34">
        <f t="shared" si="41"/>
        <v>0</v>
      </c>
      <c r="Y108" s="57">
        <f t="shared" si="39"/>
        <v>68435</v>
      </c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2" t="e">
        <f>IF(AND(Y65&gt;=$W$11,Y65&lt;=$W$11+5),0,IF($C$9&gt;$AF$51,ROUND(AI68*#REF!/(DATEVALUE(CONCATENATE("01/01/",YEAR(Z65)+1))-DATEVALUE(CONCATENATE("01/01/",YEAR(Z65))))*(Z65-Z64),2),0))</f>
        <v>#REF!</v>
      </c>
      <c r="AM108" s="34">
        <f t="shared" si="43"/>
        <v>0</v>
      </c>
      <c r="AN108" s="57">
        <f t="shared" si="42"/>
        <v>66975</v>
      </c>
      <c r="AO108" s="130">
        <f t="shared" si="57"/>
        <v>0</v>
      </c>
      <c r="AP108" s="109">
        <f t="shared" si="71"/>
        <v>100</v>
      </c>
      <c r="AQ108" s="110">
        <f t="shared" si="83"/>
        <v>47752</v>
      </c>
      <c r="AR108" s="177">
        <f t="shared" si="44"/>
        <v>0.20899999999999999</v>
      </c>
      <c r="AS108" s="105">
        <f t="shared" si="59"/>
        <v>0</v>
      </c>
      <c r="AT108" s="105">
        <f t="shared" si="84"/>
        <v>0</v>
      </c>
      <c r="AU108" s="105">
        <f t="shared" si="85"/>
        <v>0</v>
      </c>
      <c r="AV108" s="105">
        <f t="shared" si="62"/>
        <v>0</v>
      </c>
      <c r="AW108" s="105">
        <f t="shared" si="49"/>
        <v>0</v>
      </c>
      <c r="AX108" s="105">
        <v>0</v>
      </c>
      <c r="AY108" s="105">
        <f t="shared" si="78"/>
        <v>0</v>
      </c>
      <c r="AZ108" s="105">
        <f t="shared" si="76"/>
        <v>0</v>
      </c>
      <c r="BA108" s="105">
        <f t="shared" si="75"/>
        <v>0</v>
      </c>
      <c r="BB108" s="105"/>
      <c r="BC108" s="105"/>
      <c r="BD108" s="105"/>
      <c r="BE108" s="105"/>
      <c r="BF108" s="105"/>
      <c r="BG108" s="105">
        <f t="shared" si="63"/>
        <v>0</v>
      </c>
      <c r="BH108" s="108">
        <f t="shared" si="72"/>
        <v>0</v>
      </c>
      <c r="BI108" s="108">
        <f t="shared" si="67"/>
        <v>0</v>
      </c>
      <c r="BJ108" s="22">
        <f t="shared" si="68"/>
        <v>47752</v>
      </c>
      <c r="BK108" s="108">
        <f t="shared" si="50"/>
        <v>0</v>
      </c>
      <c r="BL108" s="2" t="e">
        <f>IF(AND(G63&gt;=$W$11,G63&lt;=$W$11+5),0,IF($C$9&gt;$AF$51,ROUND(BG62*IF(#REF!="",0,#REF!)/(DATEVALUE(CONCATENATE("01/01/",YEAR(AQ63)+1))-DATEVALUE(CONCATENATE("01/01/",YEAR(AQ63))))*(AQ63-AQ62),2),0))</f>
        <v>#REF!</v>
      </c>
    </row>
    <row r="109" spans="1:1217" x14ac:dyDescent="0.3">
      <c r="A109" s="178"/>
      <c r="B109" s="178"/>
      <c r="C109" s="184"/>
      <c r="D109" s="184"/>
      <c r="E109" s="184"/>
      <c r="F109" s="184"/>
      <c r="G109" s="28"/>
      <c r="H109" s="29" t="s">
        <v>7</v>
      </c>
      <c r="I109" s="29"/>
      <c r="J109" s="30">
        <f>(SUM(J9:J108))</f>
        <v>497340</v>
      </c>
      <c r="K109" s="30">
        <f>(SUM(K9:K108)-IF(CODE(C12)=209,AI51,0))</f>
        <v>497340</v>
      </c>
      <c r="L109" s="30">
        <f t="shared" ref="L109:R109" si="86">SUM(L9:L108)</f>
        <v>192148.78735810926</v>
      </c>
      <c r="M109" s="30">
        <f t="shared" si="86"/>
        <v>306998.99999999994</v>
      </c>
      <c r="N109" s="31">
        <f t="shared" si="86"/>
        <v>0</v>
      </c>
      <c r="O109" s="31">
        <f t="shared" si="86"/>
        <v>0</v>
      </c>
      <c r="P109" s="31">
        <f t="shared" si="86"/>
        <v>192148.78735810926</v>
      </c>
      <c r="Q109" s="31">
        <f t="shared" si="86"/>
        <v>0</v>
      </c>
      <c r="R109" s="31">
        <f t="shared" si="86"/>
        <v>0</v>
      </c>
      <c r="S109" s="31"/>
      <c r="T109" s="31"/>
      <c r="U109" s="31"/>
      <c r="V109" s="31"/>
      <c r="W109" s="2" t="e">
        <f>IF(AND(G74&gt;=$W$11,G74&lt;=$W$11+5),0,IF($C$9&gt;$AF$51,ROUND(S73*#REF!/(DATEVALUE(CONCATENATE("01/01/",YEAR(H74)+1))-DATEVALUE(CONCATENATE("01/01/",YEAR(H74))))*(H74-H73),2),0))</f>
        <v>#REF!</v>
      </c>
      <c r="X109" s="34">
        <f t="shared" si="41"/>
        <v>0</v>
      </c>
      <c r="Y109" s="57">
        <f t="shared" ref="Y109:Y143" si="87">Y108+365</f>
        <v>68800</v>
      </c>
      <c r="Z109" s="16"/>
      <c r="AA109" s="16"/>
      <c r="AB109" s="16"/>
      <c r="AC109" s="16"/>
      <c r="AD109" s="16"/>
      <c r="AE109" s="16">
        <f>IF($C$7&lt;=$AE$89,AD89,IF($C$7&lt;=$AD$90,AE90,IF($C$7&lt;=$AD$91,AE91,AE92)))</f>
        <v>3499</v>
      </c>
      <c r="AF109" s="16">
        <f t="shared" ref="AF109:AI109" si="88">IF($C$7&lt;=$AE$89,AE89,IF($C$7&lt;=$AD$90,AF90,IF($C$7&lt;=$AD$91,AF91,AF92)))</f>
        <v>4999</v>
      </c>
      <c r="AG109" s="16">
        <f t="shared" si="88"/>
        <v>6999</v>
      </c>
      <c r="AH109" s="16">
        <f t="shared" si="88"/>
        <v>0</v>
      </c>
      <c r="AI109" s="16">
        <f t="shared" si="88"/>
        <v>0</v>
      </c>
      <c r="AJ109" s="16">
        <f>IF($C$10&lt;=AE88,AE109,IF($C$10&lt;=AF88,AF109,IF($C$10&lt;=AG88,AG109,IF($C$10&lt;=AH88,AH109,AI109))))</f>
        <v>6999</v>
      </c>
      <c r="AK109" s="16"/>
      <c r="AL109" s="2" t="e">
        <f>IF(AND(Y66&gt;=$W$11,Y66&lt;=$W$11+5),0,IF($C$9&gt;$AF$51,ROUND(AI69*#REF!/(DATEVALUE(CONCATENATE("01/01/",YEAR(Z66)+1))-DATEVALUE(CONCATENATE("01/01/",YEAR(Z66))))*(Z66-Z65),2),0))</f>
        <v>#REF!</v>
      </c>
      <c r="AM109" s="34">
        <f t="shared" si="43"/>
        <v>0</v>
      </c>
      <c r="AN109" s="57">
        <f t="shared" si="42"/>
        <v>67340</v>
      </c>
      <c r="AO109" s="130"/>
      <c r="AP109" s="28"/>
      <c r="AQ109" s="29" t="s">
        <v>7</v>
      </c>
      <c r="AR109" s="29"/>
      <c r="AS109" s="30">
        <f>SUM(AS9:AS108)</f>
        <v>497340</v>
      </c>
      <c r="AT109" s="30">
        <f>(SUM(AT9:AT108)-IF(CODE(C12)=209,BX57,0))</f>
        <v>497340</v>
      </c>
      <c r="AU109" s="30">
        <f>SUM(AU9:AU108)</f>
        <v>192118.25748299048</v>
      </c>
      <c r="AV109" s="30">
        <f>SUM(AV9:AV108)</f>
        <v>306998.99999999994</v>
      </c>
      <c r="AW109" s="30">
        <f>SUM(AW9:AW108)</f>
        <v>0</v>
      </c>
      <c r="AX109" s="31"/>
      <c r="AY109" s="31"/>
      <c r="AZ109" s="30">
        <f>SUM(AZ9:AZ108)</f>
        <v>0</v>
      </c>
      <c r="BA109" s="31"/>
      <c r="BB109" s="31"/>
      <c r="BC109" s="31"/>
      <c r="BD109" s="31"/>
      <c r="BE109" s="31"/>
      <c r="BF109" s="31"/>
      <c r="BG109" s="31"/>
      <c r="BH109" s="108">
        <f t="shared" si="72"/>
        <v>0</v>
      </c>
      <c r="BI109" s="108">
        <f t="shared" si="67"/>
        <v>0</v>
      </c>
      <c r="BJ109" s="22" t="str">
        <f t="shared" si="68"/>
        <v>Итого</v>
      </c>
      <c r="BK109" s="108">
        <f t="shared" si="50"/>
        <v>497340</v>
      </c>
      <c r="BL109" s="2" t="e">
        <f>IF(AND(G64&gt;=$W$11,G64&lt;=$W$11+5),0,IF($C$9&gt;$AF$51,ROUND(BG63*IF(#REF!="",0,#REF!)/(DATEVALUE(CONCATENATE("01/01/",YEAR(AQ64)+1))-DATEVALUE(CONCATENATE("01/01/",YEAR(AQ64))))*(AQ64-AQ63),2),0))</f>
        <v>#REF!</v>
      </c>
    </row>
    <row r="110" spans="1:1217" x14ac:dyDescent="0.25">
      <c r="W110" s="2" t="e">
        <f>IF(AND(G75&gt;=$W$11,G75&lt;=$W$11+5),0,IF($C$9&gt;$AF$51,ROUND(S74*#REF!/(DATEVALUE(CONCATENATE("01/01/",YEAR(H75)+1))-DATEVALUE(CONCATENATE("01/01/",YEAR(H75))))*(H75-H74),2),0))</f>
        <v>#REF!</v>
      </c>
      <c r="X110" s="34">
        <f t="shared" ref="X110:X142" si="89">IF(K75 &gt; 0, K75, 0)</f>
        <v>0</v>
      </c>
      <c r="Y110" s="57">
        <f t="shared" si="87"/>
        <v>69165</v>
      </c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2" t="e">
        <f>IF(AND(Y67&gt;=$W$11,Y67&lt;=$W$11+5),0,IF($C$9&gt;$AF$51,ROUND(AI70*#REF!/(DATEVALUE(CONCATENATE("01/01/",YEAR(Z67)+1))-DATEVALUE(CONCATENATE("01/01/",YEAR(Z67))))*(Z67-Z66),2),0))</f>
        <v>#VALUE!</v>
      </c>
      <c r="AM110" s="34">
        <f t="shared" si="43"/>
        <v>0</v>
      </c>
      <c r="AN110" s="57">
        <f t="shared" si="42"/>
        <v>67705</v>
      </c>
      <c r="AO110" s="130"/>
      <c r="BH110" s="108">
        <f t="shared" si="72"/>
        <v>0</v>
      </c>
      <c r="BI110" s="108">
        <f t="shared" si="67"/>
        <v>0</v>
      </c>
      <c r="BJ110" s="22">
        <f t="shared" si="68"/>
        <v>0</v>
      </c>
      <c r="BK110" s="108">
        <f t="shared" si="50"/>
        <v>0</v>
      </c>
      <c r="BL110" s="2" t="e">
        <f>IF(AND(G65&gt;=$W$11,G65&lt;=$W$11+5),0,IF($C$9&gt;$AF$51,ROUND(BG64*IF(#REF!="",0,#REF!)/(DATEVALUE(CONCATENATE("01/01/",YEAR(AQ65)+1))-DATEVALUE(CONCATENATE("01/01/",YEAR(AQ65))))*(AQ65-AQ64),2),0))</f>
        <v>#REF!</v>
      </c>
    </row>
    <row r="111" spans="1:1217" x14ac:dyDescent="0.25">
      <c r="W111" s="2" t="e">
        <f>IF(AND(G76&gt;=$W$11,G76&lt;=$W$11+5),0,IF($C$9&gt;$AF$51,ROUND(S75*#REF!/(DATEVALUE(CONCATENATE("01/01/",YEAR(H76)+1))-DATEVALUE(CONCATENATE("01/01/",YEAR(H76))))*(H76-H75),2),0))</f>
        <v>#REF!</v>
      </c>
      <c r="X111" s="34">
        <f t="shared" si="89"/>
        <v>0</v>
      </c>
      <c r="Y111" s="57">
        <f t="shared" si="87"/>
        <v>69530</v>
      </c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2" t="e">
        <f>IF(AND(Y68&gt;=$W$11,Y68&lt;=$W$11+5),0,IF($C$9&gt;$AF$51,ROUND(AI71*#REF!/(DATEVALUE(CONCATENATE("01/01/",YEAR(Z68)+1))-DATEVALUE(CONCATENATE("01/01/",YEAR(Z68))))*(Z68-Z67),2),0))</f>
        <v>#REF!</v>
      </c>
      <c r="AM111" s="34">
        <f t="shared" si="43"/>
        <v>0</v>
      </c>
      <c r="AN111" s="57">
        <f t="shared" si="42"/>
        <v>68070</v>
      </c>
      <c r="AO111" s="130"/>
      <c r="BH111" s="108">
        <f t="shared" si="72"/>
        <v>0</v>
      </c>
      <c r="BI111" s="108">
        <f t="shared" si="67"/>
        <v>0</v>
      </c>
      <c r="BJ111" s="22">
        <f t="shared" si="68"/>
        <v>0</v>
      </c>
      <c r="BK111" s="108">
        <f t="shared" si="50"/>
        <v>0</v>
      </c>
      <c r="BL111" s="2" t="e">
        <f>IF(AND(G66&gt;=$W$11,G66&lt;=$W$11+5),0,IF($C$9&gt;$AF$51,ROUND(BG65*IF(#REF!="",0,#REF!)/(DATEVALUE(CONCATENATE("01/01/",YEAR(AQ66)+1))-DATEVALUE(CONCATENATE("01/01/",YEAR(AQ66))))*(AQ66-AQ65),2),0))</f>
        <v>#REF!</v>
      </c>
    </row>
    <row r="112" spans="1:1217" x14ac:dyDescent="0.25">
      <c r="W112" s="2" t="e">
        <f>IF(AND(G77&gt;=$W$11,G77&lt;=$W$11+5),0,IF($C$9&gt;$AF$51,ROUND(S76*#REF!/(DATEVALUE(CONCATENATE("01/01/",YEAR(H77)+1))-DATEVALUE(CONCATENATE("01/01/",YEAR(H77))))*(H77-H76),2),0))</f>
        <v>#REF!</v>
      </c>
      <c r="X112" s="34">
        <f t="shared" si="89"/>
        <v>0</v>
      </c>
      <c r="Y112" s="57">
        <f t="shared" si="87"/>
        <v>69895</v>
      </c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2" t="e">
        <f>IF(AND(Y69&gt;=$W$11,Y69&lt;=$W$11+5),0,IF($C$9&gt;$AF$51,ROUND(AI72*#REF!/(DATEVALUE(CONCATENATE("01/01/",YEAR(Z69)+1))-DATEVALUE(CONCATENATE("01/01/",YEAR(Z69))))*(Z69-Z68),2),0))</f>
        <v>#REF!</v>
      </c>
      <c r="AM112" s="34">
        <f t="shared" si="43"/>
        <v>0</v>
      </c>
      <c r="AN112" s="57">
        <f t="shared" si="42"/>
        <v>68435</v>
      </c>
      <c r="AO112" s="130"/>
      <c r="BH112" s="108">
        <f t="shared" si="72"/>
        <v>0</v>
      </c>
      <c r="BI112" s="108">
        <f t="shared" si="67"/>
        <v>0</v>
      </c>
      <c r="BJ112" s="22">
        <f t="shared" si="68"/>
        <v>0</v>
      </c>
      <c r="BK112" s="108">
        <f t="shared" si="50"/>
        <v>0</v>
      </c>
      <c r="BL112" s="2" t="e">
        <f>IF(AND(G67&gt;=$W$11,G67&lt;=$W$11+5),0,IF($C$9&gt;$AF$51,ROUND(BG66*IF(#REF!="",0,#REF!)/(DATEVALUE(CONCATENATE("01/01/",YEAR(AQ67)+1))-DATEVALUE(CONCATENATE("01/01/",YEAR(AQ67))))*(AQ67-AQ66),2),0))</f>
        <v>#REF!</v>
      </c>
    </row>
    <row r="113" spans="23:64" x14ac:dyDescent="0.25">
      <c r="W113" s="2" t="e">
        <f>IF(AND(G78&gt;=$W$11,G78&lt;=$W$11+5),0,IF($C$9&gt;$AF$51,ROUND(S77*#REF!/(DATEVALUE(CONCATENATE("01/01/",YEAR(H78)+1))-DATEVALUE(CONCATENATE("01/01/",YEAR(H78))))*(H78-H77),2),0))</f>
        <v>#REF!</v>
      </c>
      <c r="X113" s="34">
        <f t="shared" si="89"/>
        <v>0</v>
      </c>
      <c r="Y113" s="57">
        <f t="shared" si="87"/>
        <v>70260</v>
      </c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2" t="e">
        <f>IF(AND(Y70&gt;=$W$11,Y70&lt;=$W$11+5),0,IF($C$9&gt;$AF$51,ROUND(AI73*#REF!/(DATEVALUE(CONCATENATE("01/01/",YEAR(Z70)+1))-DATEVALUE(CONCATENATE("01/01/",YEAR(Z70))))*(Z70-Z69),2),0))</f>
        <v>#REF!</v>
      </c>
      <c r="AM113" s="34">
        <f t="shared" si="43"/>
        <v>0</v>
      </c>
      <c r="AN113" s="57">
        <f t="shared" ref="AN113:AN147" si="90">AN112+365</f>
        <v>68800</v>
      </c>
      <c r="AO113" s="130"/>
      <c r="BH113" s="108">
        <f t="shared" si="72"/>
        <v>0</v>
      </c>
      <c r="BI113" s="108">
        <f t="shared" si="67"/>
        <v>0</v>
      </c>
      <c r="BJ113" s="22">
        <f t="shared" si="68"/>
        <v>0</v>
      </c>
      <c r="BK113" s="108">
        <f t="shared" si="50"/>
        <v>0</v>
      </c>
      <c r="BL113" s="2" t="e">
        <f>IF(AND(G68&gt;=$W$11,G68&lt;=$W$11+5),0,IF($C$9&gt;$AF$51,ROUND(BG67*IF(#REF!="",0,#REF!)/(DATEVALUE(CONCATENATE("01/01/",YEAR(AQ68)+1))-DATEVALUE(CONCATENATE("01/01/",YEAR(AQ68))))*(AQ68-AQ67),2),0))</f>
        <v>#REF!</v>
      </c>
    </row>
    <row r="114" spans="23:64" x14ac:dyDescent="0.25">
      <c r="W114" s="2" t="e">
        <f>IF(AND(G79&gt;=$W$11,G79&lt;=$W$11+5),0,IF($C$9&gt;$AF$51,ROUND(S78*#REF!/(DATEVALUE(CONCATENATE("01/01/",YEAR(H79)+1))-DATEVALUE(CONCATENATE("01/01/",YEAR(H79))))*(H79-H78),2),0))</f>
        <v>#REF!</v>
      </c>
      <c r="X114" s="34">
        <f t="shared" si="89"/>
        <v>0</v>
      </c>
      <c r="Y114" s="57">
        <f>Y83+365</f>
        <v>59675</v>
      </c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2" t="e">
        <f>IF(AND(Y71&gt;=$W$11,Y71&lt;=$W$11+5),0,IF($C$9&gt;$AF$51,ROUND(AI74*#REF!/(DATEVALUE(CONCATENATE("01/01/",YEAR(Z71)+1))-DATEVALUE(CONCATENATE("01/01/",YEAR(Z71))))*(Z71-Z70),2),0))</f>
        <v>#REF!</v>
      </c>
      <c r="AM114" s="34">
        <f t="shared" ref="AM114:AM147" si="91">AT75</f>
        <v>0</v>
      </c>
      <c r="AN114" s="57">
        <f t="shared" si="90"/>
        <v>69165</v>
      </c>
      <c r="AO114" s="130"/>
      <c r="BH114" s="108">
        <f t="shared" si="72"/>
        <v>0</v>
      </c>
      <c r="BI114" s="108">
        <f t="shared" si="67"/>
        <v>0</v>
      </c>
      <c r="BJ114" s="22">
        <f t="shared" si="68"/>
        <v>0</v>
      </c>
      <c r="BK114" s="108">
        <f t="shared" si="50"/>
        <v>0</v>
      </c>
      <c r="BL114" s="2" t="e">
        <f>IF(AND(G69&gt;=$W$11,G69&lt;=$W$11+5),0,IF($C$9&gt;$AF$51,ROUND(BG68*IF(#REF!="",0,#REF!)/(DATEVALUE(CONCATENATE("01/01/",YEAR(AQ69)+1))-DATEVALUE(CONCATENATE("01/01/",YEAR(AQ69))))*(AQ69-AQ68),2),0))</f>
        <v>#REF!</v>
      </c>
    </row>
    <row r="115" spans="23:64" x14ac:dyDescent="0.25">
      <c r="W115" s="2" t="e">
        <f>IF(AND(G80&gt;=$W$11,G80&lt;=$W$11+5),0,IF($C$9&gt;$AF$51,ROUND(S79*#REF!/(DATEVALUE(CONCATENATE("01/01/",YEAR(H80)+1))-DATEVALUE(CONCATENATE("01/01/",YEAR(H80))))*(H80-H79),2),0))</f>
        <v>#REF!</v>
      </c>
      <c r="X115" s="34">
        <f t="shared" si="89"/>
        <v>0</v>
      </c>
      <c r="Y115" s="57">
        <f t="shared" si="87"/>
        <v>60040</v>
      </c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2" t="e">
        <f>IF(AND(Y72&gt;=$W$11,Y72&lt;=$W$11+5),0,IF($C$9&gt;$AF$51,ROUND(AI75*#REF!/(DATEVALUE(CONCATENATE("01/01/",YEAR(Z72)+1))-DATEVALUE(CONCATENATE("01/01/",YEAR(Z72))))*(Z72-Z71),2),0))</f>
        <v>#REF!</v>
      </c>
      <c r="AM115" s="34">
        <f t="shared" si="91"/>
        <v>0</v>
      </c>
      <c r="AN115" s="57">
        <f t="shared" si="90"/>
        <v>69530</v>
      </c>
      <c r="AO115" s="130"/>
      <c r="BH115" s="31"/>
      <c r="BI115" s="51"/>
      <c r="BJ115" s="29" t="s">
        <v>67</v>
      </c>
      <c r="BK115" s="152" t="e">
        <f>XIRR(BK7:BK114,BJ7:BJ114)</f>
        <v>#VALUE!</v>
      </c>
      <c r="BL115" s="2" t="e">
        <f>IF(AND(G70&gt;=$W$11,G70&lt;=$W$11+5),0,IF($C$9&gt;$AF$51,ROUND(BG69*IF(#REF!="",0,#REF!)/(DATEVALUE(CONCATENATE("01/01/",YEAR(AQ70)+1))-DATEVALUE(CONCATENATE("01/01/",YEAR(AQ70))))*(AQ70-AQ69),2),0))</f>
        <v>#REF!</v>
      </c>
    </row>
    <row r="116" spans="23:64" x14ac:dyDescent="0.25">
      <c r="W116" s="2" t="e">
        <f>IF(AND(G81&gt;=$W$11,G81&lt;=$W$11+5),0,IF($C$9&gt;$AF$51,ROUND(S80*#REF!/(DATEVALUE(CONCATENATE("01/01/",YEAR(H81)+1))-DATEVALUE(CONCATENATE("01/01/",YEAR(H81))))*(H81-H80),2),0))</f>
        <v>#REF!</v>
      </c>
      <c r="X116" s="34">
        <f t="shared" si="89"/>
        <v>0</v>
      </c>
      <c r="Y116" s="57">
        <f t="shared" si="87"/>
        <v>60405</v>
      </c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2" t="e">
        <f>IF(AND(Y73&gt;=$W$11,Y73&lt;=$W$11+5),0,IF($C$9&gt;$AF$51,ROUND(AI76*#REF!/(DATEVALUE(CONCATENATE("01/01/",YEAR(Z73)+1))-DATEVALUE(CONCATENATE("01/01/",YEAR(Z73))))*(Z73-Z72),2),0))</f>
        <v>#REF!</v>
      </c>
      <c r="AM116" s="34">
        <f t="shared" si="91"/>
        <v>0</v>
      </c>
      <c r="AN116" s="57">
        <f t="shared" si="90"/>
        <v>69895</v>
      </c>
      <c r="AO116" s="130"/>
      <c r="BL116" s="2" t="e">
        <f>IF(AND(G71&gt;=$W$11,G71&lt;=$W$11+5),0,IF($C$9&gt;$AF$51,ROUND(BG70*IF(#REF!="",0,#REF!)/(DATEVALUE(CONCATENATE("01/01/",YEAR(AQ71)+1))-DATEVALUE(CONCATENATE("01/01/",YEAR(AQ71))))*(AQ71-AQ70),2),0))</f>
        <v>#REF!</v>
      </c>
    </row>
    <row r="117" spans="23:64" x14ac:dyDescent="0.25">
      <c r="W117" s="2" t="e">
        <f>IF(AND(G82&gt;=$W$11,G82&lt;=$W$11+5),0,IF($C$9&gt;$AF$51,ROUND(S81*#REF!/(DATEVALUE(CONCATENATE("01/01/",YEAR(H82)+1))-DATEVALUE(CONCATENATE("01/01/",YEAR(H82))))*(H82-H81),2),0))</f>
        <v>#REF!</v>
      </c>
      <c r="X117" s="34">
        <f t="shared" si="89"/>
        <v>0</v>
      </c>
      <c r="Y117" s="57">
        <f t="shared" si="87"/>
        <v>60770</v>
      </c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2" t="e">
        <f>IF(AND(Y74&gt;=$W$11,Y74&lt;=$W$11+5),0,IF($C$9&gt;$AF$51,ROUND(AI77*#REF!/(DATEVALUE(CONCATENATE("01/01/",YEAR(Z74)+1))-DATEVALUE(CONCATENATE("01/01/",YEAR(Z74))))*(Z74-Z73),2),0))</f>
        <v>#REF!</v>
      </c>
      <c r="AM117" s="34">
        <f t="shared" si="91"/>
        <v>0</v>
      </c>
      <c r="AN117" s="57">
        <f t="shared" si="90"/>
        <v>70260</v>
      </c>
      <c r="AO117" s="130"/>
      <c r="BL117" s="2" t="e">
        <f>IF(AND(G72&gt;=$W$11,G72&lt;=$W$11+5),0,IF($C$9&gt;$AF$51,ROUND(BG71*IF(#REF!="",0,#REF!)/(DATEVALUE(CONCATENATE("01/01/",YEAR(AQ72)+1))-DATEVALUE(CONCATENATE("01/01/",YEAR(AQ72))))*(AQ72-AQ71),2),0))</f>
        <v>#REF!</v>
      </c>
    </row>
    <row r="118" spans="23:64" x14ac:dyDescent="0.25">
      <c r="W118" s="2" t="e">
        <f>IF(AND(G83&gt;=$W$11,G83&lt;=$W$11+5),0,IF($C$9&gt;$AF$51,ROUND(S82*#REF!/(DATEVALUE(CONCATENATE("01/01/",YEAR(H83)+1))-DATEVALUE(CONCATENATE("01/01/",YEAR(H83))))*(H83-H82),2),0))</f>
        <v>#REF!</v>
      </c>
      <c r="X118" s="34">
        <f t="shared" si="89"/>
        <v>0</v>
      </c>
      <c r="Y118" s="57">
        <f t="shared" si="87"/>
        <v>61135</v>
      </c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2" t="e">
        <f>IF(AND(Y75&gt;=$W$11,Y75&lt;=$W$11+5),0,IF($C$9&gt;$AF$51,ROUND(AI78*#REF!/(DATEVALUE(CONCATENATE("01/01/",YEAR(Z75)+1))-DATEVALUE(CONCATENATE("01/01/",YEAR(Z75))))*(Z75-Z74),2),0))</f>
        <v>#VALUE!</v>
      </c>
      <c r="AM118" s="34">
        <f t="shared" si="91"/>
        <v>0</v>
      </c>
      <c r="AN118" s="57">
        <f>AN87+365</f>
        <v>59675</v>
      </c>
      <c r="AO118" s="130"/>
      <c r="BL118" s="2" t="e">
        <f>IF(AND(G73&gt;=$W$11,G73&lt;=$W$11+5),0,IF($C$9&gt;$AF$51,ROUND(BG72*IF(#REF!="",0,#REF!)/(DATEVALUE(CONCATENATE("01/01/",YEAR(AQ73)+1))-DATEVALUE(CONCATENATE("01/01/",YEAR(AQ73))))*(AQ73-AQ72),2),0))</f>
        <v>#REF!</v>
      </c>
    </row>
    <row r="119" spans="23:64" x14ac:dyDescent="0.25">
      <c r="W119" s="2" t="e">
        <f>IF(AND(G84&gt;=$W$11,G84&lt;=$W$11+5),0,IF($C$9&gt;$AF$51,ROUND(S83*#REF!/(DATEVALUE(CONCATENATE("01/01/",YEAR(H84)+1))-DATEVALUE(CONCATENATE("01/01/",YEAR(H84))))*(H84-H83),2),0))</f>
        <v>#REF!</v>
      </c>
      <c r="X119" s="34">
        <f t="shared" si="89"/>
        <v>0</v>
      </c>
      <c r="Y119" s="57">
        <f t="shared" si="87"/>
        <v>61500</v>
      </c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2" t="e">
        <f>IF(AND(Y76&gt;=$W$11,Y76&lt;=$W$11+5),0,IF($C$9&gt;$AF$51,ROUND(AI79*#REF!/(DATEVALUE(CONCATENATE("01/01/",YEAR(Z76)+1))-DATEVALUE(CONCATENATE("01/01/",YEAR(Z76))))*(Z76-Z75),2),0))</f>
        <v>#REF!</v>
      </c>
      <c r="AM119" s="34">
        <f t="shared" si="91"/>
        <v>0</v>
      </c>
      <c r="AN119" s="57">
        <f t="shared" si="90"/>
        <v>60040</v>
      </c>
      <c r="AO119" s="130"/>
      <c r="BL119" s="2" t="e">
        <f>IF(AND(G74&gt;=$W$11,G74&lt;=$W$11+5),0,IF($C$9&gt;$AF$51,ROUND(BG73*IF(#REF!="",0,#REF!)/(DATEVALUE(CONCATENATE("01/01/",YEAR(AQ74)+1))-DATEVALUE(CONCATENATE("01/01/",YEAR(AQ74))))*(AQ74-AQ73),2),0))</f>
        <v>#REF!</v>
      </c>
    </row>
    <row r="120" spans="23:64" x14ac:dyDescent="0.25">
      <c r="W120" s="2" t="e">
        <f>IF(AND(G85&gt;=$W$11,G85&lt;=$W$11+5),0,IF($C$9&gt;$AF$51,ROUND(S84*#REF!/(DATEVALUE(CONCATENATE("01/01/",YEAR(H85)+1))-DATEVALUE(CONCATENATE("01/01/",YEAR(H85))))*(H85-H84),2),0))</f>
        <v>#REF!</v>
      </c>
      <c r="X120" s="34">
        <f t="shared" si="89"/>
        <v>0</v>
      </c>
      <c r="Y120" s="57">
        <f t="shared" si="87"/>
        <v>61865</v>
      </c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2" t="e">
        <f>IF(AND(Y77&gt;=$W$11,Y77&lt;=$W$11+5),0,IF($C$9&gt;$AF$51,ROUND(AI80*#REF!/(DATEVALUE(CONCATENATE("01/01/",YEAR(Z77)+1))-DATEVALUE(CONCATENATE("01/01/",YEAR(Z77))))*(Z77-Z76),2),0))</f>
        <v>#REF!</v>
      </c>
      <c r="AM120" s="34">
        <f t="shared" si="91"/>
        <v>0</v>
      </c>
      <c r="AN120" s="57">
        <f t="shared" si="90"/>
        <v>60405</v>
      </c>
      <c r="AO120" s="130"/>
      <c r="BL120" s="2" t="e">
        <f>IF(AND(G75&gt;=$W$11,G75&lt;=$W$11+5),0,IF($C$9&gt;$AF$51,ROUND(BG74*IF(#REF!="",0,#REF!)/(DATEVALUE(CONCATENATE("01/01/",YEAR(AQ75)+1))-DATEVALUE(CONCATENATE("01/01/",YEAR(AQ75))))*(AQ75-AQ74),2),0))</f>
        <v>#REF!</v>
      </c>
    </row>
    <row r="121" spans="23:64" x14ac:dyDescent="0.25">
      <c r="W121" s="2" t="e">
        <f>IF(AND(G86&gt;=$W$11,G86&lt;=$W$11+5),0,IF($C$9&gt;$AF$51,ROUND(S85*#REF!/(DATEVALUE(CONCATENATE("01/01/",YEAR(H86)+1))-DATEVALUE(CONCATENATE("01/01/",YEAR(H86))))*(H86-H85),2),0))</f>
        <v>#REF!</v>
      </c>
      <c r="X121" s="34">
        <f t="shared" si="89"/>
        <v>0</v>
      </c>
      <c r="Y121" s="57">
        <f t="shared" si="87"/>
        <v>62230</v>
      </c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2" t="e">
        <f>IF(AND(Y78&gt;=$W$11,Y78&lt;=$W$11+5),0,IF($C$9&gt;$AF$51,ROUND(AI81*#REF!/(DATEVALUE(CONCATENATE("01/01/",YEAR(Z78)+1))-DATEVALUE(CONCATENATE("01/01/",YEAR(Z78))))*(Z78-Z77),2),0))</f>
        <v>#REF!</v>
      </c>
      <c r="AM121" s="34">
        <f t="shared" si="91"/>
        <v>0</v>
      </c>
      <c r="AN121" s="57">
        <f t="shared" si="90"/>
        <v>60770</v>
      </c>
      <c r="AO121" s="130"/>
      <c r="BL121" s="2" t="e">
        <f>IF(AND(G76&gt;=$W$11,G76&lt;=$W$11+5),0,IF($C$9&gt;$AF$51,ROUND(BG75*IF(#REF!="",0,#REF!)/(DATEVALUE(CONCATENATE("01/01/",YEAR(AQ76)+1))-DATEVALUE(CONCATENATE("01/01/",YEAR(AQ76))))*(AQ76-AQ75),2),0))</f>
        <v>#REF!</v>
      </c>
    </row>
    <row r="122" spans="23:64" x14ac:dyDescent="0.25">
      <c r="W122" s="2" t="e">
        <f>IF(AND(G87&gt;=$W$11,G87&lt;=$W$11+5),0,IF($C$9&gt;$AF$51,ROUND(S86*#REF!/(DATEVALUE(CONCATENATE("01/01/",YEAR(H87)+1))-DATEVALUE(CONCATENATE("01/01/",YEAR(H87))))*(H87-H86),2),0))</f>
        <v>#REF!</v>
      </c>
      <c r="X122" s="34">
        <f t="shared" si="89"/>
        <v>0</v>
      </c>
      <c r="Y122" s="57">
        <f t="shared" si="87"/>
        <v>62595</v>
      </c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2" t="e">
        <f>IF(AND(Y79&gt;=$W$11,Y79&lt;=$W$11+5),0,IF($C$9&gt;$AF$51,ROUND(AI82*#REF!/(DATEVALUE(CONCATENATE("01/01/",YEAR(Z79)+1))-DATEVALUE(CONCATENATE("01/01/",YEAR(Z79))))*(Z79-Z78),2),0))</f>
        <v>#REF!</v>
      </c>
      <c r="AM122" s="34">
        <f t="shared" si="91"/>
        <v>0</v>
      </c>
      <c r="AN122" s="57">
        <f t="shared" si="90"/>
        <v>61135</v>
      </c>
      <c r="AO122" s="130"/>
      <c r="BL122" s="2" t="e">
        <f>IF(AND(G77&gt;=$W$11,G77&lt;=$W$11+5),0,IF($C$9&gt;$AF$51,ROUND(BG76*IF(#REF!="",0,#REF!)/(DATEVALUE(CONCATENATE("01/01/",YEAR(AQ77)+1))-DATEVALUE(CONCATENATE("01/01/",YEAR(AQ77))))*(AQ77-AQ76),2),0))</f>
        <v>#REF!</v>
      </c>
    </row>
    <row r="123" spans="23:64" x14ac:dyDescent="0.25">
      <c r="W123" s="2" t="e">
        <f>IF(AND(G88&gt;=$W$11,G88&lt;=$W$11+5),0,IF($C$9&gt;$AF$51,ROUND(S87*#REF!/(DATEVALUE(CONCATENATE("01/01/",YEAR(H88)+1))-DATEVALUE(CONCATENATE("01/01/",YEAR(H88))))*(H88-H87),2),0))</f>
        <v>#REF!</v>
      </c>
      <c r="X123" s="34">
        <f t="shared" si="89"/>
        <v>0</v>
      </c>
      <c r="Y123" s="57">
        <f t="shared" si="87"/>
        <v>62960</v>
      </c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2" t="e">
        <f>IF(AND(Y80&gt;=$W$11,Y80&lt;=$W$11+5),0,IF($C$9&gt;$AF$51,ROUND(AI83*#REF!/(DATEVALUE(CONCATENATE("01/01/",YEAR(Z80)+1))-DATEVALUE(CONCATENATE("01/01/",YEAR(Z80))))*(Z80-Z79),2),0))</f>
        <v>#REF!</v>
      </c>
      <c r="AM123" s="34">
        <f t="shared" si="91"/>
        <v>0</v>
      </c>
      <c r="AN123" s="57">
        <f t="shared" si="90"/>
        <v>61500</v>
      </c>
      <c r="AO123" s="130"/>
      <c r="BL123" s="2" t="e">
        <f>IF(AND(G78&gt;=$W$11,G78&lt;=$W$11+5),0,IF($C$9&gt;$AF$51,ROUND(BG77*IF(#REF!="",0,#REF!)/(DATEVALUE(CONCATENATE("01/01/",YEAR(AQ78)+1))-DATEVALUE(CONCATENATE("01/01/",YEAR(AQ78))))*(AQ78-AQ77),2),0))</f>
        <v>#REF!</v>
      </c>
    </row>
    <row r="124" spans="23:64" x14ac:dyDescent="0.25">
      <c r="W124" s="2" t="e">
        <f>IF(AND(G89&gt;=$W$11,G89&lt;=$W$11+5),0,IF($C$9&gt;$AF$51,ROUND(S88*#REF!/(DATEVALUE(CONCATENATE("01/01/",YEAR(H89)+1))-DATEVALUE(CONCATENATE("01/01/",YEAR(H89))))*(H89-H88),2),0))</f>
        <v>#REF!</v>
      </c>
      <c r="X124" s="34">
        <f t="shared" si="89"/>
        <v>0</v>
      </c>
      <c r="Y124" s="57">
        <f t="shared" si="87"/>
        <v>63325</v>
      </c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2" t="e">
        <f>IF(AND(Y81&gt;=$W$11,Y81&lt;=$W$11+5),0,IF($C$9&gt;$AF$51,ROUND(AI84*#REF!/(DATEVALUE(CONCATENATE("01/01/",YEAR(Z81)+1))-DATEVALUE(CONCATENATE("01/01/",YEAR(Z81))))*(Z81-Z80),2),0))</f>
        <v>#REF!</v>
      </c>
      <c r="AM124" s="34">
        <f t="shared" si="91"/>
        <v>0</v>
      </c>
      <c r="AN124" s="57">
        <f t="shared" si="90"/>
        <v>61865</v>
      </c>
      <c r="AO124" s="130"/>
      <c r="BL124" s="2" t="e">
        <f>IF(AND(G79&gt;=$W$11,G79&lt;=$W$11+5),0,IF($C$9&gt;$AF$51,ROUND(BG78*IF(#REF!="",0,#REF!)/(DATEVALUE(CONCATENATE("01/01/",YEAR(AQ79)+1))-DATEVALUE(CONCATENATE("01/01/",YEAR(AQ79))))*(AQ79-AQ78),2),0))</f>
        <v>#REF!</v>
      </c>
    </row>
    <row r="125" spans="23:64" x14ac:dyDescent="0.25">
      <c r="W125" s="2" t="e">
        <f>IF(AND(G90&gt;=$W$11,G90&lt;=$W$11+5),0,IF($C$9&gt;$AF$51,ROUND(S89*#REF!/(DATEVALUE(CONCATENATE("01/01/",YEAR(H90)+1))-DATEVALUE(CONCATENATE("01/01/",YEAR(H90))))*(H90-H89),2),0))</f>
        <v>#REF!</v>
      </c>
      <c r="X125" s="34">
        <f t="shared" si="89"/>
        <v>0</v>
      </c>
      <c r="Y125" s="57">
        <f t="shared" si="87"/>
        <v>63690</v>
      </c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2" t="e">
        <f>IF(AND(Y82&gt;=$W$11,Y82&lt;=$W$11+5),0,IF($C$9&gt;$AF$51,ROUND(AI85*#REF!/(DATEVALUE(CONCATENATE("01/01/",YEAR(Z82)+1))-DATEVALUE(CONCATENATE("01/01/",YEAR(Z82))))*(Z82-Z81),2),0))</f>
        <v>#REF!</v>
      </c>
      <c r="AM125" s="34">
        <f t="shared" si="91"/>
        <v>0</v>
      </c>
      <c r="AN125" s="57">
        <f t="shared" si="90"/>
        <v>62230</v>
      </c>
      <c r="AO125" s="130"/>
      <c r="BL125" s="2" t="e">
        <f>IF(AND(G80&gt;=$W$11,G80&lt;=$W$11+5),0,IF($C$9&gt;$AF$51,ROUND(BG79*IF(#REF!="",0,#REF!)/(DATEVALUE(CONCATENATE("01/01/",YEAR(AQ80)+1))-DATEVALUE(CONCATENATE("01/01/",YEAR(AQ80))))*(AQ80-AQ79),2),0))</f>
        <v>#REF!</v>
      </c>
    </row>
    <row r="126" spans="23:64" x14ac:dyDescent="0.25">
      <c r="W126" s="2" t="e">
        <f>IF(AND(G91&gt;=$W$11,G91&lt;=$W$11+5),0,IF($C$9&gt;$AF$51,ROUND(S90*#REF!/(DATEVALUE(CONCATENATE("01/01/",YEAR(H91)+1))-DATEVALUE(CONCATENATE("01/01/",YEAR(H91))))*(H91-H90),2),0))</f>
        <v>#REF!</v>
      </c>
      <c r="X126" s="34">
        <f t="shared" si="89"/>
        <v>0</v>
      </c>
      <c r="Y126" s="57">
        <f t="shared" si="87"/>
        <v>64055</v>
      </c>
      <c r="AC126" s="16"/>
      <c r="AD126" s="16"/>
      <c r="AE126" s="16"/>
      <c r="AF126" s="16"/>
      <c r="AG126" s="16"/>
      <c r="AH126" s="16"/>
      <c r="AI126" s="16"/>
      <c r="AJ126" s="16"/>
      <c r="AK126" s="16"/>
      <c r="AL126" s="2" t="e">
        <f>IF(AND(Y83&gt;=$W$11,Y83&lt;=$W$11+5),0,IF($C$9&gt;$AF$51,ROUND(AI86*#REF!/(DATEVALUE(CONCATENATE("01/01/",YEAR(Z83)+1))-DATEVALUE(CONCATENATE("01/01/",YEAR(Z83))))*(Z83-Z82),2),0))</f>
        <v>#VALUE!</v>
      </c>
      <c r="AM126" s="34">
        <f t="shared" si="91"/>
        <v>0</v>
      </c>
      <c r="AN126" s="57">
        <f t="shared" si="90"/>
        <v>62595</v>
      </c>
      <c r="AO126" s="130"/>
      <c r="BL126" s="2" t="e">
        <f>IF(AND(G81&gt;=$W$11,G81&lt;=$W$11+5),0,IF($C$9&gt;$AF$51,ROUND(BG80*IF(#REF!="",0,#REF!)/(DATEVALUE(CONCATENATE("01/01/",YEAR(AQ81)+1))-DATEVALUE(CONCATENATE("01/01/",YEAR(AQ81))))*(AQ81-AQ80),2),0))</f>
        <v>#REF!</v>
      </c>
    </row>
    <row r="127" spans="23:64" x14ac:dyDescent="0.25">
      <c r="W127" s="2" t="e">
        <f>IF(AND(G92&gt;=$W$11,G92&lt;=$W$11+5),0,IF($C$9&gt;$AF$51,ROUND(S91*#REF!/(DATEVALUE(CONCATENATE("01/01/",YEAR(H92)+1))-DATEVALUE(CONCATENATE("01/01/",YEAR(H92))))*(H92-H91),2),0))</f>
        <v>#REF!</v>
      </c>
      <c r="X127" s="34">
        <f t="shared" si="89"/>
        <v>0</v>
      </c>
      <c r="Y127" s="57">
        <f t="shared" si="87"/>
        <v>64420</v>
      </c>
      <c r="AC127" s="16"/>
      <c r="AD127" s="16"/>
      <c r="AE127" s="16"/>
      <c r="AF127" s="16"/>
      <c r="AG127" s="16"/>
      <c r="AH127" s="16"/>
      <c r="AI127" s="16"/>
      <c r="AJ127" s="16"/>
      <c r="AK127" s="16"/>
      <c r="AL127" s="2" t="e">
        <f>IF(AND(Y84&gt;=$W$11,Y84&lt;=$W$11+5),0,IF($C$9&gt;$AF$51,ROUND(AI87*#REF!/(DATEVALUE(CONCATENATE("01/01/",YEAR(Z84)+1))-DATEVALUE(CONCATENATE("01/01/",YEAR(Z84))))*(Z84-Z83),2),0))</f>
        <v>#REF!</v>
      </c>
      <c r="AM127" s="34">
        <f t="shared" si="91"/>
        <v>0</v>
      </c>
      <c r="AN127" s="57">
        <f t="shared" si="90"/>
        <v>62960</v>
      </c>
      <c r="BL127" s="2" t="e">
        <f>IF(AND(G82&gt;=$W$11,G82&lt;=$W$11+5),0,IF($C$9&gt;$AF$51,ROUND(BG81*IF(#REF!="",0,#REF!)/(DATEVALUE(CONCATENATE("01/01/",YEAR(AQ82)+1))-DATEVALUE(CONCATENATE("01/01/",YEAR(AQ82))))*(AQ82-AQ81),2),0))</f>
        <v>#REF!</v>
      </c>
    </row>
    <row r="128" spans="23:64" x14ac:dyDescent="0.25">
      <c r="W128" s="2" t="e">
        <f>IF(AND(G93&gt;=$W$11,G93&lt;=$W$11+5),0,IF($C$9&gt;$AF$51,ROUND(S92*#REF!/(DATEVALUE(CONCATENATE("01/01/",YEAR(H93)+1))-DATEVALUE(CONCATENATE("01/01/",YEAR(H93))))*(H93-H92),2),0))</f>
        <v>#REF!</v>
      </c>
      <c r="X128" s="34">
        <f t="shared" si="89"/>
        <v>0</v>
      </c>
      <c r="Y128" s="57">
        <f t="shared" si="87"/>
        <v>64785</v>
      </c>
      <c r="AC128" s="16"/>
      <c r="AD128" s="16"/>
      <c r="AE128" s="16"/>
      <c r="AF128" s="16"/>
      <c r="AG128" s="16"/>
      <c r="AH128" s="16"/>
      <c r="AI128" s="16"/>
      <c r="AJ128" s="16"/>
      <c r="AK128" s="60"/>
      <c r="AL128" s="2" t="e">
        <f>IF(AND(Y85&gt;=$W$11,Y85&lt;=$W$11+5),0,IF($C$9&gt;$AF$51,ROUND(AI88*#REF!/(DATEVALUE(CONCATENATE("01/01/",YEAR(Z85)+1))-DATEVALUE(CONCATENATE("01/01/",YEAR(Z85))))*(Z85-Z84),2),0))</f>
        <v>#REF!</v>
      </c>
      <c r="AM128" s="34">
        <f t="shared" si="91"/>
        <v>0</v>
      </c>
      <c r="AN128" s="57">
        <f t="shared" si="90"/>
        <v>63325</v>
      </c>
      <c r="BL128" s="2" t="e">
        <f>IF(AND(G83&gt;=$W$11,G83&lt;=$W$11+5),0,IF($C$9&gt;$AF$51,ROUND(BG82*IF(#REF!="",0,#REF!)/(DATEVALUE(CONCATENATE("01/01/",YEAR(AQ83)+1))-DATEVALUE(CONCATENATE("01/01/",YEAR(AQ83))))*(AQ83-AQ82),2),0))</f>
        <v>#REF!</v>
      </c>
    </row>
    <row r="129" spans="23:64" x14ac:dyDescent="0.25">
      <c r="W129" s="2" t="e">
        <f>IF(AND(G94&gt;=$W$11,G94&lt;=$W$11+5),0,IF($C$9&gt;$AF$51,ROUND(S93*#REF!/(DATEVALUE(CONCATENATE("01/01/",YEAR(H94)+1))-DATEVALUE(CONCATENATE("01/01/",YEAR(H94))))*(H94-H93),2),0))</f>
        <v>#REF!</v>
      </c>
      <c r="X129" s="34">
        <f t="shared" si="89"/>
        <v>0</v>
      </c>
      <c r="Y129" s="57">
        <f t="shared" si="87"/>
        <v>65150</v>
      </c>
      <c r="AC129" s="16"/>
      <c r="AD129" s="16"/>
      <c r="AE129" s="33"/>
      <c r="AF129" s="33"/>
      <c r="AG129" s="33"/>
      <c r="AH129" s="33"/>
      <c r="AI129" s="16"/>
      <c r="AL129" s="2" t="e">
        <f>IF(AND(Y86&gt;=$W$11,Y86&lt;=$W$11+5),0,IF($C$9&gt;$AF$51,ROUND(AI89*#REF!/(DATEVALUE(CONCATENATE("01/01/",YEAR(Z86)+1))-DATEVALUE(CONCATENATE("01/01/",YEAR(Z86))))*(Z86-Z85),2),0))</f>
        <v>#REF!</v>
      </c>
      <c r="AM129" s="34">
        <f t="shared" si="91"/>
        <v>0</v>
      </c>
      <c r="AN129" s="57">
        <f t="shared" si="90"/>
        <v>63690</v>
      </c>
      <c r="BL129" s="2" t="e">
        <f>IF(AND(G84&gt;=$W$11,G84&lt;=$W$11+5),0,IF($C$9&gt;$AF$51,ROUND(BG83*IF(#REF!="",0,#REF!)/(DATEVALUE(CONCATENATE("01/01/",YEAR(AQ84)+1))-DATEVALUE(CONCATENATE("01/01/",YEAR(AQ84))))*(AQ84-AQ83),2),0))</f>
        <v>#REF!</v>
      </c>
    </row>
    <row r="130" spans="23:64" x14ac:dyDescent="0.25">
      <c r="W130" s="2" t="e">
        <f>IF(AND(G95&gt;=$W$11,G95&lt;=$W$11+5),0,IF($C$9&gt;$AF$51,ROUND(S94*#REF!/(DATEVALUE(CONCATENATE("01/01/",YEAR(H95)+1))-DATEVALUE(CONCATENATE("01/01/",YEAR(H95))))*(H95-H94),2),0))</f>
        <v>#REF!</v>
      </c>
      <c r="X130" s="34">
        <f t="shared" si="89"/>
        <v>0</v>
      </c>
      <c r="Y130" s="57">
        <f t="shared" si="87"/>
        <v>65515</v>
      </c>
      <c r="AL130" s="2" t="e">
        <f>IF(AND(Y87&gt;=$W$11,Y87&lt;=$W$11+5),0,IF($C$9&gt;$AF$51,ROUND(AI90*#REF!/(DATEVALUE(CONCATENATE("01/01/",YEAR(Z87)+1))-DATEVALUE(CONCATENATE("01/01/",YEAR(Z87))))*(Z87-Z86),2),0))</f>
        <v>#REF!</v>
      </c>
      <c r="AM130" s="34">
        <f t="shared" si="91"/>
        <v>0</v>
      </c>
      <c r="AN130" s="57">
        <f t="shared" si="90"/>
        <v>64055</v>
      </c>
      <c r="BL130" s="2" t="e">
        <f>IF(AND(G85&gt;=$W$11,G85&lt;=$W$11+5),0,IF($C$9&gt;$AF$51,ROUND(BG84*IF(#REF!="",0,#REF!)/(DATEVALUE(CONCATENATE("01/01/",YEAR(AQ85)+1))-DATEVALUE(CONCATENATE("01/01/",YEAR(AQ85))))*(AQ85-AQ84),2),0))</f>
        <v>#REF!</v>
      </c>
    </row>
    <row r="131" spans="23:64" x14ac:dyDescent="0.25">
      <c r="W131" s="2" t="e">
        <f>IF(AND(G96&gt;=$W$11,G96&lt;=$W$11+5),0,IF($C$9&gt;$AF$51,ROUND(S95*#REF!/(DATEVALUE(CONCATENATE("01/01/",YEAR(H96)+1))-DATEVALUE(CONCATENATE("01/01/",YEAR(H96))))*(H96-H95),2),0))</f>
        <v>#REF!</v>
      </c>
      <c r="X131" s="34">
        <f t="shared" si="89"/>
        <v>0</v>
      </c>
      <c r="Y131" s="57">
        <f t="shared" si="87"/>
        <v>65880</v>
      </c>
      <c r="AL131" s="2" t="e">
        <f>IF(AND(Y88&gt;=$W$11,Y88&lt;=$W$11+5),0,IF($C$9&gt;$AF$51,ROUND(AI91*#REF!/(DATEVALUE(CONCATENATE("01/01/",YEAR(Z88)+1))-DATEVALUE(CONCATENATE("01/01/",YEAR(Z88))))*(Z88-Z87),2),0))</f>
        <v>#REF!</v>
      </c>
      <c r="AM131" s="34">
        <f t="shared" si="91"/>
        <v>0</v>
      </c>
      <c r="AN131" s="57">
        <f t="shared" si="90"/>
        <v>64420</v>
      </c>
      <c r="BL131" s="2" t="e">
        <f>IF(AND(G86&gt;=$W$11,G86&lt;=$W$11+5),0,IF($C$9&gt;$AF$51,ROUND(BG85*IF(#REF!="",0,#REF!)/(DATEVALUE(CONCATENATE("01/01/",YEAR(AQ86)+1))-DATEVALUE(CONCATENATE("01/01/",YEAR(AQ86))))*(AQ86-AQ85),2),0))</f>
        <v>#REF!</v>
      </c>
    </row>
    <row r="132" spans="23:64" x14ac:dyDescent="0.25">
      <c r="W132" s="2" t="e">
        <f>IF(AND(G97&gt;=$W$11,G97&lt;=$W$11+5),0,IF($C$9&gt;$AF$51,ROUND(S96*#REF!/(DATEVALUE(CONCATENATE("01/01/",YEAR(H97)+1))-DATEVALUE(CONCATENATE("01/01/",YEAR(H97))))*(H97-H96),2),0))</f>
        <v>#REF!</v>
      </c>
      <c r="X132" s="34">
        <f t="shared" si="89"/>
        <v>0</v>
      </c>
      <c r="Y132" s="57">
        <f t="shared" si="87"/>
        <v>66245</v>
      </c>
      <c r="AL132" s="2" t="e">
        <f>IF(AND(Y89&gt;=$W$11,Y89&lt;=$W$11+5),0,IF($C$9&gt;$AF$51,ROUND(AI92*#REF!/(DATEVALUE(CONCATENATE("01/01/",YEAR(Z89)+1))-DATEVALUE(CONCATENATE("01/01/",YEAR(Z89))))*(Z89-Z88),2),0))</f>
        <v>#REF!</v>
      </c>
      <c r="AM132" s="34">
        <f t="shared" si="91"/>
        <v>0</v>
      </c>
      <c r="AN132" s="57">
        <f t="shared" si="90"/>
        <v>64785</v>
      </c>
      <c r="BL132" s="2" t="e">
        <f>IF(AND(G87&gt;=$W$11,G87&lt;=$W$11+5),0,IF($C$9&gt;$AF$51,ROUND(BG86*IF(#REF!="",0,#REF!)/(DATEVALUE(CONCATENATE("01/01/",YEAR(AQ87)+1))-DATEVALUE(CONCATENATE("01/01/",YEAR(AQ87))))*(AQ87-AQ86),2),0))</f>
        <v>#REF!</v>
      </c>
    </row>
    <row r="133" spans="23:64" x14ac:dyDescent="0.25">
      <c r="W133" s="2" t="e">
        <f>IF(AND(G98&gt;=$W$11,G98&lt;=$W$11+5),0,IF($C$9&gt;$AF$51,ROUND(S97*#REF!/(DATEVALUE(CONCATENATE("01/01/",YEAR(H98)+1))-DATEVALUE(CONCATENATE("01/01/",YEAR(H98))))*(H98-H97),2),0))</f>
        <v>#REF!</v>
      </c>
      <c r="X133" s="34">
        <f t="shared" si="89"/>
        <v>0</v>
      </c>
      <c r="Y133" s="57">
        <f t="shared" si="87"/>
        <v>66610</v>
      </c>
      <c r="AL133" s="2" t="e">
        <f>IF(AND(Y90&gt;=$W$11,Y90&lt;=$W$11+5),0,IF($C$9&gt;$AF$51,ROUND(AI93*#REF!/(DATEVALUE(CONCATENATE("01/01/",YEAR(Z90)+1))-DATEVALUE(CONCATENATE("01/01/",YEAR(Z90))))*(Z90-Z89),2),0))</f>
        <v>#REF!</v>
      </c>
      <c r="AM133" s="34">
        <f t="shared" si="91"/>
        <v>0</v>
      </c>
      <c r="AN133" s="57">
        <f t="shared" si="90"/>
        <v>65150</v>
      </c>
      <c r="BL133" s="2" t="e">
        <f>IF(AND(G88&gt;=$W$11,G88&lt;=$W$11+5),0,IF($C$9&gt;$AF$51,ROUND(BG87*IF(#REF!="",0,#REF!)/(DATEVALUE(CONCATENATE("01/01/",YEAR(AQ88)+1))-DATEVALUE(CONCATENATE("01/01/",YEAR(AQ88))))*(AQ88-AQ87),2),0))</f>
        <v>#REF!</v>
      </c>
    </row>
    <row r="134" spans="23:64" x14ac:dyDescent="0.25">
      <c r="W134" s="2" t="e">
        <f>IF(AND(G99&gt;=$W$11,G99&lt;=$W$11+5),0,IF($C$9&gt;$AF$51,ROUND(S98*#REF!/(DATEVALUE(CONCATENATE("01/01/",YEAR(H99)+1))-DATEVALUE(CONCATENATE("01/01/",YEAR(H99))))*(H99-H98),2),0))</f>
        <v>#REF!</v>
      </c>
      <c r="X134" s="34">
        <f t="shared" si="89"/>
        <v>0</v>
      </c>
      <c r="Y134" s="57">
        <f t="shared" si="87"/>
        <v>66975</v>
      </c>
      <c r="AL134" s="2" t="e">
        <f>IF(AND(Y91&gt;=$W$11,Y91&lt;=$W$11+5),0,IF($C$9&gt;$AF$51,ROUND(AI94*#REF!/(DATEVALUE(CONCATENATE("01/01/",YEAR(Z91)+1))-DATEVALUE(CONCATENATE("01/01/",YEAR(Z91))))*(Z91-Z90),2),0))</f>
        <v>#REF!</v>
      </c>
      <c r="AM134" s="34">
        <f t="shared" si="91"/>
        <v>0</v>
      </c>
      <c r="AN134" s="57">
        <f t="shared" si="90"/>
        <v>65515</v>
      </c>
      <c r="BL134" s="2" t="e">
        <f>IF(AND(G89&gt;=$W$11,G89&lt;=$W$11+5),0,IF($C$9&gt;$AF$51,ROUND(BG88*IF(#REF!="",0,#REF!)/(DATEVALUE(CONCATENATE("01/01/",YEAR(AQ89)+1))-DATEVALUE(CONCATENATE("01/01/",YEAR(AQ89))))*(AQ89-AQ88),2),0))</f>
        <v>#REF!</v>
      </c>
    </row>
    <row r="135" spans="23:64" x14ac:dyDescent="0.25">
      <c r="W135" s="2" t="e">
        <f>IF(AND(G100&gt;=$W$11,G100&lt;=$W$11+5),0,IF($C$9&gt;$AF$51,ROUND(S99*#REF!/(DATEVALUE(CONCATENATE("01/01/",YEAR(H100)+1))-DATEVALUE(CONCATENATE("01/01/",YEAR(H100))))*(H100-H99),2),0))</f>
        <v>#REF!</v>
      </c>
      <c r="X135" s="34">
        <f t="shared" si="89"/>
        <v>0</v>
      </c>
      <c r="Y135" s="57">
        <f t="shared" si="87"/>
        <v>67340</v>
      </c>
      <c r="AL135" s="2" t="e">
        <f>IF(AND(Y92&gt;=$W$11,Y92&lt;=$W$11+5),0,IF($C$9&gt;$AF$51,ROUND(AI95*#REF!/(DATEVALUE(CONCATENATE("01/01/",YEAR(Z92)+1))-DATEVALUE(CONCATENATE("01/01/",YEAR(Z92))))*(Z92-Z91),2),0))</f>
        <v>#REF!</v>
      </c>
      <c r="AM135" s="34">
        <f t="shared" si="91"/>
        <v>0</v>
      </c>
      <c r="AN135" s="57">
        <f t="shared" si="90"/>
        <v>65880</v>
      </c>
      <c r="BL135" s="2" t="e">
        <f>IF(AND(G90&gt;=$W$11,G90&lt;=$W$11+5),0,IF($C$9&gt;$AF$51,ROUND(BG89*IF(#REF!="",0,#REF!)/(DATEVALUE(CONCATENATE("01/01/",YEAR(AQ90)+1))-DATEVALUE(CONCATENATE("01/01/",YEAR(AQ90))))*(AQ90-AQ89),2),0))</f>
        <v>#REF!</v>
      </c>
    </row>
    <row r="136" spans="23:64" x14ac:dyDescent="0.25">
      <c r="W136" s="2" t="e">
        <f>IF(AND(G101&gt;=$W$11,G101&lt;=$W$11+5),0,IF($C$9&gt;$AF$51,ROUND(S100*#REF!/(DATEVALUE(CONCATENATE("01/01/",YEAR(H101)+1))-DATEVALUE(CONCATENATE("01/01/",YEAR(H101))))*(H101-H100),2),0))</f>
        <v>#REF!</v>
      </c>
      <c r="X136" s="34">
        <f t="shared" si="89"/>
        <v>0</v>
      </c>
      <c r="Y136" s="57">
        <f t="shared" si="87"/>
        <v>67705</v>
      </c>
      <c r="AL136" s="2" t="e">
        <f>IF(AND(Y93&gt;=$W$11,Y93&lt;=$W$11+5),0,IF($C$9&gt;$AF$51,ROUND(AI96*#REF!/(DATEVALUE(CONCATENATE("01/01/",YEAR(Z93)+1))-DATEVALUE(CONCATENATE("01/01/",YEAR(Z93))))*(Z93-Z92),2),0))</f>
        <v>#REF!</v>
      </c>
      <c r="AM136" s="34">
        <f t="shared" si="91"/>
        <v>0</v>
      </c>
      <c r="AN136" s="57">
        <f t="shared" si="90"/>
        <v>66245</v>
      </c>
      <c r="BL136" s="2" t="e">
        <f>IF(AND(G91&gt;=$W$11,G91&lt;=$W$11+5),0,IF($C$9&gt;$AF$51,ROUND(BG90*IF(#REF!="",0,#REF!)/(DATEVALUE(CONCATENATE("01/01/",YEAR(AQ91)+1))-DATEVALUE(CONCATENATE("01/01/",YEAR(AQ91))))*(AQ91-AQ90),2),0))</f>
        <v>#REF!</v>
      </c>
    </row>
    <row r="137" spans="23:64" x14ac:dyDescent="0.25">
      <c r="W137" s="2" t="e">
        <f>IF(AND(G102&gt;=$W$11,G102&lt;=$W$11+5),0,IF($C$9&gt;$AF$51,ROUND(S101*#REF!/(DATEVALUE(CONCATENATE("01/01/",YEAR(H102)+1))-DATEVALUE(CONCATENATE("01/01/",YEAR(H102))))*(H102-H101),2),0))</f>
        <v>#REF!</v>
      </c>
      <c r="X137" s="34">
        <f t="shared" si="89"/>
        <v>0</v>
      </c>
      <c r="Y137" s="57">
        <f t="shared" si="87"/>
        <v>68070</v>
      </c>
      <c r="AL137" s="2" t="e">
        <f>IF(AND(Y94&gt;=$W$11,Y94&lt;=$W$11+5),0,IF($C$9&gt;$AF$51,ROUND(AI97*#REF!/(DATEVALUE(CONCATENATE("01/01/",YEAR(Z94)+1))-DATEVALUE(CONCATENATE("01/01/",YEAR(Z94))))*(Z94-Z93),2),0))</f>
        <v>#REF!</v>
      </c>
      <c r="AM137" s="34">
        <f t="shared" si="91"/>
        <v>0</v>
      </c>
      <c r="AN137" s="57">
        <f t="shared" si="90"/>
        <v>66610</v>
      </c>
      <c r="BL137" s="2" t="e">
        <f>IF(AND(G92&gt;=$W$11,G92&lt;=$W$11+5),0,IF($C$9&gt;$AF$51,ROUND(BG91*IF(#REF!="",0,#REF!)/(DATEVALUE(CONCATENATE("01/01/",YEAR(AQ92)+1))-DATEVALUE(CONCATENATE("01/01/",YEAR(AQ92))))*(AQ92-AQ91),2),0))</f>
        <v>#REF!</v>
      </c>
    </row>
    <row r="138" spans="23:64" x14ac:dyDescent="0.25">
      <c r="W138" s="2" t="e">
        <f>IF(AND(G103&gt;=$W$11,G103&lt;=$W$11+5),0,IF($C$9&gt;$AF$51,ROUND(S102*#REF!/(DATEVALUE(CONCATENATE("01/01/",YEAR(H103)+1))-DATEVALUE(CONCATENATE("01/01/",YEAR(H103))))*(H103-H102),2),0))</f>
        <v>#REF!</v>
      </c>
      <c r="X138" s="34">
        <f t="shared" si="89"/>
        <v>0</v>
      </c>
      <c r="Y138" s="57">
        <f t="shared" si="87"/>
        <v>68435</v>
      </c>
      <c r="AL138" s="2" t="e">
        <f>IF(AND(Y95&gt;=$W$11,Y95&lt;=$W$11+5),0,IF($C$9&gt;$AF$51,ROUND(AI98*#REF!/(DATEVALUE(CONCATENATE("01/01/",YEAR(Z95)+1))-DATEVALUE(CONCATENATE("01/01/",YEAR(Z95))))*(Z95-Z94),2),0))</f>
        <v>#REF!</v>
      </c>
      <c r="AM138" s="34">
        <f t="shared" si="91"/>
        <v>0</v>
      </c>
      <c r="AN138" s="57">
        <f t="shared" si="90"/>
        <v>66975</v>
      </c>
      <c r="BL138" s="2" t="e">
        <f>IF(AND(G93&gt;=$W$11,G93&lt;=$W$11+5),0,IF($C$9&gt;$AF$51,ROUND(BG92*IF(#REF!="",0,#REF!)/(DATEVALUE(CONCATENATE("01/01/",YEAR(AQ93)+1))-DATEVALUE(CONCATENATE("01/01/",YEAR(AQ93))))*(AQ93-AQ92),2),0))</f>
        <v>#REF!</v>
      </c>
    </row>
    <row r="139" spans="23:64" x14ac:dyDescent="0.25">
      <c r="W139" s="2" t="e">
        <f>IF(AND(G104&gt;=$W$11,G104&lt;=$W$11+5),0,IF($C$9&gt;$AF$51,ROUND(S103*#REF!/(DATEVALUE(CONCATENATE("01/01/",YEAR(H104)+1))-DATEVALUE(CONCATENATE("01/01/",YEAR(H104))))*(H104-H103),2),0))</f>
        <v>#REF!</v>
      </c>
      <c r="X139" s="34">
        <f t="shared" si="89"/>
        <v>0</v>
      </c>
      <c r="Y139" s="57">
        <f t="shared" si="87"/>
        <v>68800</v>
      </c>
      <c r="AL139" s="2" t="e">
        <f>IF(AND(Y96&gt;=$W$11,Y96&lt;=$W$11+5),0,IF($C$9&gt;$AF$51,ROUND(AI99*#REF!/(DATEVALUE(CONCATENATE("01/01/",YEAR(Z96)+1))-DATEVALUE(CONCATENATE("01/01/",YEAR(Z96))))*(Z96-Z95),2),0))</f>
        <v>#REF!</v>
      </c>
      <c r="AM139" s="34">
        <f t="shared" si="91"/>
        <v>0</v>
      </c>
      <c r="AN139" s="57">
        <f t="shared" si="90"/>
        <v>67340</v>
      </c>
      <c r="BL139" s="2" t="e">
        <f>IF(AND(G94&gt;=$W$11,G94&lt;=$W$11+5),0,IF($C$9&gt;$AF$51,ROUND(BG93*IF(#REF!="",0,#REF!)/(DATEVALUE(CONCATENATE("01/01/",YEAR(AQ94)+1))-DATEVALUE(CONCATENATE("01/01/",YEAR(AQ94))))*(AQ94-AQ93),2),0))</f>
        <v>#REF!</v>
      </c>
    </row>
    <row r="140" spans="23:64" x14ac:dyDescent="0.25">
      <c r="W140" s="2" t="e">
        <f>IF(AND(G105&gt;=$W$11,G105&lt;=$W$11+5),0,IF($C$9&gt;$AF$51,ROUND(S104*#REF!/(DATEVALUE(CONCATENATE("01/01/",YEAR(H105)+1))-DATEVALUE(CONCATENATE("01/01/",YEAR(H105))))*(H105-H104),2),0))</f>
        <v>#REF!</v>
      </c>
      <c r="X140" s="34">
        <f t="shared" si="89"/>
        <v>0</v>
      </c>
      <c r="Y140" s="57">
        <f t="shared" si="87"/>
        <v>69165</v>
      </c>
      <c r="AL140" s="2" t="e">
        <f>IF(AND(Y97&gt;=$W$11,Y97&lt;=$W$11+5),0,IF($C$9&gt;$AF$51,ROUND(AI100*#REF!/(DATEVALUE(CONCATENATE("01/01/",YEAR(Z97)+1))-DATEVALUE(CONCATENATE("01/01/",YEAR(Z97))))*(Z97-Z96),2),0))</f>
        <v>#REF!</v>
      </c>
      <c r="AM140" s="34">
        <f t="shared" si="91"/>
        <v>0</v>
      </c>
      <c r="AN140" s="57">
        <f t="shared" si="90"/>
        <v>67705</v>
      </c>
      <c r="BL140" s="2" t="e">
        <f>IF(AND(G95&gt;=$W$11,G95&lt;=$W$11+5),0,IF($C$9&gt;$AF$51,ROUND(BG94*IF(#REF!="",0,#REF!)/(DATEVALUE(CONCATENATE("01/01/",YEAR(AQ95)+1))-DATEVALUE(CONCATENATE("01/01/",YEAR(AQ95))))*(AQ95-AQ94),2),0))</f>
        <v>#REF!</v>
      </c>
    </row>
    <row r="141" spans="23:64" x14ac:dyDescent="0.25">
      <c r="W141" s="2" t="e">
        <f>IF(AND(G106&gt;=$W$11,G106&lt;=$W$11+5),0,IF($C$9&gt;$AF$51,ROUND(S105*#REF!/(DATEVALUE(CONCATENATE("01/01/",YEAR(H106)+1))-DATEVALUE(CONCATENATE("01/01/",YEAR(H106))))*(H106-H105),2),0))</f>
        <v>#REF!</v>
      </c>
      <c r="X141" s="34">
        <f t="shared" si="89"/>
        <v>0</v>
      </c>
      <c r="Y141" s="57">
        <f t="shared" si="87"/>
        <v>69530</v>
      </c>
      <c r="AL141" s="2" t="e">
        <f>IF(AND(Y98&gt;=$W$11,Y98&lt;=$W$11+5),0,IF($C$9&gt;$AF$51,ROUND(AI101*#REF!/(DATEVALUE(CONCATENATE("01/01/",YEAR(Z98)+1))-DATEVALUE(CONCATENATE("01/01/",YEAR(Z98))))*(Z98-Z97),2),0))</f>
        <v>#REF!</v>
      </c>
      <c r="AM141" s="34">
        <f t="shared" si="91"/>
        <v>0</v>
      </c>
      <c r="AN141" s="57">
        <f t="shared" si="90"/>
        <v>68070</v>
      </c>
      <c r="BL141" s="2" t="e">
        <f>IF(AND(G96&gt;=$W$11,G96&lt;=$W$11+5),0,IF($C$9&gt;$AF$51,ROUND(BG95*IF(#REF!="",0,#REF!)/(DATEVALUE(CONCATENATE("01/01/",YEAR(AQ96)+1))-DATEVALUE(CONCATENATE("01/01/",YEAR(AQ96))))*(AQ96-AQ95),2),0))</f>
        <v>#REF!</v>
      </c>
    </row>
    <row r="142" spans="23:64" x14ac:dyDescent="0.25">
      <c r="W142" s="2" t="e">
        <f>IF(AND(G107&gt;=$W$11,G107&lt;=$W$11+5),0,IF($C$9&gt;$AF$51,ROUND(S106*#REF!/(DATEVALUE(CONCATENATE("01/01/",YEAR(H107)+1))-DATEVALUE(CONCATENATE("01/01/",YEAR(H107))))*(H107-H106),2),0))</f>
        <v>#REF!</v>
      </c>
      <c r="X142" s="34">
        <f t="shared" si="89"/>
        <v>0</v>
      </c>
      <c r="Y142" s="57">
        <f t="shared" si="87"/>
        <v>69895</v>
      </c>
      <c r="AL142" s="2" t="e">
        <f>IF(AND(Y99&gt;=$W$11,Y99&lt;=$W$11+5),0,IF($C$9&gt;$AF$51,ROUND(AI102*#REF!/(DATEVALUE(CONCATENATE("01/01/",YEAR(Z99)+1))-DATEVALUE(CONCATENATE("01/01/",YEAR(Z99))))*(Z99-Z98),2),0))</f>
        <v>#REF!</v>
      </c>
      <c r="AM142" s="34">
        <f t="shared" si="91"/>
        <v>0</v>
      </c>
      <c r="AN142" s="57">
        <f t="shared" si="90"/>
        <v>68435</v>
      </c>
      <c r="BL142" s="2" t="e">
        <f>IF(AND(G97&gt;=$W$11,G97&lt;=$W$11+5),0,IF($C$9&gt;$AF$51,ROUND(BG96*IF(#REF!="",0,#REF!)/(DATEVALUE(CONCATENATE("01/01/",YEAR(AQ97)+1))-DATEVALUE(CONCATENATE("01/01/",YEAR(AQ97))))*(AQ97-AQ96),2),0))</f>
        <v>#REF!</v>
      </c>
    </row>
    <row r="143" spans="23:64" x14ac:dyDescent="0.25">
      <c r="W143" s="2" t="e">
        <f>IF(AND(G108&gt;=$W$11,G108&lt;=$W$11+5),0,IF($C$9&gt;$AF$51,ROUND(S107*#REF!/(DATEVALUE(CONCATENATE("01/01/",YEAR(H108)+1))-DATEVALUE(CONCATENATE("01/01/",YEAR(H108))))*(H108-H107),2),0))</f>
        <v>#REF!</v>
      </c>
      <c r="X143" s="34">
        <f>IF(K108 &gt; 0, $K$9, 0)</f>
        <v>0</v>
      </c>
      <c r="Y143" s="57">
        <f t="shared" si="87"/>
        <v>70260</v>
      </c>
      <c r="AL143" s="2" t="e">
        <f>IF(AND(Y100&gt;=$W$11,Y100&lt;=$W$11+5),0,IF($C$9&gt;$AF$51,ROUND(AI103*#REF!/(DATEVALUE(CONCATENATE("01/01/",YEAR(Z100)+1))-DATEVALUE(CONCATENATE("01/01/",YEAR(Z100))))*(Z100-Z99),2),0))</f>
        <v>#REF!</v>
      </c>
      <c r="AM143" s="34">
        <f t="shared" si="91"/>
        <v>0</v>
      </c>
      <c r="AN143" s="57">
        <f t="shared" si="90"/>
        <v>68800</v>
      </c>
      <c r="BL143" s="2" t="e">
        <f>IF(AND(G98&gt;=$W$11,G98&lt;=$W$11+5),0,IF($C$9&gt;$AF$51,ROUND(BG97*IF(#REF!="",0,#REF!)/(DATEVALUE(CONCATENATE("01/01/",YEAR(AQ98)+1))-DATEVALUE(CONCATENATE("01/01/",YEAR(AQ98))))*(AQ98-AQ97),2),0))</f>
        <v>#REF!</v>
      </c>
    </row>
    <row r="144" spans="23:64" x14ac:dyDescent="0.25">
      <c r="W144" s="35" t="e">
        <f>SUM(W44:W143)</f>
        <v>#REF!</v>
      </c>
      <c r="X144" s="35">
        <f>SUM(X44:X143)</f>
        <v>497340</v>
      </c>
      <c r="Y144" s="154">
        <f>XIRR(X42:X143,Y42:Y143)*12</f>
        <v>0.20905247926712039</v>
      </c>
      <c r="AL144" s="2" t="e">
        <f>IF(AND(Y101&gt;=$W$11,Y101&lt;=$W$11+5),0,IF($C$9&gt;$AF$51,ROUND(AI104*#REF!/(DATEVALUE(CONCATENATE("01/01/",YEAR(Z101)+1))-DATEVALUE(CONCATENATE("01/01/",YEAR(Z101))))*(Z101-Z100),2),0))</f>
        <v>#REF!</v>
      </c>
      <c r="AM144" s="34">
        <f t="shared" si="91"/>
        <v>0</v>
      </c>
      <c r="AN144" s="57">
        <f t="shared" si="90"/>
        <v>69165</v>
      </c>
      <c r="BL144" s="2" t="e">
        <f>IF(AND(G99&gt;=$W$11,G99&lt;=$W$11+5),0,IF($C$9&gt;$AF$51,ROUND(BG98*IF(#REF!="",0,#REF!)/(DATEVALUE(CONCATENATE("01/01/",YEAR(AQ99)+1))-DATEVALUE(CONCATENATE("01/01/",YEAR(AQ99))))*(AQ99-AQ98),2),0))</f>
        <v>#REF!</v>
      </c>
    </row>
    <row r="145" spans="24:64" x14ac:dyDescent="0.25">
      <c r="X145" s="34"/>
      <c r="Y145" s="57"/>
      <c r="AL145" s="2" t="e">
        <f>IF(AND(Y102&gt;=$W$11,Y102&lt;=$W$11+5),0,IF($C$9&gt;$AF$51,ROUND(AI105*#REF!/(DATEVALUE(CONCATENATE("01/01/",YEAR(Z102)+1))-DATEVALUE(CONCATENATE("01/01/",YEAR(Z102))))*(Z102-Z101),2),0))</f>
        <v>#REF!</v>
      </c>
      <c r="AM145" s="34">
        <f t="shared" si="91"/>
        <v>0</v>
      </c>
      <c r="AN145" s="57">
        <f t="shared" si="90"/>
        <v>69530</v>
      </c>
      <c r="BL145" s="2" t="e">
        <f>IF(AND(G100&gt;=$W$11,G100&lt;=$W$11+5),0,IF($C$9&gt;$AF$51,ROUND(BG99*IF(#REF!="",0,#REF!)/(DATEVALUE(CONCATENATE("01/01/",YEAR(AQ100)+1))-DATEVALUE(CONCATENATE("01/01/",YEAR(AQ100))))*(AQ100-AQ99),2),0))</f>
        <v>#REF!</v>
      </c>
    </row>
    <row r="146" spans="24:64" x14ac:dyDescent="0.25">
      <c r="X146" s="34"/>
      <c r="Y146" s="57"/>
      <c r="AL146" s="2" t="e">
        <f>IF(AND(Y103&gt;=$W$11,Y103&lt;=$W$11+5),0,IF($C$9&gt;$AF$51,ROUND(AI106*#REF!/(DATEVALUE(CONCATENATE("01/01/",YEAR(Z103)+1))-DATEVALUE(CONCATENATE("01/01/",YEAR(Z103))))*(Z103-Z102),2),0))</f>
        <v>#REF!</v>
      </c>
      <c r="AM146" s="34">
        <f t="shared" si="91"/>
        <v>0</v>
      </c>
      <c r="AN146" s="57">
        <f t="shared" si="90"/>
        <v>69895</v>
      </c>
      <c r="BL146" s="2" t="e">
        <f>IF(AND(G101&gt;=$W$11,G101&lt;=$W$11+5),0,IF($C$9&gt;$AF$51,ROUND(BG100*IF(#REF!="",0,#REF!)/(DATEVALUE(CONCATENATE("01/01/",YEAR(AQ101)+1))-DATEVALUE(CONCATENATE("01/01/",YEAR(AQ101))))*(AQ101-AQ100),2),0))</f>
        <v>#REF!</v>
      </c>
    </row>
    <row r="147" spans="24:64" x14ac:dyDescent="0.25">
      <c r="X147" s="34"/>
      <c r="Y147" s="57"/>
      <c r="AL147" s="2" t="e">
        <f>IF(AND(Y104&gt;=$W$11,Y104&lt;=$W$11+5),0,IF($C$9&gt;$AF$51,ROUND(AI107*#REF!/(DATEVALUE(CONCATENATE("01/01/",YEAR(Z104)+1))-DATEVALUE(CONCATENATE("01/01/",YEAR(Z104))))*(Z104-Z103),2),0))</f>
        <v>#REF!</v>
      </c>
      <c r="AM147" s="34">
        <f t="shared" si="91"/>
        <v>0</v>
      </c>
      <c r="AN147" s="57">
        <f t="shared" si="90"/>
        <v>70260</v>
      </c>
      <c r="BL147" s="2" t="e">
        <f>IF(AND(G102&gt;=$W$11,G102&lt;=$W$11+5),0,IF($C$9&gt;$AF$51,ROUND(BG101*IF(#REF!="",0,#REF!)/(DATEVALUE(CONCATENATE("01/01/",YEAR(AQ102)+1))-DATEVALUE(CONCATENATE("01/01/",YEAR(AQ102))))*(AQ102-AQ101),2),0))</f>
        <v>#REF!</v>
      </c>
    </row>
    <row r="148" spans="24:64" x14ac:dyDescent="0.25">
      <c r="X148" s="34"/>
      <c r="Y148" s="57"/>
      <c r="AL148" s="35" t="e">
        <f>SUM(AL48:AL147)</f>
        <v>#REF!</v>
      </c>
      <c r="AM148" s="35">
        <f>SUM(AM48:AM147)</f>
        <v>497340</v>
      </c>
      <c r="AN148" s="154">
        <f>XIRR(AM46:AM147,AN46:AN147)*12</f>
        <v>0.20905247926712039</v>
      </c>
      <c r="BL148" s="2" t="e">
        <f>IF(AND(G103&gt;=$W$11,G103&lt;=$W$11+5),0,IF($C$9&gt;$AF$51,ROUND(BG102*IF(#REF!="",0,#REF!)/(DATEVALUE(CONCATENATE("01/01/",YEAR(AQ103)+1))-DATEVALUE(CONCATENATE("01/01/",YEAR(AQ103))))*(AQ103-AQ102),2),0))</f>
        <v>#REF!</v>
      </c>
    </row>
    <row r="149" spans="24:64" x14ac:dyDescent="0.25">
      <c r="BL149" s="2" t="e">
        <f>IF(AND(G104&gt;=$W$11,G104&lt;=$W$11+5),0,IF($C$9&gt;$AF$51,ROUND(BG103*IF(#REF!="",0,#REF!)/(DATEVALUE(CONCATENATE("01/01/",YEAR(AQ104)+1))-DATEVALUE(CONCATENATE("01/01/",YEAR(AQ104))))*(AQ104-AQ103),2),0))</f>
        <v>#REF!</v>
      </c>
    </row>
    <row r="150" spans="24:64" x14ac:dyDescent="0.25">
      <c r="BL150" s="2" t="e">
        <f>IF(AND(G105&gt;=$W$11,G105&lt;=$W$11+5),0,IF($C$9&gt;$AF$51,ROUND(BG104*IF(#REF!="",0,#REF!)/(DATEVALUE(CONCATENATE("01/01/",YEAR(AQ105)+1))-DATEVALUE(CONCATENATE("01/01/",YEAR(AQ105))))*(AQ105-AQ104),2),0))</f>
        <v>#REF!</v>
      </c>
    </row>
    <row r="151" spans="24:64" x14ac:dyDescent="0.25">
      <c r="BL151" s="2" t="e">
        <f>IF(AND(G106&gt;=$W$11,G106&lt;=$W$11+5),0,IF($C$9&gt;$AF$51,ROUND(BG105*IF(#REF!="",0,#REF!)/(DATEVALUE(CONCATENATE("01/01/",YEAR(AQ106)+1))-DATEVALUE(CONCATENATE("01/01/",YEAR(AQ106))))*(AQ106-AQ105),2),0))</f>
        <v>#REF!</v>
      </c>
    </row>
    <row r="152" spans="24:64" x14ac:dyDescent="0.25">
      <c r="BL152" s="2" t="e">
        <f>IF(AND(G107&gt;=$W$11,G107&lt;=$W$11+5),0,IF($C$9&gt;$AF$51,ROUND(BG106*IF(#REF!="",0,#REF!)/(DATEVALUE(CONCATENATE("01/01/",YEAR(AQ107)+1))-DATEVALUE(CONCATENATE("01/01/",YEAR(AQ107))))*(AQ107-AQ106),2),0))</f>
        <v>#REF!</v>
      </c>
    </row>
    <row r="153" spans="24:64" x14ac:dyDescent="0.25">
      <c r="BL153" s="2" t="e">
        <f>IF(AND(G108&gt;=$W$11,G108&lt;=$W$11+5),0,IF($C$9&gt;$AF$51,ROUND(BG107*IF(#REF!="",0,#REF!)/(DATEVALUE(CONCATENATE("01/01/",YEAR(AQ108)+1))-DATEVALUE(CONCATENATE("01/01/",YEAR(AQ108))))*(AQ108-AQ107),2),0))</f>
        <v>#REF!</v>
      </c>
    </row>
    <row r="154" spans="24:64" x14ac:dyDescent="0.25">
      <c r="BL154" s="35" t="e">
        <f>SUM(BL54:BL153)</f>
        <v>#REF!</v>
      </c>
    </row>
  </sheetData>
  <sheetProtection sheet="1" selectLockedCells="1"/>
  <dataConsolidate/>
  <mergeCells count="63">
    <mergeCell ref="AC85:AI85"/>
    <mergeCell ref="AP3:BH4"/>
    <mergeCell ref="BN3:BT3"/>
    <mergeCell ref="A5:E5"/>
    <mergeCell ref="K6:K7"/>
    <mergeCell ref="A7:B7"/>
    <mergeCell ref="C7:D7"/>
    <mergeCell ref="BN7:BN8"/>
    <mergeCell ref="BO7:BO8"/>
    <mergeCell ref="BR7:BR8"/>
    <mergeCell ref="BS7:BS8"/>
    <mergeCell ref="AP6:AP7"/>
    <mergeCell ref="AQ6:AQ7"/>
    <mergeCell ref="A16:A18"/>
    <mergeCell ref="BT7:BT8"/>
    <mergeCell ref="A8:B8"/>
    <mergeCell ref="A1:E2"/>
    <mergeCell ref="A3:E3"/>
    <mergeCell ref="G3:U4"/>
    <mergeCell ref="A6:B6"/>
    <mergeCell ref="C6:D6"/>
    <mergeCell ref="G6:G7"/>
    <mergeCell ref="H6:H7"/>
    <mergeCell ref="I6:I7"/>
    <mergeCell ref="L6:L7"/>
    <mergeCell ref="M6:M7"/>
    <mergeCell ref="S6:S7"/>
    <mergeCell ref="T6:T7"/>
    <mergeCell ref="BO10:BO11"/>
    <mergeCell ref="A11:B11"/>
    <mergeCell ref="AR6:AR7"/>
    <mergeCell ref="AT6:AT7"/>
    <mergeCell ref="AU6:AU7"/>
    <mergeCell ref="AV6:AV7"/>
    <mergeCell ref="BG6:BG7"/>
    <mergeCell ref="BN6:BT6"/>
    <mergeCell ref="A9:B9"/>
    <mergeCell ref="C9:D9"/>
    <mergeCell ref="A10:B10"/>
    <mergeCell ref="C10:D10"/>
    <mergeCell ref="BN10:BN11"/>
    <mergeCell ref="A12:B12"/>
    <mergeCell ref="A13:B13"/>
    <mergeCell ref="BN13:BN14"/>
    <mergeCell ref="BO13:BO14"/>
    <mergeCell ref="A14:A15"/>
    <mergeCell ref="A31:B31"/>
    <mergeCell ref="A20:E20"/>
    <mergeCell ref="A21:E21"/>
    <mergeCell ref="A22:C22"/>
    <mergeCell ref="A23:B23"/>
    <mergeCell ref="A24:B24"/>
    <mergeCell ref="A25:B25"/>
    <mergeCell ref="A26:B26"/>
    <mergeCell ref="A27:B27"/>
    <mergeCell ref="A28:B28"/>
    <mergeCell ref="A29:B29"/>
    <mergeCell ref="A30:B30"/>
    <mergeCell ref="A32:E32"/>
    <mergeCell ref="A33:A34"/>
    <mergeCell ref="BN33:BN35"/>
    <mergeCell ref="A35:B35"/>
    <mergeCell ref="A36:B36"/>
  </mergeCells>
  <conditionalFormatting sqref="D17">
    <cfRule type="cellIs" dxfId="9" priority="1" operator="notEqual">
      <formula>""</formula>
    </cfRule>
  </conditionalFormatting>
  <dataValidations count="6">
    <dataValidation type="list" allowBlank="1" showInputMessage="1" showErrorMessage="1" sqref="C16" xr:uid="{00000000-0002-0000-0A00-000000000000}">
      <formula1>$AC$30:$AD$30</formula1>
    </dataValidation>
    <dataValidation type="list" allowBlank="1" showInputMessage="1" showErrorMessage="1" sqref="C10:D10" xr:uid="{00000000-0002-0000-0A00-000001000000}">
      <formula1>$G$44:$G$68</formula1>
    </dataValidation>
    <dataValidation type="list" allowBlank="1" showInputMessage="1" showErrorMessage="1" sqref="C12" xr:uid="{00000000-0002-0000-0A00-000002000000}">
      <formula1>$W$3:$AA$3</formula1>
    </dataValidation>
    <dataValidation type="list" allowBlank="1" showInputMessage="1" showErrorMessage="1" sqref="C14" xr:uid="{00000000-0002-0000-0A00-000003000000}">
      <formula1>$Y$28:$Z$28</formula1>
    </dataValidation>
    <dataValidation type="list" allowBlank="1" showInputMessage="1" showErrorMessage="1" sqref="C8" xr:uid="{00000000-0002-0000-0A00-000004000000}">
      <formula1>$AG$59</formula1>
    </dataValidation>
    <dataValidation type="list" allowBlank="1" showInputMessage="1" showErrorMessage="1" sqref="C11" xr:uid="{00000000-0002-0000-0A00-000005000000}">
      <formula1>$AB$4:$AB$11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1" fitToWidth="2" orientation="portrait" r:id="rId1"/>
  <colBreaks count="1" manualBreakCount="1">
    <brk id="5" max="108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TS154"/>
  <sheetViews>
    <sheetView view="pageBreakPreview" zoomScale="70" zoomScaleNormal="90" zoomScaleSheetLayoutView="70" workbookViewId="0">
      <selection activeCell="C7" sqref="C7:D7"/>
    </sheetView>
  </sheetViews>
  <sheetFormatPr defaultColWidth="8.6640625" defaultRowHeight="13.2" x14ac:dyDescent="0.25"/>
  <cols>
    <col min="1" max="1" width="41.6640625" style="2" customWidth="1"/>
    <col min="2" max="2" width="35.6640625" style="2" customWidth="1"/>
    <col min="3" max="3" width="24.109375" style="1" customWidth="1"/>
    <col min="4" max="4" width="31.44140625" style="1" hidden="1" customWidth="1"/>
    <col min="5" max="5" width="2.6640625" style="1" hidden="1" customWidth="1"/>
    <col min="6" max="6" width="7" style="1" customWidth="1"/>
    <col min="7" max="7" width="7.6640625" style="1" customWidth="1"/>
    <col min="8" max="9" width="13.44140625" style="1" customWidth="1"/>
    <col min="10" max="10" width="15.44140625" style="1" customWidth="1"/>
    <col min="11" max="11" width="15.44140625" style="2" customWidth="1"/>
    <col min="12" max="12" width="12.109375" style="1" customWidth="1"/>
    <col min="13" max="16" width="15" style="3" hidden="1" customWidth="1"/>
    <col min="17" max="17" width="14.44140625" style="3" hidden="1" customWidth="1"/>
    <col min="18" max="18" width="14.44140625" style="2" customWidth="1"/>
    <col min="19" max="20" width="14.44140625" style="2" hidden="1" customWidth="1"/>
    <col min="21" max="21" width="14.44140625" style="44" hidden="1" customWidth="1"/>
    <col min="22" max="23" width="17.6640625" style="2" hidden="1" customWidth="1"/>
    <col min="24" max="24" width="18.33203125" style="2" hidden="1" customWidth="1"/>
    <col min="25" max="25" width="13.109375" style="2" hidden="1" customWidth="1"/>
    <col min="26" max="26" width="20" style="2" hidden="1" customWidth="1"/>
    <col min="27" max="27" width="19.6640625" style="2" hidden="1" customWidth="1"/>
    <col min="28" max="28" width="37.33203125" style="2" hidden="1" customWidth="1"/>
    <col min="29" max="29" width="33.6640625" style="2" hidden="1" customWidth="1"/>
    <col min="30" max="30" width="19" style="2" hidden="1" customWidth="1"/>
    <col min="31" max="31" width="32.44140625" style="3" hidden="1" customWidth="1"/>
    <col min="32" max="32" width="31.109375" style="3" hidden="1" customWidth="1"/>
    <col min="33" max="33" width="14.44140625" style="3" hidden="1" customWidth="1"/>
    <col min="34" max="34" width="17" style="3" hidden="1" customWidth="1"/>
    <col min="35" max="35" width="13.44140625" style="2" hidden="1" customWidth="1"/>
    <col min="36" max="36" width="14.44140625" style="2" hidden="1" customWidth="1"/>
    <col min="37" max="37" width="14.44140625" style="57" hidden="1" customWidth="1"/>
    <col min="38" max="41" width="14.44140625" style="2" hidden="1" customWidth="1"/>
    <col min="42" max="42" width="6.33203125" style="2" hidden="1" customWidth="1"/>
    <col min="43" max="44" width="14.44140625" style="2" hidden="1" customWidth="1"/>
    <col min="45" max="45" width="13.109375" style="2" hidden="1" customWidth="1"/>
    <col min="46" max="46" width="13.6640625" style="2" hidden="1" customWidth="1"/>
    <col min="47" max="47" width="12" style="2" hidden="1" customWidth="1"/>
    <col min="48" max="49" width="13.6640625" style="2" hidden="1" customWidth="1"/>
    <col min="50" max="56" width="8.6640625" style="2" hidden="1" customWidth="1"/>
    <col min="57" max="57" width="14" style="2" hidden="1" customWidth="1"/>
    <col min="58" max="59" width="8.6640625" style="2" hidden="1" customWidth="1"/>
    <col min="60" max="60" width="9.6640625" style="1" hidden="1" customWidth="1"/>
    <col min="61" max="61" width="11.44140625" style="2" hidden="1" customWidth="1"/>
    <col min="62" max="62" width="10.44140625" style="2" hidden="1" customWidth="1"/>
    <col min="63" max="63" width="3.6640625" style="2" customWidth="1"/>
    <col min="64" max="64" width="24.109375" style="2" customWidth="1"/>
    <col min="65" max="65" width="3.6640625" style="2" customWidth="1"/>
    <col min="66" max="66" width="41.44140625" style="2" customWidth="1"/>
    <col min="67" max="67" width="4.44140625" style="2" customWidth="1"/>
    <col min="68" max="68" width="18" style="2" customWidth="1"/>
    <col min="69" max="69" width="4.6640625" style="2" customWidth="1"/>
    <col min="70" max="70" width="7.6640625" style="2" customWidth="1"/>
    <col min="71" max="74" width="8.6640625" style="2" customWidth="1"/>
    <col min="75" max="75" width="8.6640625" style="2" hidden="1" customWidth="1"/>
    <col min="76" max="76" width="13.44140625" style="2" hidden="1" customWidth="1"/>
    <col min="77" max="77" width="8.6640625" style="2" hidden="1" customWidth="1"/>
    <col min="78" max="127" width="8.6640625" style="2" customWidth="1"/>
    <col min="128" max="16384" width="8.6640625" style="2"/>
  </cols>
  <sheetData>
    <row r="1" spans="1:77" ht="30.75" customHeight="1" x14ac:dyDescent="0.2">
      <c r="A1" s="855" t="s">
        <v>128</v>
      </c>
      <c r="B1" s="856"/>
      <c r="C1" s="856"/>
      <c r="D1" s="856"/>
      <c r="E1" s="857"/>
      <c r="F1" s="292"/>
      <c r="G1" s="2"/>
      <c r="H1" s="2"/>
      <c r="I1" s="2"/>
      <c r="J1" s="2"/>
      <c r="L1" s="2"/>
      <c r="M1" s="2"/>
      <c r="N1" s="2"/>
      <c r="O1" s="2"/>
      <c r="P1" s="2"/>
      <c r="Q1" s="2"/>
      <c r="U1" s="2"/>
      <c r="AE1" s="2"/>
      <c r="AF1" s="2"/>
      <c r="AG1" s="2"/>
      <c r="AH1" s="2"/>
      <c r="AK1" s="62" t="s">
        <v>52</v>
      </c>
      <c r="AL1" s="86" t="str">
        <f>IF($C$12=$AG$3,$AG$4,IF($C$12=$AH$3,$AH$4,IF($C$12=$AI$3,$AI$4,IF($C$12=$AJ$3,$AJ$4,IF($C$12=$AK$3,$AK$4,IF($C$12=$AL$3,$AL$4,""))))))</f>
        <v/>
      </c>
      <c r="AN1" s="65"/>
      <c r="BH1" s="2"/>
    </row>
    <row r="2" spans="1:77" ht="33" customHeight="1" x14ac:dyDescent="0.2">
      <c r="A2" s="858"/>
      <c r="B2" s="859"/>
      <c r="C2" s="859"/>
      <c r="D2" s="859"/>
      <c r="E2" s="860"/>
      <c r="F2" s="292"/>
      <c r="G2" s="2"/>
      <c r="H2" s="2"/>
      <c r="I2" s="2"/>
      <c r="J2" s="2"/>
      <c r="L2" s="2"/>
      <c r="M2" s="2"/>
      <c r="N2" s="2"/>
      <c r="O2" s="2"/>
      <c r="P2" s="2"/>
      <c r="Q2" s="2"/>
      <c r="U2" s="2"/>
      <c r="AE2" s="2"/>
      <c r="AF2" s="2"/>
      <c r="AG2" s="2"/>
      <c r="AH2" s="2"/>
      <c r="BH2" s="2"/>
    </row>
    <row r="3" spans="1:77" ht="25.95" customHeight="1" x14ac:dyDescent="0.3">
      <c r="A3" s="954" t="s">
        <v>197</v>
      </c>
      <c r="B3" s="955"/>
      <c r="C3" s="955"/>
      <c r="D3" s="955"/>
      <c r="E3" s="955"/>
      <c r="F3" s="310"/>
      <c r="G3" s="943" t="s">
        <v>328</v>
      </c>
      <c r="H3" s="943"/>
      <c r="I3" s="943"/>
      <c r="J3" s="943"/>
      <c r="K3" s="943"/>
      <c r="L3" s="943"/>
      <c r="M3" s="943"/>
      <c r="N3" s="943"/>
      <c r="O3" s="943"/>
      <c r="P3" s="943"/>
      <c r="Q3" s="943"/>
      <c r="R3" s="943"/>
      <c r="S3" s="943"/>
      <c r="T3" s="943"/>
      <c r="U3" s="146"/>
      <c r="V3" s="63"/>
      <c r="W3" s="63" t="s">
        <v>33</v>
      </c>
      <c r="X3" s="63" t="s">
        <v>71</v>
      </c>
      <c r="Y3" s="63" t="s">
        <v>72</v>
      </c>
      <c r="Z3" s="63" t="s">
        <v>73</v>
      </c>
      <c r="AA3" s="63" t="s">
        <v>74</v>
      </c>
      <c r="AB3" s="63" t="s">
        <v>129</v>
      </c>
      <c r="AC3" s="63" t="s">
        <v>71</v>
      </c>
      <c r="AD3" s="63"/>
      <c r="AE3" s="63"/>
      <c r="AF3" s="63"/>
      <c r="AG3" s="87"/>
      <c r="AH3" s="87"/>
      <c r="AI3" s="87"/>
      <c r="AJ3" s="87"/>
      <c r="AK3" s="87"/>
      <c r="AL3" s="87"/>
      <c r="AM3" s="63"/>
      <c r="AN3" s="63"/>
      <c r="AO3" s="63"/>
      <c r="AP3" s="902" t="str">
        <f>CONCATENATE("График платежей - Тариф ",D28)</f>
        <v>График платежей - Тариф Базовый</v>
      </c>
      <c r="AQ3" s="902"/>
      <c r="AR3" s="902"/>
      <c r="AS3" s="902"/>
      <c r="AT3" s="902"/>
      <c r="AU3" s="902"/>
      <c r="AV3" s="902"/>
      <c r="AW3" s="902"/>
      <c r="AX3" s="902"/>
      <c r="AY3" s="902"/>
      <c r="AZ3" s="902"/>
      <c r="BA3" s="902"/>
      <c r="BB3" s="902"/>
      <c r="BC3" s="902"/>
      <c r="BD3" s="902"/>
      <c r="BE3" s="902"/>
      <c r="BF3" s="902"/>
      <c r="BG3" s="102"/>
      <c r="BH3" s="102"/>
      <c r="BI3" s="102"/>
      <c r="BL3" s="826" t="s">
        <v>94</v>
      </c>
      <c r="BM3" s="826"/>
      <c r="BN3" s="826"/>
      <c r="BO3" s="826"/>
      <c r="BP3" s="826"/>
      <c r="BQ3" s="826"/>
      <c r="BR3" s="826"/>
    </row>
    <row r="4" spans="1:77" ht="13.5" hidden="1" customHeight="1" x14ac:dyDescent="0.2">
      <c r="A4" s="311"/>
      <c r="B4" s="311"/>
      <c r="C4" s="311"/>
      <c r="D4" s="311"/>
      <c r="E4" s="311"/>
      <c r="F4" s="293"/>
      <c r="G4" s="943"/>
      <c r="H4" s="943"/>
      <c r="I4" s="943"/>
      <c r="J4" s="943"/>
      <c r="K4" s="943"/>
      <c r="L4" s="943"/>
      <c r="M4" s="943"/>
      <c r="N4" s="943"/>
      <c r="O4" s="943"/>
      <c r="P4" s="943"/>
      <c r="Q4" s="943"/>
      <c r="R4" s="943"/>
      <c r="S4" s="943"/>
      <c r="T4" s="943"/>
      <c r="U4" s="146"/>
      <c r="V4" s="147"/>
      <c r="W4" s="147">
        <v>0.11899999999999999</v>
      </c>
      <c r="X4" s="147">
        <v>9.9000000000000005E-2</v>
      </c>
      <c r="Y4" s="147">
        <v>9.9000000000000005E-2</v>
      </c>
      <c r="Z4" s="147">
        <v>9.9000000000000005E-2</v>
      </c>
      <c r="AA4" s="147">
        <v>9.9000000000000005E-2</v>
      </c>
      <c r="AB4" s="147"/>
      <c r="AC4" s="63" t="s">
        <v>72</v>
      </c>
      <c r="AD4" s="147">
        <f>IF(OR(C$8="Гарантия стандарт",C$8="Гарантия пакет"),$AB$4,$W$4)</f>
        <v>0.11899999999999999</v>
      </c>
      <c r="AE4" s="147">
        <f>IF(OR($D$8="Гарантия стандарт",$D$8="Гарантия пакет"),AB4,W4)</f>
        <v>0.11899999999999999</v>
      </c>
      <c r="AF4" s="147"/>
      <c r="AG4" s="148"/>
      <c r="AH4" s="148"/>
      <c r="AI4" s="148"/>
      <c r="AJ4" s="148"/>
      <c r="AK4" s="148"/>
      <c r="AL4" s="148"/>
      <c r="AM4" s="147"/>
      <c r="AN4" s="147"/>
      <c r="AO4" s="147"/>
      <c r="AP4" s="902"/>
      <c r="AQ4" s="902"/>
      <c r="AR4" s="902"/>
      <c r="AS4" s="902"/>
      <c r="AT4" s="902"/>
      <c r="AU4" s="902"/>
      <c r="AV4" s="902"/>
      <c r="AW4" s="902"/>
      <c r="AX4" s="902"/>
      <c r="AY4" s="902"/>
      <c r="AZ4" s="902"/>
      <c r="BA4" s="902"/>
      <c r="BB4" s="902"/>
      <c r="BC4" s="902"/>
      <c r="BD4" s="902"/>
      <c r="BE4" s="902"/>
      <c r="BF4" s="902"/>
      <c r="BG4" s="102"/>
      <c r="BH4" s="102"/>
      <c r="BI4" s="102"/>
      <c r="BJ4" s="57"/>
    </row>
    <row r="5" spans="1:77" ht="12" hidden="1" customHeight="1" thickBot="1" x14ac:dyDescent="0.25">
      <c r="A5" s="940"/>
      <c r="B5" s="940"/>
      <c r="C5" s="940"/>
      <c r="D5" s="940"/>
      <c r="E5" s="940"/>
      <c r="F5" s="294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49"/>
      <c r="V5" s="15"/>
      <c r="W5" s="15">
        <v>0.129</v>
      </c>
      <c r="X5" s="15">
        <f>$W5-2%</f>
        <v>0.109</v>
      </c>
      <c r="Y5" s="15">
        <f t="shared" ref="Y5:AA5" si="0">$W5-2%</f>
        <v>0.109</v>
      </c>
      <c r="Z5" s="15">
        <f t="shared" si="0"/>
        <v>0.109</v>
      </c>
      <c r="AA5" s="15">
        <f t="shared" si="0"/>
        <v>0.109</v>
      </c>
      <c r="AB5" s="15">
        <v>5.8999999999999997E-2</v>
      </c>
      <c r="AC5" s="63" t="s">
        <v>73</v>
      </c>
      <c r="AD5" s="147">
        <f>IF(OR($C$8="Гарантия стандарт",$C$8="Гарантия пакет"),AB5,W5)</f>
        <v>0.129</v>
      </c>
      <c r="AE5" s="147">
        <f t="shared" ref="AE5:AE12" si="1">IF(OR($D$8="Гарантия стандарт",$D$8="Гарантия пакет"),AB5,W5)</f>
        <v>0.129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2"/>
      <c r="BH5" s="117"/>
      <c r="BI5" s="102"/>
      <c r="BJ5" s="57"/>
    </row>
    <row r="6" spans="1:77" ht="28.95" customHeight="1" thickBot="1" x14ac:dyDescent="0.3">
      <c r="A6" s="839" t="s">
        <v>164</v>
      </c>
      <c r="B6" s="839"/>
      <c r="C6" s="839" t="s">
        <v>165</v>
      </c>
      <c r="D6" s="839"/>
      <c r="E6" s="283" t="s">
        <v>82</v>
      </c>
      <c r="F6" s="295"/>
      <c r="G6" s="825" t="s">
        <v>148</v>
      </c>
      <c r="H6" s="825" t="s">
        <v>215</v>
      </c>
      <c r="I6" s="825" t="s">
        <v>329</v>
      </c>
      <c r="J6" s="825" t="s">
        <v>216</v>
      </c>
      <c r="K6" s="825" t="s">
        <v>217</v>
      </c>
      <c r="L6" s="825" t="s">
        <v>192</v>
      </c>
      <c r="M6" s="338"/>
      <c r="N6" s="338"/>
      <c r="O6" s="338"/>
      <c r="P6" s="338"/>
      <c r="Q6" s="338"/>
      <c r="R6" s="825" t="s">
        <v>193</v>
      </c>
      <c r="S6" s="825" t="s">
        <v>289</v>
      </c>
      <c r="T6" s="117"/>
      <c r="U6" s="49"/>
      <c r="V6" s="479"/>
      <c r="W6" s="479">
        <v>0.159</v>
      </c>
      <c r="X6" s="480">
        <f>W6</f>
        <v>0.159</v>
      </c>
      <c r="Y6" s="480">
        <f t="shared" ref="Y6:AB6" si="2">X6</f>
        <v>0.159</v>
      </c>
      <c r="Z6" s="480">
        <f t="shared" si="2"/>
        <v>0.159</v>
      </c>
      <c r="AA6" s="480">
        <f t="shared" si="2"/>
        <v>0.159</v>
      </c>
      <c r="AB6" s="480">
        <f t="shared" si="2"/>
        <v>0.159</v>
      </c>
      <c r="AC6" s="63" t="s">
        <v>74</v>
      </c>
      <c r="AD6" s="147">
        <f t="shared" ref="AD6:AD11" si="3">IF(OR($C$8="Гарантия стандарт",$C$8="Гарантия пакет"),AB6,W6)</f>
        <v>0.159</v>
      </c>
      <c r="AE6" s="147">
        <f t="shared" si="1"/>
        <v>0.159</v>
      </c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2"/>
      <c r="BH6" s="117"/>
      <c r="BI6" s="102"/>
      <c r="BJ6" s="57"/>
      <c r="BL6" s="827" t="s">
        <v>95</v>
      </c>
      <c r="BM6" s="827"/>
      <c r="BN6" s="827"/>
      <c r="BO6" s="827"/>
      <c r="BP6" s="827"/>
      <c r="BQ6" s="827"/>
      <c r="BR6" s="827"/>
    </row>
    <row r="7" spans="1:77" ht="22.95" customHeight="1" x14ac:dyDescent="0.6">
      <c r="A7" s="846" t="s">
        <v>200</v>
      </c>
      <c r="B7" s="846"/>
      <c r="C7" s="862">
        <v>300000</v>
      </c>
      <c r="D7" s="862"/>
      <c r="E7" s="956" t="str">
        <f>IF(AND($C$7&gt;=500000.01,OR(C8="Оптимум_30%СМОТ",D8="Оптимум_30%СМОТ",C8="Максимум_30%СМОТ",D8="Максимум_30%СМОТ")),"Промо-страховка применяется при сумме кредита до 500 000,00 руб. вкл.","")</f>
        <v/>
      </c>
      <c r="F7" s="296"/>
      <c r="G7" s="825"/>
      <c r="H7" s="825"/>
      <c r="I7" s="825"/>
      <c r="J7" s="825"/>
      <c r="K7" s="825"/>
      <c r="L7" s="825"/>
      <c r="M7" s="339" t="s">
        <v>36</v>
      </c>
      <c r="N7" s="339" t="s">
        <v>39</v>
      </c>
      <c r="O7" s="339" t="s">
        <v>38</v>
      </c>
      <c r="P7" s="339" t="s">
        <v>37</v>
      </c>
      <c r="Q7" s="339" t="s">
        <v>288</v>
      </c>
      <c r="R7" s="825"/>
      <c r="S7" s="825"/>
      <c r="T7" s="149" t="s">
        <v>32</v>
      </c>
      <c r="U7" s="150" t="s">
        <v>31</v>
      </c>
      <c r="V7" s="479"/>
      <c r="W7" s="479">
        <v>0.13900000000000001</v>
      </c>
      <c r="X7" s="480">
        <f t="shared" ref="X7:AB11" si="4">W7</f>
        <v>0.13900000000000001</v>
      </c>
      <c r="Y7" s="480">
        <f t="shared" si="4"/>
        <v>0.13900000000000001</v>
      </c>
      <c r="Z7" s="480">
        <f t="shared" si="4"/>
        <v>0.13900000000000001</v>
      </c>
      <c r="AA7" s="480">
        <f t="shared" si="4"/>
        <v>0.13900000000000001</v>
      </c>
      <c r="AB7" s="480">
        <f t="shared" si="4"/>
        <v>0.13900000000000001</v>
      </c>
      <c r="AC7" s="101"/>
      <c r="AD7" s="147">
        <f t="shared" si="3"/>
        <v>0.13900000000000001</v>
      </c>
      <c r="AE7" s="147">
        <f t="shared" si="1"/>
        <v>0.13900000000000001</v>
      </c>
      <c r="AF7" s="101"/>
      <c r="AG7" s="101"/>
      <c r="AH7" s="101"/>
      <c r="AI7" s="101"/>
      <c r="AJ7" s="101"/>
      <c r="AK7" s="101"/>
      <c r="AL7" s="101"/>
      <c r="AM7" s="101"/>
      <c r="AN7" s="101"/>
      <c r="AO7" s="151" t="e">
        <f>SUM(AO9:AO108)</f>
        <v>#DIV/0!</v>
      </c>
      <c r="AP7" s="160" t="s">
        <v>3</v>
      </c>
      <c r="AQ7" s="161" t="s">
        <v>4</v>
      </c>
      <c r="AR7" s="161" t="s">
        <v>5</v>
      </c>
      <c r="AS7" s="162" t="s">
        <v>12</v>
      </c>
      <c r="AT7" s="162" t="s">
        <v>26</v>
      </c>
      <c r="AU7" s="162" t="s">
        <v>36</v>
      </c>
      <c r="AV7" s="162" t="s">
        <v>39</v>
      </c>
      <c r="AW7" s="162" t="s">
        <v>38</v>
      </c>
      <c r="AX7" s="162" t="s">
        <v>37</v>
      </c>
      <c r="AY7" s="162" t="s">
        <v>40</v>
      </c>
      <c r="AZ7" s="162"/>
      <c r="BA7" s="162"/>
      <c r="BB7" s="162"/>
      <c r="BC7" s="162"/>
      <c r="BD7" s="162"/>
      <c r="BE7" s="161" t="s">
        <v>6</v>
      </c>
      <c r="BF7" s="163" t="s">
        <v>32</v>
      </c>
      <c r="BG7" s="104" t="s">
        <v>31</v>
      </c>
      <c r="BH7" s="153">
        <f>BH8</f>
        <v>44443</v>
      </c>
      <c r="BI7" s="108">
        <f>J8</f>
        <v>-346640</v>
      </c>
      <c r="BJ7" s="61"/>
      <c r="BL7" s="830" t="s">
        <v>84</v>
      </c>
      <c r="BM7" s="828" t="s">
        <v>85</v>
      </c>
      <c r="BN7" s="127" t="s">
        <v>86</v>
      </c>
      <c r="BO7" s="124" t="s">
        <v>88</v>
      </c>
      <c r="BP7" s="834" t="s">
        <v>9</v>
      </c>
      <c r="BQ7" s="836" t="s">
        <v>89</v>
      </c>
      <c r="BR7" s="832">
        <v>1</v>
      </c>
    </row>
    <row r="8" spans="1:77" ht="18" customHeight="1" thickBot="1" x14ac:dyDescent="0.65">
      <c r="A8" s="846" t="s">
        <v>204</v>
      </c>
      <c r="B8" s="846"/>
      <c r="C8" s="193" t="s">
        <v>111</v>
      </c>
      <c r="D8" s="193" t="s">
        <v>35</v>
      </c>
      <c r="E8" s="956"/>
      <c r="F8" s="296"/>
      <c r="G8" s="420"/>
      <c r="H8" s="421">
        <f>C9</f>
        <v>44443</v>
      </c>
      <c r="I8" s="421"/>
      <c r="J8" s="422">
        <f>-C24</f>
        <v>-346640</v>
      </c>
      <c r="K8" s="423"/>
      <c r="L8" s="424"/>
      <c r="M8" s="424"/>
      <c r="N8" s="424"/>
      <c r="O8" s="424"/>
      <c r="P8" s="424"/>
      <c r="Q8" s="424"/>
      <c r="R8" s="425">
        <f>C24</f>
        <v>346640</v>
      </c>
      <c r="S8" s="469"/>
      <c r="T8" s="25"/>
      <c r="U8" s="36"/>
      <c r="V8" s="479"/>
      <c r="W8" s="479">
        <v>0.11899999999999999</v>
      </c>
      <c r="X8" s="480">
        <f t="shared" si="4"/>
        <v>0.11899999999999999</v>
      </c>
      <c r="Y8" s="480">
        <f t="shared" si="4"/>
        <v>0.11899999999999999</v>
      </c>
      <c r="Z8" s="480">
        <f t="shared" si="4"/>
        <v>0.11899999999999999</v>
      </c>
      <c r="AA8" s="480">
        <f t="shared" si="4"/>
        <v>0.11899999999999999</v>
      </c>
      <c r="AB8" s="480">
        <f t="shared" si="4"/>
        <v>0.11899999999999999</v>
      </c>
      <c r="AC8" s="15"/>
      <c r="AD8" s="147">
        <f t="shared" si="3"/>
        <v>0.11899999999999999</v>
      </c>
      <c r="AE8" s="147">
        <f t="shared" si="1"/>
        <v>0.11899999999999999</v>
      </c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64"/>
      <c r="AQ8" s="165">
        <f>C9</f>
        <v>44443</v>
      </c>
      <c r="AR8" s="23">
        <f>-D38</f>
        <v>-302900</v>
      </c>
      <c r="AS8" s="105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7">
        <f>D38</f>
        <v>302900</v>
      </c>
      <c r="BF8" s="106"/>
      <c r="BG8" s="108"/>
      <c r="BH8" s="22">
        <f t="shared" ref="BH8:BH18" si="5">H8</f>
        <v>44443</v>
      </c>
      <c r="BI8" s="104">
        <f>$C$27</f>
        <v>43740</v>
      </c>
      <c r="BL8" s="831"/>
      <c r="BM8" s="829"/>
      <c r="BN8" s="125" t="s">
        <v>87</v>
      </c>
      <c r="BO8" s="126" t="s">
        <v>88</v>
      </c>
      <c r="BP8" s="835"/>
      <c r="BQ8" s="837"/>
      <c r="BR8" s="833"/>
    </row>
    <row r="9" spans="1:77" ht="18" customHeight="1" thickBot="1" x14ac:dyDescent="0.3">
      <c r="A9" s="846" t="s">
        <v>199</v>
      </c>
      <c r="B9" s="846"/>
      <c r="C9" s="842">
        <v>44443</v>
      </c>
      <c r="D9" s="842"/>
      <c r="E9" s="956"/>
      <c r="F9" s="296"/>
      <c r="G9" s="426">
        <f>1</f>
        <v>1</v>
      </c>
      <c r="H9" s="427">
        <f t="shared" ref="H9:H72" si="6">IF((OR(DAY($AD$54)=29,DAY($AD$54)=30,DAY($AD$54)=31)),(EDATE($C$9-3,G9)),(IF((OR(DAY($AD$54)=1,DAY($AD$54)=2,DAY($AD$54)=3)),(EDATE($C$9,G9)+3),EDATE($C$9,G9))))</f>
        <v>44473</v>
      </c>
      <c r="I9" s="494">
        <f>$AF$94</f>
        <v>0.159</v>
      </c>
      <c r="J9" s="423">
        <f>IF(AND($C$8&lt;&gt;"Нет",G9&gt;=$W$14,G9&lt;=$W$14+5),$W$15,IF(AND(R8+M9+K9&gt;J8,J8&lt;&gt;0),$C$25,IF(R8=0,0,R8+M9+K9+K10)))</f>
        <v>1700</v>
      </c>
      <c r="K9" s="423">
        <f>IF(AND($C$8&lt;&gt;"Нет",G9&gt;=$W$14,G9&lt;=$W$14+5),0,IF($C$9&gt;$AF$51,ROUND(R8*I9*((H9-DATE(YEAR(H9),MONTH(H9),1)+1)/(DATE(YEAR(H9)+1,1,1)-DATE(YEAR(H9),1,1))+(EOMONTH(H8,0)-H8)/(DATE(YEAR(H8)+1,1,1)-DATE(YEAR(H8),1,1))),2),0))</f>
        <v>0</v>
      </c>
      <c r="L9" s="423">
        <f>IF(R8+M9+K9&gt;J8,J9-K9-M9,R8)</f>
        <v>1700</v>
      </c>
      <c r="M9" s="423">
        <f>IF(O9&gt;$C$25,$C$25-K9,IF(U9=0,0,Q9)+AI51)</f>
        <v>0</v>
      </c>
      <c r="N9" s="423">
        <f>P8-M8</f>
        <v>0</v>
      </c>
      <c r="O9" s="423">
        <f t="shared" ref="O9:O72" si="7">K9+P9</f>
        <v>0</v>
      </c>
      <c r="P9" s="423">
        <f>IF(U9=0,0,0)</f>
        <v>0</v>
      </c>
      <c r="Q9" s="423">
        <f>IF(U9=0,0,0)</f>
        <v>0</v>
      </c>
      <c r="R9" s="423">
        <f>R8-L9-S9</f>
        <v>344940</v>
      </c>
      <c r="S9" s="470"/>
      <c r="T9" s="36">
        <f>C10</f>
        <v>36</v>
      </c>
      <c r="U9" s="36">
        <f>T9</f>
        <v>36</v>
      </c>
      <c r="V9" s="479"/>
      <c r="W9" s="479">
        <v>0.13900000000000001</v>
      </c>
      <c r="X9" s="480">
        <f t="shared" si="4"/>
        <v>0.13900000000000001</v>
      </c>
      <c r="Y9" s="480">
        <f t="shared" si="4"/>
        <v>0.13900000000000001</v>
      </c>
      <c r="Z9" s="480">
        <f t="shared" si="4"/>
        <v>0.13900000000000001</v>
      </c>
      <c r="AA9" s="480">
        <f t="shared" si="4"/>
        <v>0.13900000000000001</v>
      </c>
      <c r="AB9" s="480">
        <f t="shared" si="4"/>
        <v>0.13900000000000001</v>
      </c>
      <c r="AC9" s="132"/>
      <c r="AD9" s="147">
        <f t="shared" si="3"/>
        <v>0.13900000000000001</v>
      </c>
      <c r="AE9" s="147">
        <f t="shared" si="1"/>
        <v>0.13900000000000001</v>
      </c>
      <c r="AF9" s="15"/>
      <c r="AG9" s="15"/>
      <c r="AH9" s="15"/>
      <c r="AI9" s="15"/>
      <c r="AJ9" s="15"/>
      <c r="AK9" s="15"/>
      <c r="AL9" s="15"/>
      <c r="AM9" s="15"/>
      <c r="AN9" s="15"/>
      <c r="AO9" s="130">
        <f>IF(OR(AR9="",AR9=0),0,1)</f>
        <v>1</v>
      </c>
      <c r="AP9" s="109">
        <f>1</f>
        <v>1</v>
      </c>
      <c r="AQ9" s="110">
        <f t="shared" ref="AQ9:AQ38" si="8">IF((OR(DAY($AD$54)=29,DAY($AD$54)=30,DAY($AD$54)=31)),(EDATE($C$9-3,AP9)),(IF((OR(DAY($AD$54)=1,DAY($AD$54)=2,DAY($AD$54)=3)),(EDATE($C$9,AP9)+3),EDATE($C$9,AP9))))</f>
        <v>44473</v>
      </c>
      <c r="AR9" s="105">
        <f t="shared" ref="AR9:AR37" si="9">IF(AND(G9&gt;=$W$14,G9&lt;=$W$14+5),$W$15,IF(AND(BE8+AU9+AS9&gt;AR8,AR8&lt;&gt;0),$D$39,IF(BE8=0,0,BE8+AU9+AS9+AS10)))</f>
        <v>1700</v>
      </c>
      <c r="AS9" s="105">
        <f t="shared" ref="AS9:AS38" si="10">IF(AND(G9&gt;=$W$14,G9&lt;=$W$14+5),0,IF($C$9&gt;$AF$51,ROUND(BE8*$AE$14*((AQ9-DATE(YEAR(AQ9),MONTH(AQ9),1)+1)/(DATE(YEAR(AQ9)+1,1,1)-DATE(YEAR(AQ9),1,1))+(EOMONTH(AQ8,0)-AQ8)/(DATE(YEAR(AQ8)+1,1,1)-DATE(YEAR(AQ8),1,1))),2),0))</f>
        <v>0</v>
      </c>
      <c r="AT9" s="105" t="e">
        <f>IF(BG9=0,0,IF(BG9=1,BE8,IF(BE8+AU9+AS9&gt;AR8,AR9-AS9-AU9,BE8)))</f>
        <v>#DIV/0!</v>
      </c>
      <c r="AU9" s="105" t="e">
        <f>IF(AW9&gt;$D$39,$D$39-AS9,IF(BG9=0,0,AY9)+BV57)</f>
        <v>#DIV/0!</v>
      </c>
      <c r="AV9" s="105"/>
      <c r="AW9" s="105">
        <f>AS9+AX9</f>
        <v>0</v>
      </c>
      <c r="AX9" s="105">
        <f>IF(BG9=0,0,0)</f>
        <v>0</v>
      </c>
      <c r="AY9" s="105">
        <f>IF(BG9=0,0,0)</f>
        <v>0</v>
      </c>
      <c r="AZ9" s="105"/>
      <c r="BA9" s="105"/>
      <c r="BB9" s="105"/>
      <c r="BC9" s="105"/>
      <c r="BD9" s="105"/>
      <c r="BE9" s="105" t="e">
        <f>IF(OR(BG9=1,BE8=0),0,BE8-AT9)</f>
        <v>#DIV/0!</v>
      </c>
      <c r="BF9" s="108">
        <f>C10</f>
        <v>36</v>
      </c>
      <c r="BG9" s="108">
        <f t="shared" ref="BG9:BG18" si="11">IF(ISERR(CEILING(FLOOR(NPER($C$11/12,-$AD$55,BE8),0.1),1))=TRUE,0,CEILING(FLOOR(NPER($C$11/12,-$AD$55,BE8),0.1),1))</f>
        <v>31</v>
      </c>
      <c r="BH9" s="22">
        <f t="shared" si="5"/>
        <v>44473</v>
      </c>
      <c r="BI9" s="108">
        <f t="shared" ref="BI9:BI18" si="12">J9</f>
        <v>1700</v>
      </c>
    </row>
    <row r="10" spans="1:77" ht="18" customHeight="1" x14ac:dyDescent="0.25">
      <c r="A10" s="846" t="s">
        <v>198</v>
      </c>
      <c r="B10" s="846"/>
      <c r="C10" s="840">
        <v>36</v>
      </c>
      <c r="D10" s="840"/>
      <c r="E10" s="956"/>
      <c r="F10" s="296"/>
      <c r="G10" s="426">
        <f>G9+1</f>
        <v>2</v>
      </c>
      <c r="H10" s="427">
        <f t="shared" si="6"/>
        <v>44504</v>
      </c>
      <c r="I10" s="494">
        <f t="shared" ref="I10:I20" si="13">$AF$94</f>
        <v>0.159</v>
      </c>
      <c r="J10" s="423">
        <f t="shared" ref="J10:J20" si="14">IF(AND($C$8&lt;&gt;"Нет",G10&gt;=$W$14,G10&lt;=$W$14+5),$W$15,IF(AND(R9+M10+K10&gt;J9,J9&lt;&gt;0),$C$25,IF(R9=0,0,R9+M10+K10+K11)))</f>
        <v>1700</v>
      </c>
      <c r="K10" s="423">
        <f t="shared" ref="K10:K73" si="15">IF(AND($C$8&lt;&gt;"Нет",G10&gt;=$W$14,G10&lt;=$W$14+5),0,IF($C$9&gt;$AF$51,ROUND(R9*I10*((H10-DATE(YEAR(H10),MONTH(H10),1)+1)/(DATE(YEAR(H10)+1,1,1)-DATE(YEAR(H10),1,1))+(EOMONTH(H9,0)-H9)/(DATE(YEAR(H9)+1,1,1)-DATE(YEAR(H9),1,1))),2),0))</f>
        <v>0</v>
      </c>
      <c r="L10" s="423">
        <f t="shared" ref="L10:L73" si="16">IF(R9+M10+K10&gt;J9,J10-K10-M10,R9)</f>
        <v>1700</v>
      </c>
      <c r="M10" s="423">
        <f t="shared" ref="M10:M41" si="17">IF(O10&gt;$C$25,$C$25-K10,IF(U10=0,0,P10))</f>
        <v>0</v>
      </c>
      <c r="N10" s="423">
        <f>P9-M9</f>
        <v>0</v>
      </c>
      <c r="O10" s="423">
        <f t="shared" si="7"/>
        <v>0</v>
      </c>
      <c r="P10" s="423">
        <f t="shared" ref="P10:P73" si="18">IF(U10=0,0,0)</f>
        <v>0</v>
      </c>
      <c r="Q10" s="423">
        <f t="shared" ref="Q10:Q73" si="19">IF(U10=0,0,0)</f>
        <v>0</v>
      </c>
      <c r="R10" s="423">
        <f t="shared" ref="R10:R73" si="20">R9-L10-S10</f>
        <v>343240</v>
      </c>
      <c r="S10" s="470"/>
      <c r="T10" s="36">
        <f>IF((T9-1)&lt;0,0,T9-1)</f>
        <v>35</v>
      </c>
      <c r="U10" s="36">
        <f t="shared" ref="U10:U73" si="21">T10</f>
        <v>35</v>
      </c>
      <c r="V10" s="479"/>
      <c r="W10" s="479">
        <v>0.11899999999999999</v>
      </c>
      <c r="X10" s="480">
        <f t="shared" si="4"/>
        <v>0.11899999999999999</v>
      </c>
      <c r="Y10" s="480">
        <f t="shared" si="4"/>
        <v>0.11899999999999999</v>
      </c>
      <c r="Z10" s="480">
        <f t="shared" si="4"/>
        <v>0.11899999999999999</v>
      </c>
      <c r="AA10" s="480">
        <f t="shared" si="4"/>
        <v>0.11899999999999999</v>
      </c>
      <c r="AB10" s="480">
        <f t="shared" si="4"/>
        <v>0.11899999999999999</v>
      </c>
      <c r="AC10" s="15"/>
      <c r="AD10" s="147">
        <f t="shared" si="3"/>
        <v>0.11899999999999999</v>
      </c>
      <c r="AE10" s="147">
        <f t="shared" si="1"/>
        <v>0.11899999999999999</v>
      </c>
      <c r="AF10" s="15"/>
      <c r="AG10" s="15"/>
      <c r="AH10" s="15"/>
      <c r="AI10" s="15"/>
      <c r="AJ10" s="15"/>
      <c r="AK10" s="15"/>
      <c r="AL10" s="15"/>
      <c r="AM10" s="15"/>
      <c r="AN10" s="15"/>
      <c r="AO10" s="130">
        <f t="shared" ref="AO10:AP73" si="22">IF(OR(AR10="",AR10=0),0,1)</f>
        <v>1</v>
      </c>
      <c r="AP10" s="109">
        <f>AP9+1</f>
        <v>2</v>
      </c>
      <c r="AQ10" s="110">
        <f t="shared" si="8"/>
        <v>44504</v>
      </c>
      <c r="AR10" s="105">
        <f t="shared" si="9"/>
        <v>1700</v>
      </c>
      <c r="AS10" s="105">
        <f t="shared" si="10"/>
        <v>0</v>
      </c>
      <c r="AT10" s="105">
        <f t="shared" ref="AT10:AT18" si="23">IF(BG10=0,0,IF(BG10=1,BE9,IF(BE9+AU10+AS10&gt;AR9,AR10-AS10-AU10,BE9)))</f>
        <v>0</v>
      </c>
      <c r="AU10" s="105" t="e">
        <f>IF(AW10&gt;$D$39,$D$39-AS10,IF(BG10=0,0,AY10)+BV58)</f>
        <v>#DIV/0!</v>
      </c>
      <c r="AV10" s="105" t="e">
        <f>AX9-AU9</f>
        <v>#DIV/0!</v>
      </c>
      <c r="AW10" s="105">
        <f t="shared" ref="AW10:AX85" si="24">AS10+AX10</f>
        <v>0</v>
      </c>
      <c r="AX10" s="105">
        <f t="shared" ref="AX10:AX18" si="25">IF(BG10=0,0,0)</f>
        <v>0</v>
      </c>
      <c r="AY10" s="105">
        <f t="shared" ref="AY10:AY18" si="26">IF(BG10=0,0,0)</f>
        <v>0</v>
      </c>
      <c r="AZ10" s="105"/>
      <c r="BA10" s="105"/>
      <c r="BB10" s="105"/>
      <c r="BC10" s="105"/>
      <c r="BD10" s="105"/>
      <c r="BE10" s="105" t="e">
        <f t="shared" ref="BE10:BE18" si="27">IF(OR(BG10=1,BE9=0),0,BE9-AT10)</f>
        <v>#DIV/0!</v>
      </c>
      <c r="BF10" s="108">
        <f>IF((BF9-1)&lt;0,0,BF9-1)</f>
        <v>35</v>
      </c>
      <c r="BG10" s="108">
        <f t="shared" si="11"/>
        <v>0</v>
      </c>
      <c r="BH10" s="22">
        <f t="shared" si="5"/>
        <v>44504</v>
      </c>
      <c r="BI10" s="108">
        <f t="shared" si="12"/>
        <v>1700</v>
      </c>
      <c r="BL10" s="830" t="s">
        <v>90</v>
      </c>
      <c r="BM10" s="828" t="s">
        <v>85</v>
      </c>
      <c r="BN10" s="129" t="s">
        <v>84</v>
      </c>
    </row>
    <row r="11" spans="1:77" ht="18" customHeight="1" thickBot="1" x14ac:dyDescent="0.3">
      <c r="A11" s="882" t="s">
        <v>201</v>
      </c>
      <c r="B11" s="882"/>
      <c r="C11" s="220">
        <v>0.159</v>
      </c>
      <c r="D11" s="397" t="s">
        <v>29</v>
      </c>
      <c r="E11" s="956"/>
      <c r="F11" s="296"/>
      <c r="G11" s="426">
        <f>G10+1</f>
        <v>3</v>
      </c>
      <c r="H11" s="427">
        <f t="shared" si="6"/>
        <v>44534</v>
      </c>
      <c r="I11" s="494">
        <f t="shared" si="13"/>
        <v>0.159</v>
      </c>
      <c r="J11" s="423">
        <f t="shared" si="14"/>
        <v>1700</v>
      </c>
      <c r="K11" s="423">
        <f t="shared" si="15"/>
        <v>0</v>
      </c>
      <c r="L11" s="423">
        <f t="shared" si="16"/>
        <v>1700</v>
      </c>
      <c r="M11" s="423">
        <f t="shared" si="17"/>
        <v>0</v>
      </c>
      <c r="N11" s="423">
        <f>P10-M10</f>
        <v>0</v>
      </c>
      <c r="O11" s="423">
        <f t="shared" si="7"/>
        <v>0</v>
      </c>
      <c r="P11" s="423">
        <f t="shared" si="18"/>
        <v>0</v>
      </c>
      <c r="Q11" s="423">
        <f t="shared" si="19"/>
        <v>0</v>
      </c>
      <c r="R11" s="423">
        <f t="shared" si="20"/>
        <v>341540</v>
      </c>
      <c r="S11" s="470"/>
      <c r="T11" s="36">
        <f>IF((T10-1)&lt;0,0,T10-1)</f>
        <v>34</v>
      </c>
      <c r="U11" s="36">
        <f t="shared" si="21"/>
        <v>34</v>
      </c>
      <c r="V11" s="479"/>
      <c r="W11" s="479">
        <v>9.9000000000000005E-2</v>
      </c>
      <c r="X11" s="480">
        <f t="shared" si="4"/>
        <v>9.9000000000000005E-2</v>
      </c>
      <c r="Y11" s="480">
        <f t="shared" si="4"/>
        <v>9.9000000000000005E-2</v>
      </c>
      <c r="Z11" s="480">
        <f t="shared" si="4"/>
        <v>9.9000000000000005E-2</v>
      </c>
      <c r="AA11" s="480">
        <f t="shared" si="4"/>
        <v>9.9000000000000005E-2</v>
      </c>
      <c r="AB11" s="480">
        <f t="shared" si="4"/>
        <v>9.9000000000000005E-2</v>
      </c>
      <c r="AC11" s="15"/>
      <c r="AD11" s="147">
        <f t="shared" si="3"/>
        <v>9.9000000000000005E-2</v>
      </c>
      <c r="AE11" s="147">
        <f t="shared" si="1"/>
        <v>9.9000000000000005E-2</v>
      </c>
      <c r="AF11" s="15"/>
      <c r="AG11" s="15"/>
      <c r="AH11" s="15"/>
      <c r="AI11" s="15"/>
      <c r="AJ11" s="15"/>
      <c r="AK11" s="15"/>
      <c r="AL11" s="15"/>
      <c r="AM11" s="3"/>
      <c r="AN11" s="3"/>
      <c r="AO11" s="130">
        <f t="shared" si="22"/>
        <v>1</v>
      </c>
      <c r="AP11" s="109">
        <f>AP10+1</f>
        <v>3</v>
      </c>
      <c r="AQ11" s="110">
        <f t="shared" si="8"/>
        <v>44534</v>
      </c>
      <c r="AR11" s="105">
        <f t="shared" si="9"/>
        <v>1700</v>
      </c>
      <c r="AS11" s="105">
        <f t="shared" si="10"/>
        <v>0</v>
      </c>
      <c r="AT11" s="105">
        <f t="shared" si="23"/>
        <v>0</v>
      </c>
      <c r="AU11" s="105" t="e">
        <f t="shared" ref="AU11:AU18" si="28">IF(AW11&gt;$D$39,$D$39-AS11,IF(BG11=0,0,AY11)+BW59)</f>
        <v>#DIV/0!</v>
      </c>
      <c r="AV11" s="105" t="e">
        <f>AX10-AU10</f>
        <v>#DIV/0!</v>
      </c>
      <c r="AW11" s="105">
        <f t="shared" si="24"/>
        <v>0</v>
      </c>
      <c r="AX11" s="105">
        <f t="shared" si="25"/>
        <v>0</v>
      </c>
      <c r="AY11" s="105">
        <f t="shared" si="26"/>
        <v>0</v>
      </c>
      <c r="AZ11" s="105"/>
      <c r="BA11" s="105"/>
      <c r="BB11" s="105"/>
      <c r="BC11" s="105"/>
      <c r="BD11" s="105"/>
      <c r="BE11" s="105" t="e">
        <f t="shared" si="27"/>
        <v>#DIV/0!</v>
      </c>
      <c r="BF11" s="108">
        <f>IF((BF10-1)&lt;0,0,BF10-1)</f>
        <v>34</v>
      </c>
      <c r="BG11" s="108">
        <f t="shared" si="11"/>
        <v>0</v>
      </c>
      <c r="BH11" s="22">
        <f t="shared" si="5"/>
        <v>44534</v>
      </c>
      <c r="BI11" s="108">
        <f t="shared" si="12"/>
        <v>1700</v>
      </c>
      <c r="BL11" s="831"/>
      <c r="BM11" s="829"/>
      <c r="BN11" s="128" t="s">
        <v>91</v>
      </c>
    </row>
    <row r="12" spans="1:77" ht="18" customHeight="1" thickBot="1" x14ac:dyDescent="0.3">
      <c r="A12" s="882" t="s">
        <v>202</v>
      </c>
      <c r="B12" s="882"/>
      <c r="C12" s="221" t="s">
        <v>33</v>
      </c>
      <c r="D12" s="216" t="e">
        <f>IF(OR(D8="Гарантия стандарт",D8="Гарантия плюс",D8="Гарантия пакет"),$AF$39,#REF!)</f>
        <v>#REF!</v>
      </c>
      <c r="E12" s="956"/>
      <c r="F12" s="296"/>
      <c r="G12" s="426">
        <f t="shared" ref="G12:G75" si="29">G11+1</f>
        <v>4</v>
      </c>
      <c r="H12" s="427">
        <f t="shared" si="6"/>
        <v>44565</v>
      </c>
      <c r="I12" s="494">
        <f t="shared" si="13"/>
        <v>0.159</v>
      </c>
      <c r="J12" s="423">
        <f t="shared" si="14"/>
        <v>1700</v>
      </c>
      <c r="K12" s="423">
        <f t="shared" si="15"/>
        <v>0</v>
      </c>
      <c r="L12" s="423">
        <f t="shared" si="16"/>
        <v>1700</v>
      </c>
      <c r="M12" s="423">
        <f t="shared" si="17"/>
        <v>0</v>
      </c>
      <c r="N12" s="423">
        <f t="shared" ref="N12:N85" si="30">P11-M11</f>
        <v>0</v>
      </c>
      <c r="O12" s="423">
        <f t="shared" si="7"/>
        <v>0</v>
      </c>
      <c r="P12" s="423">
        <f t="shared" si="18"/>
        <v>0</v>
      </c>
      <c r="Q12" s="423">
        <f t="shared" si="19"/>
        <v>0</v>
      </c>
      <c r="R12" s="423">
        <f t="shared" si="20"/>
        <v>339840</v>
      </c>
      <c r="S12" s="470"/>
      <c r="T12" s="36">
        <f t="shared" ref="T12:T75" si="31">IF((T11-1)&lt;0,0,T11-1)</f>
        <v>33</v>
      </c>
      <c r="U12" s="36">
        <f t="shared" si="21"/>
        <v>33</v>
      </c>
      <c r="V12" s="15"/>
      <c r="W12" s="15">
        <v>0.19900000000000001</v>
      </c>
      <c r="X12" s="15">
        <f t="shared" ref="X12:AA12" si="32">$W12-2%</f>
        <v>0.17900000000000002</v>
      </c>
      <c r="Y12" s="15">
        <f t="shared" si="32"/>
        <v>0.17900000000000002</v>
      </c>
      <c r="Z12" s="15">
        <f t="shared" si="32"/>
        <v>0.17900000000000002</v>
      </c>
      <c r="AA12" s="15">
        <f t="shared" si="32"/>
        <v>0.17900000000000002</v>
      </c>
      <c r="AB12" s="15"/>
      <c r="AC12" s="15"/>
      <c r="AD12" s="147">
        <f>IF(OR($C$8="Гарантия стандарт",$C$8="Гарантия пакет"),AB12,W12)</f>
        <v>0.19900000000000001</v>
      </c>
      <c r="AE12" s="147">
        <f t="shared" si="1"/>
        <v>0.19900000000000001</v>
      </c>
      <c r="AF12" s="15"/>
      <c r="AG12" s="15"/>
      <c r="AH12" s="15"/>
      <c r="AI12" s="15"/>
      <c r="AJ12" s="15"/>
      <c r="AK12" s="15"/>
      <c r="AL12" s="15"/>
      <c r="AN12" s="57"/>
      <c r="AO12" s="130">
        <f t="shared" si="22"/>
        <v>1</v>
      </c>
      <c r="AP12" s="109">
        <f t="shared" ref="AP12:AQ40" si="33">AP11+1</f>
        <v>4</v>
      </c>
      <c r="AQ12" s="110">
        <f t="shared" si="8"/>
        <v>44565</v>
      </c>
      <c r="AR12" s="105">
        <f t="shared" si="9"/>
        <v>1700</v>
      </c>
      <c r="AS12" s="105">
        <f t="shared" si="10"/>
        <v>0</v>
      </c>
      <c r="AT12" s="105">
        <f t="shared" si="23"/>
        <v>0</v>
      </c>
      <c r="AU12" s="105" t="e">
        <f t="shared" si="28"/>
        <v>#DIV/0!</v>
      </c>
      <c r="AV12" s="105" t="e">
        <f t="shared" ref="AV12:AV13" si="34">AX11-AU11</f>
        <v>#DIV/0!</v>
      </c>
      <c r="AW12" s="105">
        <f t="shared" si="24"/>
        <v>0</v>
      </c>
      <c r="AX12" s="105">
        <f t="shared" si="25"/>
        <v>0</v>
      </c>
      <c r="AY12" s="105">
        <f t="shared" si="26"/>
        <v>0</v>
      </c>
      <c r="AZ12" s="105"/>
      <c r="BA12" s="105"/>
      <c r="BB12" s="105"/>
      <c r="BC12" s="105"/>
      <c r="BD12" s="105"/>
      <c r="BE12" s="105" t="e">
        <f t="shared" si="27"/>
        <v>#DIV/0!</v>
      </c>
      <c r="BF12" s="108">
        <f t="shared" ref="BF12:BG40" si="35">IF((BF11-1)&lt;0,0,BF11-1)</f>
        <v>33</v>
      </c>
      <c r="BG12" s="108">
        <f t="shared" si="11"/>
        <v>0</v>
      </c>
      <c r="BH12" s="22">
        <f t="shared" si="5"/>
        <v>44565</v>
      </c>
      <c r="BI12" s="108">
        <f t="shared" si="12"/>
        <v>1700</v>
      </c>
      <c r="BW12" s="2">
        <v>0</v>
      </c>
      <c r="BX12" s="398">
        <f>DATE(YEAR($C$9),MONTH($C$9)+BW12,1)</f>
        <v>44440</v>
      </c>
      <c r="BY12" s="2">
        <v>1</v>
      </c>
    </row>
    <row r="13" spans="1:77" ht="18" customHeight="1" x14ac:dyDescent="0.25">
      <c r="A13" s="882" t="s">
        <v>203</v>
      </c>
      <c r="B13" s="882"/>
      <c r="C13" s="222">
        <f>C11</f>
        <v>0.159</v>
      </c>
      <c r="D13" s="216"/>
      <c r="E13" s="475"/>
      <c r="F13" s="296"/>
      <c r="G13" s="426">
        <f>G12+1</f>
        <v>5</v>
      </c>
      <c r="H13" s="427">
        <f t="shared" si="6"/>
        <v>44596</v>
      </c>
      <c r="I13" s="494">
        <f t="shared" si="13"/>
        <v>0.159</v>
      </c>
      <c r="J13" s="423">
        <f t="shared" si="14"/>
        <v>1700</v>
      </c>
      <c r="K13" s="423">
        <f t="shared" si="15"/>
        <v>0</v>
      </c>
      <c r="L13" s="423">
        <f t="shared" si="16"/>
        <v>1700</v>
      </c>
      <c r="M13" s="423">
        <f t="shared" si="17"/>
        <v>0</v>
      </c>
      <c r="N13" s="423">
        <f t="shared" si="30"/>
        <v>0</v>
      </c>
      <c r="O13" s="423">
        <f t="shared" si="7"/>
        <v>0</v>
      </c>
      <c r="P13" s="423">
        <f t="shared" si="18"/>
        <v>0</v>
      </c>
      <c r="Q13" s="423">
        <f t="shared" si="19"/>
        <v>0</v>
      </c>
      <c r="R13" s="423">
        <f t="shared" si="20"/>
        <v>338140</v>
      </c>
      <c r="S13" s="470"/>
      <c r="T13" s="36">
        <f>IF((T12-1)&lt;0,0,T12-1)</f>
        <v>32</v>
      </c>
      <c r="U13" s="36">
        <f t="shared" si="21"/>
        <v>32</v>
      </c>
      <c r="V13" s="15"/>
      <c r="W13" s="15"/>
      <c r="X13" s="15"/>
      <c r="Y13" s="15"/>
      <c r="Z13" s="15"/>
      <c r="AA13" s="15"/>
      <c r="AB13" s="15"/>
      <c r="AC13" s="15"/>
      <c r="AD13" s="62">
        <f>INDEX(AD4:AD12,MATCH(C11,$W$4:$W$12,0))</f>
        <v>0.159</v>
      </c>
      <c r="AE13" s="62">
        <f>INDEX(AE4:AE12,MATCH(D27,$W$4:$W$12,0))</f>
        <v>0.159</v>
      </c>
      <c r="AF13" s="15"/>
      <c r="AG13" s="15"/>
      <c r="AH13" s="15"/>
      <c r="AI13" s="15"/>
      <c r="AJ13" s="15"/>
      <c r="AK13" s="15"/>
      <c r="AL13" s="15"/>
      <c r="AO13" s="130">
        <f t="shared" si="22"/>
        <v>1</v>
      </c>
      <c r="AP13" s="166">
        <f>AP12+1</f>
        <v>5</v>
      </c>
      <c r="AQ13" s="167">
        <f t="shared" si="8"/>
        <v>44596</v>
      </c>
      <c r="AR13" s="105">
        <f t="shared" si="9"/>
        <v>1700</v>
      </c>
      <c r="AS13" s="105">
        <f t="shared" si="10"/>
        <v>0</v>
      </c>
      <c r="AT13" s="105">
        <f t="shared" si="23"/>
        <v>0</v>
      </c>
      <c r="AU13" s="105" t="e">
        <f t="shared" si="28"/>
        <v>#DIV/0!</v>
      </c>
      <c r="AV13" s="105" t="e">
        <f t="shared" si="34"/>
        <v>#DIV/0!</v>
      </c>
      <c r="AW13" s="105">
        <f t="shared" si="24"/>
        <v>0</v>
      </c>
      <c r="AX13" s="105">
        <f t="shared" si="25"/>
        <v>0</v>
      </c>
      <c r="AY13" s="105">
        <f t="shared" si="26"/>
        <v>0</v>
      </c>
      <c r="AZ13" s="105"/>
      <c r="BA13" s="105"/>
      <c r="BB13" s="105"/>
      <c r="BC13" s="105"/>
      <c r="BD13" s="105"/>
      <c r="BE13" s="105" t="e">
        <f t="shared" si="27"/>
        <v>#DIV/0!</v>
      </c>
      <c r="BF13" s="108">
        <f>IF((BF12-1)&lt;0,0,BF12-1)</f>
        <v>32</v>
      </c>
      <c r="BG13" s="108">
        <f t="shared" si="11"/>
        <v>0</v>
      </c>
      <c r="BH13" s="22">
        <f t="shared" si="5"/>
        <v>44596</v>
      </c>
      <c r="BI13" s="108">
        <f t="shared" si="12"/>
        <v>1700</v>
      </c>
      <c r="BL13" s="830" t="s">
        <v>92</v>
      </c>
      <c r="BM13" s="828" t="s">
        <v>85</v>
      </c>
      <c r="BN13" s="129" t="s">
        <v>90</v>
      </c>
      <c r="BW13" s="2">
        <f>BW12+1</f>
        <v>1</v>
      </c>
      <c r="BX13" s="398">
        <f t="shared" ref="BX13:BX24" si="36">DATE(YEAR($C$9),MONTH($C$9)+BW13,1)</f>
        <v>44470</v>
      </c>
      <c r="BY13" s="2">
        <f>BY12+1</f>
        <v>2</v>
      </c>
    </row>
    <row r="14" spans="1:77" ht="21" customHeight="1" thickBot="1" x14ac:dyDescent="0.3">
      <c r="A14" s="882" t="s">
        <v>67</v>
      </c>
      <c r="B14" s="882"/>
      <c r="C14" s="373">
        <f>Y149</f>
        <v>9.6517574787139876E-2</v>
      </c>
      <c r="D14" s="216"/>
      <c r="E14" s="475"/>
      <c r="F14" s="296"/>
      <c r="G14" s="426">
        <f>G13+1</f>
        <v>6</v>
      </c>
      <c r="H14" s="427">
        <f t="shared" si="6"/>
        <v>44624</v>
      </c>
      <c r="I14" s="494">
        <f t="shared" si="13"/>
        <v>0.159</v>
      </c>
      <c r="J14" s="423">
        <f t="shared" si="14"/>
        <v>1700</v>
      </c>
      <c r="K14" s="423">
        <f t="shared" si="15"/>
        <v>0</v>
      </c>
      <c r="L14" s="423">
        <f t="shared" si="16"/>
        <v>1700</v>
      </c>
      <c r="M14" s="423">
        <f t="shared" si="17"/>
        <v>0</v>
      </c>
      <c r="N14" s="423">
        <f>P13-M13</f>
        <v>0</v>
      </c>
      <c r="O14" s="423">
        <f t="shared" si="7"/>
        <v>0</v>
      </c>
      <c r="P14" s="423">
        <f t="shared" si="18"/>
        <v>0</v>
      </c>
      <c r="Q14" s="423">
        <f t="shared" si="19"/>
        <v>0</v>
      </c>
      <c r="R14" s="423">
        <f t="shared" si="20"/>
        <v>336440</v>
      </c>
      <c r="S14" s="470"/>
      <c r="T14" s="36">
        <f>IF((T13-1)&lt;0,0,T13-1)</f>
        <v>31</v>
      </c>
      <c r="U14" s="36">
        <f t="shared" si="21"/>
        <v>31</v>
      </c>
      <c r="V14" s="130"/>
      <c r="W14" s="130">
        <f>VLOOKUP(C19,$BX$12:$BY$24,2,FALSE)</f>
        <v>1</v>
      </c>
      <c r="X14" s="15"/>
      <c r="Y14" s="15"/>
      <c r="Z14" s="15"/>
      <c r="AA14" s="15"/>
      <c r="AB14" s="15"/>
      <c r="AC14" s="15"/>
      <c r="AE14" s="15">
        <f>IF(OR(D$8="Гарантия стандарт",D$8="Гарантия пакет"),AE13,D29)</f>
        <v>0</v>
      </c>
      <c r="AF14" s="15"/>
      <c r="AG14" s="15"/>
      <c r="AH14" s="15"/>
      <c r="AI14" s="15"/>
      <c r="AJ14" s="15"/>
      <c r="AK14" s="15"/>
      <c r="AL14" s="15"/>
      <c r="AN14" s="57"/>
      <c r="AO14" s="130">
        <f t="shared" si="22"/>
        <v>1</v>
      </c>
      <c r="AP14" s="109">
        <f>AP13+1</f>
        <v>6</v>
      </c>
      <c r="AQ14" s="110">
        <f t="shared" si="8"/>
        <v>44624</v>
      </c>
      <c r="AR14" s="105">
        <f t="shared" si="9"/>
        <v>1700</v>
      </c>
      <c r="AS14" s="105">
        <f t="shared" si="10"/>
        <v>0</v>
      </c>
      <c r="AT14" s="105">
        <f t="shared" si="23"/>
        <v>0</v>
      </c>
      <c r="AU14" s="105" t="e">
        <f t="shared" si="28"/>
        <v>#DIV/0!</v>
      </c>
      <c r="AV14" s="105" t="e">
        <f>AX13-AU13</f>
        <v>#DIV/0!</v>
      </c>
      <c r="AW14" s="105">
        <f t="shared" si="24"/>
        <v>0</v>
      </c>
      <c r="AX14" s="105">
        <f t="shared" si="25"/>
        <v>0</v>
      </c>
      <c r="AY14" s="105">
        <f t="shared" si="26"/>
        <v>0</v>
      </c>
      <c r="AZ14" s="105"/>
      <c r="BA14" s="105"/>
      <c r="BB14" s="105"/>
      <c r="BC14" s="105"/>
      <c r="BD14" s="105"/>
      <c r="BE14" s="105" t="e">
        <f t="shared" si="27"/>
        <v>#DIV/0!</v>
      </c>
      <c r="BF14" s="108">
        <f>IF((BF13-1)&lt;0,0,BF13-1)</f>
        <v>31</v>
      </c>
      <c r="BG14" s="108">
        <f t="shared" si="11"/>
        <v>0</v>
      </c>
      <c r="BH14" s="22">
        <f t="shared" si="5"/>
        <v>44624</v>
      </c>
      <c r="BI14" s="108">
        <f t="shared" si="12"/>
        <v>1700</v>
      </c>
      <c r="BL14" s="831"/>
      <c r="BM14" s="829"/>
      <c r="BN14" s="128" t="s">
        <v>93</v>
      </c>
      <c r="BW14" s="2">
        <f t="shared" ref="BW14:BW21" si="37">BW13+1</f>
        <v>2</v>
      </c>
      <c r="BX14" s="398">
        <f t="shared" si="36"/>
        <v>44501</v>
      </c>
      <c r="BY14" s="2">
        <f t="shared" ref="BY14:BY24" si="38">BY13+1</f>
        <v>3</v>
      </c>
    </row>
    <row r="15" spans="1:77" ht="22.2" customHeight="1" x14ac:dyDescent="0.25">
      <c r="A15" s="881" t="s">
        <v>205</v>
      </c>
      <c r="B15" s="327" t="s">
        <v>102</v>
      </c>
      <c r="C15" s="397" t="s">
        <v>20</v>
      </c>
      <c r="D15" s="216"/>
      <c r="E15" s="475"/>
      <c r="F15" s="296"/>
      <c r="G15" s="426">
        <f t="shared" si="29"/>
        <v>7</v>
      </c>
      <c r="H15" s="427">
        <f t="shared" si="6"/>
        <v>44655</v>
      </c>
      <c r="I15" s="494">
        <f t="shared" si="13"/>
        <v>0.159</v>
      </c>
      <c r="J15" s="423">
        <f t="shared" si="14"/>
        <v>12190</v>
      </c>
      <c r="K15" s="423">
        <f t="shared" si="15"/>
        <v>4543.32</v>
      </c>
      <c r="L15" s="423">
        <f t="shared" si="16"/>
        <v>7646.68</v>
      </c>
      <c r="M15" s="423">
        <f t="shared" si="17"/>
        <v>0</v>
      </c>
      <c r="N15" s="423">
        <f t="shared" si="30"/>
        <v>0</v>
      </c>
      <c r="O15" s="423">
        <f t="shared" si="7"/>
        <v>4543.32</v>
      </c>
      <c r="P15" s="423">
        <f t="shared" si="18"/>
        <v>0</v>
      </c>
      <c r="Q15" s="423">
        <f t="shared" si="19"/>
        <v>0</v>
      </c>
      <c r="R15" s="423">
        <f t="shared" si="20"/>
        <v>328793.32</v>
      </c>
      <c r="S15" s="470"/>
      <c r="T15" s="36">
        <f t="shared" si="31"/>
        <v>30</v>
      </c>
      <c r="U15" s="36">
        <f t="shared" si="21"/>
        <v>30</v>
      </c>
      <c r="V15" s="54"/>
      <c r="W15" s="54">
        <f>ROUND(R8*0.5%,-2)</f>
        <v>1700</v>
      </c>
      <c r="X15" s="54">
        <f>ROUND(R8*0.5%,0)</f>
        <v>1733</v>
      </c>
      <c r="Y15" s="15"/>
      <c r="Z15" s="15"/>
      <c r="AA15" s="15"/>
      <c r="AB15" s="15"/>
      <c r="AC15" s="15"/>
      <c r="AD15" s="15" t="str">
        <f>IF(OR(C8="Гарантия стандарт",C8="Гарантия плюс",C8="Гарантия пакет"),AD13,"")</f>
        <v/>
      </c>
      <c r="AE15" s="15" t="str">
        <f>IF(OR(D8="Гарантия стандарт",D8="Гарантия плюс",D8="Гарантия пакет"),AE13,"")</f>
        <v/>
      </c>
      <c r="AF15" s="15"/>
      <c r="AG15" s="15"/>
      <c r="AH15" s="15"/>
      <c r="AI15" s="15"/>
      <c r="AJ15" s="15"/>
      <c r="AK15" s="15"/>
      <c r="AL15" s="15"/>
      <c r="AO15" s="130" t="e">
        <f t="shared" si="22"/>
        <v>#DIV/0!</v>
      </c>
      <c r="AP15" s="109">
        <f t="shared" si="33"/>
        <v>7</v>
      </c>
      <c r="AQ15" s="110">
        <f t="shared" si="8"/>
        <v>44655</v>
      </c>
      <c r="AR15" s="105" t="e">
        <f t="shared" si="9"/>
        <v>#DIV/0!</v>
      </c>
      <c r="AS15" s="105" t="e">
        <f t="shared" si="10"/>
        <v>#DIV/0!</v>
      </c>
      <c r="AT15" s="105">
        <f t="shared" si="23"/>
        <v>0</v>
      </c>
      <c r="AU15" s="105" t="e">
        <f t="shared" si="28"/>
        <v>#DIV/0!</v>
      </c>
      <c r="AV15" s="105" t="e">
        <f t="shared" ref="AV15:AV18" si="39">AX14-AU14</f>
        <v>#DIV/0!</v>
      </c>
      <c r="AW15" s="105" t="e">
        <f t="shared" si="24"/>
        <v>#DIV/0!</v>
      </c>
      <c r="AX15" s="105">
        <f t="shared" si="25"/>
        <v>0</v>
      </c>
      <c r="AY15" s="105">
        <f t="shared" si="26"/>
        <v>0</v>
      </c>
      <c r="AZ15" s="105"/>
      <c r="BA15" s="105"/>
      <c r="BB15" s="105"/>
      <c r="BC15" s="105"/>
      <c r="BD15" s="105"/>
      <c r="BE15" s="105" t="e">
        <f t="shared" si="27"/>
        <v>#DIV/0!</v>
      </c>
      <c r="BF15" s="108">
        <f t="shared" si="35"/>
        <v>30</v>
      </c>
      <c r="BG15" s="108">
        <f t="shared" si="11"/>
        <v>0</v>
      </c>
      <c r="BH15" s="22">
        <f t="shared" si="5"/>
        <v>44655</v>
      </c>
      <c r="BI15" s="108">
        <f t="shared" si="12"/>
        <v>12190</v>
      </c>
      <c r="BW15" s="2">
        <f t="shared" si="37"/>
        <v>3</v>
      </c>
      <c r="BX15" s="398">
        <f t="shared" si="36"/>
        <v>44531</v>
      </c>
      <c r="BY15" s="2">
        <f t="shared" si="38"/>
        <v>4</v>
      </c>
    </row>
    <row r="16" spans="1:77" ht="25.2" customHeight="1" x14ac:dyDescent="0.25">
      <c r="A16" s="957"/>
      <c r="B16" s="327" t="s">
        <v>105</v>
      </c>
      <c r="C16" s="216">
        <f>IF(C15="да",IF(C10=36,Y38,IF(C10=48,Z38,IF(C10=60,AA38,IF(C10=72,AB38,IF(C10=84,AC38,""))))),0)</f>
        <v>2900</v>
      </c>
      <c r="D16" s="314"/>
      <c r="E16" s="475"/>
      <c r="F16" s="296"/>
      <c r="G16" s="426">
        <f t="shared" si="29"/>
        <v>8</v>
      </c>
      <c r="H16" s="427">
        <f t="shared" si="6"/>
        <v>44685</v>
      </c>
      <c r="I16" s="494">
        <f t="shared" si="13"/>
        <v>0.159</v>
      </c>
      <c r="J16" s="423">
        <f t="shared" si="14"/>
        <v>12190</v>
      </c>
      <c r="K16" s="423">
        <f t="shared" si="15"/>
        <v>4296.83</v>
      </c>
      <c r="L16" s="423">
        <f t="shared" si="16"/>
        <v>7893.17</v>
      </c>
      <c r="M16" s="423">
        <f t="shared" si="17"/>
        <v>0</v>
      </c>
      <c r="N16" s="423">
        <f t="shared" si="30"/>
        <v>0</v>
      </c>
      <c r="O16" s="423">
        <f t="shared" si="7"/>
        <v>4296.83</v>
      </c>
      <c r="P16" s="423">
        <f t="shared" si="18"/>
        <v>0</v>
      </c>
      <c r="Q16" s="423">
        <f t="shared" si="19"/>
        <v>0</v>
      </c>
      <c r="R16" s="423">
        <f t="shared" si="20"/>
        <v>320900.15000000002</v>
      </c>
      <c r="S16" s="470"/>
      <c r="T16" s="36">
        <f t="shared" si="31"/>
        <v>29</v>
      </c>
      <c r="U16" s="36">
        <f t="shared" si="21"/>
        <v>29</v>
      </c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O16" s="130" t="e">
        <f t="shared" si="22"/>
        <v>#DIV/0!</v>
      </c>
      <c r="AP16" s="109">
        <f t="shared" si="33"/>
        <v>8</v>
      </c>
      <c r="AQ16" s="110">
        <f t="shared" si="8"/>
        <v>44685</v>
      </c>
      <c r="AR16" s="105" t="e">
        <f t="shared" si="9"/>
        <v>#DIV/0!</v>
      </c>
      <c r="AS16" s="105" t="e">
        <f t="shared" si="10"/>
        <v>#DIV/0!</v>
      </c>
      <c r="AT16" s="105">
        <f t="shared" si="23"/>
        <v>0</v>
      </c>
      <c r="AU16" s="105" t="e">
        <f t="shared" si="28"/>
        <v>#DIV/0!</v>
      </c>
      <c r="AV16" s="105" t="e">
        <f t="shared" si="39"/>
        <v>#DIV/0!</v>
      </c>
      <c r="AW16" s="105" t="e">
        <f t="shared" si="24"/>
        <v>#DIV/0!</v>
      </c>
      <c r="AX16" s="105">
        <f t="shared" si="25"/>
        <v>0</v>
      </c>
      <c r="AY16" s="105">
        <f t="shared" si="26"/>
        <v>0</v>
      </c>
      <c r="AZ16" s="105"/>
      <c r="BA16" s="105"/>
      <c r="BB16" s="105"/>
      <c r="BC16" s="105"/>
      <c r="BD16" s="105"/>
      <c r="BE16" s="105" t="e">
        <f t="shared" si="27"/>
        <v>#DIV/0!</v>
      </c>
      <c r="BF16" s="108">
        <f t="shared" si="35"/>
        <v>29</v>
      </c>
      <c r="BG16" s="108">
        <f t="shared" si="11"/>
        <v>0</v>
      </c>
      <c r="BH16" s="22">
        <f t="shared" si="5"/>
        <v>44685</v>
      </c>
      <c r="BI16" s="108">
        <f t="shared" si="12"/>
        <v>12190</v>
      </c>
      <c r="BW16" s="2">
        <f t="shared" si="37"/>
        <v>4</v>
      </c>
      <c r="BX16" s="398">
        <f t="shared" si="36"/>
        <v>44562</v>
      </c>
      <c r="BY16" s="2">
        <f t="shared" si="38"/>
        <v>5</v>
      </c>
    </row>
    <row r="17" spans="1:391" ht="25.95" customHeight="1" x14ac:dyDescent="0.25">
      <c r="A17" s="961" t="str">
        <f>IF($C$8="Нет","АКЦИЯ НЕДОСТУПНА ","ДОСТУПНА АКЦИЯ НОЛЬ СОМНЕНИЙ (0% на 6 мес.)")</f>
        <v>ДОСТУПНА АКЦИЯ НОЛЬ СОМНЕНИЙ (0% на 6 мес.)</v>
      </c>
      <c r="B17" s="961"/>
      <c r="C17" s="961"/>
      <c r="D17" s="961"/>
      <c r="E17" s="961"/>
      <c r="F17" s="296"/>
      <c r="G17" s="426">
        <f t="shared" si="29"/>
        <v>9</v>
      </c>
      <c r="H17" s="427">
        <f t="shared" si="6"/>
        <v>44716</v>
      </c>
      <c r="I17" s="494">
        <f t="shared" si="13"/>
        <v>0.159</v>
      </c>
      <c r="J17" s="423">
        <f t="shared" si="14"/>
        <v>12190</v>
      </c>
      <c r="K17" s="423">
        <f t="shared" si="15"/>
        <v>4333.47</v>
      </c>
      <c r="L17" s="423">
        <f t="shared" si="16"/>
        <v>7856.53</v>
      </c>
      <c r="M17" s="423">
        <f t="shared" si="17"/>
        <v>0</v>
      </c>
      <c r="N17" s="423">
        <f t="shared" si="30"/>
        <v>0</v>
      </c>
      <c r="O17" s="423">
        <f t="shared" si="7"/>
        <v>4333.47</v>
      </c>
      <c r="P17" s="423">
        <f t="shared" si="18"/>
        <v>0</v>
      </c>
      <c r="Q17" s="423">
        <f t="shared" si="19"/>
        <v>0</v>
      </c>
      <c r="R17" s="423">
        <f t="shared" si="20"/>
        <v>313043.62</v>
      </c>
      <c r="S17" s="470"/>
      <c r="T17" s="36">
        <f t="shared" si="31"/>
        <v>28</v>
      </c>
      <c r="U17" s="36">
        <f t="shared" si="21"/>
        <v>28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O17" s="130" t="e">
        <f t="shared" si="22"/>
        <v>#DIV/0!</v>
      </c>
      <c r="AP17" s="109">
        <f t="shared" si="33"/>
        <v>9</v>
      </c>
      <c r="AQ17" s="110">
        <f t="shared" si="8"/>
        <v>44716</v>
      </c>
      <c r="AR17" s="105" t="e">
        <f t="shared" si="9"/>
        <v>#DIV/0!</v>
      </c>
      <c r="AS17" s="105" t="e">
        <f t="shared" si="10"/>
        <v>#DIV/0!</v>
      </c>
      <c r="AT17" s="105">
        <f t="shared" si="23"/>
        <v>0</v>
      </c>
      <c r="AU17" s="105" t="e">
        <f t="shared" si="28"/>
        <v>#DIV/0!</v>
      </c>
      <c r="AV17" s="105" t="e">
        <f t="shared" si="39"/>
        <v>#DIV/0!</v>
      </c>
      <c r="AW17" s="105" t="e">
        <f t="shared" si="24"/>
        <v>#DIV/0!</v>
      </c>
      <c r="AX17" s="105">
        <f t="shared" si="25"/>
        <v>0</v>
      </c>
      <c r="AY17" s="105">
        <f t="shared" si="26"/>
        <v>0</v>
      </c>
      <c r="AZ17" s="105"/>
      <c r="BA17" s="105"/>
      <c r="BB17" s="105"/>
      <c r="BC17" s="105"/>
      <c r="BD17" s="105"/>
      <c r="BE17" s="105" t="e">
        <f t="shared" si="27"/>
        <v>#DIV/0!</v>
      </c>
      <c r="BF17" s="108">
        <f t="shared" si="35"/>
        <v>28</v>
      </c>
      <c r="BG17" s="108">
        <f t="shared" si="11"/>
        <v>0</v>
      </c>
      <c r="BH17" s="22">
        <f t="shared" si="5"/>
        <v>44716</v>
      </c>
      <c r="BI17" s="108">
        <f t="shared" si="12"/>
        <v>12190</v>
      </c>
      <c r="BW17" s="2">
        <f t="shared" si="37"/>
        <v>5</v>
      </c>
      <c r="BX17" s="398">
        <f t="shared" si="36"/>
        <v>44593</v>
      </c>
      <c r="BY17" s="2">
        <f t="shared" si="38"/>
        <v>6</v>
      </c>
    </row>
    <row r="18" spans="1:391" ht="30" customHeight="1" x14ac:dyDescent="0.25">
      <c r="A18" s="962" t="s">
        <v>273</v>
      </c>
      <c r="B18" s="962"/>
      <c r="C18" s="962"/>
      <c r="D18" s="962"/>
      <c r="E18" s="962"/>
      <c r="F18" s="296"/>
      <c r="G18" s="426">
        <f t="shared" si="29"/>
        <v>10</v>
      </c>
      <c r="H18" s="427">
        <f t="shared" si="6"/>
        <v>44746</v>
      </c>
      <c r="I18" s="494">
        <f t="shared" si="13"/>
        <v>0.159</v>
      </c>
      <c r="J18" s="423">
        <f t="shared" si="14"/>
        <v>12190</v>
      </c>
      <c r="K18" s="423">
        <f t="shared" si="15"/>
        <v>4091.01</v>
      </c>
      <c r="L18" s="423">
        <f t="shared" si="16"/>
        <v>8098.99</v>
      </c>
      <c r="M18" s="423">
        <f t="shared" si="17"/>
        <v>0</v>
      </c>
      <c r="N18" s="423">
        <f t="shared" si="30"/>
        <v>0</v>
      </c>
      <c r="O18" s="423">
        <f t="shared" si="7"/>
        <v>4091.01</v>
      </c>
      <c r="P18" s="423">
        <f t="shared" si="18"/>
        <v>0</v>
      </c>
      <c r="Q18" s="423">
        <f t="shared" si="19"/>
        <v>0</v>
      </c>
      <c r="R18" s="423">
        <f t="shared" si="20"/>
        <v>304944.63</v>
      </c>
      <c r="S18" s="470"/>
      <c r="T18" s="36">
        <f>IF((T17-1)&lt;0,0,T17-1)</f>
        <v>27</v>
      </c>
      <c r="U18" s="36">
        <f t="shared" si="21"/>
        <v>27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O18" s="130" t="e">
        <f t="shared" si="22"/>
        <v>#DIV/0!</v>
      </c>
      <c r="AP18" s="109">
        <f t="shared" si="33"/>
        <v>10</v>
      </c>
      <c r="AQ18" s="110">
        <f t="shared" si="8"/>
        <v>44746</v>
      </c>
      <c r="AR18" s="105" t="e">
        <f t="shared" si="9"/>
        <v>#DIV/0!</v>
      </c>
      <c r="AS18" s="105" t="e">
        <f t="shared" si="10"/>
        <v>#DIV/0!</v>
      </c>
      <c r="AT18" s="105">
        <f t="shared" si="23"/>
        <v>0</v>
      </c>
      <c r="AU18" s="105" t="e">
        <f t="shared" si="28"/>
        <v>#DIV/0!</v>
      </c>
      <c r="AV18" s="105" t="e">
        <f t="shared" si="39"/>
        <v>#DIV/0!</v>
      </c>
      <c r="AW18" s="105" t="e">
        <f t="shared" si="24"/>
        <v>#DIV/0!</v>
      </c>
      <c r="AX18" s="105">
        <f t="shared" si="25"/>
        <v>0</v>
      </c>
      <c r="AY18" s="105">
        <f t="shared" si="26"/>
        <v>0</v>
      </c>
      <c r="AZ18" s="105"/>
      <c r="BA18" s="105"/>
      <c r="BB18" s="105"/>
      <c r="BC18" s="105"/>
      <c r="BD18" s="105"/>
      <c r="BE18" s="105" t="e">
        <f t="shared" si="27"/>
        <v>#DIV/0!</v>
      </c>
      <c r="BF18" s="108">
        <f t="shared" si="35"/>
        <v>27</v>
      </c>
      <c r="BG18" s="108">
        <f t="shared" si="11"/>
        <v>0</v>
      </c>
      <c r="BH18" s="22">
        <f t="shared" si="5"/>
        <v>44746</v>
      </c>
      <c r="BI18" s="108">
        <f t="shared" si="12"/>
        <v>12190</v>
      </c>
      <c r="BW18" s="2">
        <f t="shared" si="37"/>
        <v>6</v>
      </c>
      <c r="BX18" s="398">
        <f t="shared" si="36"/>
        <v>44621</v>
      </c>
      <c r="BY18" s="2">
        <f t="shared" si="38"/>
        <v>7</v>
      </c>
    </row>
    <row r="19" spans="1:391" ht="25.95" customHeight="1" x14ac:dyDescent="0.25">
      <c r="A19" s="963" t="s">
        <v>269</v>
      </c>
      <c r="B19" s="963"/>
      <c r="C19" s="964">
        <f>BX12</f>
        <v>44440</v>
      </c>
      <c r="D19" s="964"/>
      <c r="E19" s="403" t="e">
        <f>IF(#REF!="Нет","НЕТ ПРОГРАММЫ СТРАХОВАНИЯ",IF(#REF!-VLOOKUP(C19,#REF!,2,FALSE)&lt;2,"Слишком поздняя активация",IF(VLOOKUP(C19,#REF!,2,FALSE)&lt;1,"Слишком ранняя активация","")))</f>
        <v>#REF!</v>
      </c>
      <c r="F19" s="296"/>
      <c r="G19" s="426">
        <f>G18+1</f>
        <v>11</v>
      </c>
      <c r="H19" s="427">
        <f t="shared" si="6"/>
        <v>44777</v>
      </c>
      <c r="I19" s="494">
        <f t="shared" si="13"/>
        <v>0.159</v>
      </c>
      <c r="J19" s="423">
        <f t="shared" si="14"/>
        <v>12190</v>
      </c>
      <c r="K19" s="423">
        <f t="shared" si="15"/>
        <v>4118.01</v>
      </c>
      <c r="L19" s="423">
        <f t="shared" si="16"/>
        <v>8071.99</v>
      </c>
      <c r="M19" s="423">
        <f t="shared" si="17"/>
        <v>0</v>
      </c>
      <c r="N19" s="423">
        <f>P18-M18</f>
        <v>0</v>
      </c>
      <c r="O19" s="423">
        <f t="shared" si="7"/>
        <v>4118.01</v>
      </c>
      <c r="P19" s="423">
        <f t="shared" si="18"/>
        <v>0</v>
      </c>
      <c r="Q19" s="423">
        <f t="shared" si="19"/>
        <v>0</v>
      </c>
      <c r="R19" s="423">
        <f t="shared" si="20"/>
        <v>296872.64</v>
      </c>
      <c r="S19" s="470"/>
      <c r="T19" s="36">
        <f>IF((T18-1)&lt;0,0,T18-1)</f>
        <v>26</v>
      </c>
      <c r="U19" s="36">
        <f t="shared" si="21"/>
        <v>26</v>
      </c>
      <c r="V19" s="84"/>
      <c r="W19" s="84">
        <v>9.9000000000000005E-2</v>
      </c>
      <c r="X19" s="84">
        <v>7.9000000000000001E-2</v>
      </c>
      <c r="Y19" s="84">
        <v>7.9000000000000001E-2</v>
      </c>
      <c r="Z19" s="84">
        <v>7.9000000000000001E-2</v>
      </c>
      <c r="AA19" s="84">
        <v>7.9000000000000001E-2</v>
      </c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O19" s="130" t="e">
        <f t="shared" si="22"/>
        <v>#DIV/0!</v>
      </c>
      <c r="AP19" s="109">
        <f>AP18+1</f>
        <v>11</v>
      </c>
      <c r="AQ19" s="110">
        <f t="shared" si="8"/>
        <v>44777</v>
      </c>
      <c r="AR19" s="105" t="e">
        <f t="shared" si="9"/>
        <v>#DIV/0!</v>
      </c>
      <c r="AS19" s="105" t="e">
        <f t="shared" si="10"/>
        <v>#DIV/0!</v>
      </c>
      <c r="AT19" s="105">
        <f t="shared" ref="AT19:AU60" si="40">IF(BG25=0,0,IF(BG25=1,BE18,IF(BE18+AU19+AS19&gt;AR18,AR19-AS19-AU19,BE18)))</f>
        <v>0</v>
      </c>
      <c r="AU19" s="105" t="e">
        <f t="shared" ref="AU19:AU58" si="41">IF(AW19&gt;$D$39,$D$39-AS19,IF(BG19=0,0,AY19)+BV67)</f>
        <v>#DIV/0!</v>
      </c>
      <c r="AV19" s="105" t="e">
        <f>AX18-AU18</f>
        <v>#DIV/0!</v>
      </c>
      <c r="AW19" s="105" t="e">
        <f t="shared" si="24"/>
        <v>#DIV/0!</v>
      </c>
      <c r="AX19" s="105">
        <f t="shared" ref="AX19:AY59" si="42">IF(BG25=0,0,0)</f>
        <v>0</v>
      </c>
      <c r="AY19" s="105">
        <f t="shared" ref="AY19:AZ59" si="43">IF(BG25=0,0,0)</f>
        <v>0</v>
      </c>
      <c r="AZ19" s="105"/>
      <c r="BA19" s="105"/>
      <c r="BB19" s="105"/>
      <c r="BC19" s="105"/>
      <c r="BD19" s="105"/>
      <c r="BE19" s="105" t="e">
        <f t="shared" ref="BE19:BF60" si="44">IF(OR(BG25=1,BE18=0),0,BE18-AT19)</f>
        <v>#DIV/0!</v>
      </c>
      <c r="BF19" s="108"/>
      <c r="BG19" s="108"/>
      <c r="BH19" s="22"/>
      <c r="BI19" s="108"/>
      <c r="BW19" s="2">
        <f t="shared" si="37"/>
        <v>7</v>
      </c>
      <c r="BX19" s="398">
        <f t="shared" si="36"/>
        <v>44652</v>
      </c>
      <c r="BY19" s="2">
        <f t="shared" si="38"/>
        <v>8</v>
      </c>
    </row>
    <row r="20" spans="1:391" ht="18" customHeight="1" x14ac:dyDescent="0.3">
      <c r="A20" s="952" t="s">
        <v>274</v>
      </c>
      <c r="B20" s="952"/>
      <c r="C20" s="953">
        <f>IF(C8&lt;&gt;"Нет",W15,"Не предусмотрен")</f>
        <v>1700</v>
      </c>
      <c r="D20" s="953"/>
      <c r="E20" s="178"/>
      <c r="F20" s="296"/>
      <c r="G20" s="426">
        <f>G19+1</f>
        <v>12</v>
      </c>
      <c r="H20" s="427">
        <f t="shared" si="6"/>
        <v>44808</v>
      </c>
      <c r="I20" s="494">
        <f t="shared" si="13"/>
        <v>0.159</v>
      </c>
      <c r="J20" s="423">
        <f t="shared" si="14"/>
        <v>12190</v>
      </c>
      <c r="K20" s="423">
        <f t="shared" si="15"/>
        <v>4009</v>
      </c>
      <c r="L20" s="423">
        <f t="shared" si="16"/>
        <v>8181</v>
      </c>
      <c r="M20" s="423">
        <f t="shared" si="17"/>
        <v>0</v>
      </c>
      <c r="N20" s="423">
        <f>P19-M19</f>
        <v>0</v>
      </c>
      <c r="O20" s="423">
        <f t="shared" si="7"/>
        <v>4009</v>
      </c>
      <c r="P20" s="423">
        <f t="shared" si="18"/>
        <v>0</v>
      </c>
      <c r="Q20" s="423">
        <f t="shared" si="19"/>
        <v>0</v>
      </c>
      <c r="R20" s="423">
        <f t="shared" si="20"/>
        <v>288691.64</v>
      </c>
      <c r="S20" s="470"/>
      <c r="T20" s="36">
        <f>IF((T19-1)&lt;0,0,T19-1)</f>
        <v>25</v>
      </c>
      <c r="U20" s="36">
        <f t="shared" si="21"/>
        <v>25</v>
      </c>
      <c r="V20" s="112"/>
      <c r="W20" s="112">
        <v>0</v>
      </c>
      <c r="X20" s="112">
        <v>7.9000000000000001E-2</v>
      </c>
      <c r="Y20" s="112">
        <v>7.9000000000000001E-2</v>
      </c>
      <c r="Z20" s="112">
        <v>7.9000000000000001E-2</v>
      </c>
      <c r="AA20" s="112">
        <v>7.9000000000000001E-2</v>
      </c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3"/>
      <c r="AN20" s="113"/>
      <c r="AO20" s="130" t="e">
        <f t="shared" si="22"/>
        <v>#DIV/0!</v>
      </c>
      <c r="AP20" s="166">
        <f>AP19+1</f>
        <v>12</v>
      </c>
      <c r="AQ20" s="167">
        <f t="shared" si="8"/>
        <v>44808</v>
      </c>
      <c r="AR20" s="105" t="e">
        <f t="shared" si="9"/>
        <v>#DIV/0!</v>
      </c>
      <c r="AS20" s="105" t="e">
        <f t="shared" si="10"/>
        <v>#DIV/0!</v>
      </c>
      <c r="AT20" s="105">
        <f t="shared" si="40"/>
        <v>0</v>
      </c>
      <c r="AU20" s="105" t="e">
        <f t="shared" si="41"/>
        <v>#DIV/0!</v>
      </c>
      <c r="AV20" s="105" t="e">
        <f>AX19-AU19</f>
        <v>#DIV/0!</v>
      </c>
      <c r="AW20" s="105" t="e">
        <f t="shared" si="24"/>
        <v>#DIV/0!</v>
      </c>
      <c r="AX20" s="105">
        <f t="shared" si="42"/>
        <v>0</v>
      </c>
      <c r="AY20" s="105">
        <f t="shared" si="43"/>
        <v>0</v>
      </c>
      <c r="AZ20" s="105"/>
      <c r="BA20" s="105"/>
      <c r="BB20" s="105"/>
      <c r="BC20" s="105"/>
      <c r="BD20" s="105"/>
      <c r="BE20" s="105" t="e">
        <f t="shared" si="44"/>
        <v>#DIV/0!</v>
      </c>
      <c r="BF20" s="108"/>
      <c r="BG20" s="108"/>
      <c r="BH20" s="22"/>
      <c r="BI20" s="108"/>
      <c r="BW20" s="2">
        <f t="shared" si="37"/>
        <v>8</v>
      </c>
      <c r="BX20" s="398">
        <f t="shared" si="36"/>
        <v>44682</v>
      </c>
      <c r="BY20" s="2">
        <f t="shared" si="38"/>
        <v>9</v>
      </c>
    </row>
    <row r="21" spans="1:391" ht="30" customHeight="1" x14ac:dyDescent="0.25">
      <c r="A21" s="849" t="s">
        <v>307</v>
      </c>
      <c r="B21" s="849"/>
      <c r="C21" s="481" t="str">
        <f>IF(C7&lt;=1000000,"НА 3%",IF(C11=13.9%,"НА 3%","НА 2%"))</f>
        <v>НА 3%</v>
      </c>
      <c r="D21" s="314"/>
      <c r="E21" s="475"/>
      <c r="F21" s="296"/>
      <c r="G21" s="426">
        <f t="shared" si="29"/>
        <v>13</v>
      </c>
      <c r="H21" s="427">
        <f t="shared" si="6"/>
        <v>44838</v>
      </c>
      <c r="I21" s="494">
        <f>$AF$95</f>
        <v>0.129</v>
      </c>
      <c r="J21" s="423">
        <f>IF(AND($C$8&lt;&gt;"Нет",G21&gt;=$W$14,G21&lt;=$W$14+5),$W$15,IF(AND(R20+M21+K21&gt;J20,J20&lt;&gt;0),$AE$95,IF(R20=0,0,R20+M21+K21+K22)))</f>
        <v>11958</v>
      </c>
      <c r="K21" s="423">
        <f t="shared" si="15"/>
        <v>3060.92</v>
      </c>
      <c r="L21" s="423">
        <f t="shared" si="16"/>
        <v>8897.08</v>
      </c>
      <c r="M21" s="423">
        <f t="shared" si="17"/>
        <v>0</v>
      </c>
      <c r="N21" s="423">
        <f t="shared" si="30"/>
        <v>0</v>
      </c>
      <c r="O21" s="423">
        <f t="shared" si="7"/>
        <v>3060.92</v>
      </c>
      <c r="P21" s="423">
        <f t="shared" si="18"/>
        <v>0</v>
      </c>
      <c r="Q21" s="423">
        <f t="shared" si="19"/>
        <v>0</v>
      </c>
      <c r="R21" s="423">
        <f t="shared" si="20"/>
        <v>279794.56</v>
      </c>
      <c r="S21" s="470"/>
      <c r="T21" s="36">
        <f t="shared" si="31"/>
        <v>24</v>
      </c>
      <c r="U21" s="36">
        <f t="shared" si="21"/>
        <v>24</v>
      </c>
      <c r="V21" s="101"/>
      <c r="W21" s="101">
        <v>9.9000000000000005E-2</v>
      </c>
      <c r="X21" s="101">
        <f>IF($D$27=X4,X20,IF($D$27=X5,X19,IF($D$27=X6,X19,IF($D$27=X7,X19,IF($D$27=X8,X19,IF($D$27=X9,X19,IF($D$27=X10,X19,IF($D$27=X11,X19,IF($D$27=X12,X19,IF($D$27=X13,X19,IF($D$27=X14,X19,IF($D$27=X15,X19,X20))))))))))))</f>
        <v>7.9000000000000001E-2</v>
      </c>
      <c r="Y21" s="101">
        <f>IF($D$27=Y4,Y20,IF($D$27=Y5,Y19,IF($D$27=Y6,Y19,IF($D$27=Y7,Y19,IF($D$27=Y8,Y19,IF($D$27=Y9,Y19,IF($D$27=Y10,Y19,IF($D$27=Y11,Y19,IF($D$27=Y12,Y19,IF($D$27=Y13,Y19,IF($D$27=Y14,Y19,IF($D$27=Y15,Y19,Y20))))))))))))</f>
        <v>7.9000000000000001E-2</v>
      </c>
      <c r="Z21" s="101">
        <f>IF($D$27=Z4,Z20,IF($D$27=Z5,Z19,IF($D$27=Z6,Z19,IF($D$27=Z7,Z19,IF($D$27=Z8,Z19,IF($D$27=Z9,Z19,IF($D$27=Z10,Z19,IF($D$27=Z11,Z19,IF($D$27=Z12,Z19,IF($D$27=Z13,Z19,IF($D$27=Z14,Z19,IF($D$27=Z15,Z19,Z20))))))))))))</f>
        <v>7.9000000000000001E-2</v>
      </c>
      <c r="AA21" s="101">
        <f>IF($D$27=AA4,AA20,IF($D$27=AA5,AA19,IF($D$27=AA6,AA19,IF($D$27=AA7,AA19,IF($D$27=AA8,AA19,IF($D$27=AA9,AA19,IF($D$27=AA10,AA19,IF($D$27=AA11,AA19,IF($D$27=AA12,AA19,IF($D$27=AA13,AA19,IF($D$27=AA14,AA19,IF($D$27=AA15,AA19,AA20))))))))))))</f>
        <v>7.9000000000000001E-2</v>
      </c>
      <c r="AB21" s="84">
        <v>0.129</v>
      </c>
      <c r="AC21" s="84">
        <v>0.129</v>
      </c>
      <c r="AD21" s="84">
        <v>0.129</v>
      </c>
      <c r="AE21" s="84">
        <v>0.129</v>
      </c>
      <c r="AF21" s="84">
        <v>0.129</v>
      </c>
      <c r="AG21" s="84">
        <v>0.129</v>
      </c>
      <c r="AH21" s="84">
        <v>0.129</v>
      </c>
      <c r="AI21" s="84">
        <v>0.129</v>
      </c>
      <c r="AJ21" s="84">
        <v>0.129</v>
      </c>
      <c r="AK21" s="84">
        <v>0.129</v>
      </c>
      <c r="AL21" s="84">
        <v>0.129</v>
      </c>
      <c r="AM21" s="3"/>
      <c r="AN21" s="3"/>
      <c r="AO21" s="130" t="e">
        <f t="shared" si="22"/>
        <v>#DIV/0!</v>
      </c>
      <c r="AP21" s="109">
        <f t="shared" si="33"/>
        <v>13</v>
      </c>
      <c r="AQ21" s="110">
        <f t="shared" si="8"/>
        <v>44838</v>
      </c>
      <c r="AR21" s="105" t="e">
        <f t="shared" si="9"/>
        <v>#DIV/0!</v>
      </c>
      <c r="AS21" s="105" t="e">
        <f t="shared" si="10"/>
        <v>#DIV/0!</v>
      </c>
      <c r="AT21" s="105">
        <f t="shared" si="40"/>
        <v>0</v>
      </c>
      <c r="AU21" s="105" t="e">
        <f t="shared" si="41"/>
        <v>#DIV/0!</v>
      </c>
      <c r="AV21" s="105" t="e">
        <f t="shared" ref="AV21:AW85" si="45">AX20-AU20</f>
        <v>#DIV/0!</v>
      </c>
      <c r="AW21" s="105" t="e">
        <f t="shared" si="24"/>
        <v>#DIV/0!</v>
      </c>
      <c r="AX21" s="105">
        <f t="shared" si="42"/>
        <v>0</v>
      </c>
      <c r="AY21" s="105">
        <f t="shared" si="43"/>
        <v>0</v>
      </c>
      <c r="AZ21" s="105"/>
      <c r="BA21" s="105"/>
      <c r="BB21" s="105"/>
      <c r="BC21" s="105"/>
      <c r="BD21" s="105"/>
      <c r="BE21" s="105" t="e">
        <f t="shared" si="44"/>
        <v>#DIV/0!</v>
      </c>
      <c r="BF21" s="108"/>
      <c r="BG21" s="108"/>
      <c r="BH21" s="22"/>
      <c r="BI21" s="108"/>
      <c r="BW21" s="2">
        <f t="shared" si="37"/>
        <v>9</v>
      </c>
      <c r="BX21" s="398">
        <f t="shared" si="36"/>
        <v>44713</v>
      </c>
      <c r="BY21" s="2">
        <f t="shared" si="38"/>
        <v>10</v>
      </c>
    </row>
    <row r="22" spans="1:391" ht="23.25" customHeight="1" x14ac:dyDescent="0.25">
      <c r="A22" s="958" t="str">
        <f>IF(C7&gt;1000000,IF(C11=13.9%,"13,9% - 10,9% - 7,9% - 5,9% - 5,9% - 5,9% - 5,9%",IF(C11=11.9%,"11,9% - 9,9% - 7,9% - 5,9% - 5,9% - 5,9% - 5,9%","9,9% - 7,9% - 5,9% - 5,9% - 5,9% - 5,9% - 5,9%")),IF(C11=15.9%,"15,9% - 12,9% - 9,9% - 6,9% - 5,9% - 5,9% - 5,9%",IF(C11=13.9%,"13,9% - 10,9% - 7,9% - 5,9% - 5,9% - 5,9% - 5,9%","11,9% - 8,9% - 5,9% - 5,9% - 5,9% - 5,9% - 5,9%")))</f>
        <v>15,9% - 12,9% - 9,9% - 6,9% - 5,9% - 5,9% - 5,9%</v>
      </c>
      <c r="B22" s="958"/>
      <c r="C22" s="958"/>
      <c r="D22" s="314"/>
      <c r="E22" s="475"/>
      <c r="F22" s="296"/>
      <c r="G22" s="426">
        <f t="shared" si="29"/>
        <v>14</v>
      </c>
      <c r="H22" s="427">
        <f t="shared" si="6"/>
        <v>44869</v>
      </c>
      <c r="I22" s="494">
        <f t="shared" ref="I22:I32" si="46">$AF$95</f>
        <v>0.129</v>
      </c>
      <c r="J22" s="423">
        <f t="shared" ref="J22:J32" si="47">IF(AND($C$8&lt;&gt;"Нет",G22&gt;=$W$14,G22&lt;=$W$14+5),$W$15,IF(AND(R21+M22+K22&gt;J21,J21&lt;&gt;0),$AE$95,IF(R21=0,0,R21+M22+K22+K23)))</f>
        <v>11958</v>
      </c>
      <c r="K22" s="423">
        <f t="shared" si="15"/>
        <v>3065.48</v>
      </c>
      <c r="L22" s="423">
        <f t="shared" si="16"/>
        <v>8892.52</v>
      </c>
      <c r="M22" s="423">
        <f t="shared" si="17"/>
        <v>0</v>
      </c>
      <c r="N22" s="423">
        <f t="shared" si="30"/>
        <v>0</v>
      </c>
      <c r="O22" s="423">
        <f t="shared" si="7"/>
        <v>3065.48</v>
      </c>
      <c r="P22" s="423">
        <f t="shared" si="18"/>
        <v>0</v>
      </c>
      <c r="Q22" s="423">
        <f t="shared" si="19"/>
        <v>0</v>
      </c>
      <c r="R22" s="423">
        <f t="shared" si="20"/>
        <v>270902.03999999998</v>
      </c>
      <c r="S22" s="470"/>
      <c r="T22" s="36">
        <f t="shared" si="31"/>
        <v>23</v>
      </c>
      <c r="U22" s="36">
        <f t="shared" si="21"/>
        <v>23</v>
      </c>
      <c r="V22" s="101"/>
      <c r="W22" s="101">
        <f>IF(C11=W4,W23,IF(C11=W5,W23,IF(C11=W6,W24,IF(C11=W7,W24,IF(C11=W8,W25,IF(C11=W9,W26,IF(C11=W10,W26,IF(C11=W11,W26,IF(C11=W12,W27,IF(C11=W13,W26,IF(C11=W14,W27,IF(C11=W15,W27,IF(C11=W16,W27,IF(C11=W17,W27,W23))))))))))))))</f>
        <v>1.9E-2</v>
      </c>
      <c r="X22" s="101">
        <f>IF($D$27=X4,X23,IF($D$27=X5,X23,IF($D$27=X6,X23,IF($D$27=X7,X23,IF($D$27=X8,X24,IF($D$27=X9,X24,IF($D$27=X10,X25,IF($D$27=X11,X26,IF($D$27=X12,X26,"")))))))))</f>
        <v>8.9999999999999993E-3</v>
      </c>
      <c r="Y22" s="101">
        <f>IF($D$27=Y4,Y23,IF($D$27=Y5,Y23,IF($D$27=Y6,Y23,IF($D$27=Y7,Y23,IF($D$27=Y8,Y24,IF($D$27=Y9,Y24,IF($D$27=Y10,Y25,IF($D$27=Y11,Y26,IF($D$27=Y12,Y26,"")))))))))</f>
        <v>8.9999999999999993E-3</v>
      </c>
      <c r="Z22" s="101">
        <f>IF($D$27=Z4,Z23,IF($D$27=Z5,Z23,IF($D$27=Z6,Z23,IF($D$27=Z7,Z23,IF($D$27=Z8,Z24,IF($D$27=Z9,Z24,IF($D$27=Z10,Z25,IF($D$27=Z11,Z26,IF($D$27=Z12,Z26,"")))))))))</f>
        <v>8.9999999999999993E-3</v>
      </c>
      <c r="AA22" s="101">
        <f>IF($D$27=AA4,AA23,IF($D$27=AA5,AA23,IF($D$27=AA6,AA23,IF($D$27=AA7,AA23,IF($D$27=AA8,AA24,IF($D$27=AA9,AA24,IF($D$27=AA10,AA25,IF($D$27=AA11,AA26,IF($D$27=AA12,AA26,"")))))))))</f>
        <v>8.9999999999999993E-3</v>
      </c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O22" s="130" t="e">
        <f t="shared" si="22"/>
        <v>#DIV/0!</v>
      </c>
      <c r="AP22" s="109">
        <f t="shared" si="33"/>
        <v>14</v>
      </c>
      <c r="AQ22" s="110">
        <f t="shared" si="8"/>
        <v>44869</v>
      </c>
      <c r="AR22" s="105" t="e">
        <f t="shared" si="9"/>
        <v>#DIV/0!</v>
      </c>
      <c r="AS22" s="105" t="e">
        <f t="shared" si="10"/>
        <v>#DIV/0!</v>
      </c>
      <c r="AT22" s="105">
        <f t="shared" si="40"/>
        <v>0</v>
      </c>
      <c r="AU22" s="105" t="e">
        <f t="shared" si="41"/>
        <v>#DIV/0!</v>
      </c>
      <c r="AV22" s="105" t="e">
        <f t="shared" si="45"/>
        <v>#DIV/0!</v>
      </c>
      <c r="AW22" s="105" t="e">
        <f t="shared" si="24"/>
        <v>#DIV/0!</v>
      </c>
      <c r="AX22" s="105">
        <f t="shared" si="42"/>
        <v>0</v>
      </c>
      <c r="AY22" s="105">
        <f t="shared" si="43"/>
        <v>0</v>
      </c>
      <c r="AZ22" s="105"/>
      <c r="BA22" s="105"/>
      <c r="BB22" s="105"/>
      <c r="BC22" s="105"/>
      <c r="BD22" s="105"/>
      <c r="BE22" s="105" t="e">
        <f t="shared" si="44"/>
        <v>#DIV/0!</v>
      </c>
      <c r="BF22" s="108"/>
      <c r="BG22" s="108"/>
      <c r="BH22" s="22"/>
      <c r="BI22" s="108"/>
      <c r="BW22" s="2">
        <f>BW21+1</f>
        <v>10</v>
      </c>
      <c r="BX22" s="398">
        <f t="shared" si="36"/>
        <v>44743</v>
      </c>
      <c r="BY22" s="2">
        <f t="shared" si="38"/>
        <v>11</v>
      </c>
    </row>
    <row r="23" spans="1:391" ht="16.5" customHeight="1" x14ac:dyDescent="0.25">
      <c r="A23" s="959" t="s">
        <v>208</v>
      </c>
      <c r="B23" s="959"/>
      <c r="C23" s="959"/>
      <c r="D23" s="317"/>
      <c r="E23" s="284"/>
      <c r="F23" s="489"/>
      <c r="G23" s="426">
        <f t="shared" si="29"/>
        <v>15</v>
      </c>
      <c r="H23" s="427">
        <f t="shared" si="6"/>
        <v>44899</v>
      </c>
      <c r="I23" s="494">
        <f t="shared" si="46"/>
        <v>0.129</v>
      </c>
      <c r="J23" s="423">
        <f t="shared" si="47"/>
        <v>11958</v>
      </c>
      <c r="K23" s="423">
        <f t="shared" si="15"/>
        <v>2872.3</v>
      </c>
      <c r="L23" s="423">
        <f t="shared" si="16"/>
        <v>9085.7000000000007</v>
      </c>
      <c r="M23" s="423">
        <f t="shared" si="17"/>
        <v>0</v>
      </c>
      <c r="N23" s="423">
        <f t="shared" si="30"/>
        <v>0</v>
      </c>
      <c r="O23" s="423">
        <f t="shared" si="7"/>
        <v>2872.3</v>
      </c>
      <c r="P23" s="423">
        <f t="shared" si="18"/>
        <v>0</v>
      </c>
      <c r="Q23" s="423">
        <f t="shared" si="19"/>
        <v>0</v>
      </c>
      <c r="R23" s="423">
        <f t="shared" si="20"/>
        <v>261816.33999999997</v>
      </c>
      <c r="S23" s="470"/>
      <c r="T23" s="36">
        <f t="shared" si="31"/>
        <v>22</v>
      </c>
      <c r="U23" s="36">
        <f t="shared" si="21"/>
        <v>22</v>
      </c>
      <c r="V23" s="84"/>
      <c r="W23" s="84">
        <v>8.9999999999999993E-3</v>
      </c>
      <c r="X23" s="84">
        <v>8.9999999999999993E-3</v>
      </c>
      <c r="Y23" s="84">
        <v>8.9999999999999993E-3</v>
      </c>
      <c r="Z23" s="84">
        <v>8.9999999999999993E-3</v>
      </c>
      <c r="AA23" s="84">
        <v>8.9999999999999993E-3</v>
      </c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O23" s="130" t="e">
        <f t="shared" si="22"/>
        <v>#DIV/0!</v>
      </c>
      <c r="AP23" s="109">
        <f t="shared" si="33"/>
        <v>15</v>
      </c>
      <c r="AQ23" s="110">
        <f t="shared" si="8"/>
        <v>44899</v>
      </c>
      <c r="AR23" s="105" t="e">
        <f t="shared" si="9"/>
        <v>#DIV/0!</v>
      </c>
      <c r="AS23" s="105" t="e">
        <f t="shared" si="10"/>
        <v>#DIV/0!</v>
      </c>
      <c r="AT23" s="105">
        <f t="shared" si="40"/>
        <v>0</v>
      </c>
      <c r="AU23" s="105" t="e">
        <f t="shared" si="41"/>
        <v>#DIV/0!</v>
      </c>
      <c r="AV23" s="105" t="e">
        <f t="shared" si="45"/>
        <v>#DIV/0!</v>
      </c>
      <c r="AW23" s="105" t="e">
        <f t="shared" si="24"/>
        <v>#DIV/0!</v>
      </c>
      <c r="AX23" s="105">
        <f t="shared" si="42"/>
        <v>0</v>
      </c>
      <c r="AY23" s="105">
        <f t="shared" si="43"/>
        <v>0</v>
      </c>
      <c r="AZ23" s="105"/>
      <c r="BA23" s="105"/>
      <c r="BB23" s="105"/>
      <c r="BC23" s="105"/>
      <c r="BD23" s="105"/>
      <c r="BE23" s="105" t="e">
        <f t="shared" si="44"/>
        <v>#DIV/0!</v>
      </c>
      <c r="BF23" s="108"/>
      <c r="BG23" s="108"/>
      <c r="BH23" s="22"/>
      <c r="BI23" s="108"/>
      <c r="BW23" s="2">
        <f t="shared" ref="BW23:BW24" si="48">BW22+1</f>
        <v>11</v>
      </c>
      <c r="BX23" s="398">
        <f t="shared" si="36"/>
        <v>44774</v>
      </c>
      <c r="BY23" s="2">
        <f t="shared" si="38"/>
        <v>12</v>
      </c>
    </row>
    <row r="24" spans="1:391" ht="16.5" customHeight="1" x14ac:dyDescent="0.25">
      <c r="A24" s="852" t="str">
        <f>IF(AND($C$8&lt;&gt;"Нет",$D$8&lt;&gt;"Нет",$C$15&lt;&gt;"Нет"),"Сумма кредита с учетом страховой премии и 
комиссии за пакет услуг Всё под контролем, руб.",IF(AND($C$8&lt;&gt;"Нет",$D$8&lt;&gt;"Нет",$C$15&lt;&gt;"Да"),"Сумма кредита с учетом страховой премии, руб.",IF(AND($D$8&lt;&gt;"Нет",$C$15&lt;&gt;"Нет"),"Сумма кредита с учетом комиссии за пакет услуг Всё под контролем, руб.","Сумма кредита, руб.")))</f>
        <v>Сумма кредита, руб.</v>
      </c>
      <c r="B24" s="852"/>
      <c r="C24" s="328">
        <f>$C$7+(IF($C$8="Нет",0,IF($C$27&lt;&gt;"",$C$27,0))+IF(C42="Нет",0,IF($C$45&lt;&gt;"",$C$45,0))+IF(C15="Нет",0,IF(C15="Да",C16,0)))</f>
        <v>346640</v>
      </c>
      <c r="D24" s="318">
        <v>0</v>
      </c>
      <c r="E24" s="285" t="str">
        <f>IF(C8="Нет","Нет программы страхования",IF(C10-D24&lt;2,"Слишком поздняя активация",IF(D24&lt;1,"Слишком ранняя активация","")))</f>
        <v>Слишком ранняя активация</v>
      </c>
      <c r="F24" s="298"/>
      <c r="G24" s="426">
        <f t="shared" si="29"/>
        <v>16</v>
      </c>
      <c r="H24" s="427">
        <f t="shared" si="6"/>
        <v>44930</v>
      </c>
      <c r="I24" s="494">
        <f t="shared" si="46"/>
        <v>0.129</v>
      </c>
      <c r="J24" s="423">
        <f t="shared" si="47"/>
        <v>11958</v>
      </c>
      <c r="K24" s="423">
        <f t="shared" si="15"/>
        <v>2868.5</v>
      </c>
      <c r="L24" s="423">
        <f t="shared" si="16"/>
        <v>9089.5</v>
      </c>
      <c r="M24" s="423">
        <f t="shared" si="17"/>
        <v>0</v>
      </c>
      <c r="N24" s="423">
        <f t="shared" si="30"/>
        <v>0</v>
      </c>
      <c r="O24" s="423">
        <f t="shared" si="7"/>
        <v>2868.5</v>
      </c>
      <c r="P24" s="423">
        <f t="shared" si="18"/>
        <v>0</v>
      </c>
      <c r="Q24" s="423">
        <f t="shared" si="19"/>
        <v>0</v>
      </c>
      <c r="R24" s="423">
        <f t="shared" si="20"/>
        <v>252726.83999999997</v>
      </c>
      <c r="S24" s="470"/>
      <c r="T24" s="36">
        <f t="shared" si="31"/>
        <v>21</v>
      </c>
      <c r="U24" s="36">
        <f t="shared" si="21"/>
        <v>21</v>
      </c>
      <c r="V24" s="84"/>
      <c r="W24" s="84">
        <v>1.9E-2</v>
      </c>
      <c r="X24" s="84">
        <v>1.9E-2</v>
      </c>
      <c r="Y24" s="84">
        <v>1.9E-2</v>
      </c>
      <c r="Z24" s="84">
        <v>1.9E-2</v>
      </c>
      <c r="AA24" s="84">
        <v>1.9E-2</v>
      </c>
      <c r="AB24" s="15">
        <v>4.9000000000000002E-2</v>
      </c>
      <c r="AC24" s="15">
        <v>4.9000000000000002E-2</v>
      </c>
      <c r="AD24" s="15">
        <v>4.9000000000000002E-2</v>
      </c>
      <c r="AE24" s="15">
        <v>4.9000000000000002E-2</v>
      </c>
      <c r="AF24" s="80">
        <v>6.9000000000000006E-2</v>
      </c>
      <c r="AG24" s="80">
        <v>6.9000000000000006E-2</v>
      </c>
      <c r="AH24" s="80">
        <v>6.9000000000000006E-2</v>
      </c>
      <c r="AI24" s="80">
        <v>6.9000000000000006E-2</v>
      </c>
      <c r="AJ24" s="80">
        <v>6.9000000000000006E-2</v>
      </c>
      <c r="AK24" s="80">
        <v>6.9000000000000006E-2</v>
      </c>
      <c r="AL24" s="80">
        <v>6.9000000000000006E-2</v>
      </c>
      <c r="AO24" s="130" t="e">
        <f t="shared" si="22"/>
        <v>#DIV/0!</v>
      </c>
      <c r="AP24" s="109">
        <f t="shared" si="33"/>
        <v>16</v>
      </c>
      <c r="AQ24" s="110">
        <f t="shared" si="8"/>
        <v>44930</v>
      </c>
      <c r="AR24" s="105" t="e">
        <f t="shared" si="9"/>
        <v>#DIV/0!</v>
      </c>
      <c r="AS24" s="105" t="e">
        <f t="shared" si="10"/>
        <v>#DIV/0!</v>
      </c>
      <c r="AT24" s="105">
        <f t="shared" si="40"/>
        <v>0</v>
      </c>
      <c r="AU24" s="105" t="e">
        <f t="shared" si="41"/>
        <v>#DIV/0!</v>
      </c>
      <c r="AV24" s="105" t="e">
        <f t="shared" si="45"/>
        <v>#DIV/0!</v>
      </c>
      <c r="AW24" s="105" t="e">
        <f t="shared" si="24"/>
        <v>#DIV/0!</v>
      </c>
      <c r="AX24" s="105">
        <f t="shared" si="42"/>
        <v>0</v>
      </c>
      <c r="AY24" s="105">
        <f t="shared" si="43"/>
        <v>0</v>
      </c>
      <c r="AZ24" s="105"/>
      <c r="BA24" s="105"/>
      <c r="BB24" s="105"/>
      <c r="BC24" s="105"/>
      <c r="BD24" s="105"/>
      <c r="BE24" s="105" t="e">
        <f t="shared" si="44"/>
        <v>#DIV/0!</v>
      </c>
      <c r="BF24" s="108"/>
      <c r="BG24" s="108"/>
      <c r="BH24" s="22"/>
      <c r="BI24" s="108"/>
      <c r="BW24" s="2">
        <f t="shared" si="48"/>
        <v>12</v>
      </c>
      <c r="BX24" s="398">
        <f t="shared" si="36"/>
        <v>44805</v>
      </c>
      <c r="BY24" s="2">
        <f t="shared" si="38"/>
        <v>13</v>
      </c>
    </row>
    <row r="25" spans="1:391" ht="16.5" customHeight="1" x14ac:dyDescent="0.25">
      <c r="A25" s="960" t="s">
        <v>206</v>
      </c>
      <c r="B25" s="960"/>
      <c r="C25" s="328">
        <f>ROUNDUP(AG94/AG91*C24/AG47,0)*AG47</f>
        <v>12190</v>
      </c>
      <c r="D25" s="317"/>
      <c r="E25" s="284"/>
      <c r="F25" s="297"/>
      <c r="G25" s="426">
        <f t="shared" si="29"/>
        <v>17</v>
      </c>
      <c r="H25" s="427">
        <f t="shared" si="6"/>
        <v>44961</v>
      </c>
      <c r="I25" s="494">
        <f t="shared" si="46"/>
        <v>0.129</v>
      </c>
      <c r="J25" s="423">
        <f t="shared" si="47"/>
        <v>11958</v>
      </c>
      <c r="K25" s="423">
        <f t="shared" si="15"/>
        <v>2768.92</v>
      </c>
      <c r="L25" s="423">
        <f t="shared" si="16"/>
        <v>9189.08</v>
      </c>
      <c r="M25" s="423">
        <f t="shared" si="17"/>
        <v>0</v>
      </c>
      <c r="N25" s="423">
        <f t="shared" si="30"/>
        <v>0</v>
      </c>
      <c r="O25" s="423">
        <f t="shared" si="7"/>
        <v>2768.92</v>
      </c>
      <c r="P25" s="423">
        <f t="shared" si="18"/>
        <v>0</v>
      </c>
      <c r="Q25" s="423">
        <f t="shared" si="19"/>
        <v>0</v>
      </c>
      <c r="R25" s="423">
        <f t="shared" si="20"/>
        <v>243537.75999999998</v>
      </c>
      <c r="S25" s="470"/>
      <c r="T25" s="36">
        <f t="shared" si="31"/>
        <v>20</v>
      </c>
      <c r="U25" s="36">
        <f t="shared" si="21"/>
        <v>20</v>
      </c>
      <c r="V25" s="122"/>
      <c r="W25" s="122">
        <v>2.9000000000000001E-2</v>
      </c>
      <c r="X25" s="122">
        <v>2.9000000000000001E-2</v>
      </c>
      <c r="Y25" s="122">
        <v>2.9000000000000001E-2</v>
      </c>
      <c r="Z25" s="122">
        <v>2.9000000000000001E-2</v>
      </c>
      <c r="AA25" s="122">
        <v>2.9000000000000001E-2</v>
      </c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6"/>
      <c r="AN25" s="116"/>
      <c r="AO25" s="130" t="e">
        <f t="shared" si="22"/>
        <v>#DIV/0!</v>
      </c>
      <c r="AP25" s="168">
        <f t="shared" si="33"/>
        <v>17</v>
      </c>
      <c r="AQ25" s="167">
        <f t="shared" si="8"/>
        <v>44961</v>
      </c>
      <c r="AR25" s="105" t="e">
        <f t="shared" si="9"/>
        <v>#DIV/0!</v>
      </c>
      <c r="AS25" s="105" t="e">
        <f t="shared" si="10"/>
        <v>#DIV/0!</v>
      </c>
      <c r="AT25" s="105">
        <f t="shared" si="40"/>
        <v>0</v>
      </c>
      <c r="AU25" s="105" t="e">
        <f t="shared" si="41"/>
        <v>#DIV/0!</v>
      </c>
      <c r="AV25" s="105" t="e">
        <f t="shared" si="45"/>
        <v>#DIV/0!</v>
      </c>
      <c r="AW25" s="105" t="e">
        <f t="shared" si="24"/>
        <v>#DIV/0!</v>
      </c>
      <c r="AX25" s="105">
        <f t="shared" si="42"/>
        <v>0</v>
      </c>
      <c r="AY25" s="105">
        <f t="shared" si="43"/>
        <v>0</v>
      </c>
      <c r="AZ25" s="105"/>
      <c r="BA25" s="105"/>
      <c r="BB25" s="105"/>
      <c r="BC25" s="105"/>
      <c r="BD25" s="105"/>
      <c r="BE25" s="105" t="e">
        <f t="shared" si="44"/>
        <v>#DIV/0!</v>
      </c>
      <c r="BF25" s="108">
        <f>IF((BF18-1)&lt;0,0,BF18-1)</f>
        <v>26</v>
      </c>
      <c r="BG25" s="108">
        <f t="shared" ref="BG25:BG58" si="49">IF(ISERR(CEILING(FLOOR(NPER($C$11/12,-$AD$55,BE18),0.1),1))=TRUE,0,CEILING(FLOOR(NPER($C$11/12,-$AD$55,BE18),0.1),1))</f>
        <v>0</v>
      </c>
      <c r="BH25" s="22">
        <f t="shared" ref="BH25:BH38" si="50">H19</f>
        <v>44777</v>
      </c>
      <c r="BI25" s="108">
        <f t="shared" ref="BI25:BI58" si="51">J19</f>
        <v>12190</v>
      </c>
    </row>
    <row r="26" spans="1:391" ht="16.5" customHeight="1" x14ac:dyDescent="0.25">
      <c r="A26" s="852" t="s">
        <v>207</v>
      </c>
      <c r="B26" s="852"/>
      <c r="C26" s="328">
        <f>IF(C10=36,J33,IF(C10=48,J45,J57))</f>
        <v>11726</v>
      </c>
      <c r="D26" s="319" t="str">
        <f>IF(AND($C$8=$D$8,$C$42=$D$32),"В течение срока кредита","При обращении")</f>
        <v>При обращении</v>
      </c>
      <c r="E26" s="285"/>
      <c r="F26" s="298"/>
      <c r="G26" s="426">
        <f t="shared" si="29"/>
        <v>18</v>
      </c>
      <c r="H26" s="427">
        <f t="shared" si="6"/>
        <v>44989</v>
      </c>
      <c r="I26" s="494">
        <f t="shared" si="46"/>
        <v>0.129</v>
      </c>
      <c r="J26" s="423">
        <f t="shared" si="47"/>
        <v>11958</v>
      </c>
      <c r="K26" s="423">
        <f t="shared" si="15"/>
        <v>2410.02</v>
      </c>
      <c r="L26" s="423">
        <f t="shared" si="16"/>
        <v>9547.98</v>
      </c>
      <c r="M26" s="423">
        <f t="shared" si="17"/>
        <v>0</v>
      </c>
      <c r="N26" s="423">
        <f t="shared" si="30"/>
        <v>0</v>
      </c>
      <c r="O26" s="423">
        <f t="shared" si="7"/>
        <v>2410.02</v>
      </c>
      <c r="P26" s="423">
        <f t="shared" si="18"/>
        <v>0</v>
      </c>
      <c r="Q26" s="423">
        <f t="shared" si="19"/>
        <v>0</v>
      </c>
      <c r="R26" s="423">
        <f t="shared" si="20"/>
        <v>233989.77999999997</v>
      </c>
      <c r="S26" s="470"/>
      <c r="T26" s="36">
        <f t="shared" si="31"/>
        <v>19</v>
      </c>
      <c r="U26" s="36">
        <f t="shared" si="21"/>
        <v>19</v>
      </c>
      <c r="V26" s="84"/>
      <c r="W26" s="84">
        <v>4.9000000000000002E-2</v>
      </c>
      <c r="X26" s="84">
        <v>4.9000000000000002E-2</v>
      </c>
      <c r="Y26" s="84">
        <v>4.9000000000000002E-2</v>
      </c>
      <c r="Z26" s="84">
        <v>4.9000000000000002E-2</v>
      </c>
      <c r="AA26" s="84">
        <v>4.9000000000000002E-2</v>
      </c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O26" s="130" t="e">
        <f t="shared" si="22"/>
        <v>#DIV/0!</v>
      </c>
      <c r="AP26" s="109">
        <f t="shared" si="33"/>
        <v>18</v>
      </c>
      <c r="AQ26" s="110">
        <f t="shared" si="8"/>
        <v>44989</v>
      </c>
      <c r="AR26" s="105" t="e">
        <f t="shared" si="9"/>
        <v>#DIV/0!</v>
      </c>
      <c r="AS26" s="105" t="e">
        <f t="shared" si="10"/>
        <v>#DIV/0!</v>
      </c>
      <c r="AT26" s="105">
        <f t="shared" si="40"/>
        <v>0</v>
      </c>
      <c r="AU26" s="105" t="e">
        <f t="shared" si="41"/>
        <v>#DIV/0!</v>
      </c>
      <c r="AV26" s="105" t="e">
        <f t="shared" si="45"/>
        <v>#DIV/0!</v>
      </c>
      <c r="AW26" s="105" t="e">
        <f t="shared" si="24"/>
        <v>#DIV/0!</v>
      </c>
      <c r="AX26" s="105">
        <f t="shared" si="42"/>
        <v>0</v>
      </c>
      <c r="AY26" s="105">
        <f t="shared" si="43"/>
        <v>0</v>
      </c>
      <c r="AZ26" s="105"/>
      <c r="BA26" s="105"/>
      <c r="BB26" s="105"/>
      <c r="BC26" s="105"/>
      <c r="BD26" s="105"/>
      <c r="BE26" s="105" t="e">
        <f t="shared" si="44"/>
        <v>#DIV/0!</v>
      </c>
      <c r="BF26" s="108">
        <f>IF((BF25-1)&lt;0,0,BF25-1)</f>
        <v>25</v>
      </c>
      <c r="BG26" s="108">
        <f t="shared" si="49"/>
        <v>0</v>
      </c>
      <c r="BH26" s="22">
        <f t="shared" si="50"/>
        <v>44808</v>
      </c>
      <c r="BI26" s="108">
        <f t="shared" si="51"/>
        <v>12190</v>
      </c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97"/>
      <c r="DW26" s="97"/>
      <c r="DX26" s="97"/>
      <c r="DY26" s="97"/>
      <c r="DZ26" s="97"/>
      <c r="EA26" s="97"/>
      <c r="EB26" s="97"/>
      <c r="EC26" s="97"/>
      <c r="ED26" s="97"/>
      <c r="EE26" s="97"/>
      <c r="EF26" s="97"/>
      <c r="EG26" s="97"/>
      <c r="EH26" s="97"/>
      <c r="EI26" s="97"/>
      <c r="EJ26" s="97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97"/>
      <c r="FC26" s="97"/>
      <c r="FD26" s="97"/>
      <c r="FE26" s="97"/>
      <c r="FF26" s="97"/>
      <c r="FG26" s="97"/>
      <c r="FH26" s="97"/>
      <c r="FI26" s="97"/>
      <c r="FJ26" s="97"/>
      <c r="FK26" s="97"/>
      <c r="FL26" s="97"/>
      <c r="FM26" s="97"/>
      <c r="FN26" s="97"/>
      <c r="FO26" s="97"/>
      <c r="FP26" s="97"/>
      <c r="FQ26" s="97"/>
      <c r="FR26" s="97"/>
      <c r="FS26" s="97"/>
      <c r="FT26" s="97"/>
      <c r="FU26" s="97"/>
      <c r="FV26" s="97"/>
      <c r="FW26" s="97"/>
      <c r="FX26" s="97"/>
      <c r="FY26" s="97"/>
      <c r="FZ26" s="97"/>
      <c r="GA26" s="97"/>
      <c r="GB26" s="97"/>
      <c r="GC26" s="97"/>
      <c r="GD26" s="97"/>
      <c r="GE26" s="97"/>
      <c r="GF26" s="97"/>
      <c r="GG26" s="97"/>
      <c r="GH26" s="97"/>
      <c r="GI26" s="97"/>
      <c r="GJ26" s="97"/>
      <c r="GK26" s="97"/>
      <c r="GL26" s="97"/>
      <c r="GM26" s="97"/>
      <c r="GN26" s="97"/>
      <c r="GO26" s="97"/>
      <c r="GP26" s="97"/>
      <c r="GQ26" s="97"/>
      <c r="GR26" s="97"/>
      <c r="GS26" s="97"/>
      <c r="GT26" s="97"/>
      <c r="GU26" s="97"/>
      <c r="GV26" s="97"/>
      <c r="GW26" s="97"/>
      <c r="GX26" s="97"/>
      <c r="GY26" s="97"/>
      <c r="GZ26" s="97"/>
      <c r="HA26" s="97"/>
      <c r="HB26" s="97"/>
      <c r="HC26" s="97"/>
      <c r="HD26" s="97"/>
      <c r="HE26" s="97"/>
      <c r="HF26" s="97"/>
      <c r="HG26" s="97"/>
      <c r="HH26" s="97"/>
      <c r="HI26" s="97"/>
      <c r="HJ26" s="97"/>
      <c r="HK26" s="97"/>
      <c r="HL26" s="97"/>
      <c r="HM26" s="97"/>
      <c r="HN26" s="97"/>
      <c r="HO26" s="97"/>
      <c r="HP26" s="97"/>
      <c r="HQ26" s="97"/>
      <c r="HR26" s="97"/>
      <c r="HS26" s="97"/>
      <c r="HT26" s="97"/>
      <c r="HU26" s="97"/>
      <c r="HV26" s="97"/>
      <c r="HW26" s="97"/>
      <c r="HX26" s="97"/>
      <c r="HY26" s="97"/>
      <c r="HZ26" s="97"/>
      <c r="IA26" s="97"/>
      <c r="IB26" s="97"/>
      <c r="IC26" s="97"/>
      <c r="ID26" s="97"/>
      <c r="IE26" s="97"/>
      <c r="IF26" s="97"/>
      <c r="IG26" s="97"/>
      <c r="IH26" s="97"/>
      <c r="II26" s="97"/>
      <c r="IJ26" s="97"/>
      <c r="IK26" s="97"/>
      <c r="IL26" s="97"/>
      <c r="IM26" s="97"/>
      <c r="IN26" s="97"/>
      <c r="IO26" s="97"/>
      <c r="IP26" s="97"/>
      <c r="IQ26" s="97"/>
      <c r="IR26" s="97"/>
      <c r="IS26" s="97"/>
      <c r="IT26" s="97"/>
      <c r="IU26" s="97"/>
      <c r="IV26" s="97"/>
      <c r="IW26" s="97"/>
      <c r="IX26" s="97"/>
      <c r="IY26" s="97"/>
      <c r="IZ26" s="97"/>
      <c r="JA26" s="97"/>
      <c r="JB26" s="97"/>
      <c r="JC26" s="97"/>
      <c r="JD26" s="97"/>
      <c r="JE26" s="97"/>
      <c r="JF26" s="97"/>
      <c r="JG26" s="97"/>
      <c r="JH26" s="97"/>
      <c r="JI26" s="97"/>
      <c r="JJ26" s="97"/>
      <c r="JK26" s="97"/>
      <c r="JL26" s="97"/>
      <c r="JM26" s="97"/>
      <c r="JN26" s="97"/>
      <c r="JO26" s="97"/>
      <c r="JP26" s="97"/>
      <c r="JQ26" s="97"/>
      <c r="JR26" s="97"/>
      <c r="JS26" s="97"/>
      <c r="JT26" s="97"/>
      <c r="JU26" s="97"/>
      <c r="JV26" s="97"/>
      <c r="JW26" s="97"/>
      <c r="JX26" s="97"/>
      <c r="JY26" s="97"/>
      <c r="JZ26" s="97"/>
      <c r="KA26" s="97"/>
      <c r="KB26" s="97"/>
      <c r="KC26" s="97"/>
      <c r="KD26" s="97"/>
      <c r="KE26" s="97"/>
      <c r="KF26" s="97"/>
      <c r="KG26" s="97"/>
      <c r="KH26" s="97"/>
      <c r="KI26" s="97"/>
      <c r="KJ26" s="97"/>
      <c r="KK26" s="97"/>
      <c r="KL26" s="97"/>
      <c r="KM26" s="97"/>
      <c r="KN26" s="97"/>
      <c r="KO26" s="97"/>
      <c r="KP26" s="97"/>
      <c r="KQ26" s="97"/>
      <c r="KR26" s="97"/>
      <c r="KS26" s="97"/>
      <c r="KT26" s="97"/>
      <c r="KU26" s="97"/>
      <c r="KV26" s="97"/>
      <c r="KW26" s="97"/>
      <c r="KX26" s="97"/>
      <c r="KY26" s="97"/>
      <c r="KZ26" s="97"/>
      <c r="LA26" s="97"/>
      <c r="LB26" s="97"/>
      <c r="LC26" s="97"/>
      <c r="LD26" s="97"/>
      <c r="LE26" s="97"/>
      <c r="LF26" s="97"/>
      <c r="LG26" s="97"/>
      <c r="LH26" s="97"/>
      <c r="LI26" s="97"/>
      <c r="LJ26" s="97"/>
      <c r="LK26" s="97"/>
      <c r="LL26" s="97"/>
      <c r="LM26" s="97"/>
      <c r="LN26" s="97"/>
      <c r="LO26" s="97"/>
      <c r="LP26" s="97"/>
      <c r="LQ26" s="97"/>
      <c r="LR26" s="97"/>
      <c r="LS26" s="97"/>
      <c r="LT26" s="97"/>
      <c r="LU26" s="97"/>
      <c r="LV26" s="97"/>
      <c r="LW26" s="97"/>
      <c r="LX26" s="97"/>
      <c r="LY26" s="97"/>
      <c r="LZ26" s="97"/>
      <c r="MA26" s="97"/>
      <c r="MB26" s="97"/>
      <c r="MC26" s="97"/>
      <c r="MD26" s="97"/>
      <c r="ME26" s="97"/>
      <c r="MF26" s="97"/>
      <c r="MG26" s="97"/>
      <c r="MH26" s="97"/>
      <c r="MI26" s="97"/>
      <c r="MJ26" s="97"/>
      <c r="MK26" s="97"/>
      <c r="ML26" s="97"/>
      <c r="MM26" s="97"/>
      <c r="MN26" s="97"/>
      <c r="MO26" s="97"/>
      <c r="MP26" s="97"/>
      <c r="MQ26" s="97"/>
      <c r="MR26" s="97"/>
      <c r="MS26" s="97"/>
      <c r="MT26" s="97"/>
      <c r="MU26" s="97"/>
      <c r="MV26" s="97"/>
      <c r="MW26" s="97"/>
      <c r="MX26" s="97"/>
      <c r="MY26" s="97"/>
      <c r="MZ26" s="97"/>
      <c r="NA26" s="97"/>
      <c r="NB26" s="97"/>
      <c r="NC26" s="97"/>
      <c r="ND26" s="97"/>
      <c r="NE26" s="97"/>
      <c r="NF26" s="97"/>
      <c r="NG26" s="97"/>
      <c r="NH26" s="97"/>
      <c r="NI26" s="97"/>
      <c r="NJ26" s="97"/>
      <c r="NK26" s="97"/>
      <c r="NL26" s="97"/>
      <c r="NM26" s="97"/>
      <c r="NN26" s="97"/>
      <c r="NO26" s="97"/>
      <c r="NP26" s="97"/>
      <c r="NQ26" s="97"/>
      <c r="NR26" s="97"/>
      <c r="NS26" s="97"/>
      <c r="NT26" s="97"/>
      <c r="NU26" s="97"/>
      <c r="NV26" s="97"/>
      <c r="NW26" s="97"/>
      <c r="NX26" s="97"/>
      <c r="NY26" s="97"/>
      <c r="NZ26" s="97"/>
      <c r="OA26" s="97"/>
    </row>
    <row r="27" spans="1:391" ht="22.2" customHeight="1" x14ac:dyDescent="0.25">
      <c r="A27" s="846" t="s">
        <v>185</v>
      </c>
      <c r="B27" s="846"/>
      <c r="C27" s="329">
        <f>IF(C8="Нет",0,INDEX($AC$79:$AI$79,MATCH(C$8,$AC$59:$AJ$59,0))*C28)*MIN($C$10,60)</f>
        <v>43740</v>
      </c>
      <c r="D27" s="315">
        <f>C11</f>
        <v>0.159</v>
      </c>
      <c r="E27" s="286">
        <f>C11-D27</f>
        <v>0</v>
      </c>
      <c r="F27" s="299"/>
      <c r="G27" s="426">
        <f t="shared" si="29"/>
        <v>19</v>
      </c>
      <c r="H27" s="427">
        <f t="shared" si="6"/>
        <v>45020</v>
      </c>
      <c r="I27" s="494">
        <f t="shared" si="46"/>
        <v>0.129</v>
      </c>
      <c r="J27" s="423">
        <f t="shared" si="47"/>
        <v>11958</v>
      </c>
      <c r="K27" s="423">
        <f t="shared" si="15"/>
        <v>2563.63</v>
      </c>
      <c r="L27" s="423">
        <f t="shared" si="16"/>
        <v>9394.369999999999</v>
      </c>
      <c r="M27" s="423">
        <f t="shared" si="17"/>
        <v>0</v>
      </c>
      <c r="N27" s="423">
        <f t="shared" si="30"/>
        <v>0</v>
      </c>
      <c r="O27" s="423">
        <f t="shared" si="7"/>
        <v>2563.63</v>
      </c>
      <c r="P27" s="423">
        <f t="shared" si="18"/>
        <v>0</v>
      </c>
      <c r="Q27" s="423">
        <f t="shared" si="19"/>
        <v>0</v>
      </c>
      <c r="R27" s="423">
        <f t="shared" si="20"/>
        <v>224595.40999999997</v>
      </c>
      <c r="S27" s="470"/>
      <c r="T27" s="36">
        <f t="shared" si="31"/>
        <v>18</v>
      </c>
      <c r="U27" s="36">
        <f t="shared" si="21"/>
        <v>18</v>
      </c>
      <c r="V27" s="84"/>
      <c r="W27" s="84">
        <v>6.9000000000000006E-2</v>
      </c>
      <c r="X27" s="84">
        <v>6.9000000000000006E-2</v>
      </c>
      <c r="Y27" s="84">
        <v>6.9000000000000006E-2</v>
      </c>
      <c r="Z27" s="84">
        <v>6.9000000000000006E-2</v>
      </c>
      <c r="AA27" s="84">
        <v>6.9000000000000006E-2</v>
      </c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O27" s="130" t="e">
        <f t="shared" si="22"/>
        <v>#DIV/0!</v>
      </c>
      <c r="AP27" s="109">
        <f t="shared" si="33"/>
        <v>19</v>
      </c>
      <c r="AQ27" s="110">
        <f t="shared" si="8"/>
        <v>45020</v>
      </c>
      <c r="AR27" s="105" t="e">
        <f t="shared" si="9"/>
        <v>#DIV/0!</v>
      </c>
      <c r="AS27" s="105" t="e">
        <f t="shared" si="10"/>
        <v>#DIV/0!</v>
      </c>
      <c r="AT27" s="105">
        <f t="shared" si="40"/>
        <v>0</v>
      </c>
      <c r="AU27" s="105" t="e">
        <f t="shared" si="41"/>
        <v>#DIV/0!</v>
      </c>
      <c r="AV27" s="105" t="e">
        <f t="shared" si="45"/>
        <v>#DIV/0!</v>
      </c>
      <c r="AW27" s="105" t="e">
        <f t="shared" si="24"/>
        <v>#DIV/0!</v>
      </c>
      <c r="AX27" s="105">
        <f t="shared" si="42"/>
        <v>0</v>
      </c>
      <c r="AY27" s="105">
        <f t="shared" si="43"/>
        <v>0</v>
      </c>
      <c r="AZ27" s="105"/>
      <c r="BA27" s="105"/>
      <c r="BB27" s="105"/>
      <c r="BC27" s="105"/>
      <c r="BD27" s="105"/>
      <c r="BE27" s="105" t="e">
        <f t="shared" si="44"/>
        <v>#DIV/0!</v>
      </c>
      <c r="BF27" s="108">
        <f t="shared" si="35"/>
        <v>24</v>
      </c>
      <c r="BG27" s="108">
        <f t="shared" si="49"/>
        <v>0</v>
      </c>
      <c r="BH27" s="22">
        <f t="shared" si="50"/>
        <v>44838</v>
      </c>
      <c r="BI27" s="108">
        <f t="shared" si="51"/>
        <v>11958</v>
      </c>
    </row>
    <row r="28" spans="1:391" ht="23.25" customHeight="1" x14ac:dyDescent="0.25">
      <c r="A28" s="846" t="s">
        <v>100</v>
      </c>
      <c r="B28" s="846"/>
      <c r="C28" s="482">
        <f>IF(C8=AC59,AC65,IF(C8=AD59,AD65,IF(C8=AF59,AF65,IF(C8=AG59,AG65,IF(C8=AE59,AE65,IF(C8=AH59,AH65,IF(C8=AI59,AI65,IF(C8=AJ59,AJ65,Y28))))))))</f>
        <v>3.0000000000000001E-3</v>
      </c>
      <c r="D28" s="313" t="s">
        <v>33</v>
      </c>
      <c r="E28" s="287"/>
      <c r="F28" s="300"/>
      <c r="G28" s="426">
        <f t="shared" si="29"/>
        <v>20</v>
      </c>
      <c r="H28" s="427">
        <f t="shared" si="6"/>
        <v>45050</v>
      </c>
      <c r="I28" s="494">
        <f t="shared" si="46"/>
        <v>0.129</v>
      </c>
      <c r="J28" s="423">
        <f t="shared" si="47"/>
        <v>11958</v>
      </c>
      <c r="K28" s="423">
        <f t="shared" si="15"/>
        <v>2381.33</v>
      </c>
      <c r="L28" s="423">
        <f t="shared" si="16"/>
        <v>9576.67</v>
      </c>
      <c r="M28" s="423">
        <f t="shared" si="17"/>
        <v>0</v>
      </c>
      <c r="N28" s="423">
        <f t="shared" si="30"/>
        <v>0</v>
      </c>
      <c r="O28" s="423">
        <f t="shared" si="7"/>
        <v>2381.33</v>
      </c>
      <c r="P28" s="423">
        <f t="shared" si="18"/>
        <v>0</v>
      </c>
      <c r="Q28" s="423">
        <f t="shared" si="19"/>
        <v>0</v>
      </c>
      <c r="R28" s="423">
        <f t="shared" si="20"/>
        <v>215018.73999999996</v>
      </c>
      <c r="S28" s="470"/>
      <c r="T28" s="36">
        <f t="shared" si="31"/>
        <v>17</v>
      </c>
      <c r="U28" s="36">
        <f t="shared" si="21"/>
        <v>17</v>
      </c>
      <c r="W28" s="2">
        <v>1</v>
      </c>
      <c r="X28" s="2">
        <v>1</v>
      </c>
      <c r="Y28" s="3">
        <v>1</v>
      </c>
      <c r="Z28" s="2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81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O28" s="130" t="e">
        <f t="shared" si="22"/>
        <v>#DIV/0!</v>
      </c>
      <c r="AP28" s="109">
        <f t="shared" si="33"/>
        <v>20</v>
      </c>
      <c r="AQ28" s="110">
        <f t="shared" si="8"/>
        <v>45050</v>
      </c>
      <c r="AR28" s="105" t="e">
        <f t="shared" si="9"/>
        <v>#DIV/0!</v>
      </c>
      <c r="AS28" s="105" t="e">
        <f t="shared" si="10"/>
        <v>#DIV/0!</v>
      </c>
      <c r="AT28" s="105">
        <f t="shared" si="40"/>
        <v>0</v>
      </c>
      <c r="AU28" s="105" t="e">
        <f t="shared" si="41"/>
        <v>#DIV/0!</v>
      </c>
      <c r="AV28" s="105" t="e">
        <f t="shared" si="45"/>
        <v>#DIV/0!</v>
      </c>
      <c r="AW28" s="105" t="e">
        <f t="shared" si="24"/>
        <v>#DIV/0!</v>
      </c>
      <c r="AX28" s="105">
        <f t="shared" si="42"/>
        <v>0</v>
      </c>
      <c r="AY28" s="105">
        <f t="shared" si="43"/>
        <v>0</v>
      </c>
      <c r="AZ28" s="105"/>
      <c r="BA28" s="105"/>
      <c r="BB28" s="105"/>
      <c r="BC28" s="105"/>
      <c r="BD28" s="105"/>
      <c r="BE28" s="105" t="e">
        <f t="shared" si="44"/>
        <v>#DIV/0!</v>
      </c>
      <c r="BF28" s="108">
        <f t="shared" si="35"/>
        <v>23</v>
      </c>
      <c r="BG28" s="108">
        <f t="shared" si="49"/>
        <v>0</v>
      </c>
      <c r="BH28" s="22">
        <f t="shared" si="50"/>
        <v>44869</v>
      </c>
      <c r="BI28" s="108">
        <f t="shared" si="51"/>
        <v>11958</v>
      </c>
    </row>
    <row r="29" spans="1:391" ht="19.5" customHeight="1" x14ac:dyDescent="0.25">
      <c r="A29" s="846" t="s">
        <v>324</v>
      </c>
      <c r="B29" s="846"/>
      <c r="C29" s="329">
        <f>IF(C8="Нет",0,INDEX($AC$79:$AI$79,MATCH(C$8,$AC$59:$AJ$59,0)))</f>
        <v>405000</v>
      </c>
      <c r="D29" s="476"/>
      <c r="E29" s="476"/>
      <c r="F29" s="299"/>
      <c r="G29" s="426">
        <f t="shared" si="29"/>
        <v>21</v>
      </c>
      <c r="H29" s="427">
        <f t="shared" si="6"/>
        <v>45081</v>
      </c>
      <c r="I29" s="494">
        <f t="shared" si="46"/>
        <v>0.129</v>
      </c>
      <c r="J29" s="423">
        <f t="shared" si="47"/>
        <v>11958</v>
      </c>
      <c r="K29" s="423">
        <f t="shared" si="15"/>
        <v>2355.7800000000002</v>
      </c>
      <c r="L29" s="423">
        <f t="shared" si="16"/>
        <v>9602.2199999999993</v>
      </c>
      <c r="M29" s="423">
        <f t="shared" si="17"/>
        <v>0</v>
      </c>
      <c r="N29" s="423">
        <f t="shared" si="30"/>
        <v>0</v>
      </c>
      <c r="O29" s="423">
        <f t="shared" si="7"/>
        <v>2355.7800000000002</v>
      </c>
      <c r="P29" s="423">
        <f t="shared" si="18"/>
        <v>0</v>
      </c>
      <c r="Q29" s="423">
        <f t="shared" si="19"/>
        <v>0</v>
      </c>
      <c r="R29" s="423">
        <f t="shared" si="20"/>
        <v>205416.51999999996</v>
      </c>
      <c r="S29" s="470"/>
      <c r="T29" s="36">
        <f t="shared" si="31"/>
        <v>16</v>
      </c>
      <c r="U29" s="36">
        <f t="shared" si="21"/>
        <v>16</v>
      </c>
      <c r="AE29" s="82"/>
      <c r="AF29" s="2"/>
      <c r="AG29" s="2"/>
      <c r="AH29" s="2"/>
      <c r="AI29" s="3"/>
      <c r="AJ29" s="3"/>
      <c r="AK29" s="3"/>
      <c r="AL29" s="3"/>
      <c r="AO29" s="130" t="e">
        <f t="shared" si="22"/>
        <v>#DIV/0!</v>
      </c>
      <c r="AP29" s="109">
        <f t="shared" si="33"/>
        <v>21</v>
      </c>
      <c r="AQ29" s="110">
        <f t="shared" si="8"/>
        <v>45081</v>
      </c>
      <c r="AR29" s="105" t="e">
        <f t="shared" si="9"/>
        <v>#DIV/0!</v>
      </c>
      <c r="AS29" s="105" t="e">
        <f t="shared" si="10"/>
        <v>#DIV/0!</v>
      </c>
      <c r="AT29" s="105">
        <f t="shared" si="40"/>
        <v>0</v>
      </c>
      <c r="AU29" s="105" t="e">
        <f t="shared" si="41"/>
        <v>#DIV/0!</v>
      </c>
      <c r="AV29" s="105" t="e">
        <f t="shared" si="45"/>
        <v>#DIV/0!</v>
      </c>
      <c r="AW29" s="105" t="e">
        <f t="shared" si="24"/>
        <v>#DIV/0!</v>
      </c>
      <c r="AX29" s="105">
        <f t="shared" si="42"/>
        <v>0</v>
      </c>
      <c r="AY29" s="105">
        <f t="shared" si="43"/>
        <v>0</v>
      </c>
      <c r="AZ29" s="105"/>
      <c r="BA29" s="105"/>
      <c r="BB29" s="105"/>
      <c r="BC29" s="105"/>
      <c r="BD29" s="105"/>
      <c r="BE29" s="105" t="e">
        <f t="shared" si="44"/>
        <v>#DIV/0!</v>
      </c>
      <c r="BF29" s="108">
        <f t="shared" si="35"/>
        <v>22</v>
      </c>
      <c r="BG29" s="108">
        <f t="shared" si="49"/>
        <v>0</v>
      </c>
      <c r="BH29" s="22">
        <f t="shared" si="50"/>
        <v>44899</v>
      </c>
      <c r="BI29" s="108">
        <f t="shared" si="51"/>
        <v>11958</v>
      </c>
    </row>
    <row r="30" spans="1:391" ht="19.5" customHeight="1" x14ac:dyDescent="0.25">
      <c r="A30" s="846" t="s">
        <v>162</v>
      </c>
      <c r="B30" s="846"/>
      <c r="C30" s="329">
        <f>C27/$C$10</f>
        <v>1215</v>
      </c>
      <c r="D30" s="315" t="str">
        <f>D8</f>
        <v>Нет</v>
      </c>
      <c r="E30" s="286"/>
      <c r="F30" s="299"/>
      <c r="G30" s="426">
        <f t="shared" si="29"/>
        <v>22</v>
      </c>
      <c r="H30" s="427">
        <f t="shared" si="6"/>
        <v>45111</v>
      </c>
      <c r="I30" s="494">
        <f t="shared" si="46"/>
        <v>0.129</v>
      </c>
      <c r="J30" s="423">
        <f t="shared" si="47"/>
        <v>11958</v>
      </c>
      <c r="K30" s="423">
        <f t="shared" si="15"/>
        <v>2177.98</v>
      </c>
      <c r="L30" s="423">
        <f t="shared" si="16"/>
        <v>9780.02</v>
      </c>
      <c r="M30" s="423">
        <f t="shared" si="17"/>
        <v>0</v>
      </c>
      <c r="N30" s="423">
        <f t="shared" si="30"/>
        <v>0</v>
      </c>
      <c r="O30" s="423">
        <f t="shared" si="7"/>
        <v>2177.98</v>
      </c>
      <c r="P30" s="423">
        <f t="shared" si="18"/>
        <v>0</v>
      </c>
      <c r="Q30" s="423">
        <f t="shared" si="19"/>
        <v>0</v>
      </c>
      <c r="R30" s="423">
        <f t="shared" si="20"/>
        <v>195636.49999999997</v>
      </c>
      <c r="S30" s="470"/>
      <c r="T30" s="36">
        <f t="shared" si="31"/>
        <v>15</v>
      </c>
      <c r="U30" s="36">
        <f t="shared" si="21"/>
        <v>15</v>
      </c>
      <c r="W30" s="2">
        <v>0</v>
      </c>
      <c r="X30" s="2">
        <v>1</v>
      </c>
      <c r="Y30" s="2">
        <v>2</v>
      </c>
      <c r="Z30" s="2">
        <v>3</v>
      </c>
      <c r="AA30" s="2">
        <v>4</v>
      </c>
      <c r="AB30" s="13"/>
      <c r="AC30" s="13" t="s">
        <v>47</v>
      </c>
      <c r="AD30" s="2" t="s">
        <v>35</v>
      </c>
      <c r="AE30" s="82" t="s">
        <v>35</v>
      </c>
      <c r="AF30" s="2" t="s">
        <v>35</v>
      </c>
      <c r="AG30" s="2" t="s">
        <v>35</v>
      </c>
      <c r="AH30" s="2" t="s">
        <v>35</v>
      </c>
      <c r="AK30" s="2"/>
      <c r="AO30" s="130" t="e">
        <f t="shared" si="22"/>
        <v>#DIV/0!</v>
      </c>
      <c r="AP30" s="109">
        <f t="shared" si="33"/>
        <v>22</v>
      </c>
      <c r="AQ30" s="110">
        <f t="shared" si="8"/>
        <v>45111</v>
      </c>
      <c r="AR30" s="105" t="e">
        <f t="shared" si="9"/>
        <v>#DIV/0!</v>
      </c>
      <c r="AS30" s="105" t="e">
        <f t="shared" si="10"/>
        <v>#DIV/0!</v>
      </c>
      <c r="AT30" s="105">
        <f t="shared" si="40"/>
        <v>0</v>
      </c>
      <c r="AU30" s="105" t="e">
        <f t="shared" si="41"/>
        <v>#DIV/0!</v>
      </c>
      <c r="AV30" s="105" t="e">
        <f t="shared" si="45"/>
        <v>#DIV/0!</v>
      </c>
      <c r="AW30" s="105" t="e">
        <f t="shared" si="24"/>
        <v>#DIV/0!</v>
      </c>
      <c r="AX30" s="105">
        <f t="shared" si="42"/>
        <v>0</v>
      </c>
      <c r="AY30" s="105">
        <f t="shared" si="43"/>
        <v>0</v>
      </c>
      <c r="AZ30" s="105"/>
      <c r="BA30" s="105"/>
      <c r="BB30" s="105"/>
      <c r="BC30" s="105"/>
      <c r="BD30" s="105"/>
      <c r="BE30" s="105" t="e">
        <f t="shared" si="44"/>
        <v>#DIV/0!</v>
      </c>
      <c r="BF30" s="108">
        <f t="shared" si="35"/>
        <v>21</v>
      </c>
      <c r="BG30" s="108">
        <f t="shared" si="49"/>
        <v>0</v>
      </c>
      <c r="BH30" s="22">
        <f t="shared" si="50"/>
        <v>44930</v>
      </c>
      <c r="BI30" s="108">
        <f t="shared" si="51"/>
        <v>11958</v>
      </c>
    </row>
    <row r="31" spans="1:391" ht="21.75" customHeight="1" x14ac:dyDescent="0.25">
      <c r="A31" s="846" t="s">
        <v>163</v>
      </c>
      <c r="B31" s="846"/>
      <c r="C31" s="331">
        <f>ROUND($C$30/30.4,2)</f>
        <v>39.97</v>
      </c>
      <c r="D31" s="320" t="str">
        <f>IF(AE$15 &gt; 0,AE$15,"Эта ставка с Гарантией не оформляется")</f>
        <v/>
      </c>
      <c r="E31" s="286"/>
      <c r="F31" s="299"/>
      <c r="G31" s="426">
        <f t="shared" si="29"/>
        <v>23</v>
      </c>
      <c r="H31" s="427">
        <f t="shared" si="6"/>
        <v>45142</v>
      </c>
      <c r="I31" s="494">
        <f t="shared" si="46"/>
        <v>0.129</v>
      </c>
      <c r="J31" s="423">
        <f t="shared" si="47"/>
        <v>11958</v>
      </c>
      <c r="K31" s="423">
        <f t="shared" si="15"/>
        <v>2143.4299999999998</v>
      </c>
      <c r="L31" s="423">
        <f t="shared" si="16"/>
        <v>9814.57</v>
      </c>
      <c r="M31" s="423">
        <f t="shared" si="17"/>
        <v>0</v>
      </c>
      <c r="N31" s="423">
        <f t="shared" si="30"/>
        <v>0</v>
      </c>
      <c r="O31" s="423">
        <f t="shared" si="7"/>
        <v>2143.4299999999998</v>
      </c>
      <c r="P31" s="423">
        <f t="shared" si="18"/>
        <v>0</v>
      </c>
      <c r="Q31" s="423">
        <f t="shared" si="19"/>
        <v>0</v>
      </c>
      <c r="R31" s="423">
        <f t="shared" si="20"/>
        <v>185821.92999999996</v>
      </c>
      <c r="S31" s="470"/>
      <c r="T31" s="36">
        <f t="shared" si="31"/>
        <v>14</v>
      </c>
      <c r="U31" s="36">
        <f t="shared" si="21"/>
        <v>14</v>
      </c>
      <c r="AB31" s="13" t="s">
        <v>79</v>
      </c>
      <c r="AC31" s="15">
        <f>IF(C12=W3,W22,IF(C12=Y3,Y22,IF(C12=Z3,Z22,IF(C12=AA3,AA22,IF(C12=X3,X22,)))))</f>
        <v>1.9E-2</v>
      </c>
      <c r="AD31" s="15">
        <v>0</v>
      </c>
      <c r="AE31" s="2">
        <v>0</v>
      </c>
      <c r="AF31" s="2">
        <v>0</v>
      </c>
      <c r="AG31" s="2">
        <v>0</v>
      </c>
      <c r="AH31" s="2"/>
      <c r="AK31" s="2"/>
      <c r="AO31" s="130" t="e">
        <f t="shared" si="22"/>
        <v>#DIV/0!</v>
      </c>
      <c r="AP31" s="109">
        <f t="shared" si="33"/>
        <v>23</v>
      </c>
      <c r="AQ31" s="110">
        <f t="shared" si="8"/>
        <v>45142</v>
      </c>
      <c r="AR31" s="105" t="e">
        <f t="shared" si="9"/>
        <v>#DIV/0!</v>
      </c>
      <c r="AS31" s="105" t="e">
        <f t="shared" si="10"/>
        <v>#DIV/0!</v>
      </c>
      <c r="AT31" s="105">
        <f t="shared" si="40"/>
        <v>0</v>
      </c>
      <c r="AU31" s="105" t="e">
        <f t="shared" si="41"/>
        <v>#DIV/0!</v>
      </c>
      <c r="AV31" s="105" t="e">
        <f t="shared" si="45"/>
        <v>#DIV/0!</v>
      </c>
      <c r="AW31" s="105" t="e">
        <f t="shared" si="24"/>
        <v>#DIV/0!</v>
      </c>
      <c r="AX31" s="105">
        <f t="shared" si="42"/>
        <v>0</v>
      </c>
      <c r="AY31" s="105">
        <f t="shared" si="43"/>
        <v>0</v>
      </c>
      <c r="AZ31" s="105"/>
      <c r="BA31" s="105"/>
      <c r="BB31" s="105"/>
      <c r="BC31" s="105"/>
      <c r="BD31" s="105"/>
      <c r="BE31" s="105" t="e">
        <f t="shared" si="44"/>
        <v>#DIV/0!</v>
      </c>
      <c r="BF31" s="108">
        <f t="shared" si="35"/>
        <v>20</v>
      </c>
      <c r="BG31" s="108">
        <f t="shared" si="49"/>
        <v>0</v>
      </c>
      <c r="BH31" s="22">
        <f t="shared" si="50"/>
        <v>44961</v>
      </c>
      <c r="BI31" s="108">
        <f t="shared" si="51"/>
        <v>11958</v>
      </c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116"/>
      <c r="FX31" s="116"/>
      <c r="FY31" s="116"/>
      <c r="FZ31" s="116"/>
      <c r="GA31" s="116"/>
      <c r="GB31" s="116"/>
      <c r="GC31" s="116"/>
      <c r="GD31" s="116"/>
      <c r="GE31" s="116"/>
      <c r="GF31" s="116"/>
      <c r="GG31" s="116"/>
      <c r="GH31" s="116"/>
      <c r="GI31" s="116"/>
      <c r="GJ31" s="116"/>
      <c r="GK31" s="116"/>
      <c r="GL31" s="116"/>
      <c r="GM31" s="116"/>
      <c r="GN31" s="116"/>
      <c r="GO31" s="116"/>
      <c r="GP31" s="116"/>
      <c r="GQ31" s="116"/>
      <c r="GR31" s="116"/>
      <c r="GS31" s="116"/>
      <c r="GT31" s="116"/>
      <c r="GU31" s="116"/>
      <c r="GV31" s="116"/>
      <c r="GW31" s="116"/>
      <c r="GX31" s="116"/>
      <c r="GY31" s="116"/>
      <c r="GZ31" s="116"/>
      <c r="HA31" s="116"/>
      <c r="HB31" s="116"/>
      <c r="HC31" s="116"/>
      <c r="HD31" s="116"/>
      <c r="HE31" s="116"/>
      <c r="HF31" s="116"/>
      <c r="HG31" s="116"/>
      <c r="HH31" s="116"/>
      <c r="HI31" s="116"/>
      <c r="HJ31" s="116"/>
      <c r="HK31" s="116"/>
      <c r="HL31" s="116"/>
      <c r="HM31" s="116"/>
      <c r="HN31" s="116"/>
      <c r="HO31" s="116"/>
      <c r="HP31" s="116"/>
      <c r="HQ31" s="116"/>
      <c r="HR31" s="116"/>
      <c r="HS31" s="116"/>
      <c r="HT31" s="116"/>
      <c r="HU31" s="116"/>
      <c r="HV31" s="116"/>
      <c r="HW31" s="116"/>
      <c r="HX31" s="116"/>
      <c r="HY31" s="116"/>
      <c r="HZ31" s="116"/>
      <c r="IA31" s="116"/>
      <c r="IB31" s="116"/>
      <c r="IC31" s="116"/>
      <c r="ID31" s="116"/>
      <c r="IE31" s="116"/>
      <c r="IF31" s="116"/>
      <c r="IG31" s="116"/>
      <c r="IH31" s="116"/>
      <c r="II31" s="116"/>
      <c r="IJ31" s="116"/>
      <c r="IK31" s="116"/>
      <c r="IL31" s="116"/>
      <c r="IM31" s="116"/>
      <c r="IN31" s="116"/>
      <c r="IO31" s="116"/>
      <c r="IP31" s="116"/>
      <c r="IQ31" s="116"/>
      <c r="IR31" s="116"/>
      <c r="IS31" s="116"/>
      <c r="IT31" s="116"/>
      <c r="IU31" s="116"/>
      <c r="IV31" s="116"/>
      <c r="IW31" s="116"/>
      <c r="IX31" s="116"/>
      <c r="IY31" s="116"/>
      <c r="IZ31" s="116"/>
      <c r="JA31" s="116"/>
      <c r="JB31" s="116"/>
      <c r="JC31" s="116"/>
      <c r="JD31" s="116"/>
      <c r="JE31" s="116"/>
      <c r="JF31" s="116"/>
      <c r="JG31" s="116"/>
      <c r="JH31" s="116"/>
      <c r="JI31" s="116"/>
      <c r="JJ31" s="116"/>
      <c r="JK31" s="116"/>
      <c r="JL31" s="116"/>
      <c r="JM31" s="116"/>
      <c r="JN31" s="116"/>
      <c r="JO31" s="116"/>
      <c r="JP31" s="116"/>
      <c r="JQ31" s="116"/>
      <c r="JR31" s="116"/>
      <c r="JS31" s="116"/>
      <c r="JT31" s="116"/>
      <c r="JU31" s="116"/>
      <c r="JV31" s="116"/>
      <c r="JW31" s="116"/>
      <c r="JX31" s="116"/>
      <c r="JY31" s="116"/>
      <c r="JZ31" s="116"/>
      <c r="KA31" s="116"/>
      <c r="KB31" s="116"/>
      <c r="KC31" s="116"/>
      <c r="KD31" s="116"/>
      <c r="KE31" s="116"/>
      <c r="KF31" s="116"/>
      <c r="KG31" s="116"/>
      <c r="KH31" s="116"/>
      <c r="KI31" s="116"/>
      <c r="KJ31" s="116"/>
      <c r="KK31" s="116"/>
      <c r="KL31" s="116"/>
      <c r="KM31" s="116"/>
      <c r="KN31" s="116"/>
      <c r="KO31" s="116"/>
      <c r="KP31" s="116"/>
      <c r="KQ31" s="116"/>
      <c r="KR31" s="116"/>
      <c r="KS31" s="116"/>
      <c r="KT31" s="116"/>
      <c r="KU31" s="116"/>
      <c r="KV31" s="116"/>
      <c r="KW31" s="116"/>
      <c r="KX31" s="116"/>
      <c r="KY31" s="116"/>
      <c r="KZ31" s="116"/>
      <c r="LA31" s="116"/>
      <c r="LB31" s="116"/>
      <c r="LC31" s="116"/>
      <c r="LD31" s="116"/>
      <c r="LE31" s="116"/>
      <c r="LF31" s="116"/>
      <c r="LG31" s="116"/>
      <c r="LH31" s="116"/>
      <c r="LI31" s="116"/>
      <c r="LJ31" s="116"/>
      <c r="LK31" s="116"/>
      <c r="LL31" s="116"/>
      <c r="LM31" s="116"/>
      <c r="LN31" s="116"/>
      <c r="LO31" s="116"/>
      <c r="LP31" s="116"/>
      <c r="LQ31" s="116"/>
      <c r="LR31" s="116"/>
      <c r="LS31" s="116"/>
      <c r="LT31" s="116"/>
      <c r="LU31" s="116"/>
      <c r="LV31" s="116"/>
      <c r="LW31" s="116"/>
      <c r="LX31" s="116"/>
      <c r="LY31" s="116"/>
      <c r="LZ31" s="116"/>
      <c r="MA31" s="116"/>
      <c r="MB31" s="116"/>
      <c r="MC31" s="116"/>
      <c r="MD31" s="116"/>
      <c r="ME31" s="116"/>
      <c r="MF31" s="116"/>
      <c r="MG31" s="116"/>
      <c r="MH31" s="116"/>
      <c r="MI31" s="116"/>
      <c r="MJ31" s="116"/>
      <c r="MK31" s="116"/>
      <c r="ML31" s="116"/>
      <c r="MM31" s="116"/>
      <c r="MN31" s="116"/>
      <c r="MO31" s="116"/>
      <c r="MP31" s="116"/>
      <c r="MQ31" s="116"/>
      <c r="MR31" s="116"/>
      <c r="MS31" s="116"/>
      <c r="MT31" s="116"/>
      <c r="MU31" s="116"/>
      <c r="MV31" s="116"/>
      <c r="MW31" s="116"/>
      <c r="MX31" s="116"/>
      <c r="MY31" s="116"/>
      <c r="MZ31" s="116"/>
      <c r="NA31" s="116"/>
      <c r="NB31" s="116"/>
      <c r="NC31" s="116"/>
      <c r="ND31" s="116"/>
      <c r="NE31" s="116"/>
      <c r="NF31" s="116"/>
      <c r="NG31" s="116"/>
      <c r="NH31" s="116"/>
      <c r="NI31" s="116"/>
      <c r="NJ31" s="116"/>
      <c r="NK31" s="116"/>
      <c r="NL31" s="116"/>
      <c r="NM31" s="116"/>
      <c r="NN31" s="116"/>
      <c r="NO31" s="116"/>
    </row>
    <row r="32" spans="1:391" ht="22.2" customHeight="1" x14ac:dyDescent="0.25">
      <c r="A32" s="846" t="s">
        <v>78</v>
      </c>
      <c r="B32" s="846"/>
      <c r="C32" s="332">
        <f>J109</f>
        <v>415093.14999999997</v>
      </c>
      <c r="D32" s="312" t="s">
        <v>35</v>
      </c>
      <c r="E32" s="288"/>
      <c r="F32" s="301"/>
      <c r="G32" s="426">
        <f t="shared" si="29"/>
        <v>24</v>
      </c>
      <c r="H32" s="427">
        <f t="shared" si="6"/>
        <v>45173</v>
      </c>
      <c r="I32" s="494">
        <f t="shared" si="46"/>
        <v>0.129</v>
      </c>
      <c r="J32" s="423">
        <f t="shared" si="47"/>
        <v>11958</v>
      </c>
      <c r="K32" s="423">
        <f t="shared" si="15"/>
        <v>2035.9</v>
      </c>
      <c r="L32" s="423">
        <f t="shared" si="16"/>
        <v>9922.1</v>
      </c>
      <c r="M32" s="423">
        <f t="shared" si="17"/>
        <v>0</v>
      </c>
      <c r="N32" s="423">
        <f t="shared" si="30"/>
        <v>0</v>
      </c>
      <c r="O32" s="423">
        <f t="shared" si="7"/>
        <v>2035.9</v>
      </c>
      <c r="P32" s="423">
        <f t="shared" si="18"/>
        <v>0</v>
      </c>
      <c r="Q32" s="423">
        <f t="shared" si="19"/>
        <v>0</v>
      </c>
      <c r="R32" s="423">
        <f t="shared" si="20"/>
        <v>175899.82999999996</v>
      </c>
      <c r="S32" s="470"/>
      <c r="T32" s="36">
        <f t="shared" si="31"/>
        <v>13</v>
      </c>
      <c r="U32" s="36">
        <f t="shared" si="21"/>
        <v>13</v>
      </c>
      <c r="V32" s="16"/>
      <c r="W32" s="16"/>
      <c r="X32" s="16"/>
      <c r="Y32" s="57"/>
      <c r="AB32" s="13" t="s">
        <v>80</v>
      </c>
      <c r="AC32" s="15">
        <f>IF(D28=W3,W22,IF(D28=Y3,Y22,IF(D28=Z3,Z22,IF(D28=AA3,AA22,IF(D28=X3,X22,)))))</f>
        <v>1.9E-2</v>
      </c>
      <c r="AD32" s="15">
        <v>0</v>
      </c>
      <c r="AE32" s="15"/>
      <c r="AF32" s="2"/>
      <c r="AG32" s="2"/>
      <c r="AH32" s="2"/>
      <c r="AK32" s="2"/>
      <c r="AN32" s="16"/>
      <c r="AO32" s="130" t="e">
        <f t="shared" si="22"/>
        <v>#DIV/0!</v>
      </c>
      <c r="AP32" s="109">
        <f t="shared" si="33"/>
        <v>24</v>
      </c>
      <c r="AQ32" s="110">
        <f t="shared" si="8"/>
        <v>45173</v>
      </c>
      <c r="AR32" s="105" t="e">
        <f t="shared" si="9"/>
        <v>#DIV/0!</v>
      </c>
      <c r="AS32" s="105" t="e">
        <f t="shared" si="10"/>
        <v>#DIV/0!</v>
      </c>
      <c r="AT32" s="105">
        <f t="shared" si="40"/>
        <v>0</v>
      </c>
      <c r="AU32" s="105" t="e">
        <f t="shared" si="41"/>
        <v>#DIV/0!</v>
      </c>
      <c r="AV32" s="105" t="e">
        <f t="shared" si="45"/>
        <v>#DIV/0!</v>
      </c>
      <c r="AW32" s="105" t="e">
        <f t="shared" si="24"/>
        <v>#DIV/0!</v>
      </c>
      <c r="AX32" s="105">
        <f t="shared" si="42"/>
        <v>0</v>
      </c>
      <c r="AY32" s="105">
        <f t="shared" si="43"/>
        <v>0</v>
      </c>
      <c r="AZ32" s="105"/>
      <c r="BA32" s="105"/>
      <c r="BB32" s="105"/>
      <c r="BC32" s="105"/>
      <c r="BD32" s="105"/>
      <c r="BE32" s="105" t="e">
        <f t="shared" si="44"/>
        <v>#DIV/0!</v>
      </c>
      <c r="BF32" s="108">
        <f t="shared" si="35"/>
        <v>19</v>
      </c>
      <c r="BG32" s="108">
        <f t="shared" si="49"/>
        <v>0</v>
      </c>
      <c r="BH32" s="22">
        <f t="shared" si="50"/>
        <v>44989</v>
      </c>
      <c r="BI32" s="108">
        <f t="shared" si="51"/>
        <v>11958</v>
      </c>
    </row>
    <row r="33" spans="1:1215" ht="22.95" customHeight="1" x14ac:dyDescent="0.25">
      <c r="A33" s="846" t="s">
        <v>75</v>
      </c>
      <c r="B33" s="846"/>
      <c r="C33" s="333">
        <f>K109</f>
        <v>68453.149999999994</v>
      </c>
      <c r="D33" s="321" t="str">
        <f>IF(OR(D8="Гарантия стандарт",D8="Гарантия пакет"),"",IF(D32="Да",IF(D28=$W$3,X21,IF(D28=$Y$3,Z21,IF(D28=$Z$3,AA21,IF(D28=$AA$3,AB21,IF(D28=$X$3,Y21,AB21))))),""))</f>
        <v/>
      </c>
      <c r="E33" s="287" t="str">
        <f>IF(OR(D33="",D33=0),C43,IF(OR(C43="",C43=0),D33,C43-D33))</f>
        <v/>
      </c>
      <c r="F33" s="300"/>
      <c r="G33" s="426">
        <f t="shared" si="29"/>
        <v>25</v>
      </c>
      <c r="H33" s="427">
        <f t="shared" si="6"/>
        <v>45203</v>
      </c>
      <c r="I33" s="494">
        <f>$AF$96</f>
        <v>9.9000000000000005E-2</v>
      </c>
      <c r="J33" s="423">
        <f t="shared" ref="J33:J43" si="52">IF(AND($C$8&lt;&gt;"Нет",G33&gt;=$W$14,G33&lt;=$W$14+5),$W$15,IF(AND(R32+M33+K33&gt;J32,J32&lt;&gt;0),$AE$96,IF(R32=0,0,R32+M33+K33+K34)))</f>
        <v>11726</v>
      </c>
      <c r="K33" s="423">
        <f t="shared" si="15"/>
        <v>1431.29</v>
      </c>
      <c r="L33" s="423">
        <f t="shared" si="16"/>
        <v>10294.709999999999</v>
      </c>
      <c r="M33" s="423">
        <f t="shared" si="17"/>
        <v>0</v>
      </c>
      <c r="N33" s="423">
        <f t="shared" si="30"/>
        <v>0</v>
      </c>
      <c r="O33" s="423">
        <f t="shared" si="7"/>
        <v>1431.29</v>
      </c>
      <c r="P33" s="423">
        <f t="shared" si="18"/>
        <v>0</v>
      </c>
      <c r="Q33" s="423">
        <f t="shared" si="19"/>
        <v>0</v>
      </c>
      <c r="R33" s="423">
        <f t="shared" si="20"/>
        <v>165605.11999999997</v>
      </c>
      <c r="S33" s="470"/>
      <c r="T33" s="36">
        <f t="shared" si="31"/>
        <v>12</v>
      </c>
      <c r="U33" s="36">
        <f t="shared" si="21"/>
        <v>12</v>
      </c>
      <c r="V33" s="138"/>
      <c r="W33" s="138" t="s">
        <v>104</v>
      </c>
      <c r="X33" s="139"/>
      <c r="Y33" s="139" t="s">
        <v>20</v>
      </c>
      <c r="Z33" s="139" t="s">
        <v>29</v>
      </c>
      <c r="AA33" s="139"/>
      <c r="AE33" s="15"/>
      <c r="AM33" s="16"/>
      <c r="AN33" s="16"/>
      <c r="AO33" s="130" t="e">
        <f t="shared" si="22"/>
        <v>#DIV/0!</v>
      </c>
      <c r="AP33" s="109">
        <f t="shared" si="33"/>
        <v>25</v>
      </c>
      <c r="AQ33" s="110">
        <f t="shared" si="8"/>
        <v>45203</v>
      </c>
      <c r="AR33" s="105" t="e">
        <f t="shared" si="9"/>
        <v>#DIV/0!</v>
      </c>
      <c r="AS33" s="105" t="e">
        <f t="shared" si="10"/>
        <v>#DIV/0!</v>
      </c>
      <c r="AT33" s="105">
        <f>IF(BH39=0,0,IF(BH39=1,BE32,IF(BE32+AU33+AS33&gt;AR32,AR33-AS33-AU33,BE32)))</f>
        <v>0</v>
      </c>
      <c r="AU33" s="105" t="e">
        <f t="shared" si="41"/>
        <v>#DIV/0!</v>
      </c>
      <c r="AV33" s="105" t="e">
        <f t="shared" si="45"/>
        <v>#DIV/0!</v>
      </c>
      <c r="AW33" s="105" t="e">
        <f t="shared" si="24"/>
        <v>#DIV/0!</v>
      </c>
      <c r="AX33" s="105">
        <f>IF(BH39=0,0,0)</f>
        <v>0</v>
      </c>
      <c r="AY33" s="105">
        <f>IF(BH39=0,0,0)</f>
        <v>0</v>
      </c>
      <c r="AZ33" s="105"/>
      <c r="BA33" s="105"/>
      <c r="BB33" s="105"/>
      <c r="BC33" s="105"/>
      <c r="BD33" s="105"/>
      <c r="BE33" s="105" t="e">
        <f>IF(OR(BH39=1,BE32=0),0,BE32-AT33)</f>
        <v>#DIV/0!</v>
      </c>
      <c r="BF33" s="108">
        <f t="shared" si="35"/>
        <v>18</v>
      </c>
      <c r="BG33" s="108">
        <f t="shared" si="49"/>
        <v>0</v>
      </c>
      <c r="BH33" s="22">
        <f t="shared" si="50"/>
        <v>45020</v>
      </c>
      <c r="BI33" s="108">
        <f t="shared" si="51"/>
        <v>11958</v>
      </c>
      <c r="BL33" s="965" t="e">
        <f>IF(AO7&lt;C10,CONCATENATE("← Срок с учетом перехода на иной тарифный план равен ",AO7," мес."),"")</f>
        <v>#DIV/0!</v>
      </c>
      <c r="BN33" s="131"/>
    </row>
    <row r="34" spans="1:1215" ht="38.25" customHeight="1" x14ac:dyDescent="0.3">
      <c r="A34" s="967" t="s">
        <v>209</v>
      </c>
      <c r="B34" s="967"/>
      <c r="C34" s="334">
        <f>C33+IF(C45&lt;&gt;"",C45,0)-IF(C46&lt;&gt;"",C46,0)</f>
        <v>68453.149999999994</v>
      </c>
      <c r="D34" s="315" t="str">
        <f>IF(AND(D33&lt;&gt;0,D32&lt;&gt;"нет"),IF(D32="Нет","",IF(D32=$AC$30,$AC$31,$AD$31)),"")</f>
        <v/>
      </c>
      <c r="E34" s="286" t="str">
        <f>IF(D34="",C44,IF(C44="",D34,C44-D34))</f>
        <v/>
      </c>
      <c r="F34" s="299"/>
      <c r="G34" s="426">
        <f t="shared" si="29"/>
        <v>26</v>
      </c>
      <c r="H34" s="427">
        <f t="shared" si="6"/>
        <v>45234</v>
      </c>
      <c r="I34" s="494">
        <f t="shared" ref="I34:I44" si="53">$AF$96</f>
        <v>9.9000000000000005E-2</v>
      </c>
      <c r="J34" s="423">
        <f t="shared" si="52"/>
        <v>11726</v>
      </c>
      <c r="K34" s="423">
        <f t="shared" si="15"/>
        <v>1392.44</v>
      </c>
      <c r="L34" s="423">
        <f t="shared" si="16"/>
        <v>10333.56</v>
      </c>
      <c r="M34" s="423">
        <f t="shared" si="17"/>
        <v>0</v>
      </c>
      <c r="N34" s="423">
        <f t="shared" si="30"/>
        <v>0</v>
      </c>
      <c r="O34" s="423">
        <f t="shared" si="7"/>
        <v>1392.44</v>
      </c>
      <c r="P34" s="423">
        <f t="shared" si="18"/>
        <v>0</v>
      </c>
      <c r="Q34" s="423">
        <f t="shared" si="19"/>
        <v>0</v>
      </c>
      <c r="R34" s="423">
        <f t="shared" si="20"/>
        <v>155271.55999999997</v>
      </c>
      <c r="S34" s="470"/>
      <c r="T34" s="36">
        <f t="shared" si="31"/>
        <v>11</v>
      </c>
      <c r="U34" s="36">
        <f t="shared" si="21"/>
        <v>11</v>
      </c>
      <c r="V34" s="140"/>
      <c r="W34" s="140" t="s">
        <v>106</v>
      </c>
      <c r="X34" s="140" t="s">
        <v>107</v>
      </c>
      <c r="Y34" s="140" t="s">
        <v>108</v>
      </c>
      <c r="Z34" s="140" t="s">
        <v>109</v>
      </c>
      <c r="AA34" s="140" t="s">
        <v>110</v>
      </c>
      <c r="AB34" s="140" t="s">
        <v>326</v>
      </c>
      <c r="AC34" s="140" t="s">
        <v>327</v>
      </c>
      <c r="AE34" s="2"/>
      <c r="AM34" s="16"/>
      <c r="AN34" s="16"/>
      <c r="AO34" s="130" t="e">
        <f t="shared" si="22"/>
        <v>#DIV/0!</v>
      </c>
      <c r="AP34" s="109">
        <f t="shared" si="33"/>
        <v>26</v>
      </c>
      <c r="AQ34" s="110">
        <f t="shared" si="8"/>
        <v>45234</v>
      </c>
      <c r="AR34" s="105" t="e">
        <f t="shared" si="9"/>
        <v>#DIV/0!</v>
      </c>
      <c r="AS34" s="105" t="e">
        <f t="shared" si="10"/>
        <v>#DIV/0!</v>
      </c>
      <c r="AT34" s="105">
        <f>IF(BH40=0,0,IF(BH40=1,BE33,IF(BE33+AU34+AS34&gt;AR33,AR34-AS34-AU34,BE33)))</f>
        <v>0</v>
      </c>
      <c r="AU34" s="105" t="e">
        <f t="shared" si="41"/>
        <v>#DIV/0!</v>
      </c>
      <c r="AV34" s="105" t="e">
        <f t="shared" si="45"/>
        <v>#DIV/0!</v>
      </c>
      <c r="AW34" s="105" t="e">
        <f t="shared" si="24"/>
        <v>#DIV/0!</v>
      </c>
      <c r="AX34" s="105">
        <f>IF(BH40=0,0,0)</f>
        <v>0</v>
      </c>
      <c r="AY34" s="105">
        <f>IF(BH40=0,0,0)</f>
        <v>0</v>
      </c>
      <c r="AZ34" s="105"/>
      <c r="BA34" s="105"/>
      <c r="BB34" s="105"/>
      <c r="BC34" s="105"/>
      <c r="BD34" s="105"/>
      <c r="BE34" s="105" t="e">
        <f>IF(OR(BH40=1,BE33=0),0,BE33-AT34)</f>
        <v>#DIV/0!</v>
      </c>
      <c r="BF34" s="108">
        <f t="shared" si="35"/>
        <v>17</v>
      </c>
      <c r="BG34" s="108">
        <f t="shared" si="49"/>
        <v>0</v>
      </c>
      <c r="BH34" s="22">
        <f t="shared" si="50"/>
        <v>45050</v>
      </c>
      <c r="BI34" s="108">
        <f t="shared" si="51"/>
        <v>11958</v>
      </c>
      <c r="BL34" s="965"/>
    </row>
    <row r="35" spans="1:1215" ht="22.95" customHeight="1" x14ac:dyDescent="0.3">
      <c r="A35" s="968" t="s">
        <v>175</v>
      </c>
      <c r="B35" s="969"/>
      <c r="C35" s="970"/>
      <c r="D35" s="322" t="str">
        <f>IF(AND(D33&lt;&gt;0,D32&lt;&gt;"нет"),IF(D32="Нет","",ROUND($C$7*D34,2)),"")</f>
        <v/>
      </c>
      <c r="E35" s="289" t="str">
        <f>IF(D35="",C45,IF(C45="",D35,C45-D35))</f>
        <v/>
      </c>
      <c r="F35" s="302"/>
      <c r="G35" s="426">
        <f t="shared" si="29"/>
        <v>27</v>
      </c>
      <c r="H35" s="427">
        <f t="shared" si="6"/>
        <v>45264</v>
      </c>
      <c r="I35" s="494">
        <f t="shared" si="53"/>
        <v>9.9000000000000005E-2</v>
      </c>
      <c r="J35" s="423">
        <f t="shared" si="52"/>
        <v>11726</v>
      </c>
      <c r="K35" s="423">
        <f t="shared" si="15"/>
        <v>1263.44</v>
      </c>
      <c r="L35" s="423">
        <f t="shared" si="16"/>
        <v>10462.56</v>
      </c>
      <c r="M35" s="423">
        <f t="shared" si="17"/>
        <v>0</v>
      </c>
      <c r="N35" s="423">
        <f t="shared" si="30"/>
        <v>0</v>
      </c>
      <c r="O35" s="423">
        <f t="shared" si="7"/>
        <v>1263.44</v>
      </c>
      <c r="P35" s="423">
        <f t="shared" si="18"/>
        <v>0</v>
      </c>
      <c r="Q35" s="423">
        <f t="shared" si="19"/>
        <v>0</v>
      </c>
      <c r="R35" s="423">
        <f t="shared" si="20"/>
        <v>144808.99999999997</v>
      </c>
      <c r="S35" s="470"/>
      <c r="T35" s="36">
        <f t="shared" si="31"/>
        <v>10</v>
      </c>
      <c r="U35" s="36">
        <f t="shared" si="21"/>
        <v>10</v>
      </c>
      <c r="V35" s="141"/>
      <c r="W35" s="141">
        <v>13</v>
      </c>
      <c r="X35" s="142">
        <v>19</v>
      </c>
      <c r="Y35" s="142">
        <v>31</v>
      </c>
      <c r="Z35" s="141">
        <v>43</v>
      </c>
      <c r="AA35" s="141">
        <v>55</v>
      </c>
      <c r="AB35" s="141">
        <v>67</v>
      </c>
      <c r="AC35" s="141">
        <v>79</v>
      </c>
      <c r="AE35" s="15"/>
      <c r="AM35" s="16"/>
      <c r="AN35" s="16"/>
      <c r="AO35" s="130" t="e">
        <f t="shared" si="22"/>
        <v>#DIV/0!</v>
      </c>
      <c r="AP35" s="109">
        <f t="shared" si="33"/>
        <v>27</v>
      </c>
      <c r="AQ35" s="110">
        <f t="shared" si="8"/>
        <v>45264</v>
      </c>
      <c r="AR35" s="105" t="e">
        <f t="shared" si="9"/>
        <v>#DIV/0!</v>
      </c>
      <c r="AS35" s="105" t="e">
        <f t="shared" si="10"/>
        <v>#DIV/0!</v>
      </c>
      <c r="AT35" s="105">
        <f>IF(BH41=0,0,IF(BH41=1,BE34,IF(BE34+AU35+AS35&gt;AR34,AR35-AS35-AU35,BE34)))</f>
        <v>0</v>
      </c>
      <c r="AU35" s="105" t="e">
        <f t="shared" si="41"/>
        <v>#DIV/0!</v>
      </c>
      <c r="AV35" s="105" t="e">
        <f t="shared" si="45"/>
        <v>#DIV/0!</v>
      </c>
      <c r="AW35" s="105" t="e">
        <f t="shared" si="24"/>
        <v>#DIV/0!</v>
      </c>
      <c r="AX35" s="105">
        <f>IF(BH41=0,0,0)</f>
        <v>0</v>
      </c>
      <c r="AY35" s="105">
        <f>IF(BH41=0,0,0)</f>
        <v>0</v>
      </c>
      <c r="AZ35" s="105"/>
      <c r="BA35" s="105"/>
      <c r="BB35" s="105"/>
      <c r="BC35" s="105"/>
      <c r="BD35" s="105"/>
      <c r="BE35" s="105" t="e">
        <f>IF(OR(BH41=1,BE34=0),0,BE34-AT35)</f>
        <v>#DIV/0!</v>
      </c>
      <c r="BF35" s="108">
        <f t="shared" si="35"/>
        <v>16</v>
      </c>
      <c r="BG35" s="108">
        <f t="shared" si="49"/>
        <v>0</v>
      </c>
      <c r="BH35" s="22">
        <f t="shared" si="50"/>
        <v>45081</v>
      </c>
      <c r="BI35" s="108">
        <f t="shared" si="51"/>
        <v>11958</v>
      </c>
      <c r="BL35" s="965"/>
    </row>
    <row r="36" spans="1:1215" ht="23.25" customHeight="1" x14ac:dyDescent="0.25">
      <c r="A36" s="847" t="s">
        <v>219</v>
      </c>
      <c r="B36" s="213" t="s">
        <v>210</v>
      </c>
      <c r="C36" s="191">
        <f>C34/($C$10/12)</f>
        <v>22817.716666666664</v>
      </c>
      <c r="D36" s="322" t="str">
        <f>IF(AND($D$33&lt;&gt;0,$D$32&lt;&gt;"нет"),AS109-BJ154,"")</f>
        <v/>
      </c>
      <c r="E36" s="289" t="str">
        <f>IF(D36="",C46,IF(C46="",D36,C46-D36))</f>
        <v/>
      </c>
      <c r="F36" s="302"/>
      <c r="G36" s="426">
        <f t="shared" si="29"/>
        <v>28</v>
      </c>
      <c r="H36" s="427">
        <f t="shared" si="6"/>
        <v>45295</v>
      </c>
      <c r="I36" s="494">
        <f t="shared" si="53"/>
        <v>9.9000000000000005E-2</v>
      </c>
      <c r="J36" s="423">
        <f t="shared" si="52"/>
        <v>11726</v>
      </c>
      <c r="K36" s="423">
        <f t="shared" si="15"/>
        <v>1217.1600000000001</v>
      </c>
      <c r="L36" s="423">
        <f t="shared" si="16"/>
        <v>10508.84</v>
      </c>
      <c r="M36" s="423">
        <f t="shared" si="17"/>
        <v>0</v>
      </c>
      <c r="N36" s="423">
        <f t="shared" si="30"/>
        <v>0</v>
      </c>
      <c r="O36" s="423">
        <f t="shared" si="7"/>
        <v>1217.1600000000001</v>
      </c>
      <c r="P36" s="423">
        <f t="shared" si="18"/>
        <v>0</v>
      </c>
      <c r="Q36" s="423">
        <f t="shared" si="19"/>
        <v>0</v>
      </c>
      <c r="R36" s="423">
        <f t="shared" si="20"/>
        <v>134300.15999999997</v>
      </c>
      <c r="S36" s="470"/>
      <c r="T36" s="36">
        <f t="shared" si="31"/>
        <v>9</v>
      </c>
      <c r="U36" s="36">
        <f t="shared" si="21"/>
        <v>9</v>
      </c>
      <c r="V36" s="142"/>
      <c r="W36" s="142">
        <v>18</v>
      </c>
      <c r="X36" s="142">
        <v>30</v>
      </c>
      <c r="Y36" s="142">
        <v>42</v>
      </c>
      <c r="Z36" s="142">
        <v>54</v>
      </c>
      <c r="AA36" s="142">
        <v>60</v>
      </c>
      <c r="AB36" s="142">
        <v>78</v>
      </c>
      <c r="AC36" s="142">
        <v>84</v>
      </c>
      <c r="AE36" s="15"/>
      <c r="AM36" s="16"/>
      <c r="AN36" s="16"/>
      <c r="AO36" s="130" t="e">
        <f t="shared" si="22"/>
        <v>#DIV/0!</v>
      </c>
      <c r="AP36" s="109">
        <f t="shared" si="33"/>
        <v>28</v>
      </c>
      <c r="AQ36" s="110">
        <f t="shared" si="8"/>
        <v>45295</v>
      </c>
      <c r="AR36" s="105" t="e">
        <f t="shared" si="9"/>
        <v>#DIV/0!</v>
      </c>
      <c r="AS36" s="105" t="e">
        <f t="shared" si="10"/>
        <v>#DIV/0!</v>
      </c>
      <c r="AT36" s="105">
        <f t="shared" si="40"/>
        <v>0</v>
      </c>
      <c r="AU36" s="105" t="e">
        <f t="shared" si="41"/>
        <v>#DIV/0!</v>
      </c>
      <c r="AV36" s="105" t="e">
        <f t="shared" si="45"/>
        <v>#DIV/0!</v>
      </c>
      <c r="AW36" s="105" t="e">
        <f t="shared" si="24"/>
        <v>#DIV/0!</v>
      </c>
      <c r="AX36" s="105">
        <f t="shared" si="42"/>
        <v>0</v>
      </c>
      <c r="AY36" s="105">
        <f t="shared" si="43"/>
        <v>0</v>
      </c>
      <c r="AZ36" s="105"/>
      <c r="BA36" s="105"/>
      <c r="BB36" s="105"/>
      <c r="BC36" s="105"/>
      <c r="BD36" s="105"/>
      <c r="BE36" s="105" t="e">
        <f t="shared" si="44"/>
        <v>#DIV/0!</v>
      </c>
      <c r="BF36" s="108">
        <f t="shared" si="35"/>
        <v>15</v>
      </c>
      <c r="BG36" s="108">
        <f t="shared" si="49"/>
        <v>0</v>
      </c>
      <c r="BH36" s="22">
        <f t="shared" si="50"/>
        <v>45111</v>
      </c>
      <c r="BI36" s="108">
        <f t="shared" si="51"/>
        <v>11958</v>
      </c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  <c r="AMK36" s="16"/>
      <c r="AML36" s="16"/>
      <c r="AMM36" s="16"/>
      <c r="AMN36" s="16"/>
      <c r="AMO36" s="16"/>
      <c r="AMP36" s="16"/>
      <c r="AMQ36" s="16"/>
      <c r="AMR36" s="16"/>
      <c r="AMS36" s="16"/>
      <c r="AMT36" s="16"/>
      <c r="AMU36" s="16"/>
      <c r="AMV36" s="16"/>
      <c r="AMW36" s="16"/>
      <c r="AMX36" s="16"/>
      <c r="AMY36" s="16"/>
      <c r="AMZ36" s="16"/>
      <c r="ANA36" s="16"/>
      <c r="ANB36" s="16"/>
      <c r="ANC36" s="16"/>
      <c r="AND36" s="16"/>
      <c r="ANE36" s="16"/>
      <c r="ANF36" s="16"/>
      <c r="ANG36" s="16"/>
      <c r="ANH36" s="16"/>
      <c r="ANI36" s="16"/>
      <c r="ANJ36" s="16"/>
      <c r="ANK36" s="16"/>
      <c r="ANL36" s="16"/>
      <c r="ANM36" s="16"/>
      <c r="ANN36" s="16"/>
      <c r="ANO36" s="16"/>
      <c r="ANP36" s="16"/>
      <c r="ANQ36" s="16"/>
      <c r="ANR36" s="16"/>
      <c r="ANS36" s="16"/>
      <c r="ANT36" s="16"/>
      <c r="ANU36" s="16"/>
      <c r="ANV36" s="16"/>
      <c r="ANW36" s="16"/>
      <c r="ANX36" s="16"/>
      <c r="ANY36" s="16"/>
      <c r="ANZ36" s="16"/>
      <c r="AOA36" s="16"/>
      <c r="AOB36" s="16"/>
      <c r="AOC36" s="16"/>
      <c r="AOD36" s="16"/>
      <c r="AOE36" s="16"/>
      <c r="AOF36" s="16"/>
      <c r="AOG36" s="16"/>
      <c r="AOH36" s="16"/>
      <c r="AOI36" s="16"/>
      <c r="AOJ36" s="16"/>
      <c r="AOK36" s="16"/>
      <c r="AOL36" s="16"/>
      <c r="AOM36" s="16"/>
      <c r="AON36" s="16"/>
      <c r="AOO36" s="16"/>
      <c r="AOP36" s="16"/>
      <c r="AOQ36" s="16"/>
      <c r="AOR36" s="16"/>
      <c r="AOS36" s="16"/>
      <c r="AOT36" s="16"/>
      <c r="AOU36" s="16"/>
      <c r="AOV36" s="16"/>
      <c r="AOW36" s="16"/>
      <c r="AOX36" s="16"/>
      <c r="AOY36" s="16"/>
      <c r="AOZ36" s="16"/>
      <c r="APA36" s="16"/>
      <c r="APB36" s="16"/>
      <c r="APC36" s="16"/>
      <c r="APD36" s="16"/>
      <c r="APE36" s="16"/>
      <c r="APF36" s="16"/>
      <c r="APG36" s="16"/>
      <c r="APH36" s="16"/>
      <c r="API36" s="16"/>
      <c r="APJ36" s="16"/>
      <c r="APK36" s="16"/>
      <c r="APL36" s="16"/>
      <c r="APM36" s="16"/>
      <c r="APN36" s="16"/>
      <c r="APO36" s="16"/>
      <c r="APP36" s="16"/>
      <c r="APQ36" s="16"/>
      <c r="APR36" s="16"/>
      <c r="APS36" s="16"/>
      <c r="APT36" s="16"/>
      <c r="APU36" s="16"/>
      <c r="APV36" s="16"/>
      <c r="APW36" s="16"/>
      <c r="APX36" s="16"/>
      <c r="APY36" s="16"/>
      <c r="APZ36" s="16"/>
      <c r="AQA36" s="16"/>
      <c r="AQB36" s="16"/>
      <c r="AQC36" s="16"/>
      <c r="AQD36" s="16"/>
      <c r="AQE36" s="16"/>
      <c r="AQF36" s="16"/>
      <c r="AQG36" s="16"/>
      <c r="AQH36" s="16"/>
      <c r="AQI36" s="16"/>
      <c r="AQJ36" s="16"/>
      <c r="AQK36" s="16"/>
      <c r="AQL36" s="16"/>
      <c r="AQM36" s="16"/>
      <c r="AQN36" s="16"/>
      <c r="AQO36" s="16"/>
      <c r="AQP36" s="16"/>
      <c r="AQQ36" s="16"/>
      <c r="AQR36" s="16"/>
      <c r="AQS36" s="16"/>
      <c r="AQT36" s="16"/>
      <c r="AQU36" s="16"/>
      <c r="AQV36" s="16"/>
      <c r="AQW36" s="16"/>
      <c r="AQX36" s="16"/>
      <c r="AQY36" s="16"/>
      <c r="AQZ36" s="16"/>
      <c r="ARA36" s="16"/>
      <c r="ARB36" s="16"/>
      <c r="ARC36" s="16"/>
      <c r="ARD36" s="16"/>
      <c r="ARE36" s="16"/>
      <c r="ARF36" s="16"/>
      <c r="ARG36" s="16"/>
      <c r="ARH36" s="16"/>
      <c r="ARI36" s="16"/>
      <c r="ARJ36" s="16"/>
      <c r="ARK36" s="16"/>
      <c r="ARL36" s="16"/>
      <c r="ARM36" s="16"/>
      <c r="ARN36" s="16"/>
      <c r="ARO36" s="16"/>
      <c r="ARP36" s="16"/>
      <c r="ARQ36" s="16"/>
      <c r="ARR36" s="16"/>
      <c r="ARS36" s="16"/>
      <c r="ART36" s="16"/>
      <c r="ARU36" s="16"/>
      <c r="ARV36" s="16"/>
      <c r="ARW36" s="16"/>
      <c r="ARX36" s="16"/>
      <c r="ARY36" s="16"/>
      <c r="ARZ36" s="16"/>
      <c r="ASA36" s="16"/>
      <c r="ASB36" s="16"/>
      <c r="ASC36" s="16"/>
      <c r="ASD36" s="16"/>
      <c r="ASE36" s="16"/>
      <c r="ASF36" s="16"/>
      <c r="ASG36" s="16"/>
      <c r="ASH36" s="16"/>
      <c r="ASI36" s="16"/>
      <c r="ASJ36" s="16"/>
      <c r="ASK36" s="16"/>
      <c r="ASL36" s="16"/>
      <c r="ASM36" s="16"/>
      <c r="ASN36" s="16"/>
      <c r="ASO36" s="16"/>
      <c r="ASP36" s="16"/>
      <c r="ASQ36" s="16"/>
      <c r="ASR36" s="16"/>
      <c r="ASS36" s="16"/>
      <c r="AST36" s="16"/>
      <c r="ASU36" s="16"/>
      <c r="ASV36" s="16"/>
      <c r="ASW36" s="16"/>
      <c r="ASX36" s="16"/>
      <c r="ASY36" s="16"/>
      <c r="ASZ36" s="16"/>
      <c r="ATA36" s="16"/>
      <c r="ATB36" s="16"/>
      <c r="ATC36" s="16"/>
      <c r="ATD36" s="16"/>
      <c r="ATE36" s="16"/>
      <c r="ATF36" s="16"/>
      <c r="ATG36" s="16"/>
      <c r="ATH36" s="16"/>
      <c r="ATI36" s="16"/>
      <c r="ATJ36" s="16"/>
      <c r="ATK36" s="16"/>
      <c r="ATL36" s="16"/>
      <c r="ATM36" s="16"/>
      <c r="ATN36" s="16"/>
      <c r="ATO36" s="16"/>
      <c r="ATP36" s="16"/>
      <c r="ATQ36" s="16"/>
      <c r="ATR36" s="16"/>
      <c r="ATS36" s="16"/>
    </row>
    <row r="37" spans="1:1215" s="16" customFormat="1" ht="18" customHeight="1" x14ac:dyDescent="0.25">
      <c r="A37" s="847"/>
      <c r="B37" s="213" t="s">
        <v>211</v>
      </c>
      <c r="C37" s="201">
        <f>C36/C24</f>
        <v>6.5825400030771586E-2</v>
      </c>
      <c r="D37" s="315" t="str">
        <f>IF(AND($D$33&lt;&gt;0,$D$32&lt;&gt;"нет"),IF(D32="Нет","",D36/C7),"")</f>
        <v/>
      </c>
      <c r="E37" s="286" t="str">
        <f>IF(D37="",C47,IF(C47="",D37,C47-D37))</f>
        <v/>
      </c>
      <c r="F37" s="299"/>
      <c r="G37" s="426">
        <f t="shared" si="29"/>
        <v>29</v>
      </c>
      <c r="H37" s="427">
        <f t="shared" si="6"/>
        <v>45326</v>
      </c>
      <c r="I37" s="494">
        <f t="shared" si="53"/>
        <v>9.9000000000000005E-2</v>
      </c>
      <c r="J37" s="423">
        <f t="shared" si="52"/>
        <v>11726</v>
      </c>
      <c r="K37" s="423">
        <f t="shared" si="15"/>
        <v>1126.1400000000001</v>
      </c>
      <c r="L37" s="423">
        <f t="shared" si="16"/>
        <v>10599.86</v>
      </c>
      <c r="M37" s="423">
        <f t="shared" si="17"/>
        <v>0</v>
      </c>
      <c r="N37" s="423">
        <f t="shared" si="30"/>
        <v>0</v>
      </c>
      <c r="O37" s="423">
        <f t="shared" si="7"/>
        <v>1126.1400000000001</v>
      </c>
      <c r="P37" s="423">
        <f t="shared" si="18"/>
        <v>0</v>
      </c>
      <c r="Q37" s="423">
        <f t="shared" si="19"/>
        <v>0</v>
      </c>
      <c r="R37" s="423">
        <f t="shared" si="20"/>
        <v>123700.29999999997</v>
      </c>
      <c r="S37" s="470"/>
      <c r="T37" s="36">
        <f t="shared" si="31"/>
        <v>8</v>
      </c>
      <c r="U37" s="36">
        <f t="shared" si="21"/>
        <v>8</v>
      </c>
      <c r="V37" s="142"/>
      <c r="W37" s="142">
        <v>2400</v>
      </c>
      <c r="X37" s="142">
        <v>2900</v>
      </c>
      <c r="Y37" s="142">
        <v>3900</v>
      </c>
      <c r="Z37" s="142">
        <v>4900</v>
      </c>
      <c r="AA37" s="142">
        <v>5900</v>
      </c>
      <c r="AB37" s="142">
        <v>6900</v>
      </c>
      <c r="AC37" s="142">
        <v>7900</v>
      </c>
      <c r="AD37" s="2"/>
      <c r="AE37" s="15"/>
      <c r="AF37" s="3"/>
      <c r="AG37" s="3"/>
      <c r="AH37" s="3"/>
      <c r="AI37" s="2"/>
      <c r="AJ37" s="2"/>
      <c r="AK37" s="57"/>
      <c r="AL37" s="2"/>
      <c r="AO37" s="130" t="e">
        <f t="shared" si="22"/>
        <v>#DIV/0!</v>
      </c>
      <c r="AP37" s="109">
        <f t="shared" si="33"/>
        <v>29</v>
      </c>
      <c r="AQ37" s="110">
        <f t="shared" si="8"/>
        <v>45326</v>
      </c>
      <c r="AR37" s="105" t="e">
        <f t="shared" si="9"/>
        <v>#DIV/0!</v>
      </c>
      <c r="AS37" s="105" t="e">
        <f t="shared" si="10"/>
        <v>#DIV/0!</v>
      </c>
      <c r="AT37" s="105">
        <f t="shared" si="40"/>
        <v>0</v>
      </c>
      <c r="AU37" s="105" t="e">
        <f t="shared" si="41"/>
        <v>#DIV/0!</v>
      </c>
      <c r="AV37" s="105" t="e">
        <f t="shared" si="45"/>
        <v>#DIV/0!</v>
      </c>
      <c r="AW37" s="105" t="e">
        <f t="shared" si="24"/>
        <v>#DIV/0!</v>
      </c>
      <c r="AX37" s="105">
        <f t="shared" si="42"/>
        <v>0</v>
      </c>
      <c r="AY37" s="105">
        <f t="shared" si="43"/>
        <v>0</v>
      </c>
      <c r="AZ37" s="105"/>
      <c r="BA37" s="105"/>
      <c r="BB37" s="105"/>
      <c r="BC37" s="105"/>
      <c r="BD37" s="105"/>
      <c r="BE37" s="105" t="e">
        <f t="shared" si="44"/>
        <v>#DIV/0!</v>
      </c>
      <c r="BF37" s="108">
        <f t="shared" si="35"/>
        <v>14</v>
      </c>
      <c r="BG37" s="108">
        <f t="shared" si="49"/>
        <v>0</v>
      </c>
      <c r="BH37" s="22">
        <f t="shared" si="50"/>
        <v>45142</v>
      </c>
      <c r="BI37" s="108">
        <f t="shared" si="51"/>
        <v>11958</v>
      </c>
    </row>
    <row r="38" spans="1:1215" s="16" customFormat="1" ht="24" customHeight="1" x14ac:dyDescent="0.25">
      <c r="A38" s="971" t="s">
        <v>212</v>
      </c>
      <c r="B38" s="971"/>
      <c r="C38" s="191">
        <f>C36/12</f>
        <v>1901.4763888888886</v>
      </c>
      <c r="D38" s="324">
        <f>$C$7+(IF($D$8="Нет",0,IF($D$41&lt;&gt;"",$D$41,0))+IF(D32="Нет",0,IF($D$35&lt;&gt;"",$D$35,0))+IF(C15="Нет",0,IF(C15="Да",C16,0)))</f>
        <v>302900</v>
      </c>
      <c r="E38" s="290">
        <f>C24-D38</f>
        <v>43740</v>
      </c>
      <c r="F38" s="303"/>
      <c r="G38" s="426">
        <f t="shared" si="29"/>
        <v>30</v>
      </c>
      <c r="H38" s="427">
        <f t="shared" si="6"/>
        <v>45355</v>
      </c>
      <c r="I38" s="494">
        <f t="shared" si="53"/>
        <v>9.9000000000000005E-2</v>
      </c>
      <c r="J38" s="423">
        <f t="shared" si="52"/>
        <v>11726</v>
      </c>
      <c r="K38" s="423">
        <f t="shared" si="15"/>
        <v>970.34</v>
      </c>
      <c r="L38" s="423">
        <f t="shared" si="16"/>
        <v>10755.66</v>
      </c>
      <c r="M38" s="423">
        <f t="shared" si="17"/>
        <v>0</v>
      </c>
      <c r="N38" s="423">
        <f t="shared" si="30"/>
        <v>0</v>
      </c>
      <c r="O38" s="423">
        <f t="shared" si="7"/>
        <v>970.34</v>
      </c>
      <c r="P38" s="423">
        <f t="shared" si="18"/>
        <v>0</v>
      </c>
      <c r="Q38" s="423">
        <f t="shared" si="19"/>
        <v>0</v>
      </c>
      <c r="R38" s="423">
        <f t="shared" si="20"/>
        <v>112944.63999999997</v>
      </c>
      <c r="S38" s="470"/>
      <c r="T38" s="36">
        <f t="shared" si="31"/>
        <v>7</v>
      </c>
      <c r="U38" s="36">
        <f t="shared" si="21"/>
        <v>7</v>
      </c>
      <c r="V38" s="158"/>
      <c r="W38" s="158">
        <v>1400</v>
      </c>
      <c r="X38" s="158">
        <v>1900</v>
      </c>
      <c r="Y38" s="158">
        <v>2900</v>
      </c>
      <c r="Z38" s="158">
        <v>3900</v>
      </c>
      <c r="AA38" s="158">
        <v>4900</v>
      </c>
      <c r="AB38" s="158">
        <v>5900</v>
      </c>
      <c r="AC38" s="158">
        <v>6900</v>
      </c>
      <c r="AE38" s="3"/>
      <c r="AF38" s="3"/>
      <c r="AG38" s="3"/>
      <c r="AH38" s="3"/>
      <c r="AI38" s="2"/>
      <c r="AJ38" s="2"/>
      <c r="AK38" s="57"/>
      <c r="AL38" s="2"/>
      <c r="AN38" s="63"/>
      <c r="AO38" s="130" t="e">
        <f t="shared" si="22"/>
        <v>#DIV/0!</v>
      </c>
      <c r="AP38" s="109">
        <f t="shared" si="33"/>
        <v>30</v>
      </c>
      <c r="AQ38" s="110">
        <f t="shared" si="8"/>
        <v>45355</v>
      </c>
      <c r="AR38" s="105" t="e">
        <f>IF(AND(G38&gt;=$W$14,G38&lt;=$W$14+5),$W$15,IF(AND(BE37+AU38+AS38&gt;AR37,AR37&lt;&gt;0),$D$39,IF(BE37=0,0,BE37+AU38+AS38+AT39)))</f>
        <v>#DIV/0!</v>
      </c>
      <c r="AS38" s="105" t="e">
        <f t="shared" si="10"/>
        <v>#DIV/0!</v>
      </c>
      <c r="AT38" s="105">
        <f t="shared" si="40"/>
        <v>0</v>
      </c>
      <c r="AU38" s="105" t="e">
        <f t="shared" si="41"/>
        <v>#DIV/0!</v>
      </c>
      <c r="AV38" s="105" t="e">
        <f t="shared" si="45"/>
        <v>#DIV/0!</v>
      </c>
      <c r="AW38" s="105" t="e">
        <f t="shared" si="24"/>
        <v>#DIV/0!</v>
      </c>
      <c r="AX38" s="105">
        <f t="shared" si="42"/>
        <v>0</v>
      </c>
      <c r="AY38" s="105">
        <f t="shared" si="43"/>
        <v>0</v>
      </c>
      <c r="AZ38" s="105"/>
      <c r="BA38" s="105"/>
      <c r="BB38" s="105"/>
      <c r="BC38" s="105"/>
      <c r="BD38" s="105"/>
      <c r="BE38" s="105" t="e">
        <f t="shared" si="44"/>
        <v>#DIV/0!</v>
      </c>
      <c r="BF38" s="108">
        <f t="shared" si="35"/>
        <v>13</v>
      </c>
      <c r="BG38" s="108">
        <f t="shared" si="49"/>
        <v>0</v>
      </c>
      <c r="BH38" s="22">
        <f t="shared" si="50"/>
        <v>45173</v>
      </c>
      <c r="BI38" s="108">
        <f t="shared" si="51"/>
        <v>11958</v>
      </c>
    </row>
    <row r="39" spans="1:1215" s="16" customFormat="1" ht="25.95" customHeight="1" thickBot="1" x14ac:dyDescent="0.3">
      <c r="A39" s="966" t="s">
        <v>213</v>
      </c>
      <c r="B39" s="966"/>
      <c r="C39" s="202">
        <f>C38/30</f>
        <v>63.382546296296283</v>
      </c>
      <c r="D39" s="324" t="e">
        <f>ROUNDUP(AF$55/$AG$47,0)*$AG$47</f>
        <v>#DIV/0!</v>
      </c>
      <c r="E39" s="290" t="e">
        <f>C25-D39</f>
        <v>#DIV/0!</v>
      </c>
      <c r="F39" s="303"/>
      <c r="G39" s="426">
        <f t="shared" si="29"/>
        <v>31</v>
      </c>
      <c r="H39" s="427">
        <f t="shared" si="6"/>
        <v>45386</v>
      </c>
      <c r="I39" s="494">
        <f t="shared" si="53"/>
        <v>9.9000000000000005E-2</v>
      </c>
      <c r="J39" s="423">
        <f t="shared" si="52"/>
        <v>11726</v>
      </c>
      <c r="K39" s="423">
        <f t="shared" si="15"/>
        <v>947.07</v>
      </c>
      <c r="L39" s="423">
        <f t="shared" si="16"/>
        <v>10778.93</v>
      </c>
      <c r="M39" s="423">
        <f t="shared" si="17"/>
        <v>0</v>
      </c>
      <c r="N39" s="423">
        <f t="shared" si="30"/>
        <v>0</v>
      </c>
      <c r="O39" s="423">
        <f t="shared" si="7"/>
        <v>947.07</v>
      </c>
      <c r="P39" s="423">
        <f t="shared" si="18"/>
        <v>0</v>
      </c>
      <c r="Q39" s="423">
        <f t="shared" si="19"/>
        <v>0</v>
      </c>
      <c r="R39" s="423">
        <f t="shared" si="20"/>
        <v>102165.70999999996</v>
      </c>
      <c r="S39" s="470"/>
      <c r="T39" s="36">
        <f t="shared" si="31"/>
        <v>6</v>
      </c>
      <c r="U39" s="36">
        <f t="shared" si="21"/>
        <v>6</v>
      </c>
      <c r="V39" s="15">
        <v>9.9000000000000005E-2</v>
      </c>
      <c r="W39" s="15">
        <v>0.11899999999999999</v>
      </c>
      <c r="X39" s="15"/>
      <c r="Y39" s="15">
        <v>0.129</v>
      </c>
      <c r="Z39" s="169">
        <v>0.13900000000000001</v>
      </c>
      <c r="AA39" s="15">
        <v>0.14899999999999999</v>
      </c>
      <c r="AB39" s="169">
        <v>0.159</v>
      </c>
      <c r="AC39" s="15">
        <v>0.16900000000000001</v>
      </c>
      <c r="AD39" s="169">
        <v>0.17899999999999999</v>
      </c>
      <c r="AE39" s="15">
        <v>0.189</v>
      </c>
      <c r="AF39" s="15">
        <v>0.19900000000000001</v>
      </c>
      <c r="AG39" s="483"/>
      <c r="AH39" s="3"/>
      <c r="AI39" s="3"/>
      <c r="AJ39" s="2"/>
      <c r="AK39" s="2"/>
      <c r="AL39" s="57"/>
      <c r="AM39" s="2"/>
      <c r="AN39" s="63"/>
      <c r="AO39" s="15"/>
      <c r="AP39" s="130" t="e">
        <f t="shared" si="22"/>
        <v>#DIV/0!</v>
      </c>
      <c r="AQ39" s="109">
        <f>AP38+1</f>
        <v>31</v>
      </c>
      <c r="AR39" s="110">
        <f>IF((OR(DAY($AD$54)=29,DAY($AD$54)=30,DAY($AD$54)=31)),(EDATE($C$9-3,AQ39)),(IF((OR(DAY($AD$54)=1,DAY($AD$54)=2,DAY($AD$54)=3)),(EDATE($C$9,AQ39)+3),EDATE($C$9,AQ39))))</f>
        <v>45386</v>
      </c>
      <c r="AS39" s="105" t="e">
        <f>IF(AND(G39&gt;=$W$14,G39&lt;=$W$14+5),$W$15,IF(AND(BE38+AV39+AT39&gt;AR38,AR38&lt;&gt;0),$D$39,IF(BE38=0,0,BE38+AV39+AT39+AT40)))</f>
        <v>#DIV/0!</v>
      </c>
      <c r="AT39" s="105" t="e">
        <f>IF(AND(G39&gt;=$W$14,G39&lt;=$W$14+5),0,IF($C$9&gt;$AF$51,ROUND(BE38*$AE$14*((AR39-DATE(YEAR(AR39),MONTH(AR39),1)+1)/(DATE(YEAR(AR39)+1,1,1)-DATE(YEAR(AR39),1,1))+(EOMONTH(AQ38,0)-AQ38)/(DATE(YEAR(AQ38)+1,1,1)-DATE(YEAR(AQ38),1,1))),2),0))</f>
        <v>#DIV/0!</v>
      </c>
      <c r="AU39" s="105">
        <f>IF(BG45=0,0,IF(BG45=1,BE38,IF(BE38+AV39+AT39&gt;AR38,AS39-AT39-AV39,BE38)))</f>
        <v>0</v>
      </c>
      <c r="AV39" s="105" t="e">
        <f>IF(AX39&gt;$D$39,$D$39-AT39,IF(BH39=0,0,AZ39)+BV87)</f>
        <v>#DIV/0!</v>
      </c>
      <c r="AW39" s="105" t="e">
        <f>AX38-AU38</f>
        <v>#DIV/0!</v>
      </c>
      <c r="AX39" s="105" t="e">
        <f t="shared" si="24"/>
        <v>#DIV/0!</v>
      </c>
      <c r="AY39" s="105">
        <f>IF(BG45=0,0,0)</f>
        <v>0</v>
      </c>
      <c r="AZ39" s="105">
        <f>IF(BG45=0,0,0)</f>
        <v>0</v>
      </c>
      <c r="BA39" s="105"/>
      <c r="BB39" s="105"/>
      <c r="BC39" s="105"/>
      <c r="BD39" s="105"/>
      <c r="BE39" s="105"/>
      <c r="BF39" s="105" t="e">
        <f>IF(OR(BG45=1,BE38=0),0,BE38-AU39)</f>
        <v>#DIV/0!</v>
      </c>
      <c r="BG39" s="108">
        <f>IF((BF38-1)&lt;0,0,BF38-1)</f>
        <v>12</v>
      </c>
      <c r="BH39" s="108">
        <f>IF(ISERR(CEILING(FLOOR(NPER($C$11/12,-$AD$55,BE32),0.1),1))=TRUE,0,CEILING(FLOOR(NPER($C$11/12,-$AD$55,BE32),0.1),1))</f>
        <v>0</v>
      </c>
      <c r="BI39" s="22">
        <f>H33</f>
        <v>45203</v>
      </c>
      <c r="BJ39" s="108">
        <f t="shared" ref="BJ39:BJ41" si="54">J33</f>
        <v>11726</v>
      </c>
    </row>
    <row r="40" spans="1:1215" s="16" customFormat="1" ht="27" customHeight="1" x14ac:dyDescent="0.25">
      <c r="A40" s="180"/>
      <c r="B40" s="180"/>
      <c r="C40" s="180"/>
      <c r="D40" s="316">
        <f>IF(D8=AC59,AC65,IF(D8=AD59,AD65,IF(D8=AF59,AF65,IF(D8=AG59,AG65,IF(D8=AE59,AE65,IF(D8=AH59,AH65,IF(D8=AI59,AI65,IF(D8=AJ59,AJ65,Y28))))))))</f>
        <v>0</v>
      </c>
      <c r="E40" s="291"/>
      <c r="F40" s="304"/>
      <c r="G40" s="426">
        <f t="shared" si="29"/>
        <v>32</v>
      </c>
      <c r="H40" s="427">
        <f t="shared" si="6"/>
        <v>45416</v>
      </c>
      <c r="I40" s="494">
        <f t="shared" si="53"/>
        <v>9.9000000000000005E-2</v>
      </c>
      <c r="J40" s="423">
        <f t="shared" si="52"/>
        <v>11726</v>
      </c>
      <c r="K40" s="423">
        <f t="shared" si="15"/>
        <v>829.05</v>
      </c>
      <c r="L40" s="423">
        <f t="shared" si="16"/>
        <v>10896.95</v>
      </c>
      <c r="M40" s="423">
        <f t="shared" si="17"/>
        <v>0</v>
      </c>
      <c r="N40" s="423">
        <f t="shared" si="30"/>
        <v>0</v>
      </c>
      <c r="O40" s="423">
        <f t="shared" si="7"/>
        <v>829.05</v>
      </c>
      <c r="P40" s="423">
        <f t="shared" si="18"/>
        <v>0</v>
      </c>
      <c r="Q40" s="423">
        <f t="shared" si="19"/>
        <v>0</v>
      </c>
      <c r="R40" s="423">
        <f t="shared" si="20"/>
        <v>91268.759999999966</v>
      </c>
      <c r="S40" s="470"/>
      <c r="T40" s="36">
        <f t="shared" si="31"/>
        <v>5</v>
      </c>
      <c r="U40" s="36">
        <f t="shared" si="21"/>
        <v>5</v>
      </c>
      <c r="V40" s="16">
        <f>INDEX('Для снижаем ставку'!B2:F2,MATCH($C$10,'Для снижаем ставку'!$B$1:$F$1,0))</f>
        <v>3000</v>
      </c>
      <c r="W40" s="16">
        <f>INDEX('Для снижаем ставку'!B4:F4,MATCH($C$10,'Для снижаем ставку'!$B$1:$F$1,0))</f>
        <v>4000</v>
      </c>
      <c r="Y40" s="16">
        <f>INDEX('Для снижаем ставку'!B8:F8,MATCH($C$10,'Для снижаем ставку'!$B$1:$F$1,0))</f>
        <v>4000</v>
      </c>
      <c r="Z40" s="16">
        <f>INDEX('Для снижаем ставку'!B10:F10,MATCH($C$10,'Для снижаем ставку'!$B$1:$F$1,0))</f>
        <v>4000</v>
      </c>
      <c r="AA40" s="16">
        <f>INDEX('Для снижаем ставку'!B12:F12,MATCH($C$10,'Для снижаем ставку'!$B$1:$F$1,0))</f>
        <v>4000</v>
      </c>
      <c r="AB40" s="16">
        <f>INDEX('Для снижаем ставку'!B14:F14,MATCH($C$10,'Для снижаем ставку'!$B$1:$F$1,0))</f>
        <v>4000</v>
      </c>
      <c r="AC40" s="16">
        <f>INDEX('Для снижаем ставку'!B16:F16,MATCH($C$10,'Для снижаем ставку'!$B$1:$F$1,0))</f>
        <v>4000</v>
      </c>
      <c r="AD40" s="16">
        <f>INDEX('Для снижаем ставку'!B18:F18,MATCH($C$10,'Для снижаем ставку'!$B$1:$F$1,0))</f>
        <v>4000</v>
      </c>
      <c r="AE40" s="16">
        <f>INDEX('Для снижаем ставку'!B20:F20,MATCH($C$10,'Для снижаем ставку'!$B$1:$F$1,0))</f>
        <v>4000</v>
      </c>
      <c r="AF40" s="16">
        <f>INDEX('Для снижаем ставку'!B22:F22,MATCH($C$10,'Для снижаем ставку'!$B$1:$F$1,0))</f>
        <v>4000</v>
      </c>
      <c r="AH40" s="3"/>
      <c r="AI40" s="3"/>
      <c r="AJ40" s="2"/>
      <c r="AK40" s="2"/>
      <c r="AL40" s="57"/>
      <c r="AM40" s="2"/>
      <c r="AN40" s="15"/>
      <c r="AO40" s="15"/>
      <c r="AP40" s="130" t="e">
        <f t="shared" si="22"/>
        <v>#DIV/0!</v>
      </c>
      <c r="AQ40" s="109">
        <f t="shared" si="33"/>
        <v>32</v>
      </c>
      <c r="AR40" s="110">
        <f>IF((OR(DAY($AD$54)=29,DAY($AD$54)=30,DAY($AD$54)=31)),(EDATE($C$9-3,AQ40)),(IF((OR(DAY($AD$54)=1,DAY($AD$54)=2,DAY($AD$54)=3)),(EDATE($C$9,AQ40)+3),EDATE($C$9,AQ40))))</f>
        <v>45416</v>
      </c>
      <c r="AS40" s="105" t="e">
        <f>IF(AND(G40&gt;=$W$14,G40&lt;=$W$14+5),$W$15,IF(AND(BF39+AV40+AT40&gt;AS39,AS39&lt;&gt;0),$D$39,IF(BF39=0,0,BF39+AV40+AT40+AT41)))</f>
        <v>#DIV/0!</v>
      </c>
      <c r="AT40" s="105" t="e">
        <f>IF(AND(G40&gt;=$W$14,G40&lt;=$W$14+5),0,IF($C$9&gt;$AF$51,ROUND(BF39*$AE$14*((AR40-DATE(YEAR(AR40),MONTH(AR40),1)+1)/(DATE(YEAR(AR40)+1,1,1)-DATE(YEAR(AR40),1,1))+(EOMONTH(AR39,0)-AR39)/(DATE(YEAR(AR39)+1,1,1)-DATE(YEAR(AR39),1,1))),2),0))</f>
        <v>#DIV/0!</v>
      </c>
      <c r="AU40" s="105">
        <f>IF(BG46=0,0,IF(BG46=1,BF39,IF(BF39+AV40+AT40&gt;AS39,AS40-AT40-AV40,BF39)))</f>
        <v>0</v>
      </c>
      <c r="AV40" s="105" t="e">
        <f>IF(AX40&gt;$D$39,$D$39-AT40,IF(BH40=0,0,AZ40)+BV88)</f>
        <v>#DIV/0!</v>
      </c>
      <c r="AW40" s="105" t="e">
        <f t="shared" si="45"/>
        <v>#DIV/0!</v>
      </c>
      <c r="AX40" s="105" t="e">
        <f t="shared" si="24"/>
        <v>#DIV/0!</v>
      </c>
      <c r="AY40" s="105">
        <f>IF(BG46=0,0,0)</f>
        <v>0</v>
      </c>
      <c r="AZ40" s="105">
        <f>IF(BG46=0,0,0)</f>
        <v>0</v>
      </c>
      <c r="BA40" s="105"/>
      <c r="BB40" s="105"/>
      <c r="BC40" s="105"/>
      <c r="BD40" s="105"/>
      <c r="BE40" s="105"/>
      <c r="BF40" s="105" t="e">
        <f>IF(OR(BG46=1,BF39=0),0,BF39-AU40)</f>
        <v>#DIV/0!</v>
      </c>
      <c r="BG40" s="108">
        <f t="shared" si="35"/>
        <v>11</v>
      </c>
      <c r="BH40" s="108">
        <f>IF(ISERR(CEILING(FLOOR(NPER($C$11/12,-$AD$55,BE33),0.1),1))=TRUE,0,CEILING(FLOOR(NPER($C$11/12,-$AD$55,BE33),0.1),1))</f>
        <v>0</v>
      </c>
      <c r="BI40" s="22">
        <f>H34</f>
        <v>45234</v>
      </c>
      <c r="BJ40" s="108">
        <f t="shared" si="54"/>
        <v>11726</v>
      </c>
    </row>
    <row r="41" spans="1:1215" s="16" customFormat="1" ht="28.5" customHeight="1" x14ac:dyDescent="0.25">
      <c r="A41" s="335" t="s">
        <v>214</v>
      </c>
      <c r="B41" s="180"/>
      <c r="C41" s="180"/>
      <c r="D41" s="308">
        <f>IF(D8="Гарантия пакет",(AH65*AH79+AI65*AI79),INDEX($AC$79:$AI$79,MATCH(D$8,$AC$59:$AJ$59,0))*D40)*$C$10</f>
        <v>0</v>
      </c>
      <c r="E41" s="309">
        <f>C27-D41</f>
        <v>43740</v>
      </c>
      <c r="F41" s="301"/>
      <c r="G41" s="426">
        <f t="shared" si="29"/>
        <v>33</v>
      </c>
      <c r="H41" s="427">
        <f t="shared" si="6"/>
        <v>45447</v>
      </c>
      <c r="I41" s="494">
        <f t="shared" si="53"/>
        <v>9.9000000000000005E-2</v>
      </c>
      <c r="J41" s="423">
        <f t="shared" si="52"/>
        <v>11726</v>
      </c>
      <c r="K41" s="423">
        <f t="shared" si="15"/>
        <v>765.31</v>
      </c>
      <c r="L41" s="423">
        <f t="shared" si="16"/>
        <v>10960.69</v>
      </c>
      <c r="M41" s="423">
        <f t="shared" si="17"/>
        <v>0</v>
      </c>
      <c r="N41" s="423">
        <f t="shared" si="30"/>
        <v>0</v>
      </c>
      <c r="O41" s="423">
        <f t="shared" si="7"/>
        <v>765.31</v>
      </c>
      <c r="P41" s="423">
        <f t="shared" si="18"/>
        <v>0</v>
      </c>
      <c r="Q41" s="423">
        <f t="shared" si="19"/>
        <v>0</v>
      </c>
      <c r="R41" s="423">
        <f t="shared" si="20"/>
        <v>80308.069999999963</v>
      </c>
      <c r="S41" s="470"/>
      <c r="T41" s="36">
        <f t="shared" si="31"/>
        <v>4</v>
      </c>
      <c r="U41" s="36">
        <f t="shared" si="21"/>
        <v>4</v>
      </c>
      <c r="V41" s="16">
        <f>INDEX('Для снижаем ставку'!B3:F3,MATCH($C$10,'Для снижаем ставку'!$B$1:$F$1,0))</f>
        <v>194000</v>
      </c>
      <c r="W41" s="16">
        <f>INDEX('Для снижаем ставку'!B5:F5,MATCH($C$10,'Для снижаем ставку'!$B$1:$F$1,0))</f>
        <v>200000</v>
      </c>
      <c r="Y41" s="16">
        <f>INDEX('Для снижаем ставку'!B9:F9,MATCH($C$10,'Для снижаем ставку'!$B$1:$F$1,0))</f>
        <v>202858</v>
      </c>
      <c r="Z41" s="16">
        <f>INDEX('Для снижаем ставку'!B11:F11,MATCH($C$10,'Для снижаем ставку'!$B$1:$F$1,0))</f>
        <v>205050</v>
      </c>
      <c r="AA41" s="16">
        <f>INDEX('Для снижаем ставку'!B13:F13,MATCH($C$10,'Для снижаем ставку'!$B$1:$F$1,0))</f>
        <v>208573</v>
      </c>
      <c r="AB41" s="16">
        <f>INDEX('Для снижаем ставку'!B15:F15,MATCH($C$10,'Для снижаем ставку'!$B$1:$F$1,0))</f>
        <v>210990</v>
      </c>
      <c r="AC41" s="16">
        <f>INDEX('Для снижаем ставку'!B17:F17,MATCH($C$10,'Для снижаем ставку'!$B$1:$F$1,0))</f>
        <v>214288</v>
      </c>
      <c r="AD41" s="16">
        <f>INDEX('Для снижаем ставку'!B19:F19,MATCH($C$10,'Для снижаем ставку'!$B$1:$F$1,0))</f>
        <v>217145</v>
      </c>
      <c r="AE41" s="16">
        <f>INDEX('Для снижаем ставку'!B21:F21,MATCH($C$10,'Для снижаем ставку'!$B$1:$F$1,0))</f>
        <v>220003</v>
      </c>
      <c r="AF41" s="16">
        <f>INDEX('Для снижаем ставку'!B23:F23,MATCH($C$10,'Для снижаем ставку'!$B$1:$F$1,0))</f>
        <v>222860</v>
      </c>
      <c r="AG41" s="3"/>
      <c r="AH41" s="3"/>
      <c r="AI41" s="3"/>
      <c r="AJ41" s="2"/>
      <c r="AK41" s="2"/>
      <c r="AL41" s="57"/>
      <c r="AM41" s="2"/>
      <c r="AN41" s="15"/>
      <c r="AO41" s="15"/>
      <c r="AP41" s="130" t="e">
        <f t="shared" si="22"/>
        <v>#DIV/0!</v>
      </c>
      <c r="AQ41" s="109">
        <f t="shared" ref="AP41:AQ56" si="55">AQ40+1</f>
        <v>33</v>
      </c>
      <c r="AR41" s="110">
        <f>IF((OR(DAY($AD$54)=29,DAY($AD$54)=30,DAY($AD$54)=31)),(EDATE($C$9-3,AQ41)),(IF((OR(DAY($AD$54)=1,DAY($AD$54)=2,DAY($AD$54)=3)),(EDATE($C$9,AQ41)+3),EDATE($C$9,AQ41))))</f>
        <v>45447</v>
      </c>
      <c r="AS41" s="105" t="e">
        <f>IF(AND(G41&gt;=$W$14,G41&lt;=$W$14+5),$W$15,IF(AND(BF40+AV41+AT41&gt;AS40,AS40&lt;&gt;0),$D$39,IF(BF40=0,0,BF40+AV41+AT41+AS42)))</f>
        <v>#DIV/0!</v>
      </c>
      <c r="AT41" s="105" t="e">
        <f>IF(AND(G41&gt;=$W$14,G41&lt;=$W$14+5),0,IF($C$9&gt;$AF$51,ROUND(BF40*$AE$14*((AR41-DATE(YEAR(AR41),MONTH(AR41),1)+1)/(DATE(YEAR(AR41)+1,1,1)-DATE(YEAR(AR41),1,1))+(EOMONTH(AR40,0)-AR40)/(DATE(YEAR(AR40)+1,1,1)-DATE(YEAR(AR40),1,1))),2),0))</f>
        <v>#DIV/0!</v>
      </c>
      <c r="AU41" s="105">
        <f>IF(BG47=0,0,IF(BG47=1,BF40,IF(BF40+AV41+AT41&gt;AS40,AS41-AT41-AV41,BF40)))</f>
        <v>0</v>
      </c>
      <c r="AV41" s="105" t="e">
        <f>IF(AX41&gt;$D$39,$D$39-AT41,IF(BH41=0,0,AZ41)+BV89)</f>
        <v>#DIV/0!</v>
      </c>
      <c r="AW41" s="105" t="e">
        <f t="shared" si="45"/>
        <v>#DIV/0!</v>
      </c>
      <c r="AX41" s="105" t="e">
        <f t="shared" si="24"/>
        <v>#DIV/0!</v>
      </c>
      <c r="AY41" s="105">
        <f>IF(BG47=0,0,0)</f>
        <v>0</v>
      </c>
      <c r="AZ41" s="105">
        <f>IF(BG47=0,0,0)</f>
        <v>0</v>
      </c>
      <c r="BA41" s="105"/>
      <c r="BB41" s="105"/>
      <c r="BC41" s="105"/>
      <c r="BD41" s="105"/>
      <c r="BE41" s="105"/>
      <c r="BF41" s="105" t="e">
        <f>IF(OR(BG47=1,BF40=0),0,BF40-AU41)</f>
        <v>#DIV/0!</v>
      </c>
      <c r="BG41" s="108">
        <f t="shared" ref="BF41:BG56" si="56">IF((BG40-1)&lt;0,0,BG40-1)</f>
        <v>10</v>
      </c>
      <c r="BH41" s="108">
        <f>IF(ISERR(CEILING(FLOOR(NPER($C$11/12,-$AD$55,BE34),0.1),1))=TRUE,0,CEILING(FLOOR(NPER($C$11/12,-$AD$55,BE34),0.1),1))</f>
        <v>0</v>
      </c>
      <c r="BI41" s="22">
        <f>H35</f>
        <v>45264</v>
      </c>
      <c r="BJ41" s="108">
        <f t="shared" si="54"/>
        <v>11726</v>
      </c>
    </row>
    <row r="42" spans="1:1215" s="16" customFormat="1" ht="18" customHeight="1" x14ac:dyDescent="0.25">
      <c r="A42" s="366" t="s">
        <v>76</v>
      </c>
      <c r="B42" s="336" t="s">
        <v>130</v>
      </c>
      <c r="C42" s="323" t="s">
        <v>35</v>
      </c>
      <c r="D42" s="275">
        <f>D41/$C$10</f>
        <v>0</v>
      </c>
      <c r="E42" s="119">
        <f>C30-D42</f>
        <v>1215</v>
      </c>
      <c r="F42" s="301"/>
      <c r="G42" s="426">
        <f t="shared" si="29"/>
        <v>34</v>
      </c>
      <c r="H42" s="427">
        <f t="shared" si="6"/>
        <v>45477</v>
      </c>
      <c r="I42" s="494">
        <f t="shared" si="53"/>
        <v>9.9000000000000005E-2</v>
      </c>
      <c r="J42" s="423">
        <f t="shared" si="52"/>
        <v>11726</v>
      </c>
      <c r="K42" s="423">
        <f t="shared" si="15"/>
        <v>651.67999999999995</v>
      </c>
      <c r="L42" s="423">
        <f t="shared" si="16"/>
        <v>11074.32</v>
      </c>
      <c r="M42" s="423">
        <f t="shared" ref="M42:M73" si="57">IF(O42&gt;$C$25,$C$25-K42,IF(U42=0,0,P42))</f>
        <v>0</v>
      </c>
      <c r="N42" s="423">
        <f t="shared" si="30"/>
        <v>0</v>
      </c>
      <c r="O42" s="423">
        <f t="shared" si="7"/>
        <v>651.67999999999995</v>
      </c>
      <c r="P42" s="423">
        <f t="shared" si="18"/>
        <v>0</v>
      </c>
      <c r="Q42" s="423">
        <f t="shared" si="19"/>
        <v>0</v>
      </c>
      <c r="R42" s="423">
        <f t="shared" si="20"/>
        <v>69233.749999999971</v>
      </c>
      <c r="S42" s="470"/>
      <c r="T42" s="36">
        <f t="shared" si="31"/>
        <v>3</v>
      </c>
      <c r="U42" s="36">
        <f t="shared" si="21"/>
        <v>3</v>
      </c>
      <c r="V42" s="101">
        <v>9.9000000000000005E-2</v>
      </c>
      <c r="W42" s="101"/>
      <c r="X42" s="101">
        <v>0.11899999999999999</v>
      </c>
      <c r="Y42" s="101">
        <v>0.129</v>
      </c>
      <c r="Z42" s="484">
        <v>0.13900000000000001</v>
      </c>
      <c r="AA42" s="101">
        <v>0.14899999999999999</v>
      </c>
      <c r="AB42" s="484">
        <v>0.159</v>
      </c>
      <c r="AC42" s="101">
        <v>0.16900000000000001</v>
      </c>
      <c r="AD42" s="484">
        <v>0.17899999999999999</v>
      </c>
      <c r="AE42" s="101">
        <v>0.189</v>
      </c>
      <c r="AF42" s="101">
        <v>0.19900000000000001</v>
      </c>
      <c r="AG42" s="2"/>
      <c r="AH42" s="2"/>
      <c r="AI42" s="2"/>
      <c r="AJ42" s="2"/>
      <c r="AK42" s="57"/>
      <c r="AL42" s="2"/>
      <c r="AM42" s="15"/>
      <c r="AN42" s="15"/>
      <c r="AO42" s="130" t="e">
        <f t="shared" si="22"/>
        <v>#DIV/0!</v>
      </c>
      <c r="AP42" s="109">
        <f>AQ41+1</f>
        <v>34</v>
      </c>
      <c r="AQ42" s="110">
        <f t="shared" ref="AQ42:AQ58" si="58">IF((OR(DAY($AD$54)=29,DAY($AD$54)=30,DAY($AD$54)=31)),(EDATE($C$9-3,AP42)),(IF((OR(DAY($AD$54)=1,DAY($AD$54)=2,DAY($AD$54)=3)),(EDATE($C$9,AP42)+3),EDATE($C$9,AP42))))</f>
        <v>45477</v>
      </c>
      <c r="AR42" s="105" t="e">
        <f>IF(AND(G42&gt;=$W$14,G42&lt;=$W$14+5),$W$15,IF(AND(BF41+AU42+AS42&gt;AS41,AS41&lt;&gt;0),$D$39,IF(BF41=0,0,BF41+AU42+AS42+AS43)))</f>
        <v>#DIV/0!</v>
      </c>
      <c r="AS42" s="105" t="e">
        <f>IF(AND(G42&gt;=$W$14,G42&lt;=$W$14+5),0,IF($C$9&gt;$AF$51,ROUND(BF41*$AE$14*((AQ42-DATE(YEAR(AQ42),MONTH(AQ42),1)+1)/(DATE(YEAR(AQ42)+1,1,1)-DATE(YEAR(AQ42),1,1))+(EOMONTH(AR41,0)-AR41)/(DATE(YEAR(AR41)+1,1,1)-DATE(YEAR(AR41),1,1))),2),0))</f>
        <v>#DIV/0!</v>
      </c>
      <c r="AT42" s="105">
        <f>IF(BG48=0,0,IF(BG48=1,BF41,IF(BF41+AU42+AS42&gt;AS41,AR42-AS42-AU42,BF41)))</f>
        <v>0</v>
      </c>
      <c r="AU42" s="105" t="e">
        <f t="shared" si="41"/>
        <v>#DIV/0!</v>
      </c>
      <c r="AV42" s="105" t="e">
        <f>AY41-AV41</f>
        <v>#DIV/0!</v>
      </c>
      <c r="AW42" s="105" t="e">
        <f t="shared" si="24"/>
        <v>#DIV/0!</v>
      </c>
      <c r="AX42" s="105">
        <f t="shared" si="42"/>
        <v>0</v>
      </c>
      <c r="AY42" s="105">
        <f t="shared" si="43"/>
        <v>0</v>
      </c>
      <c r="AZ42" s="105"/>
      <c r="BA42" s="105"/>
      <c r="BB42" s="105"/>
      <c r="BC42" s="105"/>
      <c r="BD42" s="105"/>
      <c r="BE42" s="105" t="e">
        <f>IF(OR(BG48=1,BF41=0),0,BF41-AT42)</f>
        <v>#DIV/0!</v>
      </c>
      <c r="BF42" s="108">
        <f>IF((BG41-1)&lt;0,0,BG41-1)</f>
        <v>9</v>
      </c>
      <c r="BG42" s="108">
        <f t="shared" si="49"/>
        <v>0</v>
      </c>
      <c r="BH42" s="22">
        <f t="shared" ref="BH42:BH58" si="59">H36</f>
        <v>45295</v>
      </c>
      <c r="BI42" s="108">
        <f t="shared" si="51"/>
        <v>11726</v>
      </c>
    </row>
    <row r="43" spans="1:1215" s="16" customFormat="1" ht="19.5" customHeight="1" x14ac:dyDescent="0.25">
      <c r="A43" s="366" t="s">
        <v>131</v>
      </c>
      <c r="B43" s="336" t="s">
        <v>132</v>
      </c>
      <c r="C43" s="270" t="str">
        <f>IF(OR(C8="Гарантия стандарт",C8="Гарантия пакет"),"",IF(C42="Да",IF(C12=$W$3,W21,IF(C12=$Y$3,Y21,IF(C12=$Z$3,Z21,IF(C12=$AA$3,AA21,IF(C12=$X$3,X21,AA21))))),""))</f>
        <v/>
      </c>
      <c r="D43" s="275">
        <f>ROUND($D$42/30.4,2)</f>
        <v>0</v>
      </c>
      <c r="E43" s="119">
        <f>C31-D43</f>
        <v>39.97</v>
      </c>
      <c r="F43" s="301"/>
      <c r="G43" s="426">
        <f t="shared" si="29"/>
        <v>35</v>
      </c>
      <c r="H43" s="427">
        <f t="shared" si="6"/>
        <v>45508</v>
      </c>
      <c r="I43" s="494">
        <f t="shared" si="53"/>
        <v>9.9000000000000005E-2</v>
      </c>
      <c r="J43" s="423">
        <f t="shared" si="52"/>
        <v>11726</v>
      </c>
      <c r="K43" s="423">
        <f>IF(AND($C$8&lt;&gt;"Нет",G43&gt;=$W$14,G43&lt;=$W$14+5),0,IF($C$9&gt;$AF$51,ROUND(R42*I43*((H43-DATE(YEAR(H43),MONTH(H43),1)+1)/(DATE(YEAR(H43)+1,1,1)-DATE(YEAR(H43),1,1))+(EOMONTH(H42,0)-H42)/(DATE(YEAR(H42)+1,1,1)-DATE(YEAR(H42),1,1))),2),0))</f>
        <v>580.54</v>
      </c>
      <c r="L43" s="423">
        <f t="shared" si="16"/>
        <v>11145.46</v>
      </c>
      <c r="M43" s="423">
        <f t="shared" si="57"/>
        <v>0</v>
      </c>
      <c r="N43" s="423">
        <f t="shared" si="30"/>
        <v>0</v>
      </c>
      <c r="O43" s="423">
        <f t="shared" si="7"/>
        <v>580.54</v>
      </c>
      <c r="P43" s="423">
        <f t="shared" si="18"/>
        <v>0</v>
      </c>
      <c r="Q43" s="423">
        <f t="shared" si="19"/>
        <v>0</v>
      </c>
      <c r="R43" s="423">
        <f t="shared" si="20"/>
        <v>58088.289999999972</v>
      </c>
      <c r="S43" s="470"/>
      <c r="T43" s="36">
        <f t="shared" si="31"/>
        <v>2</v>
      </c>
      <c r="U43" s="36">
        <f t="shared" si="21"/>
        <v>2</v>
      </c>
      <c r="V43" s="485">
        <f>INDEX('Для снижаем ставку'!B2:F2,MATCH($C$10,'Для снижаем ставку'!$B$1:$F$1,0))</f>
        <v>3000</v>
      </c>
      <c r="W43" s="485"/>
      <c r="X43" s="485">
        <f>INDEX('Для снижаем ставку'!B6:F6,MATCH($C$10,'Для снижаем ставку'!$B$1:$F$1,0))</f>
        <v>4000</v>
      </c>
      <c r="Y43" s="485">
        <f>INDEX('Для снижаем ставку'!B8:F8,MATCH($C$10,'Для снижаем ставку'!$B$1:$F$1,0))</f>
        <v>4000</v>
      </c>
      <c r="Z43" s="485">
        <f>INDEX('Для снижаем ставку'!B10:F10,MATCH($C$10,'Для снижаем ставку'!$B$1:$F$1,0))</f>
        <v>4000</v>
      </c>
      <c r="AA43" s="485">
        <f>INDEX('Для снижаем ставку'!B12:F12,MATCH($C$10,'Для снижаем ставку'!$B$1:$F$1,0))</f>
        <v>4000</v>
      </c>
      <c r="AB43" s="485">
        <f>INDEX('Для снижаем ставку'!B14:F14,MATCH($C$10,'Для снижаем ставку'!$B$1:$F$1,0))</f>
        <v>4000</v>
      </c>
      <c r="AC43" s="485">
        <f>INDEX('Для снижаем ставку'!B16:F16,MATCH($C$10,'Для снижаем ставку'!$B$1:$F$1,0))</f>
        <v>4000</v>
      </c>
      <c r="AD43" s="485">
        <f>INDEX('Для снижаем ставку'!B18:F18,MATCH($C$10,'Для снижаем ставку'!$B$1:$F$1,0))</f>
        <v>4000</v>
      </c>
      <c r="AE43" s="485">
        <f>INDEX('Для снижаем ставку'!B20:F20,MATCH($C$10,'Для снижаем ставку'!$B$1:$F$1,0))</f>
        <v>4000</v>
      </c>
      <c r="AF43" s="485">
        <f>INDEX('Для снижаем ставку'!B22:F22,MATCH($C$10,'Для снижаем ставку'!$B$1:$F$1,0))</f>
        <v>4000</v>
      </c>
      <c r="AG43" s="2"/>
      <c r="AH43" s="2"/>
      <c r="AI43" s="2"/>
      <c r="AJ43" s="2"/>
      <c r="AK43" s="57"/>
      <c r="AL43" s="2"/>
      <c r="AM43" s="15"/>
      <c r="AN43" s="15"/>
      <c r="AO43" s="130" t="e">
        <f t="shared" si="22"/>
        <v>#DIV/0!</v>
      </c>
      <c r="AP43" s="109">
        <f t="shared" si="55"/>
        <v>35</v>
      </c>
      <c r="AQ43" s="110">
        <f t="shared" si="58"/>
        <v>45508</v>
      </c>
      <c r="AR43" s="105" t="e">
        <f t="shared" ref="AR43:AR57" si="60">IF(AND(G43&gt;=$W$14,G43&lt;=$W$14+5),$W$15,IF(AND(BE42+AU43+AS43&gt;AR42,AR42&lt;&gt;0),$D$39,IF(BE42=0,0,BE42+AU43+AS43+AS44)))</f>
        <v>#DIV/0!</v>
      </c>
      <c r="AS43" s="105" t="e">
        <f t="shared" ref="AS43:AS58" si="61">IF(AND(G43&gt;=$W$14,G43&lt;=$W$14+5),0,IF($C$9&gt;$AF$51,ROUND(BE42*$AE$14*((AQ43-DATE(YEAR(AQ43),MONTH(AQ43),1)+1)/(DATE(YEAR(AQ43)+1,1,1)-DATE(YEAR(AQ43),1,1))+(EOMONTH(AQ42,0)-AQ42)/(DATE(YEAR(AQ42)+1,1,1)-DATE(YEAR(AQ42),1,1))),2),0))</f>
        <v>#DIV/0!</v>
      </c>
      <c r="AT43" s="105">
        <f t="shared" si="40"/>
        <v>0</v>
      </c>
      <c r="AU43" s="105" t="e">
        <f t="shared" si="41"/>
        <v>#DIV/0!</v>
      </c>
      <c r="AV43" s="105" t="e">
        <f t="shared" si="45"/>
        <v>#DIV/0!</v>
      </c>
      <c r="AW43" s="105" t="e">
        <f t="shared" si="24"/>
        <v>#DIV/0!</v>
      </c>
      <c r="AX43" s="105">
        <f t="shared" si="42"/>
        <v>0</v>
      </c>
      <c r="AY43" s="105">
        <f t="shared" si="43"/>
        <v>0</v>
      </c>
      <c r="AZ43" s="105"/>
      <c r="BA43" s="105"/>
      <c r="BB43" s="105"/>
      <c r="BC43" s="105"/>
      <c r="BD43" s="105"/>
      <c r="BE43" s="105" t="e">
        <f t="shared" si="44"/>
        <v>#DIV/0!</v>
      </c>
      <c r="BF43" s="108">
        <f t="shared" si="56"/>
        <v>8</v>
      </c>
      <c r="BG43" s="108">
        <f t="shared" si="49"/>
        <v>0</v>
      </c>
      <c r="BH43" s="22">
        <f t="shared" si="59"/>
        <v>45326</v>
      </c>
      <c r="BI43" s="108">
        <f t="shared" si="51"/>
        <v>11726</v>
      </c>
    </row>
    <row r="44" spans="1:1215" s="16" customFormat="1" ht="20.25" customHeight="1" thickBot="1" x14ac:dyDescent="0.3">
      <c r="A44" s="367" t="s">
        <v>133</v>
      </c>
      <c r="B44" s="337" t="s">
        <v>132</v>
      </c>
      <c r="C44" s="271" t="str">
        <f>IF(AND(C43&lt;&gt;0,C42&lt;&gt;"нет"),IF(C42="Нет","",IF(C42=$AC$30,$AC$31,$AD$31)),"")</f>
        <v/>
      </c>
      <c r="D44" s="276" t="e">
        <f>AR109</f>
        <v>#DIV/0!</v>
      </c>
      <c r="E44" s="137" t="e">
        <f>C32-D44</f>
        <v>#DIV/0!</v>
      </c>
      <c r="F44" s="305"/>
      <c r="G44" s="426">
        <f t="shared" si="29"/>
        <v>36</v>
      </c>
      <c r="H44" s="427">
        <f t="shared" si="6"/>
        <v>45539</v>
      </c>
      <c r="I44" s="494">
        <f t="shared" si="53"/>
        <v>9.9000000000000005E-2</v>
      </c>
      <c r="J44" s="423">
        <f>IF(AND($C$8&lt;&gt;"Нет",G44&gt;=$W$14,G44&lt;=$W$14+5),$W$15,IF(AND(R43+M44+K44&gt;J43,J43&lt;&gt;0),$AE$96,IF(R43=0,0,R43+M44+K44+K45)))</f>
        <v>11726</v>
      </c>
      <c r="K44" s="423">
        <f>IF(AND($C$8&lt;&gt;"Нет",G44&gt;=$W$14,G44&lt;=$W$14+5),0,IF($C$9&gt;$AF$51,ROUND(R43*I44*((H44-DATE(YEAR(H44),MONTH(H44),1)+1)/(DATE(YEAR(H44)+1,1,1)-DATE(YEAR(H44),1,1))+(EOMONTH(H43,0)-H43)/(DATE(YEAR(H43)+1,1,1)-DATE(YEAR(H43),1,1))),2),0))</f>
        <v>487.08</v>
      </c>
      <c r="L44" s="423">
        <f>IF(R43+M44+K44&gt;J43,J44-K44-M44,R43)</f>
        <v>11238.92</v>
      </c>
      <c r="M44" s="423">
        <f t="shared" si="57"/>
        <v>0</v>
      </c>
      <c r="N44" s="423">
        <f t="shared" si="30"/>
        <v>0</v>
      </c>
      <c r="O44" s="423">
        <f t="shared" si="7"/>
        <v>487.08</v>
      </c>
      <c r="P44" s="423">
        <f t="shared" si="18"/>
        <v>0</v>
      </c>
      <c r="Q44" s="423">
        <f t="shared" si="19"/>
        <v>0</v>
      </c>
      <c r="R44" s="423">
        <f>R43-L44-S44</f>
        <v>46849.369999999974</v>
      </c>
      <c r="S44" s="470"/>
      <c r="T44" s="36">
        <f t="shared" si="31"/>
        <v>1</v>
      </c>
      <c r="U44" s="36">
        <f t="shared" si="21"/>
        <v>1</v>
      </c>
      <c r="V44" s="485">
        <f>INDEX('Для снижаем ставку'!B3:F3,MATCH($C$10,'Для снижаем ставку'!$B$1:$F$1,0))</f>
        <v>194000</v>
      </c>
      <c r="W44" s="485"/>
      <c r="X44" s="485">
        <f>INDEX('Для снижаем ставку'!B7:F7,MATCH($C$10,'Для снижаем ставку'!$B$1:$F$1,0))</f>
        <v>200000</v>
      </c>
      <c r="Y44" s="485">
        <f>INDEX('Для снижаем ставку'!B9:F9,MATCH($C$10,'Для снижаем ставку'!$B$1:$F$1,0))</f>
        <v>202858</v>
      </c>
      <c r="Z44" s="485">
        <f>INDEX('Для снижаем ставку'!B11:F11,MATCH($C$10,'Для снижаем ставку'!$B$1:$F$1,0))</f>
        <v>205050</v>
      </c>
      <c r="AA44" s="485">
        <f>INDEX('Для снижаем ставку'!B13:F13,MATCH($C$10,'Для снижаем ставку'!$B$1:$F$1,0))</f>
        <v>208573</v>
      </c>
      <c r="AB44" s="485">
        <f>INDEX('Для снижаем ставку'!B15:F15,MATCH($C$10,'Для снижаем ставку'!$B$1:$F$1,0))</f>
        <v>210990</v>
      </c>
      <c r="AC44" s="485">
        <f>INDEX('Для снижаем ставку'!B17:F17,MATCH($C$10,'Для снижаем ставку'!$B$1:$F$1,0))</f>
        <v>214288</v>
      </c>
      <c r="AD44" s="485">
        <f>INDEX('Для снижаем ставку'!B19:F19,MATCH($C$10,'Для снижаем ставку'!$B$1:$F$1,0))</f>
        <v>217145</v>
      </c>
      <c r="AE44" s="485">
        <f>INDEX('Для снижаем ставку'!B21:F21,MATCH($C$10,'Для снижаем ставку'!$B$1:$F$1,0))</f>
        <v>220003</v>
      </c>
      <c r="AF44" s="485">
        <f>INDEX('Для снижаем ставку'!B23:F23,MATCH($C$10,'Для снижаем ставку'!$B$1:$F$1,0))</f>
        <v>222860</v>
      </c>
      <c r="AG44" s="3"/>
      <c r="AH44" s="3"/>
      <c r="AI44" s="2"/>
      <c r="AJ44" s="2"/>
      <c r="AK44" s="57"/>
      <c r="AL44" s="2"/>
      <c r="AM44" s="15"/>
      <c r="AN44" s="3"/>
      <c r="AO44" s="130" t="e">
        <f t="shared" si="22"/>
        <v>#DIV/0!</v>
      </c>
      <c r="AP44" s="109">
        <f t="shared" si="55"/>
        <v>36</v>
      </c>
      <c r="AQ44" s="110">
        <f t="shared" si="58"/>
        <v>45539</v>
      </c>
      <c r="AR44" s="105" t="e">
        <f t="shared" si="60"/>
        <v>#DIV/0!</v>
      </c>
      <c r="AS44" s="105" t="e">
        <f t="shared" si="61"/>
        <v>#DIV/0!</v>
      </c>
      <c r="AT44" s="105">
        <f t="shared" si="40"/>
        <v>0</v>
      </c>
      <c r="AU44" s="105" t="e">
        <f t="shared" si="41"/>
        <v>#DIV/0!</v>
      </c>
      <c r="AV44" s="105" t="e">
        <f t="shared" si="45"/>
        <v>#DIV/0!</v>
      </c>
      <c r="AW44" s="105" t="e">
        <f t="shared" si="24"/>
        <v>#DIV/0!</v>
      </c>
      <c r="AX44" s="105">
        <f t="shared" si="42"/>
        <v>0</v>
      </c>
      <c r="AY44" s="105">
        <f t="shared" si="43"/>
        <v>0</v>
      </c>
      <c r="AZ44" s="105"/>
      <c r="BA44" s="105"/>
      <c r="BB44" s="105"/>
      <c r="BC44" s="105"/>
      <c r="BD44" s="105"/>
      <c r="BE44" s="105" t="e">
        <f t="shared" si="44"/>
        <v>#DIV/0!</v>
      </c>
      <c r="BF44" s="108">
        <f t="shared" si="56"/>
        <v>7</v>
      </c>
      <c r="BG44" s="108">
        <f t="shared" si="49"/>
        <v>0</v>
      </c>
      <c r="BH44" s="22">
        <f t="shared" si="59"/>
        <v>45355</v>
      </c>
      <c r="BI44" s="108">
        <f t="shared" si="51"/>
        <v>11726</v>
      </c>
    </row>
    <row r="45" spans="1:1215" s="16" customFormat="1" ht="12.75" customHeight="1" x14ac:dyDescent="0.25">
      <c r="A45" s="272"/>
      <c r="B45" s="273"/>
      <c r="C45" s="274" t="str">
        <f>IF(AND(C43&lt;&gt;0,C42&lt;&gt;"нет"),IF(C42="Нет","",ROUND($C$7*C44,2)),"")</f>
        <v/>
      </c>
      <c r="D45" s="269" t="e">
        <f>AS109</f>
        <v>#DIV/0!</v>
      </c>
      <c r="E45" s="121" t="e">
        <f>C33-D45</f>
        <v>#DIV/0!</v>
      </c>
      <c r="F45" s="302"/>
      <c r="G45" s="426">
        <f t="shared" si="29"/>
        <v>37</v>
      </c>
      <c r="H45" s="427">
        <f t="shared" si="6"/>
        <v>45569</v>
      </c>
      <c r="I45" s="494">
        <f>$AF$97</f>
        <v>6.9000000000000006E-2</v>
      </c>
      <c r="J45" s="423">
        <f>IF(AND($C$8&lt;&gt;"Нет",G45&gt;=$W$14,G45&lt;=$W$14+5),$W$15,IF(AND(R44+M45+K45&gt;J44,J44&lt;&gt;0),$AE$97,IF(R44=0,0,R44+M45+K45+K46)))</f>
        <v>11494</v>
      </c>
      <c r="K45" s="423">
        <f t="shared" si="15"/>
        <v>264.97000000000003</v>
      </c>
      <c r="L45" s="423">
        <f t="shared" si="16"/>
        <v>11229.03</v>
      </c>
      <c r="M45" s="423">
        <f t="shared" si="57"/>
        <v>0</v>
      </c>
      <c r="N45" s="423">
        <f t="shared" si="30"/>
        <v>0</v>
      </c>
      <c r="O45" s="423">
        <f t="shared" si="7"/>
        <v>264.97000000000003</v>
      </c>
      <c r="P45" s="423">
        <f t="shared" si="18"/>
        <v>0</v>
      </c>
      <c r="Q45" s="423">
        <f t="shared" si="19"/>
        <v>0</v>
      </c>
      <c r="R45" s="423">
        <f t="shared" si="20"/>
        <v>35620.339999999975</v>
      </c>
      <c r="S45" s="470"/>
      <c r="T45" s="36">
        <f t="shared" si="31"/>
        <v>0</v>
      </c>
      <c r="U45" s="36">
        <f t="shared" si="21"/>
        <v>0</v>
      </c>
      <c r="AF45" s="3"/>
      <c r="AG45" s="3"/>
      <c r="AH45" s="3"/>
      <c r="AI45" s="2"/>
      <c r="AJ45" s="2"/>
      <c r="AK45" s="57"/>
      <c r="AL45" s="2"/>
      <c r="AM45" s="3"/>
      <c r="AO45" s="130" t="e">
        <f t="shared" si="22"/>
        <v>#DIV/0!</v>
      </c>
      <c r="AP45" s="109">
        <f t="shared" si="55"/>
        <v>37</v>
      </c>
      <c r="AQ45" s="110">
        <f t="shared" si="58"/>
        <v>45569</v>
      </c>
      <c r="AR45" s="105" t="e">
        <f t="shared" si="60"/>
        <v>#DIV/0!</v>
      </c>
      <c r="AS45" s="105" t="e">
        <f t="shared" si="61"/>
        <v>#DIV/0!</v>
      </c>
      <c r="AT45" s="105">
        <f t="shared" si="40"/>
        <v>0</v>
      </c>
      <c r="AU45" s="105" t="e">
        <f t="shared" si="41"/>
        <v>#DIV/0!</v>
      </c>
      <c r="AV45" s="105" t="e">
        <f t="shared" si="45"/>
        <v>#DIV/0!</v>
      </c>
      <c r="AW45" s="105" t="e">
        <f t="shared" si="24"/>
        <v>#DIV/0!</v>
      </c>
      <c r="AX45" s="105">
        <f t="shared" si="42"/>
        <v>0</v>
      </c>
      <c r="AY45" s="105">
        <f t="shared" si="43"/>
        <v>0</v>
      </c>
      <c r="AZ45" s="105"/>
      <c r="BA45" s="105"/>
      <c r="BB45" s="105"/>
      <c r="BC45" s="105"/>
      <c r="BD45" s="105"/>
      <c r="BE45" s="105" t="e">
        <f t="shared" si="44"/>
        <v>#DIV/0!</v>
      </c>
      <c r="BF45" s="108">
        <f t="shared" si="56"/>
        <v>6</v>
      </c>
      <c r="BG45" s="108">
        <f t="shared" si="49"/>
        <v>0</v>
      </c>
      <c r="BH45" s="22">
        <f t="shared" si="59"/>
        <v>45386</v>
      </c>
      <c r="BI45" s="108">
        <f t="shared" si="51"/>
        <v>11726</v>
      </c>
    </row>
    <row r="46" spans="1:1215" s="16" customFormat="1" ht="15.6" x14ac:dyDescent="0.25">
      <c r="A46" s="272"/>
      <c r="B46" s="273"/>
      <c r="C46" s="274" t="str">
        <f>IF(AND($C$43&lt;&gt;0,C42&lt;&gt;"нет"),K109-W149,"")</f>
        <v/>
      </c>
      <c r="D46" s="277" t="e">
        <f>D45+IF(D35&lt;&gt;"",D35,0)-IF(D36&lt;&gt;"",D36,0)</f>
        <v>#DIV/0!</v>
      </c>
      <c r="E46" s="136" t="e">
        <f>#REF!-D46</f>
        <v>#REF!</v>
      </c>
      <c r="F46" s="306"/>
      <c r="G46" s="426">
        <f t="shared" si="29"/>
        <v>38</v>
      </c>
      <c r="H46" s="427">
        <f t="shared" si="6"/>
        <v>45600</v>
      </c>
      <c r="I46" s="494">
        <f t="shared" ref="I46:I56" si="62">$AF$97</f>
        <v>6.9000000000000006E-2</v>
      </c>
      <c r="J46" s="423">
        <f t="shared" ref="J46:J56" si="63">IF(AND($C$8&lt;&gt;"Нет",G46&gt;=$W$14,G46&lt;=$W$14+5),$W$15,IF(AND(R45+M46+K46&gt;J45,J45&lt;&gt;0),$AE$97,IF(R45=0,0,R45+M46+K46+K47)))</f>
        <v>11494</v>
      </c>
      <c r="K46" s="423">
        <f t="shared" si="15"/>
        <v>208.17</v>
      </c>
      <c r="L46" s="423">
        <f t="shared" si="16"/>
        <v>11285.83</v>
      </c>
      <c r="M46" s="423">
        <f t="shared" si="57"/>
        <v>0</v>
      </c>
      <c r="N46" s="423">
        <f t="shared" si="30"/>
        <v>0</v>
      </c>
      <c r="O46" s="423">
        <f t="shared" si="7"/>
        <v>208.17</v>
      </c>
      <c r="P46" s="423">
        <f t="shared" si="18"/>
        <v>0</v>
      </c>
      <c r="Q46" s="423">
        <f t="shared" si="19"/>
        <v>0</v>
      </c>
      <c r="R46" s="423">
        <f t="shared" si="20"/>
        <v>24334.509999999973</v>
      </c>
      <c r="S46" s="470"/>
      <c r="T46" s="36">
        <f t="shared" si="31"/>
        <v>0</v>
      </c>
      <c r="U46" s="36">
        <f t="shared" si="21"/>
        <v>0</v>
      </c>
      <c r="V46" s="2"/>
      <c r="W46" s="2"/>
      <c r="Y46" s="2"/>
      <c r="Z46" s="2"/>
      <c r="AA46" s="2"/>
      <c r="AB46" s="2"/>
      <c r="AC46" s="2"/>
      <c r="AD46" s="2"/>
      <c r="AE46" s="3"/>
      <c r="AF46" s="3"/>
      <c r="AG46" s="3"/>
      <c r="AH46" s="3"/>
      <c r="AI46" s="2"/>
      <c r="AJ46" s="2"/>
      <c r="AK46" s="57"/>
      <c r="AL46" s="2"/>
      <c r="AM46" s="18">
        <f>AR8</f>
        <v>-302900</v>
      </c>
      <c r="AN46" s="57">
        <f>AQ8</f>
        <v>44443</v>
      </c>
      <c r="AO46" s="130" t="e">
        <f t="shared" si="22"/>
        <v>#DIV/0!</v>
      </c>
      <c r="AP46" s="109">
        <f t="shared" si="55"/>
        <v>38</v>
      </c>
      <c r="AQ46" s="110">
        <f t="shared" si="58"/>
        <v>45600</v>
      </c>
      <c r="AR46" s="105" t="e">
        <f t="shared" si="60"/>
        <v>#DIV/0!</v>
      </c>
      <c r="AS46" s="105" t="e">
        <f t="shared" si="61"/>
        <v>#DIV/0!</v>
      </c>
      <c r="AT46" s="105">
        <f t="shared" si="40"/>
        <v>0</v>
      </c>
      <c r="AU46" s="105" t="e">
        <f t="shared" si="41"/>
        <v>#DIV/0!</v>
      </c>
      <c r="AV46" s="105" t="e">
        <f t="shared" si="45"/>
        <v>#DIV/0!</v>
      </c>
      <c r="AW46" s="105" t="e">
        <f t="shared" si="24"/>
        <v>#DIV/0!</v>
      </c>
      <c r="AX46" s="105">
        <f t="shared" si="42"/>
        <v>0</v>
      </c>
      <c r="AY46" s="105">
        <f t="shared" si="43"/>
        <v>0</v>
      </c>
      <c r="AZ46" s="105"/>
      <c r="BA46" s="105"/>
      <c r="BB46" s="105"/>
      <c r="BC46" s="105"/>
      <c r="BD46" s="105"/>
      <c r="BE46" s="105" t="e">
        <f t="shared" si="44"/>
        <v>#DIV/0!</v>
      </c>
      <c r="BF46" s="108">
        <f t="shared" si="56"/>
        <v>5</v>
      </c>
      <c r="BG46" s="108">
        <f>IF(ISERR(CEILING(FLOOR(NPER($C$11/12,-$AD$55,BF39),0.1),1))=TRUE,0,CEILING(FLOOR(NPER($C$11/12,-$AD$55,BF39),0.1),1))</f>
        <v>0</v>
      </c>
      <c r="BH46" s="22">
        <f t="shared" si="59"/>
        <v>45416</v>
      </c>
      <c r="BI46" s="108">
        <f t="shared" si="51"/>
        <v>11726</v>
      </c>
    </row>
    <row r="47" spans="1:1215" s="16" customFormat="1" ht="15" x14ac:dyDescent="0.25">
      <c r="A47" s="272"/>
      <c r="B47" s="273"/>
      <c r="C47" s="271" t="str">
        <f>IF(AND($C$43&lt;&gt;0,C42&lt;&gt;"нет"),IF(C42="Нет","",C46/C7),"")</f>
        <v/>
      </c>
      <c r="D47" s="268" t="e">
        <f>IF(OR(D8="Гарантия стандарт",D8="Гарантия пакет"),0,AG57)</f>
        <v>#DIV/0!</v>
      </c>
      <c r="E47" s="119" t="e">
        <f>#REF!-D47</f>
        <v>#REF!</v>
      </c>
      <c r="F47" s="301"/>
      <c r="G47" s="426">
        <f t="shared" si="29"/>
        <v>39</v>
      </c>
      <c r="H47" s="427">
        <f t="shared" si="6"/>
        <v>45630</v>
      </c>
      <c r="I47" s="494">
        <f t="shared" si="62"/>
        <v>6.9000000000000006E-2</v>
      </c>
      <c r="J47" s="423">
        <f t="shared" si="63"/>
        <v>11494</v>
      </c>
      <c r="K47" s="423">
        <f t="shared" si="15"/>
        <v>137.63</v>
      </c>
      <c r="L47" s="423">
        <f t="shared" si="16"/>
        <v>11356.37</v>
      </c>
      <c r="M47" s="423">
        <f t="shared" si="57"/>
        <v>0</v>
      </c>
      <c r="N47" s="423">
        <f t="shared" si="30"/>
        <v>0</v>
      </c>
      <c r="O47" s="423">
        <f t="shared" si="7"/>
        <v>137.63</v>
      </c>
      <c r="P47" s="423">
        <f t="shared" si="18"/>
        <v>0</v>
      </c>
      <c r="Q47" s="423">
        <f t="shared" si="19"/>
        <v>0</v>
      </c>
      <c r="R47" s="423">
        <f t="shared" si="20"/>
        <v>12978.139999999972</v>
      </c>
      <c r="S47" s="470"/>
      <c r="T47" s="36">
        <f t="shared" si="31"/>
        <v>0</v>
      </c>
      <c r="U47" s="36">
        <f t="shared" si="21"/>
        <v>0</v>
      </c>
      <c r="V47" s="2"/>
      <c r="W47" s="2"/>
      <c r="X47" s="18">
        <f>J8</f>
        <v>-346640</v>
      </c>
      <c r="Y47" s="57">
        <f>H8</f>
        <v>44443</v>
      </c>
      <c r="Z47" s="2"/>
      <c r="AA47" s="2"/>
      <c r="AB47" s="37"/>
      <c r="AC47" s="38">
        <v>0</v>
      </c>
      <c r="AD47" s="1" t="s">
        <v>20</v>
      </c>
      <c r="AE47" s="6" t="s">
        <v>15</v>
      </c>
      <c r="AF47" s="6"/>
      <c r="AG47" s="6">
        <v>10</v>
      </c>
      <c r="AH47" s="27">
        <v>41274</v>
      </c>
      <c r="AI47" s="2">
        <v>6</v>
      </c>
      <c r="AJ47" s="2"/>
      <c r="AK47" s="2"/>
      <c r="AM47" s="34">
        <f>IF(OR(D8="Гарантия стандарт",D8="Гарантия пакет"),AH65*AH79*$C$10,0)</f>
        <v>0</v>
      </c>
      <c r="AN47" s="57">
        <f>AQ8</f>
        <v>44443</v>
      </c>
      <c r="AO47" s="130" t="e">
        <f t="shared" si="22"/>
        <v>#DIV/0!</v>
      </c>
      <c r="AP47" s="109">
        <f t="shared" si="55"/>
        <v>39</v>
      </c>
      <c r="AQ47" s="110">
        <f t="shared" si="58"/>
        <v>45630</v>
      </c>
      <c r="AR47" s="105" t="e">
        <f t="shared" si="60"/>
        <v>#DIV/0!</v>
      </c>
      <c r="AS47" s="105" t="e">
        <f t="shared" si="61"/>
        <v>#DIV/0!</v>
      </c>
      <c r="AT47" s="105">
        <f t="shared" si="40"/>
        <v>0</v>
      </c>
      <c r="AU47" s="105" t="e">
        <f t="shared" si="41"/>
        <v>#DIV/0!</v>
      </c>
      <c r="AV47" s="105" t="e">
        <f t="shared" si="45"/>
        <v>#DIV/0!</v>
      </c>
      <c r="AW47" s="105" t="e">
        <f t="shared" si="24"/>
        <v>#DIV/0!</v>
      </c>
      <c r="AX47" s="105">
        <f t="shared" si="42"/>
        <v>0</v>
      </c>
      <c r="AY47" s="105">
        <f t="shared" si="43"/>
        <v>0</v>
      </c>
      <c r="AZ47" s="105"/>
      <c r="BA47" s="105"/>
      <c r="BB47" s="105"/>
      <c r="BC47" s="105"/>
      <c r="BD47" s="105"/>
      <c r="BE47" s="105" t="e">
        <f t="shared" si="44"/>
        <v>#DIV/0!</v>
      </c>
      <c r="BF47" s="108">
        <f t="shared" si="56"/>
        <v>4</v>
      </c>
      <c r="BG47" s="108">
        <f>IF(ISERR(CEILING(FLOOR(NPER($C$11/12,-$AD$55,BF40),0.1),1))=TRUE,0,CEILING(FLOOR(NPER($C$11/12,-$AD$55,BF40),0.1),1))</f>
        <v>0</v>
      </c>
      <c r="BH47" s="22">
        <f t="shared" si="59"/>
        <v>45447</v>
      </c>
      <c r="BI47" s="108">
        <f t="shared" si="51"/>
        <v>11726</v>
      </c>
    </row>
    <row r="48" spans="1:1215" s="16" customFormat="1" ht="12" customHeight="1" x14ac:dyDescent="0.25">
      <c r="A48" s="180"/>
      <c r="B48" s="180"/>
      <c r="C48" s="180"/>
      <c r="D48" s="278">
        <f>IF(OR(D8="Гарантия стандарт",D8="Гарантия пакет"),0,$C$10+$AD$57)</f>
        <v>72</v>
      </c>
      <c r="E48" s="119"/>
      <c r="F48" s="301"/>
      <c r="G48" s="426">
        <f t="shared" si="29"/>
        <v>40</v>
      </c>
      <c r="H48" s="427">
        <f t="shared" si="6"/>
        <v>45661</v>
      </c>
      <c r="I48" s="494">
        <f t="shared" si="62"/>
        <v>6.9000000000000006E-2</v>
      </c>
      <c r="J48" s="423">
        <f t="shared" si="63"/>
        <v>11494</v>
      </c>
      <c r="K48" s="423">
        <f t="shared" si="15"/>
        <v>75.87</v>
      </c>
      <c r="L48" s="423">
        <f t="shared" si="16"/>
        <v>11418.13</v>
      </c>
      <c r="M48" s="423">
        <f t="shared" si="57"/>
        <v>0</v>
      </c>
      <c r="N48" s="423">
        <f t="shared" si="30"/>
        <v>0</v>
      </c>
      <c r="O48" s="423">
        <f t="shared" si="7"/>
        <v>75.87</v>
      </c>
      <c r="P48" s="423">
        <f t="shared" si="18"/>
        <v>0</v>
      </c>
      <c r="Q48" s="423">
        <f t="shared" si="19"/>
        <v>0</v>
      </c>
      <c r="R48" s="423">
        <f t="shared" si="20"/>
        <v>1560.0099999999729</v>
      </c>
      <c r="S48" s="470"/>
      <c r="T48" s="36">
        <f t="shared" si="31"/>
        <v>0</v>
      </c>
      <c r="U48" s="36">
        <f t="shared" si="21"/>
        <v>0</v>
      </c>
      <c r="X48" s="34">
        <f>IF(OR(C8="Гарантия стандарт",C8="Гарантия пакет"),AH65*AH79*$C$10,0)</f>
        <v>0</v>
      </c>
      <c r="Y48" s="57">
        <f>H8</f>
        <v>44443</v>
      </c>
      <c r="Z48" s="5" t="s">
        <v>11</v>
      </c>
      <c r="AA48" s="4"/>
      <c r="AB48" s="37"/>
      <c r="AC48" s="39">
        <f>C7*(1-AC47)</f>
        <v>300000</v>
      </c>
      <c r="AD48" s="9" t="s">
        <v>29</v>
      </c>
      <c r="AE48" s="2" t="s">
        <v>17</v>
      </c>
      <c r="AF48" s="2"/>
      <c r="AG48" s="2">
        <v>7.4000000000000003E-3</v>
      </c>
      <c r="AH48" s="59">
        <v>41750</v>
      </c>
      <c r="AI48" s="2">
        <v>72</v>
      </c>
      <c r="AJ48" s="2"/>
      <c r="AK48" s="2"/>
      <c r="AL48" s="2" t="e">
        <f t="shared" ref="AL48:AL58" si="64">IF(AND(Y9&gt;=$W$14,Y9&lt;=$W$14+5),0,IF($C$9&gt;$AF$51,ROUND(AI8*$C$43/(DATEVALUE(CONCATENATE("01/01/",YEAR(Z9)+1))-DATEVALUE(CONCATENATE("01/01/",YEAR(Z9))))*(Z9-Z8),2),0))</f>
        <v>#VALUE!</v>
      </c>
      <c r="AM48" s="34">
        <f t="shared" ref="AM48:AM111" si="65">AR9</f>
        <v>1700</v>
      </c>
      <c r="AN48" s="57">
        <f>AN47+365</f>
        <v>44808</v>
      </c>
      <c r="AO48" s="130" t="e">
        <f t="shared" si="22"/>
        <v>#DIV/0!</v>
      </c>
      <c r="AP48" s="109">
        <f t="shared" si="55"/>
        <v>40</v>
      </c>
      <c r="AQ48" s="110">
        <f t="shared" si="58"/>
        <v>45661</v>
      </c>
      <c r="AR48" s="105" t="e">
        <f t="shared" si="60"/>
        <v>#DIV/0!</v>
      </c>
      <c r="AS48" s="105" t="e">
        <f t="shared" si="61"/>
        <v>#DIV/0!</v>
      </c>
      <c r="AT48" s="105">
        <f t="shared" si="40"/>
        <v>0</v>
      </c>
      <c r="AU48" s="105" t="e">
        <f t="shared" si="41"/>
        <v>#DIV/0!</v>
      </c>
      <c r="AV48" s="105" t="e">
        <f t="shared" si="45"/>
        <v>#DIV/0!</v>
      </c>
      <c r="AW48" s="105" t="e">
        <f t="shared" si="24"/>
        <v>#DIV/0!</v>
      </c>
      <c r="AX48" s="105">
        <f t="shared" si="42"/>
        <v>0</v>
      </c>
      <c r="AY48" s="105">
        <f t="shared" si="43"/>
        <v>0</v>
      </c>
      <c r="AZ48" s="105"/>
      <c r="BA48" s="105"/>
      <c r="BB48" s="105"/>
      <c r="BC48" s="105"/>
      <c r="BD48" s="105"/>
      <c r="BE48" s="105" t="e">
        <f t="shared" si="44"/>
        <v>#DIV/0!</v>
      </c>
      <c r="BF48" s="108">
        <f t="shared" si="56"/>
        <v>3</v>
      </c>
      <c r="BG48" s="108">
        <f>IF(ISERR(CEILING(FLOOR(NPER($C$11/12,-$AD$55,BF41),0.1),1))=TRUE,0,CEILING(FLOOR(NPER($C$11/12,-$AD$55,BF41),0.1),1))</f>
        <v>0</v>
      </c>
      <c r="BH48" s="22">
        <f t="shared" si="59"/>
        <v>45477</v>
      </c>
      <c r="BI48" s="108">
        <f t="shared" si="51"/>
        <v>11726</v>
      </c>
    </row>
    <row r="49" spans="1:63" s="16" customFormat="1" ht="20.25" customHeight="1" thickBot="1" x14ac:dyDescent="0.35">
      <c r="A49" s="178"/>
      <c r="B49" s="178"/>
      <c r="C49" s="178"/>
      <c r="D49" s="279">
        <f>IF(OR(D8="Гарантия стандарт",D8="Гарантия пакет"),0,AF57)</f>
        <v>0.159</v>
      </c>
      <c r="E49" s="120" t="e">
        <f>#REF!-D49</f>
        <v>#REF!</v>
      </c>
      <c r="F49" s="304"/>
      <c r="G49" s="426">
        <f t="shared" si="29"/>
        <v>41</v>
      </c>
      <c r="H49" s="427">
        <f t="shared" si="6"/>
        <v>45692</v>
      </c>
      <c r="I49" s="494">
        <f t="shared" si="62"/>
        <v>6.9000000000000006E-2</v>
      </c>
      <c r="J49" s="423">
        <f t="shared" si="63"/>
        <v>1569.149999999973</v>
      </c>
      <c r="K49" s="423">
        <f t="shared" si="15"/>
        <v>9.14</v>
      </c>
      <c r="L49" s="423">
        <f t="shared" si="16"/>
        <v>1560.0099999999729</v>
      </c>
      <c r="M49" s="423">
        <f t="shared" si="57"/>
        <v>0</v>
      </c>
      <c r="N49" s="423">
        <f t="shared" si="30"/>
        <v>0</v>
      </c>
      <c r="O49" s="423">
        <f t="shared" si="7"/>
        <v>9.14</v>
      </c>
      <c r="P49" s="423">
        <f t="shared" si="18"/>
        <v>0</v>
      </c>
      <c r="Q49" s="423">
        <f t="shared" si="19"/>
        <v>0</v>
      </c>
      <c r="R49" s="423">
        <f t="shared" si="20"/>
        <v>0</v>
      </c>
      <c r="S49" s="470"/>
      <c r="T49" s="36">
        <f t="shared" si="31"/>
        <v>0</v>
      </c>
      <c r="U49" s="36">
        <f t="shared" si="21"/>
        <v>0</v>
      </c>
      <c r="V49" s="2"/>
      <c r="W49" s="2">
        <f t="shared" ref="W49:W80" si="66">IF(AND(G9&gt;=$W$14,G9&lt;=$W$14+5),0,IF($C$9&gt;$AF$51,ROUND(R8*$C$43/(DATEVALUE(CONCATENATE("01/01/",YEAR(H9)+1))-DATEVALUE(CONCATENATE("01/01/",YEAR(H9))))*(H9-H8),2),0))</f>
        <v>0</v>
      </c>
      <c r="X49" s="34">
        <f>J9</f>
        <v>1700</v>
      </c>
      <c r="Y49" s="57">
        <f>Y48+365</f>
        <v>44808</v>
      </c>
      <c r="Z49" s="8" t="s">
        <v>10</v>
      </c>
      <c r="AA49" s="8"/>
      <c r="AB49" s="37"/>
      <c r="AC49" s="41">
        <f>ROUNDUP(C7*AD49,0)</f>
        <v>0</v>
      </c>
      <c r="AD49" s="12">
        <v>0</v>
      </c>
      <c r="AE49" s="1">
        <v>15000</v>
      </c>
      <c r="AF49" s="53">
        <v>41365</v>
      </c>
      <c r="AG49" s="1">
        <v>500</v>
      </c>
      <c r="AH49" s="2">
        <f>ROUNDUP(($AD$55)/AG47,0)*AG47</f>
        <v>12180</v>
      </c>
      <c r="AI49" s="2"/>
      <c r="AJ49" s="2"/>
      <c r="AK49" s="2"/>
      <c r="AL49" s="2" t="e">
        <f t="shared" si="64"/>
        <v>#VALUE!</v>
      </c>
      <c r="AM49" s="34">
        <f t="shared" si="65"/>
        <v>1700</v>
      </c>
      <c r="AN49" s="57">
        <f t="shared" ref="AN49:AO64" si="67">AN48+365</f>
        <v>45173</v>
      </c>
      <c r="AO49" s="130" t="e">
        <f t="shared" si="22"/>
        <v>#DIV/0!</v>
      </c>
      <c r="AP49" s="109">
        <f t="shared" si="55"/>
        <v>41</v>
      </c>
      <c r="AQ49" s="110">
        <f t="shared" si="58"/>
        <v>45692</v>
      </c>
      <c r="AR49" s="105" t="e">
        <f t="shared" si="60"/>
        <v>#DIV/0!</v>
      </c>
      <c r="AS49" s="105" t="e">
        <f t="shared" si="61"/>
        <v>#DIV/0!</v>
      </c>
      <c r="AT49" s="105">
        <f t="shared" si="40"/>
        <v>0</v>
      </c>
      <c r="AU49" s="105" t="e">
        <f t="shared" si="41"/>
        <v>#DIV/0!</v>
      </c>
      <c r="AV49" s="105" t="e">
        <f t="shared" si="45"/>
        <v>#DIV/0!</v>
      </c>
      <c r="AW49" s="105" t="e">
        <f t="shared" si="24"/>
        <v>#DIV/0!</v>
      </c>
      <c r="AX49" s="105">
        <f t="shared" si="42"/>
        <v>0</v>
      </c>
      <c r="AY49" s="105">
        <f t="shared" si="43"/>
        <v>0</v>
      </c>
      <c r="AZ49" s="105"/>
      <c r="BA49" s="105"/>
      <c r="BB49" s="105"/>
      <c r="BC49" s="105"/>
      <c r="BD49" s="105"/>
      <c r="BE49" s="105" t="e">
        <f t="shared" si="44"/>
        <v>#DIV/0!</v>
      </c>
      <c r="BF49" s="108">
        <f t="shared" si="56"/>
        <v>2</v>
      </c>
      <c r="BG49" s="108">
        <f t="shared" si="49"/>
        <v>0</v>
      </c>
      <c r="BH49" s="22">
        <f t="shared" si="59"/>
        <v>45508</v>
      </c>
      <c r="BI49" s="108">
        <f t="shared" si="51"/>
        <v>11726</v>
      </c>
    </row>
    <row r="50" spans="1:63" s="16" customFormat="1" ht="12.75" customHeight="1" thickBot="1" x14ac:dyDescent="0.35">
      <c r="A50" s="178"/>
      <c r="B50" s="178"/>
      <c r="C50" s="180"/>
      <c r="D50" s="280"/>
      <c r="E50" s="159"/>
      <c r="F50" s="307"/>
      <c r="G50" s="426">
        <f t="shared" si="29"/>
        <v>42</v>
      </c>
      <c r="H50" s="427">
        <f t="shared" si="6"/>
        <v>45720</v>
      </c>
      <c r="I50" s="494">
        <f t="shared" si="62"/>
        <v>6.9000000000000006E-2</v>
      </c>
      <c r="J50" s="423">
        <f t="shared" si="63"/>
        <v>0</v>
      </c>
      <c r="K50" s="423">
        <f t="shared" si="15"/>
        <v>0</v>
      </c>
      <c r="L50" s="423">
        <f t="shared" si="16"/>
        <v>0</v>
      </c>
      <c r="M50" s="423">
        <f t="shared" si="57"/>
        <v>0</v>
      </c>
      <c r="N50" s="423">
        <f t="shared" si="30"/>
        <v>0</v>
      </c>
      <c r="O50" s="423">
        <f t="shared" si="7"/>
        <v>0</v>
      </c>
      <c r="P50" s="423">
        <f t="shared" si="18"/>
        <v>0</v>
      </c>
      <c r="Q50" s="423">
        <f t="shared" si="19"/>
        <v>0</v>
      </c>
      <c r="R50" s="423">
        <f t="shared" si="20"/>
        <v>0</v>
      </c>
      <c r="S50" s="470"/>
      <c r="T50" s="36">
        <f t="shared" si="31"/>
        <v>0</v>
      </c>
      <c r="U50" s="36">
        <f t="shared" si="21"/>
        <v>0</v>
      </c>
      <c r="V50" s="2"/>
      <c r="W50" s="2">
        <f t="shared" si="66"/>
        <v>0</v>
      </c>
      <c r="X50" s="34">
        <f t="shared" ref="X50:X113" si="68">IF(J10 &gt; 0, J10, 0)</f>
        <v>1700</v>
      </c>
      <c r="Y50" s="57">
        <f t="shared" ref="Y50:Y113" si="69">Y49+365</f>
        <v>45173</v>
      </c>
      <c r="Z50" s="8" t="s">
        <v>8</v>
      </c>
      <c r="AA50" s="8"/>
      <c r="AB50" s="40"/>
      <c r="AC50" s="42">
        <v>24</v>
      </c>
      <c r="AD50" s="14"/>
      <c r="AE50" s="1">
        <f>IF(C9&lt;AF49,300000,1000000)</f>
        <v>1000000</v>
      </c>
      <c r="AF50" s="53">
        <v>41501</v>
      </c>
      <c r="AG50" s="53">
        <v>41882</v>
      </c>
      <c r="AH50" s="2" t="e">
        <f>IF(C9&gt;AG50,XIRR(X48:X127,Y48:Y127)*12,XIRR(X48:X126,H8:H86))</f>
        <v>#NUM!</v>
      </c>
      <c r="AI50" s="2"/>
      <c r="AJ50" s="2"/>
      <c r="AK50" s="2"/>
      <c r="AL50" s="2" t="e">
        <f t="shared" si="64"/>
        <v>#VALUE!</v>
      </c>
      <c r="AM50" s="34">
        <f t="shared" si="65"/>
        <v>1700</v>
      </c>
      <c r="AN50" s="57">
        <f t="shared" si="67"/>
        <v>45538</v>
      </c>
      <c r="AO50" s="130" t="e">
        <f t="shared" si="22"/>
        <v>#DIV/0!</v>
      </c>
      <c r="AP50" s="109">
        <f t="shared" si="55"/>
        <v>42</v>
      </c>
      <c r="AQ50" s="110">
        <f t="shared" si="58"/>
        <v>45720</v>
      </c>
      <c r="AR50" s="105" t="e">
        <f t="shared" si="60"/>
        <v>#DIV/0!</v>
      </c>
      <c r="AS50" s="105" t="e">
        <f t="shared" si="61"/>
        <v>#DIV/0!</v>
      </c>
      <c r="AT50" s="105">
        <f t="shared" si="40"/>
        <v>0</v>
      </c>
      <c r="AU50" s="105" t="e">
        <f t="shared" si="41"/>
        <v>#DIV/0!</v>
      </c>
      <c r="AV50" s="105" t="e">
        <f t="shared" si="45"/>
        <v>#DIV/0!</v>
      </c>
      <c r="AW50" s="105" t="e">
        <f t="shared" si="24"/>
        <v>#DIV/0!</v>
      </c>
      <c r="AX50" s="105">
        <f t="shared" si="42"/>
        <v>0</v>
      </c>
      <c r="AY50" s="105">
        <f t="shared" si="43"/>
        <v>0</v>
      </c>
      <c r="AZ50" s="105"/>
      <c r="BA50" s="105"/>
      <c r="BB50" s="105"/>
      <c r="BC50" s="105"/>
      <c r="BD50" s="105"/>
      <c r="BE50" s="105" t="e">
        <f t="shared" si="44"/>
        <v>#DIV/0!</v>
      </c>
      <c r="BF50" s="108">
        <f t="shared" si="56"/>
        <v>1</v>
      </c>
      <c r="BG50" s="108">
        <f t="shared" si="49"/>
        <v>0</v>
      </c>
      <c r="BH50" s="22">
        <f t="shared" si="59"/>
        <v>45539</v>
      </c>
      <c r="BI50" s="108">
        <f t="shared" si="51"/>
        <v>11726</v>
      </c>
    </row>
    <row r="51" spans="1:63" s="16" customFormat="1" ht="12.75" customHeight="1" x14ac:dyDescent="0.3">
      <c r="A51" s="178"/>
      <c r="B51" s="178"/>
      <c r="C51" s="180"/>
      <c r="D51" s="281" t="e">
        <f>D46/($C$10/12)</f>
        <v>#DIV/0!</v>
      </c>
      <c r="E51" s="119" t="e">
        <f>C36-D51</f>
        <v>#DIV/0!</v>
      </c>
      <c r="F51" s="301"/>
      <c r="G51" s="426">
        <f t="shared" si="29"/>
        <v>43</v>
      </c>
      <c r="H51" s="427">
        <f t="shared" si="6"/>
        <v>45751</v>
      </c>
      <c r="I51" s="494">
        <f t="shared" si="62"/>
        <v>6.9000000000000006E-2</v>
      </c>
      <c r="J51" s="423">
        <f t="shared" si="63"/>
        <v>0</v>
      </c>
      <c r="K51" s="423">
        <f t="shared" si="15"/>
        <v>0</v>
      </c>
      <c r="L51" s="423">
        <f t="shared" si="16"/>
        <v>0</v>
      </c>
      <c r="M51" s="423">
        <f t="shared" si="57"/>
        <v>0</v>
      </c>
      <c r="N51" s="423">
        <f t="shared" si="30"/>
        <v>0</v>
      </c>
      <c r="O51" s="423">
        <f t="shared" si="7"/>
        <v>0</v>
      </c>
      <c r="P51" s="423">
        <f t="shared" si="18"/>
        <v>0</v>
      </c>
      <c r="Q51" s="423">
        <f t="shared" si="19"/>
        <v>0</v>
      </c>
      <c r="R51" s="423">
        <f t="shared" si="20"/>
        <v>0</v>
      </c>
      <c r="S51" s="470"/>
      <c r="T51" s="36">
        <f t="shared" si="31"/>
        <v>0</v>
      </c>
      <c r="U51" s="36">
        <f t="shared" si="21"/>
        <v>0</v>
      </c>
      <c r="V51" s="2"/>
      <c r="W51" s="2">
        <f t="shared" si="66"/>
        <v>0</v>
      </c>
      <c r="X51" s="34">
        <f t="shared" si="68"/>
        <v>1700</v>
      </c>
      <c r="Y51" s="57">
        <f t="shared" si="69"/>
        <v>45538</v>
      </c>
      <c r="Z51" s="5" t="s">
        <v>1</v>
      </c>
      <c r="AA51" s="8"/>
      <c r="AB51" s="17" t="e">
        <f>AC51/C7</f>
        <v>#DIV/0!</v>
      </c>
      <c r="AC51" s="42" t="e">
        <f>(D44-C7)</f>
        <v>#DIV/0!</v>
      </c>
      <c r="AD51" s="58"/>
      <c r="AE51" s="53">
        <v>41632</v>
      </c>
      <c r="AF51" s="53">
        <v>41820</v>
      </c>
      <c r="AG51" s="53">
        <v>41857</v>
      </c>
      <c r="AH51" s="46">
        <v>41991</v>
      </c>
      <c r="AI51" s="18">
        <v>0</v>
      </c>
      <c r="AJ51" s="3"/>
      <c r="AK51" s="3"/>
      <c r="AL51" s="2" t="e">
        <f t="shared" si="64"/>
        <v>#VALUE!</v>
      </c>
      <c r="AM51" s="34">
        <f t="shared" si="65"/>
        <v>1700</v>
      </c>
      <c r="AN51" s="57">
        <f t="shared" si="67"/>
        <v>45903</v>
      </c>
      <c r="AO51" s="130" t="e">
        <f t="shared" si="22"/>
        <v>#DIV/0!</v>
      </c>
      <c r="AP51" s="109">
        <f t="shared" si="55"/>
        <v>43</v>
      </c>
      <c r="AQ51" s="110">
        <f t="shared" si="58"/>
        <v>45751</v>
      </c>
      <c r="AR51" s="105" t="e">
        <f t="shared" si="60"/>
        <v>#DIV/0!</v>
      </c>
      <c r="AS51" s="105" t="e">
        <f t="shared" si="61"/>
        <v>#DIV/0!</v>
      </c>
      <c r="AT51" s="105">
        <f t="shared" si="40"/>
        <v>0</v>
      </c>
      <c r="AU51" s="105" t="e">
        <f t="shared" si="41"/>
        <v>#DIV/0!</v>
      </c>
      <c r="AV51" s="105" t="e">
        <f t="shared" si="45"/>
        <v>#DIV/0!</v>
      </c>
      <c r="AW51" s="105" t="e">
        <f t="shared" si="24"/>
        <v>#DIV/0!</v>
      </c>
      <c r="AX51" s="105">
        <f t="shared" si="42"/>
        <v>0</v>
      </c>
      <c r="AY51" s="105">
        <f t="shared" si="43"/>
        <v>0</v>
      </c>
      <c r="AZ51" s="105"/>
      <c r="BA51" s="105"/>
      <c r="BB51" s="105"/>
      <c r="BC51" s="105"/>
      <c r="BD51" s="105"/>
      <c r="BE51" s="105" t="e">
        <f t="shared" si="44"/>
        <v>#DIV/0!</v>
      </c>
      <c r="BF51" s="108">
        <f t="shared" si="56"/>
        <v>0</v>
      </c>
      <c r="BG51" s="108">
        <f t="shared" si="49"/>
        <v>0</v>
      </c>
      <c r="BH51" s="22">
        <f t="shared" si="59"/>
        <v>45569</v>
      </c>
      <c r="BI51" s="108">
        <f t="shared" si="51"/>
        <v>11494</v>
      </c>
    </row>
    <row r="52" spans="1:63" s="16" customFormat="1" ht="12.75" customHeight="1" x14ac:dyDescent="0.3">
      <c r="A52" s="178"/>
      <c r="B52" s="178"/>
      <c r="C52" s="180"/>
      <c r="D52" s="282" t="e">
        <f>D51/D38</f>
        <v>#DIV/0!</v>
      </c>
      <c r="E52" s="119"/>
      <c r="F52" s="301"/>
      <c r="G52" s="426">
        <f t="shared" si="29"/>
        <v>44</v>
      </c>
      <c r="H52" s="427">
        <f t="shared" si="6"/>
        <v>45781</v>
      </c>
      <c r="I52" s="494">
        <f t="shared" si="62"/>
        <v>6.9000000000000006E-2</v>
      </c>
      <c r="J52" s="423">
        <f t="shared" si="63"/>
        <v>0</v>
      </c>
      <c r="K52" s="423">
        <f t="shared" si="15"/>
        <v>0</v>
      </c>
      <c r="L52" s="423">
        <f t="shared" si="16"/>
        <v>0</v>
      </c>
      <c r="M52" s="423">
        <f t="shared" si="57"/>
        <v>0</v>
      </c>
      <c r="N52" s="423">
        <f t="shared" si="30"/>
        <v>0</v>
      </c>
      <c r="O52" s="423">
        <f t="shared" si="7"/>
        <v>0</v>
      </c>
      <c r="P52" s="423">
        <f t="shared" si="18"/>
        <v>0</v>
      </c>
      <c r="Q52" s="423">
        <f t="shared" si="19"/>
        <v>0</v>
      </c>
      <c r="R52" s="423">
        <f t="shared" si="20"/>
        <v>0</v>
      </c>
      <c r="S52" s="470"/>
      <c r="T52" s="36">
        <f t="shared" si="31"/>
        <v>0</v>
      </c>
      <c r="U52" s="36">
        <f t="shared" si="21"/>
        <v>0</v>
      </c>
      <c r="V52" s="2"/>
      <c r="W52" s="2">
        <f t="shared" si="66"/>
        <v>0</v>
      </c>
      <c r="X52" s="34">
        <f t="shared" si="68"/>
        <v>1700</v>
      </c>
      <c r="Y52" s="57">
        <f t="shared" si="69"/>
        <v>45903</v>
      </c>
      <c r="Z52" s="5" t="s">
        <v>42</v>
      </c>
      <c r="AA52" s="8"/>
      <c r="AB52" s="17">
        <f>IF(C8=AC59,AC65,IF(C8=AD59,AD65,IF(C8=AF59,AF65,IF(C8=AG59,AG65,IF(C8=AE59,AE65,IF(C8=AH59,AH65,IF(C8=AI59,AI65,IF(C8=AJ59,AJ65,Y28))))))))</f>
        <v>3.0000000000000001E-3</v>
      </c>
      <c r="AC52" s="42"/>
      <c r="AD52" s="58"/>
      <c r="AE52" s="53">
        <v>42124</v>
      </c>
      <c r="AF52" s="53"/>
      <c r="AG52" s="53"/>
      <c r="AH52" s="46"/>
      <c r="AI52" s="2"/>
      <c r="AJ52" s="3"/>
      <c r="AK52" s="3"/>
      <c r="AL52" s="2" t="e">
        <f t="shared" si="64"/>
        <v>#VALUE!</v>
      </c>
      <c r="AM52" s="34">
        <f t="shared" si="65"/>
        <v>1700</v>
      </c>
      <c r="AN52" s="57">
        <f t="shared" si="67"/>
        <v>46268</v>
      </c>
      <c r="AO52" s="130" t="e">
        <f t="shared" si="22"/>
        <v>#DIV/0!</v>
      </c>
      <c r="AP52" s="109">
        <f t="shared" si="55"/>
        <v>44</v>
      </c>
      <c r="AQ52" s="110">
        <f t="shared" si="58"/>
        <v>45781</v>
      </c>
      <c r="AR52" s="105" t="e">
        <f t="shared" si="60"/>
        <v>#DIV/0!</v>
      </c>
      <c r="AS52" s="105" t="e">
        <f t="shared" si="61"/>
        <v>#DIV/0!</v>
      </c>
      <c r="AT52" s="105">
        <f t="shared" si="40"/>
        <v>0</v>
      </c>
      <c r="AU52" s="105" t="e">
        <f t="shared" si="41"/>
        <v>#DIV/0!</v>
      </c>
      <c r="AV52" s="105" t="e">
        <f t="shared" si="45"/>
        <v>#DIV/0!</v>
      </c>
      <c r="AW52" s="105" t="e">
        <f t="shared" si="24"/>
        <v>#DIV/0!</v>
      </c>
      <c r="AX52" s="105">
        <f t="shared" si="42"/>
        <v>0</v>
      </c>
      <c r="AY52" s="105">
        <f t="shared" si="43"/>
        <v>0</v>
      </c>
      <c r="AZ52" s="105"/>
      <c r="BA52" s="105"/>
      <c r="BB52" s="105"/>
      <c r="BC52" s="105"/>
      <c r="BD52" s="105"/>
      <c r="BE52" s="105" t="e">
        <f t="shared" si="44"/>
        <v>#DIV/0!</v>
      </c>
      <c r="BF52" s="108">
        <f t="shared" si="56"/>
        <v>0</v>
      </c>
      <c r="BG52" s="108">
        <f t="shared" si="49"/>
        <v>0</v>
      </c>
      <c r="BH52" s="22">
        <f t="shared" si="59"/>
        <v>45600</v>
      </c>
      <c r="BI52" s="108">
        <f t="shared" si="51"/>
        <v>11494</v>
      </c>
    </row>
    <row r="53" spans="1:63" s="16" customFormat="1" ht="12" customHeight="1" x14ac:dyDescent="0.3">
      <c r="A53" s="178"/>
      <c r="B53" s="178"/>
      <c r="C53" s="180"/>
      <c r="D53" s="281" t="e">
        <f>D51/12</f>
        <v>#DIV/0!</v>
      </c>
      <c r="E53" s="119" t="e">
        <f>C38-D53</f>
        <v>#DIV/0!</v>
      </c>
      <c r="F53" s="301"/>
      <c r="G53" s="426">
        <f t="shared" si="29"/>
        <v>45</v>
      </c>
      <c r="H53" s="427">
        <f t="shared" si="6"/>
        <v>45812</v>
      </c>
      <c r="I53" s="494">
        <f t="shared" si="62"/>
        <v>6.9000000000000006E-2</v>
      </c>
      <c r="J53" s="423">
        <f t="shared" si="63"/>
        <v>0</v>
      </c>
      <c r="K53" s="423">
        <f t="shared" si="15"/>
        <v>0</v>
      </c>
      <c r="L53" s="423">
        <f t="shared" si="16"/>
        <v>0</v>
      </c>
      <c r="M53" s="423">
        <f t="shared" si="57"/>
        <v>0</v>
      </c>
      <c r="N53" s="423">
        <f t="shared" si="30"/>
        <v>0</v>
      </c>
      <c r="O53" s="423">
        <f t="shared" si="7"/>
        <v>0</v>
      </c>
      <c r="P53" s="423">
        <f t="shared" si="18"/>
        <v>0</v>
      </c>
      <c r="Q53" s="423">
        <f t="shared" si="19"/>
        <v>0</v>
      </c>
      <c r="R53" s="423">
        <f t="shared" si="20"/>
        <v>0</v>
      </c>
      <c r="S53" s="470"/>
      <c r="T53" s="36">
        <f t="shared" si="31"/>
        <v>0</v>
      </c>
      <c r="U53" s="36">
        <f t="shared" si="21"/>
        <v>0</v>
      </c>
      <c r="V53" s="2"/>
      <c r="W53" s="2">
        <f t="shared" si="66"/>
        <v>0</v>
      </c>
      <c r="X53" s="34">
        <f t="shared" si="68"/>
        <v>1700</v>
      </c>
      <c r="Y53" s="57">
        <f t="shared" si="69"/>
        <v>46268</v>
      </c>
      <c r="Z53" s="5"/>
      <c r="AA53" s="8"/>
      <c r="AB53" s="15">
        <f>IF(D8=AC59,AC65,IF(D8=AD59,AD65,IF(D8=AF59,AF65,IF(D8=AG59,AG65,IF(D8=AE59,AE65,IF(D8=AH59,AH65,IF(D8=AI59,AI65,Y28)))))))</f>
        <v>0</v>
      </c>
      <c r="AC53" s="2"/>
      <c r="AD53" s="2"/>
      <c r="AE53" s="2"/>
      <c r="AF53" s="2"/>
      <c r="AG53" s="2"/>
      <c r="AH53" s="2"/>
      <c r="AI53" s="2"/>
      <c r="AJ53" s="2"/>
      <c r="AK53" s="2"/>
      <c r="AL53" s="2" t="e">
        <f t="shared" si="64"/>
        <v>#VALUE!</v>
      </c>
      <c r="AM53" s="34">
        <f t="shared" si="65"/>
        <v>1700</v>
      </c>
      <c r="AN53" s="57">
        <f t="shared" si="67"/>
        <v>46633</v>
      </c>
      <c r="AO53" s="130" t="e">
        <f t="shared" si="22"/>
        <v>#DIV/0!</v>
      </c>
      <c r="AP53" s="109">
        <f t="shared" si="55"/>
        <v>45</v>
      </c>
      <c r="AQ53" s="110">
        <f t="shared" si="58"/>
        <v>45812</v>
      </c>
      <c r="AR53" s="105" t="e">
        <f t="shared" si="60"/>
        <v>#DIV/0!</v>
      </c>
      <c r="AS53" s="105" t="e">
        <f t="shared" si="61"/>
        <v>#DIV/0!</v>
      </c>
      <c r="AT53" s="105">
        <f t="shared" ref="AT53:AT58" si="70">IF(BH59=0,0,IF(BH59=1,BE52,IF(BE52+AU53+AS53&gt;AR52,AR53-AS53-AU53,BE52)))</f>
        <v>0</v>
      </c>
      <c r="AU53" s="105" t="e">
        <f t="shared" si="41"/>
        <v>#DIV/0!</v>
      </c>
      <c r="AV53" s="105" t="e">
        <f t="shared" si="45"/>
        <v>#DIV/0!</v>
      </c>
      <c r="AW53" s="105" t="e">
        <f t="shared" si="24"/>
        <v>#DIV/0!</v>
      </c>
      <c r="AX53" s="105">
        <f t="shared" ref="AX53:AX58" si="71">IF(BH59=0,0,0)</f>
        <v>0</v>
      </c>
      <c r="AY53" s="105">
        <f t="shared" ref="AY53:AY58" si="72">IF(BH59=0,0,0)</f>
        <v>0</v>
      </c>
      <c r="AZ53" s="105"/>
      <c r="BA53" s="105"/>
      <c r="BB53" s="105"/>
      <c r="BC53" s="105"/>
      <c r="BD53" s="105"/>
      <c r="BE53" s="105" t="e">
        <f t="shared" ref="BE53:BE58" si="73">IF(OR(BH59=1,BE52=0),0,BE52-AT53)</f>
        <v>#DIV/0!</v>
      </c>
      <c r="BF53" s="108">
        <f t="shared" si="56"/>
        <v>0</v>
      </c>
      <c r="BG53" s="108">
        <f t="shared" si="49"/>
        <v>0</v>
      </c>
      <c r="BH53" s="22">
        <f t="shared" si="59"/>
        <v>45630</v>
      </c>
      <c r="BI53" s="108">
        <f t="shared" si="51"/>
        <v>11494</v>
      </c>
    </row>
    <row r="54" spans="1:63" s="16" customFormat="1" ht="12" customHeight="1" x14ac:dyDescent="0.25">
      <c r="A54" s="180"/>
      <c r="B54" s="180"/>
      <c r="C54" s="180"/>
      <c r="D54" s="281" t="e">
        <f>D53/30</f>
        <v>#DIV/0!</v>
      </c>
      <c r="E54" s="119" t="e">
        <f>C39-D54</f>
        <v>#DIV/0!</v>
      </c>
      <c r="F54" s="301"/>
      <c r="G54" s="426">
        <f t="shared" si="29"/>
        <v>46</v>
      </c>
      <c r="H54" s="427">
        <f t="shared" si="6"/>
        <v>45842</v>
      </c>
      <c r="I54" s="494">
        <f t="shared" si="62"/>
        <v>6.9000000000000006E-2</v>
      </c>
      <c r="J54" s="423">
        <f t="shared" si="63"/>
        <v>0</v>
      </c>
      <c r="K54" s="423">
        <f t="shared" si="15"/>
        <v>0</v>
      </c>
      <c r="L54" s="423">
        <f t="shared" si="16"/>
        <v>0</v>
      </c>
      <c r="M54" s="423">
        <f t="shared" si="57"/>
        <v>0</v>
      </c>
      <c r="N54" s="423">
        <f t="shared" si="30"/>
        <v>0</v>
      </c>
      <c r="O54" s="423">
        <f t="shared" si="7"/>
        <v>0</v>
      </c>
      <c r="P54" s="423">
        <f t="shared" si="18"/>
        <v>0</v>
      </c>
      <c r="Q54" s="423">
        <f t="shared" si="19"/>
        <v>0</v>
      </c>
      <c r="R54" s="423">
        <f t="shared" si="20"/>
        <v>0</v>
      </c>
      <c r="S54" s="470"/>
      <c r="T54" s="36">
        <f t="shared" si="31"/>
        <v>0</v>
      </c>
      <c r="U54" s="36">
        <f t="shared" si="21"/>
        <v>0</v>
      </c>
      <c r="V54" s="2"/>
      <c r="W54" s="2">
        <f t="shared" si="66"/>
        <v>0</v>
      </c>
      <c r="X54" s="34">
        <f t="shared" si="68"/>
        <v>1700</v>
      </c>
      <c r="Y54" s="57">
        <f t="shared" si="69"/>
        <v>46633</v>
      </c>
      <c r="Z54" s="2"/>
      <c r="AA54" s="2"/>
      <c r="AB54" s="6"/>
      <c r="AC54" s="1"/>
      <c r="AD54" s="7">
        <f>H8</f>
        <v>44443</v>
      </c>
      <c r="AE54" s="47">
        <f>(C24+AI51)*AF94/12*(1+AF94/12)^(C10)/((1+AF94/12)^(C10)-1)+C24/10000*IF(C10&lt;11,20,IF(C10&lt;20,2.5,IF(C10&lt;37,1.5,IF(C10&lt;60,0.7,0.5))))*IF(AF94&lt;0.3,AF94/0.2,AF94/0.1)</f>
        <v>12211.063975055315</v>
      </c>
      <c r="AF54" s="2"/>
      <c r="AG54" s="47" t="e">
        <f>(D38+AI51)*AE14/12*(1+AE14/12)^(C10)/((1+AE14/12)^(C10)-1)+D38/10000*IF(C10&lt;11,20,IF(C10&lt;20,2.5,IF(C10&lt;37,1.5,IF(C10&lt;60,0.7,0.5))))*IF(AE14&lt;0.3,AE14/0.2,AE14/0.1)</f>
        <v>#DIV/0!</v>
      </c>
      <c r="AH54" s="2"/>
      <c r="AI54" s="2"/>
      <c r="AJ54" s="2"/>
      <c r="AK54" s="2"/>
      <c r="AL54" s="2" t="e">
        <f t="shared" si="64"/>
        <v>#VALUE!</v>
      </c>
      <c r="AM54" s="34" t="e">
        <f t="shared" si="65"/>
        <v>#DIV/0!</v>
      </c>
      <c r="AN54" s="57">
        <f t="shared" si="67"/>
        <v>46998</v>
      </c>
      <c r="AO54" s="130" t="e">
        <f t="shared" si="22"/>
        <v>#DIV/0!</v>
      </c>
      <c r="AP54" s="109">
        <f t="shared" si="55"/>
        <v>46</v>
      </c>
      <c r="AQ54" s="110">
        <f t="shared" si="58"/>
        <v>45842</v>
      </c>
      <c r="AR54" s="105" t="e">
        <f t="shared" si="60"/>
        <v>#DIV/0!</v>
      </c>
      <c r="AS54" s="105" t="e">
        <f t="shared" si="61"/>
        <v>#DIV/0!</v>
      </c>
      <c r="AT54" s="105">
        <f t="shared" si="70"/>
        <v>0</v>
      </c>
      <c r="AU54" s="105" t="e">
        <f t="shared" si="41"/>
        <v>#DIV/0!</v>
      </c>
      <c r="AV54" s="105" t="e">
        <f t="shared" si="45"/>
        <v>#DIV/0!</v>
      </c>
      <c r="AW54" s="105" t="e">
        <f t="shared" si="24"/>
        <v>#DIV/0!</v>
      </c>
      <c r="AX54" s="105">
        <f t="shared" si="71"/>
        <v>0</v>
      </c>
      <c r="AY54" s="105">
        <f t="shared" si="72"/>
        <v>0</v>
      </c>
      <c r="AZ54" s="105"/>
      <c r="BA54" s="105"/>
      <c r="BB54" s="105"/>
      <c r="BC54" s="105"/>
      <c r="BD54" s="105"/>
      <c r="BE54" s="105" t="e">
        <f t="shared" si="73"/>
        <v>#DIV/0!</v>
      </c>
      <c r="BF54" s="108">
        <f t="shared" si="56"/>
        <v>0</v>
      </c>
      <c r="BG54" s="108">
        <f t="shared" si="49"/>
        <v>0</v>
      </c>
      <c r="BH54" s="22">
        <f t="shared" si="59"/>
        <v>45661</v>
      </c>
      <c r="BI54" s="108">
        <f t="shared" si="51"/>
        <v>11494</v>
      </c>
      <c r="BJ54" s="2">
        <f>IF(AND(G9&gt;=$W$14,G9&lt;=$W$14+5),0,IF($C$9&gt;$AF$51,ROUND(BE8*IF($D$33="",0,$D$33)/(DATEVALUE(CONCATENATE("01/01/",YEAR(AQ9)+1))-DATEVALUE(CONCATENATE("01/01/",YEAR(AQ9))))*(AQ9-AQ8),2),0))</f>
        <v>0</v>
      </c>
    </row>
    <row r="55" spans="1:63" s="16" customFormat="1" x14ac:dyDescent="0.3">
      <c r="A55" s="180"/>
      <c r="B55" s="180"/>
      <c r="C55" s="180"/>
      <c r="D55" s="178"/>
      <c r="E55" s="2"/>
      <c r="F55" s="2"/>
      <c r="G55" s="426">
        <f t="shared" si="29"/>
        <v>47</v>
      </c>
      <c r="H55" s="427">
        <f t="shared" si="6"/>
        <v>45873</v>
      </c>
      <c r="I55" s="494">
        <f t="shared" si="62"/>
        <v>6.9000000000000006E-2</v>
      </c>
      <c r="J55" s="423">
        <f>IF(AND($C$8&lt;&gt;"Нет",G55&gt;=$W$14,G55&lt;=$W$14+5),$W$15,IF(AND(R54+M55+K55&gt;J54,J54&lt;&gt;0),$AE$97,IF(R54=0,0,R54+M55+K55+K56)))</f>
        <v>0</v>
      </c>
      <c r="K55" s="423">
        <f t="shared" si="15"/>
        <v>0</v>
      </c>
      <c r="L55" s="423">
        <f t="shared" si="16"/>
        <v>0</v>
      </c>
      <c r="M55" s="423">
        <f t="shared" si="57"/>
        <v>0</v>
      </c>
      <c r="N55" s="423">
        <f t="shared" si="30"/>
        <v>0</v>
      </c>
      <c r="O55" s="423">
        <f t="shared" si="7"/>
        <v>0</v>
      </c>
      <c r="P55" s="423">
        <f t="shared" si="18"/>
        <v>0</v>
      </c>
      <c r="Q55" s="423">
        <f t="shared" si="19"/>
        <v>0</v>
      </c>
      <c r="R55" s="423">
        <f t="shared" si="20"/>
        <v>0</v>
      </c>
      <c r="S55" s="470"/>
      <c r="T55" s="36">
        <f t="shared" si="31"/>
        <v>0</v>
      </c>
      <c r="U55" s="36">
        <f t="shared" si="21"/>
        <v>0</v>
      </c>
      <c r="V55" s="2"/>
      <c r="W55" s="2" t="e">
        <f t="shared" si="66"/>
        <v>#VALUE!</v>
      </c>
      <c r="X55" s="34">
        <f t="shared" si="68"/>
        <v>12190</v>
      </c>
      <c r="Y55" s="57">
        <f t="shared" si="69"/>
        <v>46998</v>
      </c>
      <c r="Z55" s="6" t="s">
        <v>0</v>
      </c>
      <c r="AA55" s="6"/>
      <c r="AB55" s="11"/>
      <c r="AD55" s="47">
        <f>IF(DAY(C9)&lt;4,AE54,IF(DAY(C9)&gt;28,AE56,AE55))</f>
        <v>12177.994519055314</v>
      </c>
      <c r="AE55" s="47">
        <f>(C24+AI51)*AF94/12*(1+AF94/12)^(C10)/((1+AF94/12)^(C10)-1)+C24/10000*IF(C10&lt;11,20,IF(C10&lt;34,0.7,IF(C10&lt;58,0.3,0.1)))*IF(AF94&lt;0.3,AF94/0.2,AF94/0.1)</f>
        <v>12177.994519055314</v>
      </c>
      <c r="AF55" s="13" t="e">
        <f>IF(DAY(C9)&lt;4,AG54,IF(DAY(C9)&gt;28,AG56,AG55))</f>
        <v>#DIV/0!</v>
      </c>
      <c r="AG55" s="156" t="e">
        <f>(D38+AI51)*AE14/12*(1+AE14/12)^(C10)/((1+AE14/12)^(C10)-1)+D38/10000*IF(C10&lt;11,20,IF(C10&lt;34,0.7,IF(C10&lt;58,0.3,0.1)))*IF(AE14&lt;0.3,AE14/0.2,AE14/0.1)</f>
        <v>#DIV/0!</v>
      </c>
      <c r="AH55" s="2"/>
      <c r="AI55" s="2"/>
      <c r="AJ55" s="2"/>
      <c r="AK55" s="2"/>
      <c r="AL55" s="2" t="e">
        <f t="shared" si="64"/>
        <v>#VALUE!</v>
      </c>
      <c r="AM55" s="34" t="e">
        <f t="shared" si="65"/>
        <v>#DIV/0!</v>
      </c>
      <c r="AN55" s="57">
        <f t="shared" si="67"/>
        <v>47363</v>
      </c>
      <c r="AO55" s="130" t="e">
        <f t="shared" si="22"/>
        <v>#DIV/0!</v>
      </c>
      <c r="AP55" s="109">
        <f t="shared" si="55"/>
        <v>47</v>
      </c>
      <c r="AQ55" s="110">
        <f t="shared" si="58"/>
        <v>45873</v>
      </c>
      <c r="AR55" s="105" t="e">
        <f t="shared" si="60"/>
        <v>#DIV/0!</v>
      </c>
      <c r="AS55" s="105" t="e">
        <f t="shared" si="61"/>
        <v>#DIV/0!</v>
      </c>
      <c r="AT55" s="105">
        <f t="shared" si="70"/>
        <v>0</v>
      </c>
      <c r="AU55" s="105" t="e">
        <f t="shared" si="41"/>
        <v>#DIV/0!</v>
      </c>
      <c r="AV55" s="105" t="e">
        <f t="shared" si="45"/>
        <v>#DIV/0!</v>
      </c>
      <c r="AW55" s="105" t="e">
        <f t="shared" si="24"/>
        <v>#DIV/0!</v>
      </c>
      <c r="AX55" s="105">
        <f t="shared" si="71"/>
        <v>0</v>
      </c>
      <c r="AY55" s="105">
        <f t="shared" si="72"/>
        <v>0</v>
      </c>
      <c r="AZ55" s="105"/>
      <c r="BA55" s="105"/>
      <c r="BB55" s="105"/>
      <c r="BC55" s="105"/>
      <c r="BD55" s="105"/>
      <c r="BE55" s="105" t="e">
        <f t="shared" si="73"/>
        <v>#DIV/0!</v>
      </c>
      <c r="BF55" s="108">
        <f t="shared" si="56"/>
        <v>0</v>
      </c>
      <c r="BG55" s="108">
        <f t="shared" si="49"/>
        <v>0</v>
      </c>
      <c r="BH55" s="22">
        <f t="shared" si="59"/>
        <v>45692</v>
      </c>
      <c r="BI55" s="108">
        <f t="shared" si="51"/>
        <v>1569.149999999973</v>
      </c>
      <c r="BJ55" s="2">
        <f>IF(AND(G10&gt;=$W$14,G10&lt;=$W$14+5),0,IF($C$9&gt;$AF$51,ROUND(BE9*IF($D$33="",0,$D$33)/(DATEVALUE(CONCATENATE("01/01/",YEAR(AQ10)+1))-DATEVALUE(CONCATENATE("01/01/",YEAR(AQ10))))*(AQ10-AQ9),2),0))</f>
        <v>0</v>
      </c>
    </row>
    <row r="56" spans="1:63" s="16" customFormat="1" ht="13.8" x14ac:dyDescent="0.3">
      <c r="A56" s="180"/>
      <c r="B56" s="180"/>
      <c r="C56" s="180"/>
      <c r="D56" s="179" t="e">
        <f>AN148</f>
        <v>#DIV/0!</v>
      </c>
      <c r="E56" s="2"/>
      <c r="F56" s="2"/>
      <c r="G56" s="426">
        <f t="shared" si="29"/>
        <v>48</v>
      </c>
      <c r="H56" s="427">
        <f t="shared" si="6"/>
        <v>45904</v>
      </c>
      <c r="I56" s="494">
        <f t="shared" si="62"/>
        <v>6.9000000000000006E-2</v>
      </c>
      <c r="J56" s="423">
        <f t="shared" si="63"/>
        <v>0</v>
      </c>
      <c r="K56" s="423">
        <f t="shared" si="15"/>
        <v>0</v>
      </c>
      <c r="L56" s="423">
        <f t="shared" si="16"/>
        <v>0</v>
      </c>
      <c r="M56" s="423">
        <f t="shared" si="57"/>
        <v>0</v>
      </c>
      <c r="N56" s="423">
        <f t="shared" si="30"/>
        <v>0</v>
      </c>
      <c r="O56" s="423">
        <f t="shared" si="7"/>
        <v>0</v>
      </c>
      <c r="P56" s="423">
        <f t="shared" si="18"/>
        <v>0</v>
      </c>
      <c r="Q56" s="423">
        <f t="shared" si="19"/>
        <v>0</v>
      </c>
      <c r="R56" s="423">
        <f t="shared" si="20"/>
        <v>0</v>
      </c>
      <c r="S56" s="470"/>
      <c r="T56" s="36">
        <f t="shared" si="31"/>
        <v>0</v>
      </c>
      <c r="U56" s="36">
        <f t="shared" si="21"/>
        <v>0</v>
      </c>
      <c r="V56" s="2"/>
      <c r="W56" s="2" t="e">
        <f t="shared" si="66"/>
        <v>#VALUE!</v>
      </c>
      <c r="X56" s="34">
        <f t="shared" si="68"/>
        <v>12190</v>
      </c>
      <c r="Y56" s="57">
        <f t="shared" si="69"/>
        <v>47363</v>
      </c>
      <c r="Z56" s="11" t="s">
        <v>18</v>
      </c>
      <c r="AA56" s="11"/>
      <c r="AB56" s="3"/>
      <c r="AC56" s="118">
        <f>ROUNDUP(AD56/AG47,0)*AG47</f>
        <v>7530</v>
      </c>
      <c r="AD56" s="13">
        <f>(C24+AI51)*AC57/12*(1+AC57/12)^(C10+AD57)/((1+AC57/12)^(C10+AD57)-1)+10*C24/100000*IF(C10+AD57&lt;24,4,IF(C10+AD57&lt;36,3,IF(C10+AD57&lt;48,2,IF(C10+AD57&lt;60,1.5,1))))*AC57/0.2</f>
        <v>7527.7453414476922</v>
      </c>
      <c r="AE56" s="47">
        <f>(C24+AI51)*AF94/12*(1+AF94/12)^(C10)/((1+AF94/12)^(C10)-1)+C24/10000*IF(C10&lt;11,20,IF(C10&lt;34,0.7,IF(C10&lt;48,0.3,0)))*IF(AF94&lt;0.3,AF94/0.2,AF94/0.1)</f>
        <v>12177.994519055314</v>
      </c>
      <c r="AF56" s="13">
        <f>(D38+AI51)*AF57/12*(1+AF57/12)^(C10+AD57)/((1+AF57/12)^(C10+AD57)-1)+10*D38/100000*IF(C10+AD57&lt;24,4,IF(C10+AD57&lt;36,3,IF(C10+AD57&lt;48,2,IF(C10+AD57&lt;60,1.5,1))))*AF57/0.2</f>
        <v>6577.8734823577934</v>
      </c>
      <c r="AG56" s="157" t="e">
        <f>(D38+AI51)*AE14/12*(1+AE14/12)^(C10)/((1+AE14/12)^(C10)-1)+D38/10000*IF(C10&lt;11,20,IF(C10&lt;34,0.7,IF(C10&lt;48,0.3,0)))*IF(AE14&lt;0.3,AE14/0.2,AE14/0.1)</f>
        <v>#DIV/0!</v>
      </c>
      <c r="AH56" s="2"/>
      <c r="AI56" s="2"/>
      <c r="AJ56" s="2"/>
      <c r="AK56" s="2"/>
      <c r="AL56" s="2" t="e">
        <f t="shared" si="64"/>
        <v>#VALUE!</v>
      </c>
      <c r="AM56" s="34" t="e">
        <f t="shared" si="65"/>
        <v>#DIV/0!</v>
      </c>
      <c r="AN56" s="57">
        <f t="shared" si="67"/>
        <v>47728</v>
      </c>
      <c r="AO56" s="130" t="e">
        <f t="shared" si="22"/>
        <v>#DIV/0!</v>
      </c>
      <c r="AP56" s="109">
        <f t="shared" si="55"/>
        <v>48</v>
      </c>
      <c r="AQ56" s="110">
        <f t="shared" si="58"/>
        <v>45904</v>
      </c>
      <c r="AR56" s="105" t="e">
        <f t="shared" si="60"/>
        <v>#DIV/0!</v>
      </c>
      <c r="AS56" s="105" t="e">
        <f t="shared" si="61"/>
        <v>#DIV/0!</v>
      </c>
      <c r="AT56" s="105">
        <f t="shared" si="70"/>
        <v>0</v>
      </c>
      <c r="AU56" s="105" t="e">
        <f t="shared" si="41"/>
        <v>#DIV/0!</v>
      </c>
      <c r="AV56" s="105" t="e">
        <f t="shared" si="45"/>
        <v>#DIV/0!</v>
      </c>
      <c r="AW56" s="105" t="e">
        <f t="shared" si="24"/>
        <v>#DIV/0!</v>
      </c>
      <c r="AX56" s="105">
        <f t="shared" si="71"/>
        <v>0</v>
      </c>
      <c r="AY56" s="105">
        <f t="shared" si="72"/>
        <v>0</v>
      </c>
      <c r="AZ56" s="105"/>
      <c r="BA56" s="105"/>
      <c r="BB56" s="105"/>
      <c r="BC56" s="105"/>
      <c r="BD56" s="105"/>
      <c r="BE56" s="105" t="e">
        <f t="shared" si="73"/>
        <v>#DIV/0!</v>
      </c>
      <c r="BF56" s="108">
        <f t="shared" si="56"/>
        <v>0</v>
      </c>
      <c r="BG56" s="108">
        <f t="shared" si="49"/>
        <v>0</v>
      </c>
      <c r="BH56" s="22">
        <f t="shared" si="59"/>
        <v>45720</v>
      </c>
      <c r="BI56" s="108">
        <f t="shared" si="51"/>
        <v>0</v>
      </c>
      <c r="BJ56" s="2">
        <f>IF(AND(G11&gt;=$W$14,G11&lt;=$W$14+5),0,IF($C$9&gt;$AF$51,ROUND(BE10*IF($D$33="",0,$D$33)/(DATEVALUE(CONCATENATE("01/01/",YEAR(AQ11)+1))-DATEVALUE(CONCATENATE("01/01/",YEAR(AQ11))))*(AQ11-AQ10),2),0))</f>
        <v>0</v>
      </c>
    </row>
    <row r="57" spans="1:63" s="16" customFormat="1" x14ac:dyDescent="0.25">
      <c r="A57" s="180"/>
      <c r="B57" s="180"/>
      <c r="C57" s="180"/>
      <c r="D57" s="838" t="e">
        <f>IF(AO7&lt;C10,CONCATENATE("Срок с учетом перехода на иной тарифный план равен ",AO7," мес."),"")</f>
        <v>#DIV/0!</v>
      </c>
      <c r="E57" s="2"/>
      <c r="F57" s="2"/>
      <c r="G57" s="426">
        <f t="shared" si="29"/>
        <v>49</v>
      </c>
      <c r="H57" s="427">
        <f t="shared" si="6"/>
        <v>45934</v>
      </c>
      <c r="I57" s="494">
        <f>$AF$98</f>
        <v>5.9000000000000004E-2</v>
      </c>
      <c r="J57" s="423">
        <f t="shared" ref="J57:J88" si="74">IF(AND($C$8&lt;&gt;"Нет",G57&gt;=$W$14,G57&lt;=$W$14+5),$W$15,IF(AND(R56+M57+K57&gt;J56,J56&lt;&gt;0),$AE$98,IF(R56=0,0,R56+M57+K57+K58)))</f>
        <v>0</v>
      </c>
      <c r="K57" s="423">
        <f t="shared" si="15"/>
        <v>0</v>
      </c>
      <c r="L57" s="423">
        <f t="shared" si="16"/>
        <v>0</v>
      </c>
      <c r="M57" s="423">
        <f t="shared" si="57"/>
        <v>0</v>
      </c>
      <c r="N57" s="423">
        <f t="shared" si="30"/>
        <v>0</v>
      </c>
      <c r="O57" s="423">
        <f t="shared" si="7"/>
        <v>0</v>
      </c>
      <c r="P57" s="423">
        <f t="shared" si="18"/>
        <v>0</v>
      </c>
      <c r="Q57" s="423">
        <f t="shared" si="19"/>
        <v>0</v>
      </c>
      <c r="R57" s="423">
        <f t="shared" si="20"/>
        <v>0</v>
      </c>
      <c r="S57" s="470"/>
      <c r="T57" s="36">
        <f t="shared" si="31"/>
        <v>0</v>
      </c>
      <c r="U57" s="36">
        <f t="shared" si="21"/>
        <v>0</v>
      </c>
      <c r="V57" s="2"/>
      <c r="W57" s="2" t="e">
        <f t="shared" si="66"/>
        <v>#VALUE!</v>
      </c>
      <c r="X57" s="34">
        <f t="shared" si="68"/>
        <v>12190</v>
      </c>
      <c r="Y57" s="57">
        <f t="shared" si="69"/>
        <v>47728</v>
      </c>
      <c r="Z57" s="3" t="s">
        <v>22</v>
      </c>
      <c r="AA57" s="3"/>
      <c r="AB57" s="3"/>
      <c r="AC57" s="15">
        <f>IF(C9&gt;AH48,C11,C11+0.05)</f>
        <v>0.159</v>
      </c>
      <c r="AD57" s="2">
        <f xml:space="preserve"> IF(C9&gt;AH48,36,24)</f>
        <v>36</v>
      </c>
      <c r="AE57" s="44">
        <f>(C24+AI51)*AF94/12*(1+AF94/12)^(C10)/((1+AF94/12)^(C10)-1)</f>
        <v>12169.727155055314</v>
      </c>
      <c r="AF57" s="15">
        <f>IF(C9&gt;AH48,D27,D27+0.05)</f>
        <v>0.159</v>
      </c>
      <c r="AG57" s="118" t="e">
        <f>(D38+AI51)*AE14/12*(1+AE14/12)^(C10)/((1+AE14/12)^(C10)-1)</f>
        <v>#DIV/0!</v>
      </c>
      <c r="AH57" s="2"/>
      <c r="AI57" s="2"/>
      <c r="AJ57" s="2"/>
      <c r="AK57" s="2"/>
      <c r="AL57" s="2" t="e">
        <f t="shared" si="64"/>
        <v>#VALUE!</v>
      </c>
      <c r="AM57" s="34" t="e">
        <f t="shared" si="65"/>
        <v>#DIV/0!</v>
      </c>
      <c r="AN57" s="57">
        <f t="shared" si="67"/>
        <v>48093</v>
      </c>
      <c r="AO57" s="130" t="e">
        <f t="shared" si="22"/>
        <v>#DIV/0!</v>
      </c>
      <c r="AP57" s="109">
        <f t="shared" ref="AP57:AP58" si="75">AP56+1</f>
        <v>49</v>
      </c>
      <c r="AQ57" s="110">
        <f t="shared" si="58"/>
        <v>45934</v>
      </c>
      <c r="AR57" s="105" t="e">
        <f t="shared" si="60"/>
        <v>#DIV/0!</v>
      </c>
      <c r="AS57" s="105" t="e">
        <f t="shared" si="61"/>
        <v>#DIV/0!</v>
      </c>
      <c r="AT57" s="105">
        <f t="shared" si="70"/>
        <v>0</v>
      </c>
      <c r="AU57" s="105" t="e">
        <f t="shared" si="41"/>
        <v>#DIV/0!</v>
      </c>
      <c r="AV57" s="105" t="e">
        <f t="shared" si="45"/>
        <v>#DIV/0!</v>
      </c>
      <c r="AW57" s="105" t="e">
        <f t="shared" si="24"/>
        <v>#DIV/0!</v>
      </c>
      <c r="AX57" s="105">
        <f t="shared" si="71"/>
        <v>0</v>
      </c>
      <c r="AY57" s="105">
        <f t="shared" si="72"/>
        <v>0</v>
      </c>
      <c r="AZ57" s="105"/>
      <c r="BA57" s="105"/>
      <c r="BB57" s="105"/>
      <c r="BC57" s="105"/>
      <c r="BD57" s="105"/>
      <c r="BE57" s="105" t="e">
        <f t="shared" si="73"/>
        <v>#DIV/0!</v>
      </c>
      <c r="BF57" s="108">
        <f t="shared" ref="BF57:BF58" si="76">IF((BF56-1)&lt;0,0,BF56-1)</f>
        <v>0</v>
      </c>
      <c r="BG57" s="108">
        <f t="shared" si="49"/>
        <v>0</v>
      </c>
      <c r="BH57" s="22">
        <f t="shared" si="59"/>
        <v>45751</v>
      </c>
      <c r="BI57" s="108">
        <f t="shared" si="51"/>
        <v>0</v>
      </c>
      <c r="BJ57" s="2">
        <f>IF(AND(G12&gt;=$W$14,G12&lt;=$W$14+5),0,IF($C$9&gt;$AF$51,ROUND(BE11*IF($D$33="",0,$D$33)/(DATEVALUE(CONCATENATE("01/01/",YEAR(AQ12)+1))-DATEVALUE(CONCATENATE("01/01/",YEAR(AQ12))))*(AQ12-AQ11),2),0))</f>
        <v>0</v>
      </c>
    </row>
    <row r="58" spans="1:63" s="16" customFormat="1" ht="15.75" customHeight="1" x14ac:dyDescent="0.25">
      <c r="A58" s="180"/>
      <c r="B58" s="180"/>
      <c r="C58" s="180"/>
      <c r="D58" s="838"/>
      <c r="E58" s="2"/>
      <c r="F58" s="2"/>
      <c r="G58" s="426">
        <f t="shared" si="29"/>
        <v>50</v>
      </c>
      <c r="H58" s="427">
        <f t="shared" si="6"/>
        <v>45965</v>
      </c>
      <c r="I58" s="494">
        <f t="shared" ref="I58:I108" si="77">$AF$98</f>
        <v>5.9000000000000004E-2</v>
      </c>
      <c r="J58" s="423">
        <f t="shared" si="74"/>
        <v>0</v>
      </c>
      <c r="K58" s="423">
        <f t="shared" si="15"/>
        <v>0</v>
      </c>
      <c r="L58" s="423">
        <f t="shared" si="16"/>
        <v>0</v>
      </c>
      <c r="M58" s="423">
        <f t="shared" si="57"/>
        <v>0</v>
      </c>
      <c r="N58" s="423">
        <f t="shared" si="30"/>
        <v>0</v>
      </c>
      <c r="O58" s="423">
        <f t="shared" si="7"/>
        <v>0</v>
      </c>
      <c r="P58" s="423">
        <f t="shared" si="18"/>
        <v>0</v>
      </c>
      <c r="Q58" s="423">
        <f t="shared" si="19"/>
        <v>0</v>
      </c>
      <c r="R58" s="423">
        <f t="shared" si="20"/>
        <v>0</v>
      </c>
      <c r="S58" s="470"/>
      <c r="T58" s="36">
        <f t="shared" si="31"/>
        <v>0</v>
      </c>
      <c r="U58" s="36">
        <f t="shared" si="21"/>
        <v>0</v>
      </c>
      <c r="V58" s="2"/>
      <c r="W58" s="2" t="e">
        <f t="shared" si="66"/>
        <v>#VALUE!</v>
      </c>
      <c r="X58" s="34">
        <f t="shared" si="68"/>
        <v>12190</v>
      </c>
      <c r="Y58" s="57">
        <f t="shared" si="69"/>
        <v>48093</v>
      </c>
      <c r="Z58" s="3"/>
      <c r="AA58" s="3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 t="e">
        <f t="shared" si="64"/>
        <v>#VALUE!</v>
      </c>
      <c r="AM58" s="34" t="e">
        <f t="shared" si="65"/>
        <v>#DIV/0!</v>
      </c>
      <c r="AN58" s="57">
        <f t="shared" si="67"/>
        <v>48458</v>
      </c>
      <c r="AO58" s="130" t="e">
        <f t="shared" si="22"/>
        <v>#DIV/0!</v>
      </c>
      <c r="AP58" s="109">
        <f t="shared" si="75"/>
        <v>50</v>
      </c>
      <c r="AQ58" s="110">
        <f t="shared" si="58"/>
        <v>45965</v>
      </c>
      <c r="AR58" s="105" t="e">
        <f>IF(AND(G58&gt;=$W$14,G58&lt;=$W$14+5),$W$15,IF(AND(BE57+AU58+AS58&gt;AR57,AR57&lt;&gt;0),$D$39,IF(BE57=0,0,BE57+AU58+AS58+AT59)))</f>
        <v>#DIV/0!</v>
      </c>
      <c r="AS58" s="105" t="e">
        <f t="shared" si="61"/>
        <v>#DIV/0!</v>
      </c>
      <c r="AT58" s="105">
        <f t="shared" si="70"/>
        <v>0</v>
      </c>
      <c r="AU58" s="105" t="e">
        <f t="shared" si="41"/>
        <v>#DIV/0!</v>
      </c>
      <c r="AV58" s="105" t="e">
        <f t="shared" si="45"/>
        <v>#DIV/0!</v>
      </c>
      <c r="AW58" s="105" t="e">
        <f t="shared" si="24"/>
        <v>#DIV/0!</v>
      </c>
      <c r="AX58" s="105">
        <f t="shared" si="71"/>
        <v>0</v>
      </c>
      <c r="AY58" s="105">
        <f t="shared" si="72"/>
        <v>0</v>
      </c>
      <c r="AZ58" s="105"/>
      <c r="BA58" s="105"/>
      <c r="BB58" s="105"/>
      <c r="BC58" s="105"/>
      <c r="BD58" s="105"/>
      <c r="BE58" s="105" t="e">
        <f t="shared" si="73"/>
        <v>#DIV/0!</v>
      </c>
      <c r="BF58" s="108">
        <f t="shared" si="76"/>
        <v>0</v>
      </c>
      <c r="BG58" s="108">
        <f t="shared" si="49"/>
        <v>0</v>
      </c>
      <c r="BH58" s="22">
        <f t="shared" si="59"/>
        <v>45781</v>
      </c>
      <c r="BI58" s="108">
        <f t="shared" si="51"/>
        <v>0</v>
      </c>
      <c r="BJ58" s="2">
        <f>IF(AND(G13&gt;=$W$14,G13&lt;=$W$14+5),0,IF($C$9&gt;$AF$51,ROUND(BE12*IF($D$33="",0,$D$33)/(DATEVALUE(CONCATENATE("01/01/",YEAR(AQ13)+1))-DATEVALUE(CONCATENATE("01/01/",YEAR(AQ13))))*(AQ13-AQ12),2),0))</f>
        <v>0</v>
      </c>
    </row>
    <row r="59" spans="1:63" s="16" customFormat="1" x14ac:dyDescent="0.25">
      <c r="A59" s="180"/>
      <c r="B59" s="180"/>
      <c r="C59" s="180"/>
      <c r="D59" s="838"/>
      <c r="E59" s="2"/>
      <c r="F59" s="2"/>
      <c r="G59" s="426">
        <f t="shared" si="29"/>
        <v>51</v>
      </c>
      <c r="H59" s="427">
        <f t="shared" si="6"/>
        <v>45995</v>
      </c>
      <c r="I59" s="494">
        <f t="shared" si="77"/>
        <v>5.9000000000000004E-2</v>
      </c>
      <c r="J59" s="423">
        <f t="shared" si="74"/>
        <v>0</v>
      </c>
      <c r="K59" s="423">
        <f t="shared" si="15"/>
        <v>0</v>
      </c>
      <c r="L59" s="423">
        <f t="shared" si="16"/>
        <v>0</v>
      </c>
      <c r="M59" s="423">
        <f t="shared" si="57"/>
        <v>0</v>
      </c>
      <c r="N59" s="423">
        <f t="shared" si="30"/>
        <v>0</v>
      </c>
      <c r="O59" s="423">
        <f t="shared" si="7"/>
        <v>0</v>
      </c>
      <c r="P59" s="423">
        <f t="shared" si="18"/>
        <v>0</v>
      </c>
      <c r="Q59" s="423">
        <f t="shared" si="19"/>
        <v>0</v>
      </c>
      <c r="R59" s="423">
        <f t="shared" si="20"/>
        <v>0</v>
      </c>
      <c r="S59" s="470"/>
      <c r="T59" s="36">
        <f t="shared" si="31"/>
        <v>0</v>
      </c>
      <c r="U59" s="36">
        <f t="shared" si="21"/>
        <v>0</v>
      </c>
      <c r="V59" s="2"/>
      <c r="W59" s="2" t="e">
        <f t="shared" si="66"/>
        <v>#VALUE!</v>
      </c>
      <c r="X59" s="34">
        <f t="shared" si="68"/>
        <v>12190</v>
      </c>
      <c r="Y59" s="57">
        <f t="shared" si="69"/>
        <v>48458</v>
      </c>
      <c r="Z59" s="2"/>
      <c r="AA59" s="2"/>
      <c r="AC59" s="144" t="s">
        <v>330</v>
      </c>
      <c r="AD59" s="144" t="s">
        <v>111</v>
      </c>
      <c r="AE59" s="145" t="s">
        <v>114</v>
      </c>
      <c r="AF59" s="144" t="s">
        <v>115</v>
      </c>
      <c r="AG59" s="144" t="s">
        <v>35</v>
      </c>
      <c r="AH59" s="144" t="s">
        <v>118</v>
      </c>
      <c r="AI59" s="144" t="s">
        <v>119</v>
      </c>
      <c r="AJ59" s="145" t="s">
        <v>120</v>
      </c>
      <c r="AM59" s="2" t="e">
        <f t="shared" ref="AM59:AM66" si="78">IF(AND(Y20&gt;=$W$14,Y20&lt;=$W$14+5),0,IF($C$9&gt;$AF$51,ROUND(AI19*$C$43/(DATEVALUE(CONCATENATE("01/01/",YEAR(Z20)+1))-DATEVALUE(CONCATENATE("01/01/",YEAR(Z20))))*(Z20-Z19),2),0))</f>
        <v>#VALUE!</v>
      </c>
      <c r="AN59" s="34" t="e">
        <f t="shared" ref="AN59:AN66" si="79">AR20</f>
        <v>#DIV/0!</v>
      </c>
      <c r="AO59" s="57">
        <f>AN58+365</f>
        <v>48823</v>
      </c>
      <c r="AP59" s="130" t="e">
        <f t="shared" si="22"/>
        <v>#DIV/0!</v>
      </c>
      <c r="AQ59" s="109">
        <f>AP58+1</f>
        <v>51</v>
      </c>
      <c r="AR59" s="110">
        <f t="shared" ref="AR59:AR66" si="80">IF((OR(DAY($AD$54)=29,DAY($AD$54)=30,DAY($AD$54)=31)),(EDATE($C$9-3,AQ59)),(IF((OR(DAY($AD$54)=1,DAY($AD$54)=2,DAY($AD$54)=3)),(EDATE($C$9,AQ59)+3),EDATE($C$9,AQ59))))</f>
        <v>45995</v>
      </c>
      <c r="AS59" s="105" t="e">
        <f>IF(AND(G59&gt;=$W$14,G59&lt;=$W$14+5),$W$15,IF(AND(BE58+AV59+AT59&gt;AR58,AR58&lt;&gt;0),$D$39,IF(BE58=0,0,BE58+AV59+AT59+AT60)))</f>
        <v>#DIV/0!</v>
      </c>
      <c r="AT59" s="105" t="e">
        <f>IF(AND(G59&gt;=$W$14,G59&lt;=$W$14+5),0,IF($C$9&gt;$AF$51,ROUND(BE58*$AE$14*((AR59-DATE(YEAR(AR59),MONTH(AR59),1)+1)/(DATE(YEAR(AR59)+1,1,1)-DATE(YEAR(AR59),1,1))+(EOMONTH(AQ58,0)-AQ58)/(DATE(YEAR(AQ58)+1,1,1)-DATE(YEAR(AQ58),1,1))),2),0))</f>
        <v>#DIV/0!</v>
      </c>
      <c r="AU59" s="105">
        <f>IF(BH65=0,0,IF(BH65=1,BE58,IF(BE58+AV59+AT59&gt;AR58,AS59-AT59-AV59,BE58)))</f>
        <v>0</v>
      </c>
      <c r="AV59" s="105" t="e">
        <f t="shared" ref="AV59:AV66" si="81">IF(AX59&gt;$D$39,$D$39-AT59,IF(BH59=0,0,AZ59)+BV107)</f>
        <v>#DIV/0!</v>
      </c>
      <c r="AW59" s="105" t="e">
        <f>AX58-AU58</f>
        <v>#DIV/0!</v>
      </c>
      <c r="AX59" s="105" t="e">
        <f t="shared" si="24"/>
        <v>#DIV/0!</v>
      </c>
      <c r="AY59" s="105">
        <f t="shared" si="42"/>
        <v>0</v>
      </c>
      <c r="AZ59" s="105">
        <f t="shared" si="43"/>
        <v>0</v>
      </c>
      <c r="BA59" s="105"/>
      <c r="BB59" s="105"/>
      <c r="BC59" s="105"/>
      <c r="BD59" s="105"/>
      <c r="BE59" s="105"/>
      <c r="BF59" s="105" t="e">
        <f>IF(OR(BH65=1,BE58=0),0,BE58-AU59)</f>
        <v>#DIV/0!</v>
      </c>
      <c r="BG59" s="108">
        <f>IF((BF58-1)&lt;0,0,BF58-1)</f>
        <v>0</v>
      </c>
      <c r="BH59" s="108">
        <f t="shared" ref="BH59:BH65" si="82">IF(ISERR(CEILING(FLOOR(NPER($C$11/12,-$AD$55,BE52),0.1),1))=TRUE,0,CEILING(FLOOR(NPER($C$11/12,-$AD$55,BE52),0.1),1))</f>
        <v>0</v>
      </c>
      <c r="BI59" s="22">
        <f t="shared" ref="BI59:BI66" si="83">H53</f>
        <v>45812</v>
      </c>
      <c r="BJ59" s="108">
        <f t="shared" ref="BJ59:BJ66" si="84">J53</f>
        <v>0</v>
      </c>
      <c r="BK59" s="2"/>
    </row>
    <row r="60" spans="1:63" s="16" customFormat="1" x14ac:dyDescent="0.25">
      <c r="A60" s="180"/>
      <c r="B60" s="180"/>
      <c r="C60" s="180"/>
      <c r="D60" s="838"/>
      <c r="E60" s="2"/>
      <c r="F60" s="2"/>
      <c r="G60" s="426">
        <f t="shared" si="29"/>
        <v>52</v>
      </c>
      <c r="H60" s="427">
        <f t="shared" si="6"/>
        <v>46026</v>
      </c>
      <c r="I60" s="494">
        <f t="shared" si="77"/>
        <v>5.9000000000000004E-2</v>
      </c>
      <c r="J60" s="423">
        <f t="shared" si="74"/>
        <v>0</v>
      </c>
      <c r="K60" s="423">
        <f t="shared" si="15"/>
        <v>0</v>
      </c>
      <c r="L60" s="423">
        <f t="shared" si="16"/>
        <v>0</v>
      </c>
      <c r="M60" s="423">
        <f t="shared" si="57"/>
        <v>0</v>
      </c>
      <c r="N60" s="423">
        <f t="shared" si="30"/>
        <v>0</v>
      </c>
      <c r="O60" s="423">
        <f t="shared" si="7"/>
        <v>0</v>
      </c>
      <c r="P60" s="423">
        <f t="shared" si="18"/>
        <v>0</v>
      </c>
      <c r="Q60" s="423">
        <f t="shared" si="19"/>
        <v>0</v>
      </c>
      <c r="R60" s="423">
        <f t="shared" si="20"/>
        <v>0</v>
      </c>
      <c r="S60" s="470"/>
      <c r="T60" s="36">
        <f t="shared" si="31"/>
        <v>0</v>
      </c>
      <c r="U60" s="36">
        <f t="shared" si="21"/>
        <v>0</v>
      </c>
      <c r="V60" s="2"/>
      <c r="W60" s="2" t="e">
        <f t="shared" si="66"/>
        <v>#VALUE!</v>
      </c>
      <c r="X60" s="34">
        <f t="shared" si="68"/>
        <v>12190</v>
      </c>
      <c r="Y60" s="57">
        <f t="shared" si="69"/>
        <v>48823</v>
      </c>
      <c r="AA60" s="170" t="s">
        <v>134</v>
      </c>
      <c r="AB60" s="133" t="s">
        <v>135</v>
      </c>
      <c r="AC60" s="133" t="s">
        <v>125</v>
      </c>
      <c r="AD60" s="155"/>
      <c r="AE60" s="155"/>
      <c r="AF60" s="155"/>
      <c r="AG60" s="155"/>
      <c r="AH60" s="155"/>
      <c r="AI60" s="155"/>
      <c r="AJ60" s="155"/>
      <c r="AM60" s="2" t="e">
        <f t="shared" si="78"/>
        <v>#VALUE!</v>
      </c>
      <c r="AN60" s="34" t="e">
        <f t="shared" si="79"/>
        <v>#DIV/0!</v>
      </c>
      <c r="AO60" s="57">
        <f t="shared" si="67"/>
        <v>49188</v>
      </c>
      <c r="AP60" s="130" t="e">
        <f t="shared" si="22"/>
        <v>#DIV/0!</v>
      </c>
      <c r="AQ60" s="109">
        <f t="shared" ref="AP60:AQ75" si="85">AQ59+1</f>
        <v>52</v>
      </c>
      <c r="AR60" s="110">
        <f t="shared" si="80"/>
        <v>46026</v>
      </c>
      <c r="AS60" s="105" t="e">
        <f t="shared" ref="AS60:AS65" si="86">IF(AND(G60&gt;=$W$14,G60&lt;=$W$14+5),$W$15,IF(AND(BF59+AV60+AT60&gt;AS59,AS59&lt;&gt;0),$D$39,IF(BF59=0,0,BF59+AV60+AT60+AT61)))</f>
        <v>#DIV/0!</v>
      </c>
      <c r="AT60" s="105" t="e">
        <f t="shared" ref="AT60:AT66" si="87">IF(AND(G60&gt;=$W$14,G60&lt;=$W$14+5),0,IF($C$9&gt;$AF$51,ROUND(BF59*$AE$14*((AR60-DATE(YEAR(AR60),MONTH(AR60),1)+1)/(DATE(YEAR(AR60)+1,1,1)-DATE(YEAR(AR60),1,1))+(EOMONTH(AR59,0)-AR59)/(DATE(YEAR(AR59)+1,1,1)-DATE(YEAR(AR59),1,1))),2),0))</f>
        <v>#DIV/0!</v>
      </c>
      <c r="AU60" s="105">
        <f t="shared" si="40"/>
        <v>0</v>
      </c>
      <c r="AV60" s="105" t="e">
        <f t="shared" si="81"/>
        <v>#DIV/0!</v>
      </c>
      <c r="AW60" s="105" t="e">
        <f t="shared" si="45"/>
        <v>#DIV/0!</v>
      </c>
      <c r="AX60" s="105" t="e">
        <f t="shared" si="24"/>
        <v>#DIV/0!</v>
      </c>
      <c r="AY60" s="105">
        <f t="shared" ref="AX60:AY82" si="88">IF(BH66=0,0,0)</f>
        <v>0</v>
      </c>
      <c r="AZ60" s="105">
        <f t="shared" ref="AY60:AZ82" si="89">IF(BH66=0,0,0)</f>
        <v>0</v>
      </c>
      <c r="BA60" s="105"/>
      <c r="BB60" s="105"/>
      <c r="BC60" s="105"/>
      <c r="BD60" s="105"/>
      <c r="BE60" s="105"/>
      <c r="BF60" s="105" t="e">
        <f t="shared" si="44"/>
        <v>#DIV/0!</v>
      </c>
      <c r="BG60" s="108">
        <f t="shared" ref="BF60:BG75" si="90">IF((BG59-1)&lt;0,0,BG59-1)</f>
        <v>0</v>
      </c>
      <c r="BH60" s="108">
        <f t="shared" si="82"/>
        <v>0</v>
      </c>
      <c r="BI60" s="22">
        <f t="shared" si="83"/>
        <v>45842</v>
      </c>
      <c r="BJ60" s="108">
        <f t="shared" si="84"/>
        <v>0</v>
      </c>
      <c r="BK60" s="2"/>
    </row>
    <row r="61" spans="1:63" s="16" customFormat="1" ht="15.75" customHeight="1" x14ac:dyDescent="0.25">
      <c r="A61" s="180"/>
      <c r="B61" s="180"/>
      <c r="C61" s="180"/>
      <c r="D61" s="838"/>
      <c r="E61" s="2"/>
      <c r="F61" s="2"/>
      <c r="G61" s="426">
        <f t="shared" si="29"/>
        <v>53</v>
      </c>
      <c r="H61" s="427">
        <f t="shared" si="6"/>
        <v>46057</v>
      </c>
      <c r="I61" s="494">
        <f t="shared" si="77"/>
        <v>5.9000000000000004E-2</v>
      </c>
      <c r="J61" s="423">
        <f t="shared" si="74"/>
        <v>0</v>
      </c>
      <c r="K61" s="423">
        <f t="shared" si="15"/>
        <v>0</v>
      </c>
      <c r="L61" s="423">
        <f t="shared" si="16"/>
        <v>0</v>
      </c>
      <c r="M61" s="423">
        <f t="shared" si="57"/>
        <v>0</v>
      </c>
      <c r="N61" s="423">
        <f t="shared" si="30"/>
        <v>0</v>
      </c>
      <c r="O61" s="423">
        <f t="shared" si="7"/>
        <v>0</v>
      </c>
      <c r="P61" s="423">
        <f t="shared" si="18"/>
        <v>0</v>
      </c>
      <c r="Q61" s="423">
        <f t="shared" si="19"/>
        <v>0</v>
      </c>
      <c r="R61" s="423">
        <f t="shared" si="20"/>
        <v>0</v>
      </c>
      <c r="S61" s="470"/>
      <c r="T61" s="36">
        <f t="shared" si="31"/>
        <v>0</v>
      </c>
      <c r="U61" s="36">
        <f t="shared" si="21"/>
        <v>0</v>
      </c>
      <c r="V61" s="2"/>
      <c r="W61" s="2" t="e">
        <f t="shared" si="66"/>
        <v>#VALUE!</v>
      </c>
      <c r="X61" s="34">
        <f t="shared" si="68"/>
        <v>11958</v>
      </c>
      <c r="Y61" s="57">
        <f t="shared" si="69"/>
        <v>49188</v>
      </c>
      <c r="AA61" s="171">
        <v>20000</v>
      </c>
      <c r="AB61" s="171">
        <v>200000</v>
      </c>
      <c r="AC61" s="133">
        <v>3.5000000000000001E-3</v>
      </c>
      <c r="AD61" s="133">
        <v>3.5000000000000001E-3</v>
      </c>
      <c r="AE61" s="133">
        <v>2.5000000000000001E-3</v>
      </c>
      <c r="AF61" s="133">
        <v>3.0000000000000001E-3</v>
      </c>
      <c r="AG61" s="133"/>
      <c r="AH61" s="133">
        <v>1E-3</v>
      </c>
      <c r="AI61" s="133">
        <v>4.0000000000000001E-3</v>
      </c>
      <c r="AJ61" s="133">
        <v>0</v>
      </c>
      <c r="AM61" s="2" t="e">
        <f t="shared" si="78"/>
        <v>#VALUE!</v>
      </c>
      <c r="AN61" s="34" t="e">
        <f t="shared" si="79"/>
        <v>#DIV/0!</v>
      </c>
      <c r="AO61" s="57">
        <f t="shared" si="67"/>
        <v>49553</v>
      </c>
      <c r="AP61" s="130" t="e">
        <f t="shared" si="22"/>
        <v>#DIV/0!</v>
      </c>
      <c r="AQ61" s="109">
        <f t="shared" si="85"/>
        <v>53</v>
      </c>
      <c r="AR61" s="110">
        <f t="shared" si="80"/>
        <v>46057</v>
      </c>
      <c r="AS61" s="105" t="e">
        <f t="shared" si="86"/>
        <v>#DIV/0!</v>
      </c>
      <c r="AT61" s="105" t="e">
        <f t="shared" si="87"/>
        <v>#DIV/0!</v>
      </c>
      <c r="AU61" s="105">
        <f t="shared" ref="AU61:AU66" si="91">IF(BG67=0,0,IF(BG67=1,BF60,IF(BF60+AV61+AT61&gt;AS60,AS61-AT61-AV61,BF60)))</f>
        <v>0</v>
      </c>
      <c r="AV61" s="105" t="e">
        <f t="shared" si="81"/>
        <v>#DIV/0!</v>
      </c>
      <c r="AW61" s="105" t="e">
        <f t="shared" si="45"/>
        <v>#DIV/0!</v>
      </c>
      <c r="AX61" s="105" t="e">
        <f t="shared" si="24"/>
        <v>#DIV/0!</v>
      </c>
      <c r="AY61" s="105">
        <f t="shared" ref="AY61:AY66" si="92">IF(BG67=0,0,0)</f>
        <v>0</v>
      </c>
      <c r="AZ61" s="105">
        <f t="shared" ref="AZ61:AZ66" si="93">IF(BG67=0,0,0)</f>
        <v>0</v>
      </c>
      <c r="BA61" s="105"/>
      <c r="BB61" s="105"/>
      <c r="BC61" s="105"/>
      <c r="BD61" s="105"/>
      <c r="BE61" s="105"/>
      <c r="BF61" s="105" t="e">
        <f t="shared" ref="BF61:BF66" si="94">IF(OR(BG67=1,BF60=0),0,BF60-AU61)</f>
        <v>#DIV/0!</v>
      </c>
      <c r="BG61" s="108">
        <f t="shared" si="90"/>
        <v>0</v>
      </c>
      <c r="BH61" s="108">
        <f t="shared" si="82"/>
        <v>0</v>
      </c>
      <c r="BI61" s="22">
        <f t="shared" si="83"/>
        <v>45873</v>
      </c>
      <c r="BJ61" s="108">
        <f t="shared" si="84"/>
        <v>0</v>
      </c>
      <c r="BK61" s="2"/>
    </row>
    <row r="62" spans="1:63" s="16" customFormat="1" x14ac:dyDescent="0.25">
      <c r="A62" s="180"/>
      <c r="B62" s="180"/>
      <c r="C62" s="180"/>
      <c r="D62" s="838"/>
      <c r="E62" s="2"/>
      <c r="F62" s="2"/>
      <c r="G62" s="426">
        <f t="shared" si="29"/>
        <v>54</v>
      </c>
      <c r="H62" s="427">
        <f t="shared" si="6"/>
        <v>46085</v>
      </c>
      <c r="I62" s="494">
        <f t="shared" si="77"/>
        <v>5.9000000000000004E-2</v>
      </c>
      <c r="J62" s="423">
        <f t="shared" si="74"/>
        <v>0</v>
      </c>
      <c r="K62" s="423">
        <f t="shared" si="15"/>
        <v>0</v>
      </c>
      <c r="L62" s="423">
        <f t="shared" si="16"/>
        <v>0</v>
      </c>
      <c r="M62" s="423">
        <f t="shared" si="57"/>
        <v>0</v>
      </c>
      <c r="N62" s="423">
        <f t="shared" si="30"/>
        <v>0</v>
      </c>
      <c r="O62" s="423">
        <f t="shared" si="7"/>
        <v>0</v>
      </c>
      <c r="P62" s="423">
        <f t="shared" si="18"/>
        <v>0</v>
      </c>
      <c r="Q62" s="423">
        <f t="shared" si="19"/>
        <v>0</v>
      </c>
      <c r="R62" s="423">
        <f t="shared" si="20"/>
        <v>0</v>
      </c>
      <c r="S62" s="470"/>
      <c r="T62" s="36">
        <f t="shared" si="31"/>
        <v>0</v>
      </c>
      <c r="U62" s="36">
        <f t="shared" si="21"/>
        <v>0</v>
      </c>
      <c r="V62" s="2"/>
      <c r="W62" s="2" t="e">
        <f t="shared" si="66"/>
        <v>#VALUE!</v>
      </c>
      <c r="X62" s="34">
        <f t="shared" si="68"/>
        <v>11958</v>
      </c>
      <c r="Y62" s="57">
        <f t="shared" si="69"/>
        <v>49553</v>
      </c>
      <c r="AA62" s="171">
        <v>200000</v>
      </c>
      <c r="AB62" s="171">
        <v>600000</v>
      </c>
      <c r="AC62" s="133">
        <v>3.0000000000000001E-3</v>
      </c>
      <c r="AD62" s="133">
        <v>3.0000000000000001E-3</v>
      </c>
      <c r="AE62" s="133">
        <v>2.5000000000000001E-3</v>
      </c>
      <c r="AF62" s="133">
        <v>3.0000000000000001E-3</v>
      </c>
      <c r="AG62" s="133"/>
      <c r="AH62" s="133">
        <v>1E-3</v>
      </c>
      <c r="AI62" s="133">
        <v>4.0000000000000001E-3</v>
      </c>
      <c r="AJ62" s="133">
        <v>0</v>
      </c>
      <c r="AM62" s="2" t="e">
        <f t="shared" si="78"/>
        <v>#VALUE!</v>
      </c>
      <c r="AN62" s="34" t="e">
        <f t="shared" si="79"/>
        <v>#DIV/0!</v>
      </c>
      <c r="AO62" s="57">
        <f t="shared" si="67"/>
        <v>49918</v>
      </c>
      <c r="AP62" s="130" t="e">
        <f t="shared" si="22"/>
        <v>#DIV/0!</v>
      </c>
      <c r="AQ62" s="109">
        <f t="shared" si="85"/>
        <v>54</v>
      </c>
      <c r="AR62" s="110">
        <f t="shared" si="80"/>
        <v>46085</v>
      </c>
      <c r="AS62" s="105" t="e">
        <f t="shared" si="86"/>
        <v>#DIV/0!</v>
      </c>
      <c r="AT62" s="105" t="e">
        <f t="shared" si="87"/>
        <v>#DIV/0!</v>
      </c>
      <c r="AU62" s="105">
        <f t="shared" si="91"/>
        <v>0</v>
      </c>
      <c r="AV62" s="105" t="e">
        <f t="shared" si="81"/>
        <v>#DIV/0!</v>
      </c>
      <c r="AW62" s="105" t="e">
        <f t="shared" si="45"/>
        <v>#DIV/0!</v>
      </c>
      <c r="AX62" s="105" t="e">
        <f t="shared" si="24"/>
        <v>#DIV/0!</v>
      </c>
      <c r="AY62" s="105">
        <f t="shared" si="92"/>
        <v>0</v>
      </c>
      <c r="AZ62" s="105">
        <f t="shared" si="93"/>
        <v>0</v>
      </c>
      <c r="BA62" s="105"/>
      <c r="BB62" s="105"/>
      <c r="BC62" s="105"/>
      <c r="BD62" s="105"/>
      <c r="BE62" s="105"/>
      <c r="BF62" s="105" t="e">
        <f t="shared" si="94"/>
        <v>#DIV/0!</v>
      </c>
      <c r="BG62" s="108">
        <f t="shared" si="90"/>
        <v>0</v>
      </c>
      <c r="BH62" s="108">
        <f t="shared" si="82"/>
        <v>0</v>
      </c>
      <c r="BI62" s="22">
        <f t="shared" si="83"/>
        <v>45904</v>
      </c>
      <c r="BJ62" s="108">
        <f t="shared" si="84"/>
        <v>0</v>
      </c>
      <c r="BK62" s="2"/>
    </row>
    <row r="63" spans="1:63" s="16" customFormat="1" x14ac:dyDescent="0.25">
      <c r="A63" s="180"/>
      <c r="B63" s="180"/>
      <c r="C63" s="180"/>
      <c r="D63" s="838"/>
      <c r="E63" s="2"/>
      <c r="F63" s="2"/>
      <c r="G63" s="426">
        <f t="shared" si="29"/>
        <v>55</v>
      </c>
      <c r="H63" s="427">
        <f t="shared" si="6"/>
        <v>46116</v>
      </c>
      <c r="I63" s="494">
        <f t="shared" si="77"/>
        <v>5.9000000000000004E-2</v>
      </c>
      <c r="J63" s="423">
        <f t="shared" si="74"/>
        <v>0</v>
      </c>
      <c r="K63" s="423">
        <f t="shared" si="15"/>
        <v>0</v>
      </c>
      <c r="L63" s="423">
        <f t="shared" si="16"/>
        <v>0</v>
      </c>
      <c r="M63" s="423">
        <f t="shared" si="57"/>
        <v>0</v>
      </c>
      <c r="N63" s="423">
        <f t="shared" si="30"/>
        <v>0</v>
      </c>
      <c r="O63" s="423">
        <f t="shared" si="7"/>
        <v>0</v>
      </c>
      <c r="P63" s="423">
        <f t="shared" si="18"/>
        <v>0</v>
      </c>
      <c r="Q63" s="423">
        <f t="shared" si="19"/>
        <v>0</v>
      </c>
      <c r="R63" s="423">
        <f t="shared" si="20"/>
        <v>0</v>
      </c>
      <c r="S63" s="470"/>
      <c r="T63" s="36">
        <f t="shared" si="31"/>
        <v>0</v>
      </c>
      <c r="U63" s="36">
        <f t="shared" si="21"/>
        <v>0</v>
      </c>
      <c r="V63" s="2"/>
      <c r="W63" s="2" t="e">
        <f t="shared" si="66"/>
        <v>#VALUE!</v>
      </c>
      <c r="X63" s="34">
        <f t="shared" si="68"/>
        <v>11958</v>
      </c>
      <c r="Y63" s="57">
        <f t="shared" si="69"/>
        <v>49918</v>
      </c>
      <c r="AA63" s="170">
        <v>600000</v>
      </c>
      <c r="AB63" s="171">
        <v>1000000</v>
      </c>
      <c r="AC63" s="133">
        <v>2.5000000000000001E-3</v>
      </c>
      <c r="AD63" s="133">
        <v>2.5000000000000001E-3</v>
      </c>
      <c r="AE63" s="133">
        <v>2.5000000000000001E-3</v>
      </c>
      <c r="AF63" s="133">
        <v>3.0000000000000001E-3</v>
      </c>
      <c r="AG63" s="133"/>
      <c r="AH63" s="133">
        <v>1E-3</v>
      </c>
      <c r="AI63" s="133">
        <v>3.2000000000000002E-3</v>
      </c>
      <c r="AJ63" s="133">
        <v>0</v>
      </c>
      <c r="AM63" s="2" t="e">
        <f t="shared" si="78"/>
        <v>#VALUE!</v>
      </c>
      <c r="AN63" s="34" t="e">
        <f t="shared" si="79"/>
        <v>#DIV/0!</v>
      </c>
      <c r="AO63" s="57">
        <f t="shared" si="67"/>
        <v>50283</v>
      </c>
      <c r="AP63" s="130" t="e">
        <f t="shared" si="22"/>
        <v>#DIV/0!</v>
      </c>
      <c r="AQ63" s="109">
        <f t="shared" si="85"/>
        <v>55</v>
      </c>
      <c r="AR63" s="110">
        <f t="shared" si="80"/>
        <v>46116</v>
      </c>
      <c r="AS63" s="105" t="e">
        <f t="shared" si="86"/>
        <v>#DIV/0!</v>
      </c>
      <c r="AT63" s="105" t="e">
        <f t="shared" si="87"/>
        <v>#DIV/0!</v>
      </c>
      <c r="AU63" s="105">
        <f t="shared" si="91"/>
        <v>0</v>
      </c>
      <c r="AV63" s="105" t="e">
        <f t="shared" si="81"/>
        <v>#DIV/0!</v>
      </c>
      <c r="AW63" s="105" t="e">
        <f t="shared" si="45"/>
        <v>#DIV/0!</v>
      </c>
      <c r="AX63" s="105" t="e">
        <f t="shared" si="24"/>
        <v>#DIV/0!</v>
      </c>
      <c r="AY63" s="105">
        <f t="shared" si="92"/>
        <v>0</v>
      </c>
      <c r="AZ63" s="105">
        <f t="shared" si="93"/>
        <v>0</v>
      </c>
      <c r="BA63" s="105"/>
      <c r="BB63" s="105"/>
      <c r="BC63" s="105"/>
      <c r="BD63" s="105"/>
      <c r="BE63" s="105"/>
      <c r="BF63" s="105" t="e">
        <f t="shared" si="94"/>
        <v>#DIV/0!</v>
      </c>
      <c r="BG63" s="108">
        <f t="shared" si="90"/>
        <v>0</v>
      </c>
      <c r="BH63" s="108">
        <f t="shared" si="82"/>
        <v>0</v>
      </c>
      <c r="BI63" s="22">
        <f t="shared" si="83"/>
        <v>45934</v>
      </c>
      <c r="BJ63" s="108">
        <f t="shared" si="84"/>
        <v>0</v>
      </c>
      <c r="BK63" s="2"/>
    </row>
    <row r="64" spans="1:63" s="16" customFormat="1" x14ac:dyDescent="0.25">
      <c r="A64" s="180"/>
      <c r="B64" s="180"/>
      <c r="C64" s="180"/>
      <c r="D64" s="2"/>
      <c r="E64" s="2"/>
      <c r="F64" s="2"/>
      <c r="G64" s="426">
        <f t="shared" si="29"/>
        <v>56</v>
      </c>
      <c r="H64" s="427">
        <f t="shared" si="6"/>
        <v>46146</v>
      </c>
      <c r="I64" s="494">
        <f t="shared" si="77"/>
        <v>5.9000000000000004E-2</v>
      </c>
      <c r="J64" s="423">
        <f t="shared" si="74"/>
        <v>0</v>
      </c>
      <c r="K64" s="423">
        <f t="shared" si="15"/>
        <v>0</v>
      </c>
      <c r="L64" s="423">
        <f t="shared" si="16"/>
        <v>0</v>
      </c>
      <c r="M64" s="423">
        <f t="shared" si="57"/>
        <v>0</v>
      </c>
      <c r="N64" s="423">
        <f t="shared" si="30"/>
        <v>0</v>
      </c>
      <c r="O64" s="423">
        <f t="shared" si="7"/>
        <v>0</v>
      </c>
      <c r="P64" s="423">
        <f t="shared" si="18"/>
        <v>0</v>
      </c>
      <c r="Q64" s="423">
        <f t="shared" si="19"/>
        <v>0</v>
      </c>
      <c r="R64" s="423">
        <f t="shared" si="20"/>
        <v>0</v>
      </c>
      <c r="S64" s="470"/>
      <c r="T64" s="36">
        <f t="shared" si="31"/>
        <v>0</v>
      </c>
      <c r="U64" s="36">
        <f t="shared" si="21"/>
        <v>0</v>
      </c>
      <c r="V64" s="2"/>
      <c r="W64" s="2" t="e">
        <f t="shared" si="66"/>
        <v>#VALUE!</v>
      </c>
      <c r="X64" s="34">
        <f t="shared" si="68"/>
        <v>11958</v>
      </c>
      <c r="Y64" s="57">
        <f t="shared" si="69"/>
        <v>50283</v>
      </c>
      <c r="AA64" s="171">
        <v>1000000</v>
      </c>
      <c r="AB64" s="171">
        <v>3000000</v>
      </c>
      <c r="AC64" s="133">
        <v>2E-3</v>
      </c>
      <c r="AD64" s="133">
        <v>2E-3</v>
      </c>
      <c r="AE64" s="155"/>
      <c r="AF64" s="155"/>
      <c r="AG64" s="133"/>
      <c r="AH64" s="133">
        <v>1E-3</v>
      </c>
      <c r="AI64" s="133">
        <v>2E-3</v>
      </c>
      <c r="AJ64" s="133">
        <v>0</v>
      </c>
      <c r="AM64" s="2" t="e">
        <f t="shared" si="78"/>
        <v>#VALUE!</v>
      </c>
      <c r="AN64" s="34" t="e">
        <f t="shared" si="79"/>
        <v>#DIV/0!</v>
      </c>
      <c r="AO64" s="57">
        <f t="shared" si="67"/>
        <v>50648</v>
      </c>
      <c r="AP64" s="130" t="e">
        <f t="shared" si="22"/>
        <v>#DIV/0!</v>
      </c>
      <c r="AQ64" s="109">
        <f t="shared" si="85"/>
        <v>56</v>
      </c>
      <c r="AR64" s="110">
        <f t="shared" si="80"/>
        <v>46146</v>
      </c>
      <c r="AS64" s="105" t="e">
        <f t="shared" si="86"/>
        <v>#DIV/0!</v>
      </c>
      <c r="AT64" s="105" t="e">
        <f t="shared" si="87"/>
        <v>#DIV/0!</v>
      </c>
      <c r="AU64" s="105">
        <f t="shared" si="91"/>
        <v>0</v>
      </c>
      <c r="AV64" s="105" t="e">
        <f t="shared" si="81"/>
        <v>#DIV/0!</v>
      </c>
      <c r="AW64" s="105" t="e">
        <f t="shared" si="45"/>
        <v>#DIV/0!</v>
      </c>
      <c r="AX64" s="105" t="e">
        <f t="shared" si="24"/>
        <v>#DIV/0!</v>
      </c>
      <c r="AY64" s="105">
        <f t="shared" si="92"/>
        <v>0</v>
      </c>
      <c r="AZ64" s="105">
        <f t="shared" si="93"/>
        <v>0</v>
      </c>
      <c r="BA64" s="105"/>
      <c r="BB64" s="105"/>
      <c r="BC64" s="105"/>
      <c r="BD64" s="105"/>
      <c r="BE64" s="105"/>
      <c r="BF64" s="105" t="e">
        <f t="shared" si="94"/>
        <v>#DIV/0!</v>
      </c>
      <c r="BG64" s="108">
        <f t="shared" si="90"/>
        <v>0</v>
      </c>
      <c r="BH64" s="108">
        <f t="shared" si="82"/>
        <v>0</v>
      </c>
      <c r="BI64" s="22">
        <f t="shared" si="83"/>
        <v>45965</v>
      </c>
      <c r="BJ64" s="108">
        <f t="shared" si="84"/>
        <v>0</v>
      </c>
      <c r="BK64" s="2"/>
    </row>
    <row r="65" spans="1:63" s="16" customFormat="1" x14ac:dyDescent="0.3">
      <c r="A65" s="178"/>
      <c r="B65" s="178"/>
      <c r="C65" s="178"/>
      <c r="D65" s="2"/>
      <c r="E65" s="2"/>
      <c r="F65" s="2"/>
      <c r="G65" s="426">
        <f t="shared" si="29"/>
        <v>57</v>
      </c>
      <c r="H65" s="427">
        <f t="shared" si="6"/>
        <v>46177</v>
      </c>
      <c r="I65" s="494">
        <f t="shared" si="77"/>
        <v>5.9000000000000004E-2</v>
      </c>
      <c r="J65" s="423">
        <f t="shared" si="74"/>
        <v>0</v>
      </c>
      <c r="K65" s="423">
        <f t="shared" si="15"/>
        <v>0</v>
      </c>
      <c r="L65" s="423">
        <f t="shared" si="16"/>
        <v>0</v>
      </c>
      <c r="M65" s="423">
        <f t="shared" si="57"/>
        <v>0</v>
      </c>
      <c r="N65" s="423">
        <f t="shared" si="30"/>
        <v>0</v>
      </c>
      <c r="O65" s="423">
        <f t="shared" si="7"/>
        <v>0</v>
      </c>
      <c r="P65" s="423">
        <f t="shared" si="18"/>
        <v>0</v>
      </c>
      <c r="Q65" s="423">
        <f t="shared" si="19"/>
        <v>0</v>
      </c>
      <c r="R65" s="423">
        <f t="shared" si="20"/>
        <v>0</v>
      </c>
      <c r="S65" s="470"/>
      <c r="T65" s="36">
        <f t="shared" si="31"/>
        <v>0</v>
      </c>
      <c r="U65" s="36">
        <f t="shared" si="21"/>
        <v>0</v>
      </c>
      <c r="V65" s="2"/>
      <c r="W65" s="2" t="e">
        <f t="shared" si="66"/>
        <v>#VALUE!</v>
      </c>
      <c r="X65" s="34">
        <f t="shared" si="68"/>
        <v>11958</v>
      </c>
      <c r="Y65" s="57">
        <f t="shared" si="69"/>
        <v>50648</v>
      </c>
      <c r="AA65" s="171"/>
      <c r="AB65" s="172"/>
      <c r="AC65" s="66">
        <f t="shared" ref="AC65" si="95">IF(AC79&gt;$AA$64,AC64,IF(AC79&gt;$AA$63,AC63,IF(AC79&gt;$AA$62,AC62,AC61)))</f>
        <v>3.0000000000000001E-3</v>
      </c>
      <c r="AD65" s="66">
        <f>IF(AD79&gt;$AA$64,AD64,IF(AD79&gt;$AA$63,AD63,IF(AD79&gt;$AA$62,AD62,AD61)))</f>
        <v>3.0000000000000001E-3</v>
      </c>
      <c r="AE65" s="66">
        <f>IF(AE79&gt;$AA$64,AE64,IF(AE79&gt;$AA$63,AE63,IF(AE79&gt;$AA$62,AE62,AE61)))</f>
        <v>2.5000000000000001E-3</v>
      </c>
      <c r="AF65" s="66">
        <f>IF(AF79&gt;$AA$64,AF64,IF(AF79&gt;$AA$63,AF63,IF(AF79&gt;$AA$62,AF62,AF61)))</f>
        <v>3.0000000000000001E-3</v>
      </c>
      <c r="AG65" s="66"/>
      <c r="AH65" s="66">
        <f>IF(AH79&gt;$AA$64,AH64,IF(AH79&gt;$AA$63,AH63,IF(AH79&gt;$AA$62,AH62,AH61)))</f>
        <v>1E-3</v>
      </c>
      <c r="AI65" s="66">
        <f>IF(AI79&gt;$AA$64,AI64,IF(AI79&gt;$AA$63,AI63,IF(AI79&gt;$AA$62,AI62,AI61)))</f>
        <v>4.0000000000000001E-3</v>
      </c>
      <c r="AJ65" s="15" t="s">
        <v>126</v>
      </c>
      <c r="AM65" s="2" t="e">
        <f t="shared" si="78"/>
        <v>#VALUE!</v>
      </c>
      <c r="AN65" s="34" t="e">
        <f t="shared" si="79"/>
        <v>#DIV/0!</v>
      </c>
      <c r="AO65" s="57">
        <f t="shared" ref="AN65:AO80" si="96">AO64+365</f>
        <v>51013</v>
      </c>
      <c r="AP65" s="130" t="e">
        <f t="shared" si="22"/>
        <v>#DIV/0!</v>
      </c>
      <c r="AQ65" s="109">
        <f t="shared" si="85"/>
        <v>57</v>
      </c>
      <c r="AR65" s="110">
        <f t="shared" si="80"/>
        <v>46177</v>
      </c>
      <c r="AS65" s="105" t="e">
        <f t="shared" si="86"/>
        <v>#DIV/0!</v>
      </c>
      <c r="AT65" s="105" t="e">
        <f t="shared" si="87"/>
        <v>#DIV/0!</v>
      </c>
      <c r="AU65" s="105">
        <f t="shared" si="91"/>
        <v>0</v>
      </c>
      <c r="AV65" s="105" t="e">
        <f t="shared" si="81"/>
        <v>#DIV/0!</v>
      </c>
      <c r="AW65" s="105" t="e">
        <f t="shared" si="45"/>
        <v>#DIV/0!</v>
      </c>
      <c r="AX65" s="105" t="e">
        <f t="shared" si="24"/>
        <v>#DIV/0!</v>
      </c>
      <c r="AY65" s="105">
        <f t="shared" si="92"/>
        <v>0</v>
      </c>
      <c r="AZ65" s="105">
        <f t="shared" si="93"/>
        <v>0</v>
      </c>
      <c r="BA65" s="105"/>
      <c r="BB65" s="105"/>
      <c r="BC65" s="105"/>
      <c r="BD65" s="105"/>
      <c r="BE65" s="105"/>
      <c r="BF65" s="105" t="e">
        <f t="shared" si="94"/>
        <v>#DIV/0!</v>
      </c>
      <c r="BG65" s="108">
        <f t="shared" si="90"/>
        <v>0</v>
      </c>
      <c r="BH65" s="108">
        <f t="shared" si="82"/>
        <v>0</v>
      </c>
      <c r="BI65" s="22">
        <f t="shared" si="83"/>
        <v>45995</v>
      </c>
      <c r="BJ65" s="108">
        <f t="shared" si="84"/>
        <v>0</v>
      </c>
      <c r="BK65" s="2"/>
    </row>
    <row r="66" spans="1:63" s="16" customFormat="1" x14ac:dyDescent="0.3">
      <c r="A66" s="178"/>
      <c r="B66" s="178"/>
      <c r="C66" s="178"/>
      <c r="D66" s="46"/>
      <c r="E66" s="2"/>
      <c r="F66" s="2"/>
      <c r="G66" s="426">
        <f t="shared" si="29"/>
        <v>58</v>
      </c>
      <c r="H66" s="427">
        <f t="shared" si="6"/>
        <v>46207</v>
      </c>
      <c r="I66" s="494">
        <f t="shared" si="77"/>
        <v>5.9000000000000004E-2</v>
      </c>
      <c r="J66" s="423">
        <f t="shared" si="74"/>
        <v>0</v>
      </c>
      <c r="K66" s="423">
        <f t="shared" si="15"/>
        <v>0</v>
      </c>
      <c r="L66" s="423">
        <f t="shared" si="16"/>
        <v>0</v>
      </c>
      <c r="M66" s="423">
        <f t="shared" si="57"/>
        <v>0</v>
      </c>
      <c r="N66" s="423">
        <f t="shared" si="30"/>
        <v>0</v>
      </c>
      <c r="O66" s="423">
        <f t="shared" si="7"/>
        <v>0</v>
      </c>
      <c r="P66" s="423">
        <f t="shared" si="18"/>
        <v>0</v>
      </c>
      <c r="Q66" s="423">
        <f t="shared" si="19"/>
        <v>0</v>
      </c>
      <c r="R66" s="423">
        <f t="shared" si="20"/>
        <v>0</v>
      </c>
      <c r="S66" s="470"/>
      <c r="T66" s="36">
        <f t="shared" si="31"/>
        <v>0</v>
      </c>
      <c r="U66" s="36">
        <f t="shared" si="21"/>
        <v>0</v>
      </c>
      <c r="V66" s="2"/>
      <c r="W66" s="2" t="e">
        <f t="shared" si="66"/>
        <v>#VALUE!</v>
      </c>
      <c r="X66" s="34">
        <f t="shared" si="68"/>
        <v>11958</v>
      </c>
      <c r="Y66" s="57">
        <f t="shared" si="69"/>
        <v>51013</v>
      </c>
      <c r="AC66" s="143">
        <f>AC65*AC79*IF($C$10&gt;60,60,$C$10)</f>
        <v>35640</v>
      </c>
      <c r="AD66" s="143">
        <f>AD65*AD79*IF($C$10&gt;60,60,$C$10)</f>
        <v>43740</v>
      </c>
      <c r="AE66" s="143">
        <f>AE65*AE79*IF($C$10&gt;60,60,$C$10)</f>
        <v>40500</v>
      </c>
      <c r="AF66" s="143">
        <f>AF65*AF79*IF($C$10&gt;60,60,$C$10)</f>
        <v>42120</v>
      </c>
      <c r="AG66" s="143"/>
      <c r="AH66" s="143">
        <f>AH65*AH79*$C$10</f>
        <v>10800</v>
      </c>
      <c r="AI66" s="143">
        <f>AI65*AI79*$C$10</f>
        <v>86400</v>
      </c>
      <c r="AJ66" s="143">
        <f>AI66+AH66</f>
        <v>97200</v>
      </c>
      <c r="AM66" s="2" t="e">
        <f t="shared" si="78"/>
        <v>#VALUE!</v>
      </c>
      <c r="AN66" s="34" t="e">
        <f t="shared" si="79"/>
        <v>#DIV/0!</v>
      </c>
      <c r="AO66" s="57">
        <f t="shared" si="96"/>
        <v>51378</v>
      </c>
      <c r="AP66" s="130" t="e">
        <f t="shared" si="22"/>
        <v>#DIV/0!</v>
      </c>
      <c r="AQ66" s="109">
        <f t="shared" si="85"/>
        <v>58</v>
      </c>
      <c r="AR66" s="110">
        <f t="shared" si="80"/>
        <v>46207</v>
      </c>
      <c r="AS66" s="105" t="e">
        <f>IF(AND(G66&gt;=$W$14,G66&lt;=$W$14+5),$W$15,IF(AND(BF65+AV66+AT66&gt;AS65,AS65&lt;&gt;0),$D$39,IF(BF65=0,0,BF65+AV66+AT66+AS67)))</f>
        <v>#DIV/0!</v>
      </c>
      <c r="AT66" s="105" t="e">
        <f t="shared" si="87"/>
        <v>#DIV/0!</v>
      </c>
      <c r="AU66" s="105">
        <f t="shared" si="91"/>
        <v>0</v>
      </c>
      <c r="AV66" s="105" t="e">
        <f t="shared" si="81"/>
        <v>#DIV/0!</v>
      </c>
      <c r="AW66" s="105" t="e">
        <f t="shared" si="45"/>
        <v>#DIV/0!</v>
      </c>
      <c r="AX66" s="105" t="e">
        <f t="shared" si="24"/>
        <v>#DIV/0!</v>
      </c>
      <c r="AY66" s="105">
        <f t="shared" si="92"/>
        <v>0</v>
      </c>
      <c r="AZ66" s="105">
        <f t="shared" si="93"/>
        <v>0</v>
      </c>
      <c r="BA66" s="105"/>
      <c r="BB66" s="105"/>
      <c r="BC66" s="105"/>
      <c r="BD66" s="105"/>
      <c r="BE66" s="105"/>
      <c r="BF66" s="105" t="e">
        <f t="shared" si="94"/>
        <v>#DIV/0!</v>
      </c>
      <c r="BG66" s="108">
        <f t="shared" si="90"/>
        <v>0</v>
      </c>
      <c r="BH66" s="108">
        <f>IF(ISERR(CEILING(FLOOR(NPER($C$11/12,-$AD$55,BF59),0.1),1))=TRUE,0,CEILING(FLOOR(NPER($C$11/12,-$AD$55,BF59),0.1),1))</f>
        <v>0</v>
      </c>
      <c r="BI66" s="22">
        <f t="shared" si="83"/>
        <v>46026</v>
      </c>
      <c r="BJ66" s="108">
        <f t="shared" si="84"/>
        <v>0</v>
      </c>
      <c r="BK66" s="2"/>
    </row>
    <row r="67" spans="1:63" s="16" customFormat="1" x14ac:dyDescent="0.3">
      <c r="A67" s="178"/>
      <c r="B67" s="178"/>
      <c r="C67" s="178"/>
      <c r="D67" s="13"/>
      <c r="E67" s="2"/>
      <c r="F67" s="2"/>
      <c r="G67" s="426">
        <f t="shared" si="29"/>
        <v>59</v>
      </c>
      <c r="H67" s="427">
        <f t="shared" si="6"/>
        <v>46238</v>
      </c>
      <c r="I67" s="494">
        <f t="shared" si="77"/>
        <v>5.9000000000000004E-2</v>
      </c>
      <c r="J67" s="423">
        <f t="shared" si="74"/>
        <v>0</v>
      </c>
      <c r="K67" s="423">
        <f t="shared" si="15"/>
        <v>0</v>
      </c>
      <c r="L67" s="423">
        <f t="shared" si="16"/>
        <v>0</v>
      </c>
      <c r="M67" s="423">
        <f t="shared" si="57"/>
        <v>0</v>
      </c>
      <c r="N67" s="423">
        <f t="shared" si="30"/>
        <v>0</v>
      </c>
      <c r="O67" s="423">
        <f t="shared" si="7"/>
        <v>0</v>
      </c>
      <c r="P67" s="423">
        <f t="shared" si="18"/>
        <v>0</v>
      </c>
      <c r="Q67" s="423">
        <f t="shared" si="19"/>
        <v>0</v>
      </c>
      <c r="R67" s="423">
        <f t="shared" si="20"/>
        <v>0</v>
      </c>
      <c r="S67" s="470"/>
      <c r="T67" s="36">
        <f t="shared" si="31"/>
        <v>0</v>
      </c>
      <c r="U67" s="36">
        <f t="shared" si="21"/>
        <v>0</v>
      </c>
      <c r="V67" s="2"/>
      <c r="W67" s="2" t="e">
        <f t="shared" si="66"/>
        <v>#VALUE!</v>
      </c>
      <c r="X67" s="34">
        <f t="shared" si="68"/>
        <v>11958</v>
      </c>
      <c r="Y67" s="57">
        <f t="shared" si="69"/>
        <v>51378</v>
      </c>
      <c r="AL67" s="2">
        <f t="shared" ref="AL67:AL76" si="97">IF(AND(Y28&gt;=$W$14,Y28&lt;=$W$14+5),0,IF($C$9&gt;$AF$51,ROUND(AI27*$C$43/(DATEVALUE(CONCATENATE("01/01/",YEAR(Z28)+1))-DATEVALUE(CONCATENATE("01/01/",YEAR(Z28))))*(Z28-Z27),2),0))</f>
        <v>0</v>
      </c>
      <c r="AM67" s="34" t="e">
        <f t="shared" si="65"/>
        <v>#DIV/0!</v>
      </c>
      <c r="AN67" s="57">
        <f>AO66+365</f>
        <v>51743</v>
      </c>
      <c r="AO67" s="130" t="e">
        <f t="shared" si="22"/>
        <v>#DIV/0!</v>
      </c>
      <c r="AP67" s="109">
        <f>AQ66+1</f>
        <v>59</v>
      </c>
      <c r="AQ67" s="110">
        <f t="shared" ref="AQ67:AQ108" si="98">IF((OR(DAY($AD$54)=29,DAY($AD$54)=30,DAY($AD$54)=31)),(EDATE($C$9-3,AP67)),(IF((OR(DAY($AD$54)=1,DAY($AD$54)=2,DAY($AD$54)=3)),(EDATE($C$9,AP67)+3),EDATE($C$9,AP67))))</f>
        <v>46238</v>
      </c>
      <c r="AR67" s="105" t="e">
        <f>IF(AND(G67&gt;=$W$14,G67&lt;=$W$14+5),$W$15,IF(AND(BF66+AU67+AS67&gt;AS66,AS66&lt;&gt;0),$D$39,IF(BF66=0,0,BF66+AU67+AS67+AS68)))</f>
        <v>#DIV/0!</v>
      </c>
      <c r="AS67" s="105" t="e">
        <f>IF(AND(G67&gt;=$W$14,G67&lt;=$W$14+5),0,IF($C$9&gt;$AF$51,ROUND(BF66*$AE$14*((AQ67-DATE(YEAR(AQ67),MONTH(AQ67),1)+1)/(DATE(YEAR(AQ67)+1,1,1)-DATE(YEAR(AQ67),1,1))+(EOMONTH(AR66,0)-AR66)/(DATE(YEAR(AR66)+1,1,1)-DATE(YEAR(AR66),1,1))),2),0))</f>
        <v>#DIV/0!</v>
      </c>
      <c r="AT67" s="105">
        <f>IF(BG73=0,0,IF(BG73=1,BF66,IF(BF66+AU67+AS67&gt;AS66,AR67-AS67-AU67,BF66)))</f>
        <v>0</v>
      </c>
      <c r="AU67" s="105" t="e">
        <f t="shared" ref="AU67:AU109" si="99">IF(AW67&gt;$D$39,$D$39-AS67,IF(BG67=0,0,AY67)+BV115)</f>
        <v>#DIV/0!</v>
      </c>
      <c r="AV67" s="105" t="e">
        <f>AY66-AV66</f>
        <v>#DIV/0!</v>
      </c>
      <c r="AW67" s="105" t="e">
        <f t="shared" si="24"/>
        <v>#DIV/0!</v>
      </c>
      <c r="AX67" s="105">
        <f t="shared" si="88"/>
        <v>0</v>
      </c>
      <c r="AY67" s="105">
        <f t="shared" si="89"/>
        <v>0</v>
      </c>
      <c r="AZ67" s="105"/>
      <c r="BA67" s="105"/>
      <c r="BB67" s="105"/>
      <c r="BC67" s="105"/>
      <c r="BD67" s="105"/>
      <c r="BE67" s="105" t="e">
        <f>IF(OR(BG73=1,BF66=0),0,BF66-AT67)</f>
        <v>#DIV/0!</v>
      </c>
      <c r="BF67" s="108">
        <f>IF((BG66-1)&lt;0,0,BG66-1)</f>
        <v>0</v>
      </c>
      <c r="BG67" s="108">
        <f t="shared" ref="BG67:BG73" si="100">IF(ISERR(CEILING(FLOOR(NPER($C$11/12,-$AD$55,BF60),0.1),1))=TRUE,0,CEILING(FLOOR(NPER($C$11/12,-$AD$55,BF60),0.1),1))</f>
        <v>0</v>
      </c>
      <c r="BH67" s="22">
        <f t="shared" ref="BH67:BH114" si="101">H61</f>
        <v>46057</v>
      </c>
      <c r="BI67" s="108">
        <f t="shared" ref="BI67:BI114" si="102">J61</f>
        <v>0</v>
      </c>
      <c r="BJ67" s="2" t="e">
        <f t="shared" ref="BJ67:BJ103" si="103">IF(AND(G22&gt;=$W$14,G22&lt;=$W$14+5),0,IF($C$9&gt;$AF$51,ROUND(BE21*IF($D$33="",0,$D$33)/(DATEVALUE(CONCATENATE("01/01/",YEAR(AQ22)+1))-DATEVALUE(CONCATENATE("01/01/",YEAR(AQ22))))*(AQ22-AQ21),2),0))</f>
        <v>#DIV/0!</v>
      </c>
    </row>
    <row r="68" spans="1:63" s="16" customFormat="1" x14ac:dyDescent="0.25">
      <c r="A68" s="2"/>
      <c r="B68" s="2"/>
      <c r="C68" s="2"/>
      <c r="D68" s="13"/>
      <c r="G68" s="426">
        <f t="shared" si="29"/>
        <v>60</v>
      </c>
      <c r="H68" s="427">
        <f t="shared" si="6"/>
        <v>46269</v>
      </c>
      <c r="I68" s="494">
        <f t="shared" si="77"/>
        <v>5.9000000000000004E-2</v>
      </c>
      <c r="J68" s="423">
        <f t="shared" si="74"/>
        <v>0</v>
      </c>
      <c r="K68" s="423">
        <f t="shared" si="15"/>
        <v>0</v>
      </c>
      <c r="L68" s="423">
        <f t="shared" si="16"/>
        <v>0</v>
      </c>
      <c r="M68" s="423">
        <f t="shared" si="57"/>
        <v>0</v>
      </c>
      <c r="N68" s="423">
        <f t="shared" si="30"/>
        <v>0</v>
      </c>
      <c r="O68" s="423">
        <f t="shared" si="7"/>
        <v>0</v>
      </c>
      <c r="P68" s="423">
        <f t="shared" si="18"/>
        <v>0</v>
      </c>
      <c r="Q68" s="423">
        <f t="shared" si="19"/>
        <v>0</v>
      </c>
      <c r="R68" s="423">
        <f t="shared" si="20"/>
        <v>0</v>
      </c>
      <c r="S68" s="470"/>
      <c r="T68" s="36">
        <f t="shared" si="31"/>
        <v>0</v>
      </c>
      <c r="U68" s="36">
        <f t="shared" si="21"/>
        <v>0</v>
      </c>
      <c r="V68" s="2"/>
      <c r="W68" s="2" t="e">
        <f t="shared" si="66"/>
        <v>#VALUE!</v>
      </c>
      <c r="X68" s="34">
        <f t="shared" si="68"/>
        <v>11958</v>
      </c>
      <c r="Y68" s="57">
        <f t="shared" si="69"/>
        <v>51743</v>
      </c>
      <c r="AL68" s="2" t="e">
        <f t="shared" si="97"/>
        <v>#VALUE!</v>
      </c>
      <c r="AM68" s="34" t="e">
        <f t="shared" si="65"/>
        <v>#DIV/0!</v>
      </c>
      <c r="AN68" s="57">
        <f t="shared" si="96"/>
        <v>52108</v>
      </c>
      <c r="AO68" s="130" t="e">
        <f t="shared" si="22"/>
        <v>#DIV/0!</v>
      </c>
      <c r="AP68" s="109">
        <f t="shared" si="85"/>
        <v>60</v>
      </c>
      <c r="AQ68" s="110">
        <f t="shared" si="98"/>
        <v>46269</v>
      </c>
      <c r="AR68" s="105" t="e">
        <f t="shared" ref="AR68:AR74" si="104">IF(AND(G68&gt;=$W$14,G68&lt;=$W$14+5),$W$15,IF(AND(BE67+AU68+AS68&gt;AR67,AR67&lt;&gt;0),$D$39,IF(BE67=0,0,BE67+AU68+AS68+AS69)))</f>
        <v>#DIV/0!</v>
      </c>
      <c r="AS68" s="105" t="e">
        <f t="shared" ref="AS68:AS108" si="105">IF(AND(G68&gt;=$W$14,G68&lt;=$W$14+5),0,IF($C$9&gt;$AF$51,ROUND(BE67*$AE$14*((AQ68-DATE(YEAR(AQ68),MONTH(AQ68),1)+1)/(DATE(YEAR(AQ68)+1,1,1)-DATE(YEAR(AQ68),1,1))+(EOMONTH(AQ67,0)-AQ67)/(DATE(YEAR(AQ67)+1,1,1)-DATE(YEAR(AQ67),1,1))),2),0))</f>
        <v>#DIV/0!</v>
      </c>
      <c r="AT68" s="105">
        <f t="shared" ref="AT68:AT74" si="106">IF(BG74=0,0,IF(BG74=1,BE67,IF(BE67+AU68+AS68&gt;AR67,AR68-AS68-AU68,BE67)))</f>
        <v>0</v>
      </c>
      <c r="AU68" s="105" t="e">
        <f t="shared" si="99"/>
        <v>#DIV/0!</v>
      </c>
      <c r="AV68" s="105" t="e">
        <f t="shared" si="45"/>
        <v>#DIV/0!</v>
      </c>
      <c r="AW68" s="105" t="e">
        <f t="shared" si="24"/>
        <v>#DIV/0!</v>
      </c>
      <c r="AX68" s="105">
        <f t="shared" si="88"/>
        <v>0</v>
      </c>
      <c r="AY68" s="105">
        <f t="shared" si="89"/>
        <v>0</v>
      </c>
      <c r="AZ68" s="105"/>
      <c r="BA68" s="105"/>
      <c r="BB68" s="105"/>
      <c r="BC68" s="105"/>
      <c r="BD68" s="105"/>
      <c r="BE68" s="105" t="e">
        <f t="shared" ref="BE68:BE74" si="107">IF(OR(BG74=1,BE67=0),0,BE67-AT68)</f>
        <v>#DIV/0!</v>
      </c>
      <c r="BF68" s="108">
        <f t="shared" si="90"/>
        <v>0</v>
      </c>
      <c r="BG68" s="108">
        <f t="shared" si="100"/>
        <v>0</v>
      </c>
      <c r="BH68" s="22">
        <f t="shared" si="101"/>
        <v>46085</v>
      </c>
      <c r="BI68" s="108">
        <f t="shared" si="102"/>
        <v>0</v>
      </c>
      <c r="BJ68" s="2" t="e">
        <f t="shared" si="103"/>
        <v>#DIV/0!</v>
      </c>
    </row>
    <row r="69" spans="1:63" s="16" customFormat="1" x14ac:dyDescent="0.25">
      <c r="A69" s="2"/>
      <c r="B69" s="2"/>
      <c r="C69" s="2"/>
      <c r="D69" s="13"/>
      <c r="G69" s="426">
        <f t="shared" si="29"/>
        <v>61</v>
      </c>
      <c r="H69" s="427">
        <f t="shared" si="6"/>
        <v>46299</v>
      </c>
      <c r="I69" s="494">
        <f t="shared" si="77"/>
        <v>5.9000000000000004E-2</v>
      </c>
      <c r="J69" s="423">
        <f t="shared" si="74"/>
        <v>0</v>
      </c>
      <c r="K69" s="423">
        <f t="shared" si="15"/>
        <v>0</v>
      </c>
      <c r="L69" s="423">
        <f t="shared" si="16"/>
        <v>0</v>
      </c>
      <c r="M69" s="423">
        <f t="shared" si="57"/>
        <v>0</v>
      </c>
      <c r="N69" s="423">
        <f t="shared" si="30"/>
        <v>0</v>
      </c>
      <c r="O69" s="423">
        <f t="shared" si="7"/>
        <v>0</v>
      </c>
      <c r="P69" s="423">
        <f t="shared" si="18"/>
        <v>0</v>
      </c>
      <c r="Q69" s="423">
        <f t="shared" si="19"/>
        <v>0</v>
      </c>
      <c r="R69" s="423">
        <f t="shared" si="20"/>
        <v>0</v>
      </c>
      <c r="S69" s="470"/>
      <c r="T69" s="36">
        <f t="shared" si="31"/>
        <v>0</v>
      </c>
      <c r="U69" s="36">
        <f t="shared" si="21"/>
        <v>0</v>
      </c>
      <c r="V69" s="2"/>
      <c r="W69" s="2" t="e">
        <f t="shared" si="66"/>
        <v>#VALUE!</v>
      </c>
      <c r="X69" s="34">
        <f t="shared" si="68"/>
        <v>11958</v>
      </c>
      <c r="Y69" s="57">
        <f t="shared" si="69"/>
        <v>52108</v>
      </c>
      <c r="AB69" s="2"/>
      <c r="AD69" s="2"/>
      <c r="AE69" s="2"/>
      <c r="AF69" s="2"/>
      <c r="AG69" s="2"/>
      <c r="AH69" s="2"/>
      <c r="AI69" s="63"/>
      <c r="AJ69" s="63"/>
      <c r="AK69" s="63"/>
      <c r="AL69" s="2">
        <f t="shared" si="97"/>
        <v>0</v>
      </c>
      <c r="AM69" s="34" t="e">
        <f t="shared" si="65"/>
        <v>#DIV/0!</v>
      </c>
      <c r="AN69" s="57">
        <f t="shared" si="96"/>
        <v>52473</v>
      </c>
      <c r="AO69" s="130" t="e">
        <f t="shared" si="22"/>
        <v>#DIV/0!</v>
      </c>
      <c r="AP69" s="109">
        <f t="shared" si="85"/>
        <v>61</v>
      </c>
      <c r="AQ69" s="110">
        <f t="shared" si="98"/>
        <v>46299</v>
      </c>
      <c r="AR69" s="105" t="e">
        <f t="shared" si="104"/>
        <v>#DIV/0!</v>
      </c>
      <c r="AS69" s="105" t="e">
        <f t="shared" si="105"/>
        <v>#DIV/0!</v>
      </c>
      <c r="AT69" s="105">
        <f t="shared" si="106"/>
        <v>0</v>
      </c>
      <c r="AU69" s="105" t="e">
        <f t="shared" si="99"/>
        <v>#DIV/0!</v>
      </c>
      <c r="AV69" s="105" t="e">
        <f t="shared" si="45"/>
        <v>#DIV/0!</v>
      </c>
      <c r="AW69" s="105" t="e">
        <f t="shared" si="24"/>
        <v>#DIV/0!</v>
      </c>
      <c r="AX69" s="105">
        <f t="shared" si="88"/>
        <v>0</v>
      </c>
      <c r="AY69" s="105">
        <f t="shared" si="89"/>
        <v>0</v>
      </c>
      <c r="AZ69" s="105"/>
      <c r="BA69" s="105"/>
      <c r="BB69" s="105"/>
      <c r="BC69" s="105"/>
      <c r="BD69" s="105"/>
      <c r="BE69" s="105" t="e">
        <f t="shared" si="107"/>
        <v>#DIV/0!</v>
      </c>
      <c r="BF69" s="108">
        <f t="shared" si="90"/>
        <v>0</v>
      </c>
      <c r="BG69" s="108">
        <f t="shared" si="100"/>
        <v>0</v>
      </c>
      <c r="BH69" s="22">
        <f t="shared" si="101"/>
        <v>46116</v>
      </c>
      <c r="BI69" s="108">
        <f t="shared" si="102"/>
        <v>0</v>
      </c>
      <c r="BJ69" s="2" t="e">
        <f t="shared" si="103"/>
        <v>#DIV/0!</v>
      </c>
    </row>
    <row r="70" spans="1:63" s="16" customFormat="1" x14ac:dyDescent="0.25">
      <c r="A70" s="2"/>
      <c r="B70" s="2"/>
      <c r="C70" s="2"/>
      <c r="D70" s="13"/>
      <c r="E70" s="2"/>
      <c r="F70" s="2"/>
      <c r="G70" s="426">
        <f t="shared" si="29"/>
        <v>62</v>
      </c>
      <c r="H70" s="427">
        <f t="shared" si="6"/>
        <v>46330</v>
      </c>
      <c r="I70" s="494">
        <f t="shared" si="77"/>
        <v>5.9000000000000004E-2</v>
      </c>
      <c r="J70" s="423">
        <f t="shared" si="74"/>
        <v>0</v>
      </c>
      <c r="K70" s="423">
        <f t="shared" si="15"/>
        <v>0</v>
      </c>
      <c r="L70" s="423">
        <f t="shared" si="16"/>
        <v>0</v>
      </c>
      <c r="M70" s="423">
        <f t="shared" si="57"/>
        <v>0</v>
      </c>
      <c r="N70" s="423">
        <f t="shared" si="30"/>
        <v>0</v>
      </c>
      <c r="O70" s="423">
        <f t="shared" si="7"/>
        <v>0</v>
      </c>
      <c r="P70" s="423">
        <f t="shared" si="18"/>
        <v>0</v>
      </c>
      <c r="Q70" s="423">
        <f t="shared" si="19"/>
        <v>0</v>
      </c>
      <c r="R70" s="423">
        <f t="shared" si="20"/>
        <v>0</v>
      </c>
      <c r="S70" s="470"/>
      <c r="T70" s="36">
        <f t="shared" si="31"/>
        <v>0</v>
      </c>
      <c r="U70" s="36">
        <f t="shared" si="21"/>
        <v>0</v>
      </c>
      <c r="V70" s="2"/>
      <c r="W70" s="2" t="e">
        <f t="shared" si="66"/>
        <v>#VALUE!</v>
      </c>
      <c r="X70" s="34">
        <f t="shared" si="68"/>
        <v>11958</v>
      </c>
      <c r="Y70" s="57">
        <f t="shared" si="69"/>
        <v>52473</v>
      </c>
      <c r="AB70" s="15"/>
      <c r="AC70" s="145" t="s">
        <v>330</v>
      </c>
      <c r="AD70" s="145" t="s">
        <v>111</v>
      </c>
      <c r="AE70" s="145" t="s">
        <v>114</v>
      </c>
      <c r="AF70" s="144" t="s">
        <v>115</v>
      </c>
      <c r="AG70" s="144" t="s">
        <v>35</v>
      </c>
      <c r="AH70" s="144" t="s">
        <v>118</v>
      </c>
      <c r="AI70" s="144" t="s">
        <v>119</v>
      </c>
      <c r="AJ70" s="145" t="s">
        <v>120</v>
      </c>
      <c r="AK70" s="15"/>
      <c r="AL70" s="2" t="e">
        <f t="shared" si="97"/>
        <v>#VALUE!</v>
      </c>
      <c r="AM70" s="34" t="e">
        <f t="shared" si="65"/>
        <v>#DIV/0!</v>
      </c>
      <c r="AN70" s="57">
        <f t="shared" si="96"/>
        <v>52838</v>
      </c>
      <c r="AO70" s="130" t="e">
        <f t="shared" si="22"/>
        <v>#DIV/0!</v>
      </c>
      <c r="AP70" s="109">
        <f t="shared" si="85"/>
        <v>62</v>
      </c>
      <c r="AQ70" s="110">
        <f t="shared" si="98"/>
        <v>46330</v>
      </c>
      <c r="AR70" s="105" t="e">
        <f t="shared" si="104"/>
        <v>#DIV/0!</v>
      </c>
      <c r="AS70" s="105" t="e">
        <f t="shared" si="105"/>
        <v>#DIV/0!</v>
      </c>
      <c r="AT70" s="105">
        <f t="shared" si="106"/>
        <v>0</v>
      </c>
      <c r="AU70" s="105" t="e">
        <f t="shared" si="99"/>
        <v>#DIV/0!</v>
      </c>
      <c r="AV70" s="105" t="e">
        <f t="shared" si="45"/>
        <v>#DIV/0!</v>
      </c>
      <c r="AW70" s="105" t="e">
        <f t="shared" si="24"/>
        <v>#DIV/0!</v>
      </c>
      <c r="AX70" s="105">
        <f t="shared" si="88"/>
        <v>0</v>
      </c>
      <c r="AY70" s="105">
        <f t="shared" si="89"/>
        <v>0</v>
      </c>
      <c r="AZ70" s="105"/>
      <c r="BA70" s="105"/>
      <c r="BB70" s="105"/>
      <c r="BC70" s="105"/>
      <c r="BD70" s="105"/>
      <c r="BE70" s="105" t="e">
        <f t="shared" si="107"/>
        <v>#DIV/0!</v>
      </c>
      <c r="BF70" s="108">
        <f t="shared" si="90"/>
        <v>0</v>
      </c>
      <c r="BG70" s="108">
        <f t="shared" si="100"/>
        <v>0</v>
      </c>
      <c r="BH70" s="22">
        <f t="shared" si="101"/>
        <v>46146</v>
      </c>
      <c r="BI70" s="108">
        <f t="shared" si="102"/>
        <v>0</v>
      </c>
      <c r="BJ70" s="2" t="e">
        <f t="shared" si="103"/>
        <v>#DIV/0!</v>
      </c>
    </row>
    <row r="71" spans="1:63" s="16" customFormat="1" x14ac:dyDescent="0.25">
      <c r="A71" s="2"/>
      <c r="B71" s="2"/>
      <c r="C71" s="2"/>
      <c r="D71" s="2"/>
      <c r="E71" s="2"/>
      <c r="F71" s="2"/>
      <c r="G71" s="426">
        <f t="shared" si="29"/>
        <v>63</v>
      </c>
      <c r="H71" s="427">
        <f t="shared" si="6"/>
        <v>46360</v>
      </c>
      <c r="I71" s="494">
        <f t="shared" si="77"/>
        <v>5.9000000000000004E-2</v>
      </c>
      <c r="J71" s="423">
        <f t="shared" si="74"/>
        <v>0</v>
      </c>
      <c r="K71" s="423">
        <f t="shared" si="15"/>
        <v>0</v>
      </c>
      <c r="L71" s="423">
        <f t="shared" si="16"/>
        <v>0</v>
      </c>
      <c r="M71" s="423">
        <f t="shared" si="57"/>
        <v>0</v>
      </c>
      <c r="N71" s="423">
        <f t="shared" si="30"/>
        <v>0</v>
      </c>
      <c r="O71" s="423">
        <f t="shared" si="7"/>
        <v>0</v>
      </c>
      <c r="P71" s="423">
        <f t="shared" si="18"/>
        <v>0</v>
      </c>
      <c r="Q71" s="423">
        <f t="shared" si="19"/>
        <v>0</v>
      </c>
      <c r="R71" s="423">
        <f t="shared" si="20"/>
        <v>0</v>
      </c>
      <c r="S71" s="470"/>
      <c r="T71" s="36">
        <f t="shared" si="31"/>
        <v>0</v>
      </c>
      <c r="U71" s="36">
        <f t="shared" si="21"/>
        <v>0</v>
      </c>
      <c r="V71" s="2"/>
      <c r="W71" s="2" t="e">
        <f t="shared" si="66"/>
        <v>#VALUE!</v>
      </c>
      <c r="X71" s="34">
        <f t="shared" si="68"/>
        <v>11958</v>
      </c>
      <c r="Y71" s="57">
        <f t="shared" si="69"/>
        <v>52838</v>
      </c>
      <c r="AA71" s="133" t="s">
        <v>96</v>
      </c>
      <c r="AB71" s="133" t="s">
        <v>323</v>
      </c>
      <c r="AC71" s="133" t="s">
        <v>98</v>
      </c>
      <c r="AD71" s="134"/>
      <c r="AE71" s="134"/>
      <c r="AF71" s="134"/>
      <c r="AG71" s="134"/>
      <c r="AH71" s="134"/>
      <c r="AI71" s="134"/>
      <c r="AJ71" s="134"/>
      <c r="AK71" s="15"/>
      <c r="AL71" s="2" t="e">
        <f t="shared" si="97"/>
        <v>#VALUE!</v>
      </c>
      <c r="AM71" s="34" t="e">
        <f t="shared" si="65"/>
        <v>#DIV/0!</v>
      </c>
      <c r="AN71" s="57">
        <f t="shared" si="96"/>
        <v>53203</v>
      </c>
      <c r="AO71" s="130" t="e">
        <f t="shared" si="22"/>
        <v>#DIV/0!</v>
      </c>
      <c r="AP71" s="109">
        <f t="shared" si="85"/>
        <v>63</v>
      </c>
      <c r="AQ71" s="110">
        <f t="shared" si="98"/>
        <v>46360</v>
      </c>
      <c r="AR71" s="105" t="e">
        <f t="shared" si="104"/>
        <v>#DIV/0!</v>
      </c>
      <c r="AS71" s="105" t="e">
        <f t="shared" si="105"/>
        <v>#DIV/0!</v>
      </c>
      <c r="AT71" s="105">
        <f t="shared" si="106"/>
        <v>0</v>
      </c>
      <c r="AU71" s="105" t="e">
        <f t="shared" si="99"/>
        <v>#DIV/0!</v>
      </c>
      <c r="AV71" s="105" t="e">
        <f t="shared" si="45"/>
        <v>#DIV/0!</v>
      </c>
      <c r="AW71" s="105" t="e">
        <f t="shared" si="24"/>
        <v>#DIV/0!</v>
      </c>
      <c r="AX71" s="105">
        <f t="shared" si="88"/>
        <v>0</v>
      </c>
      <c r="AY71" s="105">
        <f t="shared" si="89"/>
        <v>0</v>
      </c>
      <c r="AZ71" s="105"/>
      <c r="BA71" s="105"/>
      <c r="BB71" s="105"/>
      <c r="BC71" s="105"/>
      <c r="BD71" s="105"/>
      <c r="BE71" s="105" t="e">
        <f t="shared" si="107"/>
        <v>#DIV/0!</v>
      </c>
      <c r="BF71" s="108">
        <f t="shared" si="90"/>
        <v>0</v>
      </c>
      <c r="BG71" s="108">
        <f t="shared" si="100"/>
        <v>0</v>
      </c>
      <c r="BH71" s="22">
        <f t="shared" si="101"/>
        <v>46177</v>
      </c>
      <c r="BI71" s="108">
        <f t="shared" si="102"/>
        <v>0</v>
      </c>
      <c r="BJ71" s="2" t="e">
        <f t="shared" si="103"/>
        <v>#DIV/0!</v>
      </c>
    </row>
    <row r="72" spans="1:63" s="16" customFormat="1" x14ac:dyDescent="0.25">
      <c r="A72" s="2"/>
      <c r="B72" s="2"/>
      <c r="C72" s="13"/>
      <c r="D72" s="2"/>
      <c r="E72" s="2"/>
      <c r="F72" s="2"/>
      <c r="G72" s="426">
        <f t="shared" si="29"/>
        <v>64</v>
      </c>
      <c r="H72" s="427">
        <f t="shared" si="6"/>
        <v>46391</v>
      </c>
      <c r="I72" s="494">
        <f t="shared" si="77"/>
        <v>5.9000000000000004E-2</v>
      </c>
      <c r="J72" s="423">
        <f t="shared" si="74"/>
        <v>0</v>
      </c>
      <c r="K72" s="423">
        <f t="shared" si="15"/>
        <v>0</v>
      </c>
      <c r="L72" s="423">
        <f t="shared" si="16"/>
        <v>0</v>
      </c>
      <c r="M72" s="423">
        <f t="shared" si="57"/>
        <v>0</v>
      </c>
      <c r="N72" s="423">
        <f t="shared" si="30"/>
        <v>0</v>
      </c>
      <c r="O72" s="423">
        <f t="shared" si="7"/>
        <v>0</v>
      </c>
      <c r="P72" s="423">
        <f t="shared" si="18"/>
        <v>0</v>
      </c>
      <c r="Q72" s="423">
        <f t="shared" si="19"/>
        <v>0</v>
      </c>
      <c r="R72" s="423">
        <f t="shared" si="20"/>
        <v>0</v>
      </c>
      <c r="S72" s="470"/>
      <c r="T72" s="36">
        <f t="shared" si="31"/>
        <v>0</v>
      </c>
      <c r="U72" s="36">
        <f t="shared" si="21"/>
        <v>0</v>
      </c>
      <c r="V72" s="2"/>
      <c r="W72" s="2" t="e">
        <f t="shared" si="66"/>
        <v>#VALUE!</v>
      </c>
      <c r="X72" s="34">
        <f t="shared" si="68"/>
        <v>11958</v>
      </c>
      <c r="Y72" s="57">
        <f t="shared" si="69"/>
        <v>53203</v>
      </c>
      <c r="AA72" s="170">
        <v>20000</v>
      </c>
      <c r="AB72" s="135">
        <v>160000</v>
      </c>
      <c r="AC72" s="134">
        <v>1</v>
      </c>
      <c r="AD72" s="134">
        <v>1.25</v>
      </c>
      <c r="AE72" s="134">
        <v>1.5</v>
      </c>
      <c r="AF72" s="134">
        <v>1.3</v>
      </c>
      <c r="AG72" s="134"/>
      <c r="AH72" s="134">
        <v>1</v>
      </c>
      <c r="AI72" s="134">
        <v>2</v>
      </c>
      <c r="AJ72" s="134">
        <v>2.5</v>
      </c>
      <c r="AK72" s="15"/>
      <c r="AL72" s="2" t="e">
        <f t="shared" si="97"/>
        <v>#VALUE!</v>
      </c>
      <c r="AM72" s="34" t="e">
        <f t="shared" si="65"/>
        <v>#DIV/0!</v>
      </c>
      <c r="AN72" s="57">
        <f t="shared" si="96"/>
        <v>53568</v>
      </c>
      <c r="AO72" s="130" t="e">
        <f t="shared" si="22"/>
        <v>#DIV/0!</v>
      </c>
      <c r="AP72" s="109">
        <f t="shared" si="85"/>
        <v>64</v>
      </c>
      <c r="AQ72" s="110">
        <f t="shared" si="98"/>
        <v>46391</v>
      </c>
      <c r="AR72" s="105" t="e">
        <f t="shared" si="104"/>
        <v>#DIV/0!</v>
      </c>
      <c r="AS72" s="105" t="e">
        <f t="shared" si="105"/>
        <v>#DIV/0!</v>
      </c>
      <c r="AT72" s="105">
        <f t="shared" si="106"/>
        <v>0</v>
      </c>
      <c r="AU72" s="105" t="e">
        <f t="shared" si="99"/>
        <v>#DIV/0!</v>
      </c>
      <c r="AV72" s="105" t="e">
        <f t="shared" si="45"/>
        <v>#DIV/0!</v>
      </c>
      <c r="AW72" s="105" t="e">
        <f t="shared" si="24"/>
        <v>#DIV/0!</v>
      </c>
      <c r="AX72" s="105">
        <f t="shared" si="88"/>
        <v>0</v>
      </c>
      <c r="AY72" s="105">
        <f t="shared" si="89"/>
        <v>0</v>
      </c>
      <c r="AZ72" s="105"/>
      <c r="BA72" s="105"/>
      <c r="BB72" s="105"/>
      <c r="BC72" s="105"/>
      <c r="BD72" s="105"/>
      <c r="BE72" s="105" t="e">
        <f t="shared" si="107"/>
        <v>#DIV/0!</v>
      </c>
      <c r="BF72" s="108">
        <f t="shared" si="90"/>
        <v>0</v>
      </c>
      <c r="BG72" s="108">
        <f t="shared" si="100"/>
        <v>0</v>
      </c>
      <c r="BH72" s="22">
        <f t="shared" si="101"/>
        <v>46207</v>
      </c>
      <c r="BI72" s="108">
        <f t="shared" si="102"/>
        <v>0</v>
      </c>
      <c r="BJ72" s="2" t="e">
        <f t="shared" si="103"/>
        <v>#DIV/0!</v>
      </c>
    </row>
    <row r="73" spans="1:63" s="16" customFormat="1" x14ac:dyDescent="0.25">
      <c r="A73" s="2"/>
      <c r="B73" s="2"/>
      <c r="C73" s="2"/>
      <c r="D73" s="2"/>
      <c r="E73" s="2"/>
      <c r="F73" s="2"/>
      <c r="G73" s="426">
        <f t="shared" si="29"/>
        <v>65</v>
      </c>
      <c r="H73" s="427">
        <f t="shared" ref="H73:H108" si="108">IF((OR(DAY($AD$54)=29,DAY($AD$54)=30,DAY($AD$54)=31)),(EDATE($C$9-3,G73)),(IF((OR(DAY($AD$54)=1,DAY($AD$54)=2,DAY($AD$54)=3)),(EDATE($C$9,G73)+3),EDATE($C$9,G73))))</f>
        <v>46422</v>
      </c>
      <c r="I73" s="494">
        <f t="shared" si="77"/>
        <v>5.9000000000000004E-2</v>
      </c>
      <c r="J73" s="423">
        <f t="shared" si="74"/>
        <v>0</v>
      </c>
      <c r="K73" s="423">
        <f t="shared" si="15"/>
        <v>0</v>
      </c>
      <c r="L73" s="423">
        <f t="shared" si="16"/>
        <v>0</v>
      </c>
      <c r="M73" s="423">
        <f t="shared" si="57"/>
        <v>0</v>
      </c>
      <c r="N73" s="423">
        <f t="shared" si="30"/>
        <v>0</v>
      </c>
      <c r="O73" s="423">
        <f t="shared" ref="O73:O108" si="109">K73+P73</f>
        <v>0</v>
      </c>
      <c r="P73" s="423">
        <f t="shared" si="18"/>
        <v>0</v>
      </c>
      <c r="Q73" s="423">
        <f t="shared" si="19"/>
        <v>0</v>
      </c>
      <c r="R73" s="423">
        <f t="shared" si="20"/>
        <v>0</v>
      </c>
      <c r="S73" s="470"/>
      <c r="T73" s="36">
        <f t="shared" si="31"/>
        <v>0</v>
      </c>
      <c r="U73" s="36">
        <f t="shared" si="21"/>
        <v>0</v>
      </c>
      <c r="V73" s="2"/>
      <c r="W73" s="2" t="e">
        <f t="shared" si="66"/>
        <v>#VALUE!</v>
      </c>
      <c r="X73" s="34">
        <f t="shared" si="68"/>
        <v>11726</v>
      </c>
      <c r="Y73" s="57">
        <f t="shared" si="69"/>
        <v>53568</v>
      </c>
      <c r="AA73" s="170">
        <v>300001</v>
      </c>
      <c r="AB73" s="135">
        <v>400000</v>
      </c>
      <c r="AC73" s="134">
        <v>1.1000000000000001</v>
      </c>
      <c r="AD73" s="134">
        <v>1.35</v>
      </c>
      <c r="AE73" s="134">
        <v>1.5</v>
      </c>
      <c r="AF73" s="134">
        <v>1.3</v>
      </c>
      <c r="AG73" s="134"/>
      <c r="AH73" s="134">
        <v>1</v>
      </c>
      <c r="AI73" s="134">
        <v>2</v>
      </c>
      <c r="AJ73" s="134">
        <v>2</v>
      </c>
      <c r="AK73" s="15"/>
      <c r="AL73" s="2" t="e">
        <f t="shared" si="97"/>
        <v>#VALUE!</v>
      </c>
      <c r="AM73" s="34" t="e">
        <f t="shared" si="65"/>
        <v>#DIV/0!</v>
      </c>
      <c r="AN73" s="57">
        <f t="shared" si="96"/>
        <v>53933</v>
      </c>
      <c r="AO73" s="130" t="e">
        <f t="shared" si="22"/>
        <v>#DIV/0!</v>
      </c>
      <c r="AP73" s="109">
        <f t="shared" si="85"/>
        <v>65</v>
      </c>
      <c r="AQ73" s="110">
        <f t="shared" si="98"/>
        <v>46422</v>
      </c>
      <c r="AR73" s="105" t="e">
        <f t="shared" si="104"/>
        <v>#DIV/0!</v>
      </c>
      <c r="AS73" s="105" t="e">
        <f t="shared" si="105"/>
        <v>#DIV/0!</v>
      </c>
      <c r="AT73" s="105">
        <f t="shared" si="106"/>
        <v>0</v>
      </c>
      <c r="AU73" s="105" t="e">
        <f t="shared" si="99"/>
        <v>#DIV/0!</v>
      </c>
      <c r="AV73" s="105" t="e">
        <f t="shared" si="45"/>
        <v>#DIV/0!</v>
      </c>
      <c r="AW73" s="105" t="e">
        <f t="shared" si="24"/>
        <v>#DIV/0!</v>
      </c>
      <c r="AX73" s="105">
        <f t="shared" si="88"/>
        <v>0</v>
      </c>
      <c r="AY73" s="105">
        <f t="shared" si="89"/>
        <v>0</v>
      </c>
      <c r="AZ73" s="105"/>
      <c r="BA73" s="105"/>
      <c r="BB73" s="105"/>
      <c r="BC73" s="105"/>
      <c r="BD73" s="105"/>
      <c r="BE73" s="105" t="e">
        <f t="shared" si="107"/>
        <v>#DIV/0!</v>
      </c>
      <c r="BF73" s="108">
        <f t="shared" si="90"/>
        <v>0</v>
      </c>
      <c r="BG73" s="108">
        <f t="shared" si="100"/>
        <v>0</v>
      </c>
      <c r="BH73" s="22">
        <f t="shared" si="101"/>
        <v>46238</v>
      </c>
      <c r="BI73" s="108">
        <f t="shared" si="102"/>
        <v>0</v>
      </c>
      <c r="BJ73" s="2" t="e">
        <f t="shared" si="103"/>
        <v>#DIV/0!</v>
      </c>
    </row>
    <row r="74" spans="1:63" s="16" customFormat="1" x14ac:dyDescent="0.25">
      <c r="A74" s="2"/>
      <c r="B74" s="2"/>
      <c r="C74" s="2"/>
      <c r="D74" s="2"/>
      <c r="E74" s="2"/>
      <c r="F74" s="2"/>
      <c r="G74" s="426">
        <f t="shared" si="29"/>
        <v>66</v>
      </c>
      <c r="H74" s="427">
        <f t="shared" si="108"/>
        <v>46450</v>
      </c>
      <c r="I74" s="494">
        <f t="shared" si="77"/>
        <v>5.9000000000000004E-2</v>
      </c>
      <c r="J74" s="423">
        <f t="shared" si="74"/>
        <v>0</v>
      </c>
      <c r="K74" s="423">
        <f t="shared" ref="K74:K108" si="110">IF(AND($C$8&lt;&gt;"Нет",G74&gt;=$W$14,G74&lt;=$W$14+5),0,IF($C$9&gt;$AF$51,ROUND(R73*I74*((H74-DATE(YEAR(H74),MONTH(H74),1)+1)/(DATE(YEAR(H74)+1,1,1)-DATE(YEAR(H74),1,1))+(EOMONTH(H73,0)-H73)/(DATE(YEAR(H73)+1,1,1)-DATE(YEAR(H73),1,1))),2),0))</f>
        <v>0</v>
      </c>
      <c r="L74" s="423">
        <f t="shared" ref="L74:L108" si="111">IF(R73+M74+K74&gt;J73,J74-K74-M74,R73)</f>
        <v>0</v>
      </c>
      <c r="M74" s="423">
        <f t="shared" ref="M74:M108" si="112">IF(O74&gt;$C$25,$C$25-K74,IF(U74=0,0,P74))</f>
        <v>0</v>
      </c>
      <c r="N74" s="423">
        <f t="shared" si="30"/>
        <v>0</v>
      </c>
      <c r="O74" s="423">
        <f t="shared" si="109"/>
        <v>0</v>
      </c>
      <c r="P74" s="423">
        <f t="shared" ref="P74:P108" si="113">IF(U74=0,0,0)</f>
        <v>0</v>
      </c>
      <c r="Q74" s="423">
        <f t="shared" ref="Q74:Q108" si="114">IF(U74=0,0,0)</f>
        <v>0</v>
      </c>
      <c r="R74" s="423">
        <f t="shared" ref="R74:R108" si="115">R73-L74-S74</f>
        <v>0</v>
      </c>
      <c r="S74" s="470"/>
      <c r="T74" s="36">
        <f t="shared" si="31"/>
        <v>0</v>
      </c>
      <c r="U74" s="36">
        <f t="shared" ref="U74:U107" si="116">T74</f>
        <v>0</v>
      </c>
      <c r="V74" s="2"/>
      <c r="W74" s="2" t="e">
        <f t="shared" si="66"/>
        <v>#VALUE!</v>
      </c>
      <c r="X74" s="34">
        <f t="shared" si="68"/>
        <v>11726</v>
      </c>
      <c r="Y74" s="57">
        <f t="shared" si="69"/>
        <v>53933</v>
      </c>
      <c r="AA74" s="170">
        <v>500001</v>
      </c>
      <c r="AB74" s="135">
        <v>500000</v>
      </c>
      <c r="AC74" s="134">
        <v>1.2</v>
      </c>
      <c r="AD74" s="134">
        <v>1.5</v>
      </c>
      <c r="AE74" s="134">
        <v>1.3</v>
      </c>
      <c r="AF74" s="134">
        <v>1.2</v>
      </c>
      <c r="AG74" s="134"/>
      <c r="AH74" s="134">
        <v>1</v>
      </c>
      <c r="AI74" s="134">
        <v>1.5</v>
      </c>
      <c r="AJ74" s="134">
        <v>1.5</v>
      </c>
      <c r="AK74" s="15"/>
      <c r="AL74" s="2" t="e">
        <f t="shared" si="97"/>
        <v>#VALUE!</v>
      </c>
      <c r="AM74" s="34" t="e">
        <f t="shared" si="65"/>
        <v>#DIV/0!</v>
      </c>
      <c r="AN74" s="57">
        <f t="shared" si="96"/>
        <v>54298</v>
      </c>
      <c r="AO74" s="130" t="e">
        <f t="shared" ref="AO74:AO108" si="117">IF(OR(AR74="",AR74=0),0,1)</f>
        <v>#DIV/0!</v>
      </c>
      <c r="AP74" s="109">
        <f t="shared" si="85"/>
        <v>66</v>
      </c>
      <c r="AQ74" s="110">
        <f t="shared" si="98"/>
        <v>46450</v>
      </c>
      <c r="AR74" s="105" t="e">
        <f t="shared" si="104"/>
        <v>#DIV/0!</v>
      </c>
      <c r="AS74" s="105" t="e">
        <f t="shared" si="105"/>
        <v>#DIV/0!</v>
      </c>
      <c r="AT74" s="105">
        <f t="shared" si="106"/>
        <v>0</v>
      </c>
      <c r="AU74" s="105" t="e">
        <f t="shared" si="99"/>
        <v>#DIV/0!</v>
      </c>
      <c r="AV74" s="105" t="e">
        <f t="shared" si="45"/>
        <v>#DIV/0!</v>
      </c>
      <c r="AW74" s="105" t="e">
        <f t="shared" si="24"/>
        <v>#DIV/0!</v>
      </c>
      <c r="AX74" s="105">
        <f t="shared" si="88"/>
        <v>0</v>
      </c>
      <c r="AY74" s="105">
        <f t="shared" si="89"/>
        <v>0</v>
      </c>
      <c r="AZ74" s="105"/>
      <c r="BA74" s="105"/>
      <c r="BB74" s="105"/>
      <c r="BC74" s="105"/>
      <c r="BD74" s="105"/>
      <c r="BE74" s="105" t="e">
        <f t="shared" si="107"/>
        <v>#DIV/0!</v>
      </c>
      <c r="BF74" s="108">
        <f t="shared" si="90"/>
        <v>0</v>
      </c>
      <c r="BG74" s="108">
        <f t="shared" ref="BG74:BG114" si="118">IF(ISERR(CEILING(FLOOR(NPER($C$11/12,-$AD$55,BE67),0.1),1))=TRUE,0,CEILING(FLOOR(NPER($C$11/12,-$AD$55,BE67),0.1),1))</f>
        <v>0</v>
      </c>
      <c r="BH74" s="22">
        <f t="shared" si="101"/>
        <v>46269</v>
      </c>
      <c r="BI74" s="108">
        <f t="shared" si="102"/>
        <v>0</v>
      </c>
      <c r="BJ74" s="2" t="e">
        <f t="shared" si="103"/>
        <v>#DIV/0!</v>
      </c>
    </row>
    <row r="75" spans="1:63" s="16" customFormat="1" x14ac:dyDescent="0.25">
      <c r="A75" s="2"/>
      <c r="B75" s="2"/>
      <c r="C75" s="2"/>
      <c r="D75" s="2"/>
      <c r="E75" s="2"/>
      <c r="F75" s="2"/>
      <c r="G75" s="426">
        <f t="shared" si="29"/>
        <v>67</v>
      </c>
      <c r="H75" s="427">
        <f t="shared" si="108"/>
        <v>46481</v>
      </c>
      <c r="I75" s="494">
        <f t="shared" si="77"/>
        <v>5.9000000000000004E-2</v>
      </c>
      <c r="J75" s="423">
        <f t="shared" si="74"/>
        <v>0</v>
      </c>
      <c r="K75" s="423">
        <f t="shared" si="110"/>
        <v>0</v>
      </c>
      <c r="L75" s="423">
        <f t="shared" si="111"/>
        <v>0</v>
      </c>
      <c r="M75" s="423">
        <f t="shared" si="112"/>
        <v>0</v>
      </c>
      <c r="N75" s="423">
        <f t="shared" si="30"/>
        <v>0</v>
      </c>
      <c r="O75" s="423">
        <f t="shared" si="109"/>
        <v>0</v>
      </c>
      <c r="P75" s="423">
        <f t="shared" si="113"/>
        <v>0</v>
      </c>
      <c r="Q75" s="423">
        <f t="shared" si="114"/>
        <v>0</v>
      </c>
      <c r="R75" s="423">
        <f t="shared" si="115"/>
        <v>0</v>
      </c>
      <c r="S75" s="470"/>
      <c r="T75" s="36">
        <f t="shared" si="31"/>
        <v>0</v>
      </c>
      <c r="U75" s="36">
        <f t="shared" si="116"/>
        <v>0</v>
      </c>
      <c r="V75" s="2"/>
      <c r="W75" s="2" t="e">
        <f t="shared" si="66"/>
        <v>#VALUE!</v>
      </c>
      <c r="X75" s="34">
        <f t="shared" si="68"/>
        <v>11726</v>
      </c>
      <c r="Y75" s="57">
        <f t="shared" si="69"/>
        <v>54298</v>
      </c>
      <c r="AA75" s="171">
        <v>600001</v>
      </c>
      <c r="AB75" s="135">
        <v>800000</v>
      </c>
      <c r="AC75" s="134">
        <v>1.1000000000000001</v>
      </c>
      <c r="AD75" s="134">
        <v>1.25</v>
      </c>
      <c r="AE75" s="134">
        <v>1.3</v>
      </c>
      <c r="AF75" s="134">
        <v>1.2</v>
      </c>
      <c r="AG75" s="134"/>
      <c r="AH75" s="134">
        <v>1</v>
      </c>
      <c r="AI75" s="134">
        <v>1.3</v>
      </c>
      <c r="AJ75" s="134">
        <v>1.3</v>
      </c>
      <c r="AK75" s="2"/>
      <c r="AL75" s="2" t="e">
        <f t="shared" si="97"/>
        <v>#VALUE!</v>
      </c>
      <c r="AM75" s="34" t="e">
        <f t="shared" si="65"/>
        <v>#DIV/0!</v>
      </c>
      <c r="AN75" s="57">
        <f t="shared" si="96"/>
        <v>54663</v>
      </c>
      <c r="AO75" s="130" t="e">
        <f t="shared" si="117"/>
        <v>#DIV/0!</v>
      </c>
      <c r="AP75" s="109">
        <f t="shared" si="85"/>
        <v>67</v>
      </c>
      <c r="AQ75" s="110">
        <f t="shared" si="98"/>
        <v>46481</v>
      </c>
      <c r="AR75" s="105" t="e">
        <f>IF(BF81=1,AU75+AS75+AT75,IF(BE74+AU75+AS75&gt;AR74,$D$39,IF(BE74=0,0,BE74+AU75+AS75+AS76)))</f>
        <v>#DIV/0!</v>
      </c>
      <c r="AS75" s="105" t="e">
        <f t="shared" si="105"/>
        <v>#DIV/0!</v>
      </c>
      <c r="AT75" s="105">
        <f t="shared" ref="AT75:AT108" si="119">IF(BF81=0,0,IF(BF81=1,BE74,IF(BE74+AU75+AS75&gt;AR74,AR75-AS75-AU75,BE74)))</f>
        <v>0</v>
      </c>
      <c r="AU75" s="105" t="e">
        <f t="shared" si="99"/>
        <v>#DIV/0!</v>
      </c>
      <c r="AV75" s="105" t="e">
        <f t="shared" si="45"/>
        <v>#DIV/0!</v>
      </c>
      <c r="AW75" s="105" t="e">
        <f t="shared" si="24"/>
        <v>#DIV/0!</v>
      </c>
      <c r="AX75" s="105">
        <f t="shared" si="88"/>
        <v>0</v>
      </c>
      <c r="AY75" s="105">
        <f t="shared" si="89"/>
        <v>0</v>
      </c>
      <c r="AZ75" s="105"/>
      <c r="BA75" s="105"/>
      <c r="BB75" s="105"/>
      <c r="BC75" s="105"/>
      <c r="BD75" s="105"/>
      <c r="BE75" s="105" t="e">
        <f t="shared" ref="BE75:BE108" si="120">IF(OR(BF81=1,BE74=0),0,BE74-AT75)</f>
        <v>#DIV/0!</v>
      </c>
      <c r="BF75" s="108">
        <f t="shared" si="90"/>
        <v>0</v>
      </c>
      <c r="BG75" s="108">
        <f t="shared" si="118"/>
        <v>0</v>
      </c>
      <c r="BH75" s="22">
        <f t="shared" si="101"/>
        <v>46299</v>
      </c>
      <c r="BI75" s="108">
        <f t="shared" si="102"/>
        <v>0</v>
      </c>
      <c r="BJ75" s="2" t="e">
        <f t="shared" si="103"/>
        <v>#DIV/0!</v>
      </c>
    </row>
    <row r="76" spans="1:63" s="16" customFormat="1" x14ac:dyDescent="0.25">
      <c r="A76" s="2"/>
      <c r="B76" s="2"/>
      <c r="C76" s="2"/>
      <c r="D76" s="2"/>
      <c r="E76" s="2"/>
      <c r="F76" s="2"/>
      <c r="G76" s="426">
        <f t="shared" ref="G76:G108" si="121">G75+1</f>
        <v>68</v>
      </c>
      <c r="H76" s="427">
        <f t="shared" si="108"/>
        <v>46511</v>
      </c>
      <c r="I76" s="494">
        <f t="shared" si="77"/>
        <v>5.9000000000000004E-2</v>
      </c>
      <c r="J76" s="423">
        <f t="shared" si="74"/>
        <v>0</v>
      </c>
      <c r="K76" s="423">
        <f t="shared" si="110"/>
        <v>0</v>
      </c>
      <c r="L76" s="423">
        <f t="shared" si="111"/>
        <v>0</v>
      </c>
      <c r="M76" s="423">
        <f t="shared" si="112"/>
        <v>0</v>
      </c>
      <c r="N76" s="423">
        <f t="shared" si="30"/>
        <v>0</v>
      </c>
      <c r="O76" s="423">
        <f t="shared" si="109"/>
        <v>0</v>
      </c>
      <c r="P76" s="423">
        <f t="shared" si="113"/>
        <v>0</v>
      </c>
      <c r="Q76" s="423">
        <f t="shared" si="114"/>
        <v>0</v>
      </c>
      <c r="R76" s="423">
        <f t="shared" si="115"/>
        <v>0</v>
      </c>
      <c r="S76" s="470"/>
      <c r="T76" s="36">
        <f t="shared" ref="T76:T108" si="122">IF((T75-1)&lt;0,0,T75-1)</f>
        <v>0</v>
      </c>
      <c r="U76" s="36">
        <f t="shared" si="116"/>
        <v>0</v>
      </c>
      <c r="V76" s="2"/>
      <c r="W76" s="2" t="e">
        <f t="shared" si="66"/>
        <v>#VALUE!</v>
      </c>
      <c r="X76" s="34">
        <f t="shared" si="68"/>
        <v>11726</v>
      </c>
      <c r="Y76" s="57">
        <f t="shared" si="69"/>
        <v>54663</v>
      </c>
      <c r="AA76" s="171">
        <v>1000001</v>
      </c>
      <c r="AB76" s="135">
        <v>900000</v>
      </c>
      <c r="AC76" s="134">
        <v>1</v>
      </c>
      <c r="AD76" s="134">
        <v>1.1000000000000001</v>
      </c>
      <c r="AE76" s="134">
        <v>1.3</v>
      </c>
      <c r="AF76" s="134">
        <v>1.2</v>
      </c>
      <c r="AG76" s="134"/>
      <c r="AH76" s="134">
        <v>1</v>
      </c>
      <c r="AI76" s="134">
        <v>1</v>
      </c>
      <c r="AJ76" s="134">
        <v>1</v>
      </c>
      <c r="AL76" s="2" t="e">
        <f t="shared" si="97"/>
        <v>#VALUE!</v>
      </c>
      <c r="AM76" s="34" t="e">
        <f t="shared" si="65"/>
        <v>#DIV/0!</v>
      </c>
      <c r="AN76" s="57">
        <f t="shared" si="96"/>
        <v>55028</v>
      </c>
      <c r="AO76" s="130" t="e">
        <f t="shared" si="117"/>
        <v>#DIV/0!</v>
      </c>
      <c r="AP76" s="109">
        <f t="shared" ref="AP76:AP108" si="123">AP75+1</f>
        <v>68</v>
      </c>
      <c r="AQ76" s="110">
        <f t="shared" si="98"/>
        <v>46511</v>
      </c>
      <c r="AR76" s="105" t="e">
        <f>IF(BF82=1,AU76+AS76+AT76,IF(BE75+AU76+AS76&gt;AR75,$D$39,IF(BE75=0,0,BE75+AU76+AS76+AS77)))</f>
        <v>#DIV/0!</v>
      </c>
      <c r="AS76" s="105" t="e">
        <f t="shared" si="105"/>
        <v>#DIV/0!</v>
      </c>
      <c r="AT76" s="105">
        <f t="shared" si="119"/>
        <v>0</v>
      </c>
      <c r="AU76" s="105" t="e">
        <f t="shared" si="99"/>
        <v>#DIV/0!</v>
      </c>
      <c r="AV76" s="105" t="e">
        <f t="shared" si="45"/>
        <v>#DIV/0!</v>
      </c>
      <c r="AW76" s="105" t="e">
        <f t="shared" si="24"/>
        <v>#DIV/0!</v>
      </c>
      <c r="AX76" s="105">
        <f t="shared" si="88"/>
        <v>0</v>
      </c>
      <c r="AY76" s="105">
        <f t="shared" si="89"/>
        <v>0</v>
      </c>
      <c r="AZ76" s="105"/>
      <c r="BA76" s="105"/>
      <c r="BB76" s="105"/>
      <c r="BC76" s="105"/>
      <c r="BD76" s="105"/>
      <c r="BE76" s="105" t="e">
        <f t="shared" si="120"/>
        <v>#DIV/0!</v>
      </c>
      <c r="BF76" s="108">
        <f t="shared" ref="BF76:BF114" si="124">IF((BF75-1)&lt;0,0,BF75-1)</f>
        <v>0</v>
      </c>
      <c r="BG76" s="108">
        <f t="shared" si="118"/>
        <v>0</v>
      </c>
      <c r="BH76" s="22">
        <f t="shared" si="101"/>
        <v>46330</v>
      </c>
      <c r="BI76" s="108">
        <f t="shared" si="102"/>
        <v>0</v>
      </c>
      <c r="BJ76" s="2" t="e">
        <f t="shared" si="103"/>
        <v>#DIV/0!</v>
      </c>
    </row>
    <row r="77" spans="1:63" s="16" customFormat="1" x14ac:dyDescent="0.25">
      <c r="A77" s="2"/>
      <c r="B77" s="2"/>
      <c r="C77" s="2"/>
      <c r="D77" s="2"/>
      <c r="E77" s="2"/>
      <c r="F77" s="2"/>
      <c r="G77" s="426">
        <f t="shared" si="121"/>
        <v>69</v>
      </c>
      <c r="H77" s="427">
        <f t="shared" si="108"/>
        <v>46542</v>
      </c>
      <c r="I77" s="494">
        <f t="shared" si="77"/>
        <v>5.9000000000000004E-2</v>
      </c>
      <c r="J77" s="423">
        <f t="shared" si="74"/>
        <v>0</v>
      </c>
      <c r="K77" s="423">
        <f t="shared" si="110"/>
        <v>0</v>
      </c>
      <c r="L77" s="423">
        <f t="shared" si="111"/>
        <v>0</v>
      </c>
      <c r="M77" s="423">
        <f t="shared" si="112"/>
        <v>0</v>
      </c>
      <c r="N77" s="423">
        <f t="shared" si="30"/>
        <v>0</v>
      </c>
      <c r="O77" s="423">
        <f t="shared" si="109"/>
        <v>0</v>
      </c>
      <c r="P77" s="423">
        <f t="shared" si="113"/>
        <v>0</v>
      </c>
      <c r="Q77" s="423">
        <f t="shared" si="114"/>
        <v>0</v>
      </c>
      <c r="R77" s="423">
        <f t="shared" si="115"/>
        <v>0</v>
      </c>
      <c r="S77" s="470"/>
      <c r="T77" s="36">
        <f t="shared" si="122"/>
        <v>0</v>
      </c>
      <c r="U77" s="36">
        <f t="shared" si="116"/>
        <v>0</v>
      </c>
      <c r="V77" s="2"/>
      <c r="W77" s="2" t="e">
        <f t="shared" si="66"/>
        <v>#VALUE!</v>
      </c>
      <c r="X77" s="34">
        <f t="shared" si="68"/>
        <v>11726</v>
      </c>
      <c r="Y77" s="57">
        <f t="shared" si="69"/>
        <v>55028</v>
      </c>
      <c r="AA77" s="16" t="s">
        <v>101</v>
      </c>
      <c r="AB77" s="16">
        <v>1500000</v>
      </c>
      <c r="AC77" s="16">
        <f>IF($C$7&gt;=$AA$76,AC76,IF($C$7&gt;=$AA$75,AC75,IF($C$7&gt;=$AA$74,AC74,IF($C$7&gt;=$AA$73,AC73,AC72))))</f>
        <v>1</v>
      </c>
      <c r="AD77" s="16">
        <v>1.3</v>
      </c>
      <c r="AE77" s="16">
        <v>1.3</v>
      </c>
      <c r="AF77" s="16">
        <v>1.2</v>
      </c>
      <c r="AH77" s="16">
        <f>IF($C$7&gt;=$AA$76,AH76,IF($C$7&gt;=$AA$75,AH75,IF($C$7&gt;=$AA$74,AH74,IF($C$7&gt;=$AA$73,AH73,AH72))))</f>
        <v>1</v>
      </c>
      <c r="AI77" s="16">
        <f>IF($C$7&gt;=$AA$76,AI76,IF($C$7&gt;=$AA$75,AI75,IF($C$7&gt;=$AA$74,AI74,IF($C$7&gt;=$AA$73,AI73,AI72))))</f>
        <v>2</v>
      </c>
      <c r="AJ77" s="16">
        <v>1</v>
      </c>
      <c r="AL77" s="2" t="e">
        <f>IF(AND(#REF!&gt;=$W$14,#REF!&lt;=$W$14+5),0,IF($C$9&gt;$AF$51,ROUND(AI37*$C$43/(DATEVALUE(CONCATENATE("01/01/",YEAR(#REF!)+1))-DATEVALUE(CONCATENATE("01/01/",YEAR(#REF!))))*(#REF!-Z37),2),0))</f>
        <v>#REF!</v>
      </c>
      <c r="AM77" s="34" t="e">
        <f t="shared" si="65"/>
        <v>#DIV/0!</v>
      </c>
      <c r="AN77" s="57">
        <f t="shared" si="96"/>
        <v>55393</v>
      </c>
      <c r="AO77" s="130" t="e">
        <f t="shared" si="117"/>
        <v>#DIV/0!</v>
      </c>
      <c r="AP77" s="109">
        <f t="shared" si="123"/>
        <v>69</v>
      </c>
      <c r="AQ77" s="110">
        <f t="shared" si="98"/>
        <v>46542</v>
      </c>
      <c r="AR77" s="105" t="e">
        <f>IF(BF83=1,AU77+AS77+AT77,IF(BE76+AU77+AS77&gt;AR76,$D$39,IF(BE76=0,0,BE76+AU77+AS77+AS78)))</f>
        <v>#DIV/0!</v>
      </c>
      <c r="AS77" s="105" t="e">
        <f t="shared" si="105"/>
        <v>#DIV/0!</v>
      </c>
      <c r="AT77" s="105">
        <f t="shared" si="119"/>
        <v>0</v>
      </c>
      <c r="AU77" s="105" t="e">
        <f t="shared" si="99"/>
        <v>#DIV/0!</v>
      </c>
      <c r="AV77" s="105" t="e">
        <f t="shared" si="45"/>
        <v>#DIV/0!</v>
      </c>
      <c r="AW77" s="105" t="e">
        <f t="shared" si="24"/>
        <v>#DIV/0!</v>
      </c>
      <c r="AX77" s="105">
        <f t="shared" si="88"/>
        <v>0</v>
      </c>
      <c r="AY77" s="105">
        <f t="shared" si="89"/>
        <v>0</v>
      </c>
      <c r="AZ77" s="105"/>
      <c r="BA77" s="105"/>
      <c r="BB77" s="105"/>
      <c r="BC77" s="105"/>
      <c r="BD77" s="105"/>
      <c r="BE77" s="105" t="e">
        <f t="shared" si="120"/>
        <v>#DIV/0!</v>
      </c>
      <c r="BF77" s="108">
        <f t="shared" si="124"/>
        <v>0</v>
      </c>
      <c r="BG77" s="108">
        <f t="shared" si="118"/>
        <v>0</v>
      </c>
      <c r="BH77" s="22">
        <f t="shared" si="101"/>
        <v>46360</v>
      </c>
      <c r="BI77" s="108">
        <f t="shared" si="102"/>
        <v>0</v>
      </c>
      <c r="BJ77" s="2" t="e">
        <f t="shared" si="103"/>
        <v>#DIV/0!</v>
      </c>
    </row>
    <row r="78" spans="1:63" s="16" customFormat="1" x14ac:dyDescent="0.25">
      <c r="A78" s="2"/>
      <c r="B78" s="2"/>
      <c r="C78" s="2"/>
      <c r="D78" s="2"/>
      <c r="E78" s="2"/>
      <c r="F78" s="2"/>
      <c r="G78" s="426">
        <f t="shared" si="121"/>
        <v>70</v>
      </c>
      <c r="H78" s="427">
        <f t="shared" si="108"/>
        <v>46572</v>
      </c>
      <c r="I78" s="494">
        <f t="shared" si="77"/>
        <v>5.9000000000000004E-2</v>
      </c>
      <c r="J78" s="423">
        <f t="shared" si="74"/>
        <v>0</v>
      </c>
      <c r="K78" s="423">
        <f t="shared" si="110"/>
        <v>0</v>
      </c>
      <c r="L78" s="423">
        <f t="shared" si="111"/>
        <v>0</v>
      </c>
      <c r="M78" s="423">
        <f t="shared" si="112"/>
        <v>0</v>
      </c>
      <c r="N78" s="423">
        <f t="shared" si="30"/>
        <v>0</v>
      </c>
      <c r="O78" s="423">
        <f t="shared" si="109"/>
        <v>0</v>
      </c>
      <c r="P78" s="423">
        <f t="shared" si="113"/>
        <v>0</v>
      </c>
      <c r="Q78" s="423">
        <f t="shared" si="114"/>
        <v>0</v>
      </c>
      <c r="R78" s="423">
        <f t="shared" si="115"/>
        <v>0</v>
      </c>
      <c r="S78" s="470"/>
      <c r="T78" s="36">
        <f t="shared" si="122"/>
        <v>0</v>
      </c>
      <c r="U78" s="36">
        <f t="shared" si="116"/>
        <v>0</v>
      </c>
      <c r="V78" s="2"/>
      <c r="W78" s="2" t="e">
        <f t="shared" si="66"/>
        <v>#VALUE!</v>
      </c>
      <c r="X78" s="34">
        <f t="shared" si="68"/>
        <v>11726</v>
      </c>
      <c r="Y78" s="57">
        <f t="shared" si="69"/>
        <v>55393</v>
      </c>
      <c r="AC78" s="16" t="s">
        <v>330</v>
      </c>
      <c r="AD78" s="16" t="s">
        <v>112</v>
      </c>
      <c r="AE78" s="16" t="s">
        <v>116</v>
      </c>
      <c r="AF78" s="16" t="s">
        <v>117</v>
      </c>
      <c r="AH78" s="16" t="s">
        <v>122</v>
      </c>
      <c r="AI78" s="16" t="s">
        <v>121</v>
      </c>
      <c r="AL78" s="2" t="e">
        <f>IF(AND(#REF!&gt;=$W$14,#REF!&lt;=$W$14+5),0,IF($C$9&gt;$AF$51,ROUND(AI38*$C$43/(DATEVALUE(CONCATENATE("01/01/",YEAR(#REF!)+1))-DATEVALUE(CONCATENATE("01/01/",YEAR(#REF!))))*(#REF!-#REF!),2),0))</f>
        <v>#REF!</v>
      </c>
      <c r="AM78" s="34" t="e">
        <f>AS39</f>
        <v>#DIV/0!</v>
      </c>
      <c r="AN78" s="57">
        <f t="shared" si="96"/>
        <v>55758</v>
      </c>
      <c r="AO78" s="130" t="e">
        <f t="shared" si="117"/>
        <v>#DIV/0!</v>
      </c>
      <c r="AP78" s="109">
        <f t="shared" si="123"/>
        <v>70</v>
      </c>
      <c r="AQ78" s="110">
        <f t="shared" si="98"/>
        <v>46572</v>
      </c>
      <c r="AR78" s="105" t="e">
        <f>IF(BF84=1,AU78+AS78+AT78,IF(BE77+AU78+AS78&gt;AR77,$D$39,IF(BE77=0,0,BE77+AU78+AS78+#REF!)))</f>
        <v>#DIV/0!</v>
      </c>
      <c r="AS78" s="105" t="e">
        <f t="shared" si="105"/>
        <v>#DIV/0!</v>
      </c>
      <c r="AT78" s="105">
        <f t="shared" si="119"/>
        <v>0</v>
      </c>
      <c r="AU78" s="105" t="e">
        <f t="shared" si="99"/>
        <v>#DIV/0!</v>
      </c>
      <c r="AV78" s="105" t="e">
        <f t="shared" si="45"/>
        <v>#DIV/0!</v>
      </c>
      <c r="AW78" s="105" t="e">
        <f t="shared" si="24"/>
        <v>#DIV/0!</v>
      </c>
      <c r="AX78" s="105">
        <f t="shared" si="88"/>
        <v>0</v>
      </c>
      <c r="AY78" s="105">
        <f t="shared" si="89"/>
        <v>0</v>
      </c>
      <c r="AZ78" s="105"/>
      <c r="BA78" s="105"/>
      <c r="BB78" s="105"/>
      <c r="BC78" s="105"/>
      <c r="BD78" s="105"/>
      <c r="BE78" s="105" t="e">
        <f t="shared" si="120"/>
        <v>#DIV/0!</v>
      </c>
      <c r="BF78" s="108">
        <f t="shared" si="124"/>
        <v>0</v>
      </c>
      <c r="BG78" s="108">
        <f t="shared" si="118"/>
        <v>0</v>
      </c>
      <c r="BH78" s="22">
        <f t="shared" si="101"/>
        <v>46391</v>
      </c>
      <c r="BI78" s="108">
        <f t="shared" si="102"/>
        <v>0</v>
      </c>
      <c r="BJ78" s="2" t="e">
        <f t="shared" si="103"/>
        <v>#DIV/0!</v>
      </c>
    </row>
    <row r="79" spans="1:63" s="16" customFormat="1" x14ac:dyDescent="0.25">
      <c r="A79" s="2"/>
      <c r="B79" s="2"/>
      <c r="C79" s="2"/>
      <c r="D79" s="13"/>
      <c r="E79" s="2"/>
      <c r="F79" s="2"/>
      <c r="G79" s="426">
        <f t="shared" si="121"/>
        <v>71</v>
      </c>
      <c r="H79" s="427">
        <f t="shared" si="108"/>
        <v>46603</v>
      </c>
      <c r="I79" s="494">
        <f t="shared" si="77"/>
        <v>5.9000000000000004E-2</v>
      </c>
      <c r="J79" s="423">
        <f t="shared" si="74"/>
        <v>0</v>
      </c>
      <c r="K79" s="423">
        <f t="shared" si="110"/>
        <v>0</v>
      </c>
      <c r="L79" s="423">
        <f t="shared" si="111"/>
        <v>0</v>
      </c>
      <c r="M79" s="423">
        <f t="shared" si="112"/>
        <v>0</v>
      </c>
      <c r="N79" s="423">
        <f t="shared" si="30"/>
        <v>0</v>
      </c>
      <c r="O79" s="423">
        <f t="shared" si="109"/>
        <v>0</v>
      </c>
      <c r="P79" s="423">
        <f t="shared" si="113"/>
        <v>0</v>
      </c>
      <c r="Q79" s="423">
        <f t="shared" si="114"/>
        <v>0</v>
      </c>
      <c r="R79" s="423">
        <f t="shared" si="115"/>
        <v>0</v>
      </c>
      <c r="S79" s="470"/>
      <c r="T79" s="36">
        <f t="shared" si="122"/>
        <v>0</v>
      </c>
      <c r="U79" s="36">
        <f t="shared" si="116"/>
        <v>0</v>
      </c>
      <c r="V79" s="2"/>
      <c r="W79" s="2" t="e">
        <f t="shared" si="66"/>
        <v>#VALUE!</v>
      </c>
      <c r="X79" s="34">
        <f t="shared" si="68"/>
        <v>11726</v>
      </c>
      <c r="Y79" s="57">
        <f t="shared" si="69"/>
        <v>55758</v>
      </c>
      <c r="AC79" s="143">
        <f>MIN($C$7*IF($C$7&gt;$AB$75,AC76,IF($C$7&gt;$AB$74,AC75,IF($C$7&gt;$AB$73,AC74,IF($C$7&gt;$AB$72,AC73,AC72)))),5000000)</f>
        <v>330000</v>
      </c>
      <c r="AD79" s="143">
        <f>MIN($C$7*IF($C$7&gt;$AB$76,AD77,IF($C$7&gt;$AB$75,AD76,IF($C$7&gt;$AB$74,AD75,IF($C$7&gt;$AB$73,AD74,IF($C$7&gt;$AB$72,AD73,AD72))))),5000000)</f>
        <v>405000</v>
      </c>
      <c r="AE79" s="143">
        <f>MIN($C$7*IF($C$7&gt;=$AA$76,AE76,IF($C$7&gt;=$AA$75,AE75,IF($C$7&gt;=$AA$74,AE74,IF($C$7&gt;=$AA$73,AE73,AE72)))),5000000)</f>
        <v>450000</v>
      </c>
      <c r="AF79" s="143">
        <f>MIN($C$7*IF($C$7&gt;=$AA$76,AF76,IF($C$7&gt;=$AA$75,AF75,IF($C$7&gt;=$AA$74,AF74,IF($C$7&gt;=$AA$73,AF73,AF72)))),5000000)</f>
        <v>390000</v>
      </c>
      <c r="AG79" s="143"/>
      <c r="AH79" s="143">
        <f>$C$7*IF($C$7&gt;=$AA$76,AH76,IF($C$7&gt;=$AA$75,AH75,IF($C$7&gt;=$AA$74,AH74,IF($C$7&gt;=$AA$73,AH73,AH72))))</f>
        <v>300000</v>
      </c>
      <c r="AI79" s="143">
        <f>$C$7*IF($C$7&gt;=$AA$76,AI76,IF($C$7&gt;=$AA$75,AI75,IF($C$7&gt;=$AA$74,AI74,IF($C$7&gt;=$AA$73,AI73,AI72))))</f>
        <v>600000</v>
      </c>
      <c r="AL79" s="2" t="e">
        <f>IF(AND(#REF!&gt;=$W$14,#REF!&lt;=$W$14+5),0,IF($C$9&gt;$AF$51,ROUND(AJ39*$C$43/(DATEVALUE(CONCATENATE("01/01/",YEAR(#REF!)+1))-DATEVALUE(CONCATENATE("01/01/",YEAR(#REF!))))*(#REF!-#REF!),2),0))</f>
        <v>#REF!</v>
      </c>
      <c r="AM79" s="34" t="e">
        <f>AS40</f>
        <v>#DIV/0!</v>
      </c>
      <c r="AN79" s="57">
        <f t="shared" si="96"/>
        <v>56123</v>
      </c>
      <c r="AO79" s="130" t="e">
        <f t="shared" si="117"/>
        <v>#DIV/0!</v>
      </c>
      <c r="AP79" s="109">
        <f t="shared" si="123"/>
        <v>71</v>
      </c>
      <c r="AQ79" s="110">
        <f t="shared" si="98"/>
        <v>46603</v>
      </c>
      <c r="AR79" s="105" t="e">
        <f t="shared" ref="AR79:AR99" si="125">IF(BF85=1,AU79+AS79+AT79,IF(BE78+AU79+AS79&gt;AR78,$D$39,IF(BE78=0,0,BE78+AU79+AS79+AS110)))</f>
        <v>#DIV/0!</v>
      </c>
      <c r="AS79" s="105" t="e">
        <f t="shared" si="105"/>
        <v>#DIV/0!</v>
      </c>
      <c r="AT79" s="105">
        <f t="shared" si="119"/>
        <v>0</v>
      </c>
      <c r="AU79" s="105" t="e">
        <f t="shared" si="99"/>
        <v>#DIV/0!</v>
      </c>
      <c r="AV79" s="105" t="e">
        <f t="shared" si="45"/>
        <v>#DIV/0!</v>
      </c>
      <c r="AW79" s="105" t="e">
        <f t="shared" si="24"/>
        <v>#DIV/0!</v>
      </c>
      <c r="AX79" s="105">
        <f t="shared" si="88"/>
        <v>0</v>
      </c>
      <c r="AY79" s="105">
        <f t="shared" si="89"/>
        <v>0</v>
      </c>
      <c r="AZ79" s="105"/>
      <c r="BA79" s="105"/>
      <c r="BB79" s="105"/>
      <c r="BC79" s="105"/>
      <c r="BD79" s="105"/>
      <c r="BE79" s="105" t="e">
        <f t="shared" si="120"/>
        <v>#DIV/0!</v>
      </c>
      <c r="BF79" s="108">
        <f t="shared" si="124"/>
        <v>0</v>
      </c>
      <c r="BG79" s="108">
        <f t="shared" si="118"/>
        <v>0</v>
      </c>
      <c r="BH79" s="22">
        <f t="shared" si="101"/>
        <v>46422</v>
      </c>
      <c r="BI79" s="108">
        <f t="shared" si="102"/>
        <v>0</v>
      </c>
      <c r="BJ79" s="2" t="e">
        <f t="shared" si="103"/>
        <v>#DIV/0!</v>
      </c>
    </row>
    <row r="80" spans="1:63" s="16" customFormat="1" x14ac:dyDescent="0.25">
      <c r="A80" s="2"/>
      <c r="B80" s="2"/>
      <c r="C80" s="2"/>
      <c r="D80" s="13"/>
      <c r="E80" s="2"/>
      <c r="F80" s="2"/>
      <c r="G80" s="426">
        <f t="shared" si="121"/>
        <v>72</v>
      </c>
      <c r="H80" s="427">
        <f t="shared" si="108"/>
        <v>46634</v>
      </c>
      <c r="I80" s="494">
        <f t="shared" si="77"/>
        <v>5.9000000000000004E-2</v>
      </c>
      <c r="J80" s="423">
        <f t="shared" si="74"/>
        <v>0</v>
      </c>
      <c r="K80" s="423">
        <f t="shared" si="110"/>
        <v>0</v>
      </c>
      <c r="L80" s="423">
        <f t="shared" si="111"/>
        <v>0</v>
      </c>
      <c r="M80" s="423">
        <f t="shared" si="112"/>
        <v>0</v>
      </c>
      <c r="N80" s="423">
        <f t="shared" si="30"/>
        <v>0</v>
      </c>
      <c r="O80" s="423">
        <f t="shared" si="109"/>
        <v>0</v>
      </c>
      <c r="P80" s="423">
        <f t="shared" si="113"/>
        <v>0</v>
      </c>
      <c r="Q80" s="423">
        <f t="shared" si="114"/>
        <v>0</v>
      </c>
      <c r="R80" s="423">
        <f t="shared" si="115"/>
        <v>0</v>
      </c>
      <c r="S80" s="470"/>
      <c r="T80" s="36">
        <f t="shared" si="122"/>
        <v>0</v>
      </c>
      <c r="U80" s="36">
        <f t="shared" si="116"/>
        <v>0</v>
      </c>
      <c r="V80" s="2"/>
      <c r="W80" s="2" t="e">
        <f t="shared" si="66"/>
        <v>#VALUE!</v>
      </c>
      <c r="X80" s="34">
        <f t="shared" si="68"/>
        <v>11726</v>
      </c>
      <c r="Y80" s="57">
        <f t="shared" si="69"/>
        <v>56123</v>
      </c>
      <c r="AL80" s="2" t="e">
        <f>IF(AND(#REF!&gt;=$W$14,#REF!&lt;=$W$14+5),0,IF($C$9&gt;$AF$51,ROUND(AJ40*$C$43/(DATEVALUE(CONCATENATE("01/01/",YEAR(#REF!)+1))-DATEVALUE(CONCATENATE("01/01/",YEAR(#REF!))))*(#REF!-#REF!),2),0))</f>
        <v>#REF!</v>
      </c>
      <c r="AM80" s="34" t="e">
        <f>AS41</f>
        <v>#DIV/0!</v>
      </c>
      <c r="AN80" s="57">
        <f t="shared" si="96"/>
        <v>56488</v>
      </c>
      <c r="AO80" s="130" t="e">
        <f t="shared" si="117"/>
        <v>#DIV/0!</v>
      </c>
      <c r="AP80" s="109">
        <f t="shared" si="123"/>
        <v>72</v>
      </c>
      <c r="AQ80" s="110">
        <f t="shared" si="98"/>
        <v>46634</v>
      </c>
      <c r="AR80" s="105" t="e">
        <f t="shared" si="125"/>
        <v>#DIV/0!</v>
      </c>
      <c r="AS80" s="105" t="e">
        <f t="shared" si="105"/>
        <v>#DIV/0!</v>
      </c>
      <c r="AT80" s="105">
        <f t="shared" si="119"/>
        <v>0</v>
      </c>
      <c r="AU80" s="105" t="e">
        <f t="shared" si="99"/>
        <v>#DIV/0!</v>
      </c>
      <c r="AV80" s="105" t="e">
        <f t="shared" si="45"/>
        <v>#DIV/0!</v>
      </c>
      <c r="AW80" s="105" t="e">
        <f t="shared" si="24"/>
        <v>#DIV/0!</v>
      </c>
      <c r="AX80" s="105">
        <f t="shared" si="88"/>
        <v>0</v>
      </c>
      <c r="AY80" s="105">
        <f t="shared" si="89"/>
        <v>0</v>
      </c>
      <c r="AZ80" s="105"/>
      <c r="BA80" s="105"/>
      <c r="BB80" s="105"/>
      <c r="BC80" s="105"/>
      <c r="BD80" s="105"/>
      <c r="BE80" s="105" t="e">
        <f t="shared" si="120"/>
        <v>#DIV/0!</v>
      </c>
      <c r="BF80" s="108">
        <f t="shared" si="124"/>
        <v>0</v>
      </c>
      <c r="BG80" s="108">
        <f t="shared" si="118"/>
        <v>0</v>
      </c>
      <c r="BH80" s="22">
        <f t="shared" si="101"/>
        <v>46450</v>
      </c>
      <c r="BI80" s="108">
        <f t="shared" si="102"/>
        <v>0</v>
      </c>
      <c r="BJ80" s="2" t="e">
        <f t="shared" si="103"/>
        <v>#DIV/0!</v>
      </c>
    </row>
    <row r="81" spans="1:62" s="16" customFormat="1" x14ac:dyDescent="0.25">
      <c r="A81" s="2"/>
      <c r="B81" s="2"/>
      <c r="C81" s="2"/>
      <c r="D81" s="2"/>
      <c r="E81" s="2"/>
      <c r="F81" s="2"/>
      <c r="G81" s="426">
        <f t="shared" si="121"/>
        <v>73</v>
      </c>
      <c r="H81" s="427">
        <f t="shared" si="108"/>
        <v>46664</v>
      </c>
      <c r="I81" s="494">
        <f t="shared" si="77"/>
        <v>5.9000000000000004E-2</v>
      </c>
      <c r="J81" s="423">
        <f t="shared" si="74"/>
        <v>0</v>
      </c>
      <c r="K81" s="423">
        <f t="shared" si="110"/>
        <v>0</v>
      </c>
      <c r="L81" s="423">
        <f t="shared" si="111"/>
        <v>0</v>
      </c>
      <c r="M81" s="423">
        <f t="shared" si="112"/>
        <v>0</v>
      </c>
      <c r="N81" s="423">
        <f t="shared" si="30"/>
        <v>0</v>
      </c>
      <c r="O81" s="423">
        <f t="shared" si="109"/>
        <v>0</v>
      </c>
      <c r="P81" s="423">
        <f t="shared" si="113"/>
        <v>0</v>
      </c>
      <c r="Q81" s="423">
        <f t="shared" si="114"/>
        <v>0</v>
      </c>
      <c r="R81" s="423">
        <f t="shared" si="115"/>
        <v>0</v>
      </c>
      <c r="S81" s="470"/>
      <c r="T81" s="36">
        <f t="shared" si="122"/>
        <v>0</v>
      </c>
      <c r="U81" s="36">
        <f t="shared" si="116"/>
        <v>0</v>
      </c>
      <c r="V81" s="2"/>
      <c r="W81" s="2" t="e">
        <f t="shared" ref="W81:W112" si="126">IF(AND(G41&gt;=$W$14,G41&lt;=$W$14+5),0,IF($C$9&gt;$AF$51,ROUND(R40*$C$43/(DATEVALUE(CONCATENATE("01/01/",YEAR(H41)+1))-DATEVALUE(CONCATENATE("01/01/",YEAR(H41))))*(H41-H40),2),0))</f>
        <v>#VALUE!</v>
      </c>
      <c r="X81" s="34">
        <f t="shared" si="68"/>
        <v>11726</v>
      </c>
      <c r="Y81" s="57">
        <f t="shared" si="69"/>
        <v>56488</v>
      </c>
      <c r="AL81" s="2" t="e">
        <f>IF(AND(#REF!&gt;=$W$14,#REF!&lt;=$W$14+5),0,IF($C$9&gt;$AF$51,ROUND(AJ41*$C$43/(DATEVALUE(CONCATENATE("01/01/",YEAR(#REF!)+1))-DATEVALUE(CONCATENATE("01/01/",YEAR(#REF!))))*(#REF!-#REF!),2),0))</f>
        <v>#REF!</v>
      </c>
      <c r="AM81" s="34" t="e">
        <f t="shared" si="65"/>
        <v>#DIV/0!</v>
      </c>
      <c r="AN81" s="57">
        <f t="shared" ref="AN81:AN144" si="127">AN80+365</f>
        <v>56853</v>
      </c>
      <c r="AO81" s="130" t="e">
        <f t="shared" si="117"/>
        <v>#DIV/0!</v>
      </c>
      <c r="AP81" s="109">
        <f t="shared" si="123"/>
        <v>73</v>
      </c>
      <c r="AQ81" s="110">
        <f t="shared" si="98"/>
        <v>46664</v>
      </c>
      <c r="AR81" s="105" t="e">
        <f t="shared" si="125"/>
        <v>#DIV/0!</v>
      </c>
      <c r="AS81" s="105" t="e">
        <f t="shared" si="105"/>
        <v>#DIV/0!</v>
      </c>
      <c r="AT81" s="105">
        <f t="shared" si="119"/>
        <v>0</v>
      </c>
      <c r="AU81" s="105" t="e">
        <f t="shared" si="99"/>
        <v>#DIV/0!</v>
      </c>
      <c r="AV81" s="105" t="e">
        <f t="shared" si="45"/>
        <v>#DIV/0!</v>
      </c>
      <c r="AW81" s="105" t="e">
        <f t="shared" si="24"/>
        <v>#DIV/0!</v>
      </c>
      <c r="AX81" s="105">
        <f t="shared" si="88"/>
        <v>0</v>
      </c>
      <c r="AY81" s="105">
        <f t="shared" si="89"/>
        <v>0</v>
      </c>
      <c r="AZ81" s="105"/>
      <c r="BA81" s="105"/>
      <c r="BB81" s="105"/>
      <c r="BC81" s="105"/>
      <c r="BD81" s="105"/>
      <c r="BE81" s="105" t="e">
        <f t="shared" si="120"/>
        <v>#DIV/0!</v>
      </c>
      <c r="BF81" s="108">
        <f t="shared" si="124"/>
        <v>0</v>
      </c>
      <c r="BG81" s="108">
        <f t="shared" si="118"/>
        <v>0</v>
      </c>
      <c r="BH81" s="22">
        <f t="shared" si="101"/>
        <v>46481</v>
      </c>
      <c r="BI81" s="108">
        <f t="shared" si="102"/>
        <v>0</v>
      </c>
      <c r="BJ81" s="2" t="e">
        <f t="shared" si="103"/>
        <v>#DIV/0!</v>
      </c>
    </row>
    <row r="82" spans="1:62" s="16" customFormat="1" x14ac:dyDescent="0.25">
      <c r="A82" s="2"/>
      <c r="B82" s="2"/>
      <c r="C82" s="2"/>
      <c r="D82" s="2"/>
      <c r="E82" s="2"/>
      <c r="F82" s="2"/>
      <c r="G82" s="426">
        <f t="shared" si="121"/>
        <v>74</v>
      </c>
      <c r="H82" s="427">
        <f t="shared" si="108"/>
        <v>46695</v>
      </c>
      <c r="I82" s="494">
        <f t="shared" si="77"/>
        <v>5.9000000000000004E-2</v>
      </c>
      <c r="J82" s="423">
        <f t="shared" si="74"/>
        <v>0</v>
      </c>
      <c r="K82" s="423">
        <f t="shared" si="110"/>
        <v>0</v>
      </c>
      <c r="L82" s="423">
        <f t="shared" si="111"/>
        <v>0</v>
      </c>
      <c r="M82" s="423">
        <f t="shared" si="112"/>
        <v>0</v>
      </c>
      <c r="N82" s="423">
        <f t="shared" si="30"/>
        <v>0</v>
      </c>
      <c r="O82" s="423">
        <f t="shared" si="109"/>
        <v>0</v>
      </c>
      <c r="P82" s="423">
        <f t="shared" si="113"/>
        <v>0</v>
      </c>
      <c r="Q82" s="423">
        <f t="shared" si="114"/>
        <v>0</v>
      </c>
      <c r="R82" s="423">
        <f t="shared" si="115"/>
        <v>0</v>
      </c>
      <c r="S82" s="470"/>
      <c r="T82" s="36">
        <f t="shared" si="122"/>
        <v>0</v>
      </c>
      <c r="U82" s="36">
        <f t="shared" si="116"/>
        <v>0</v>
      </c>
      <c r="V82" s="2"/>
      <c r="W82" s="2" t="e">
        <f t="shared" si="126"/>
        <v>#VALUE!</v>
      </c>
      <c r="X82" s="34">
        <f t="shared" si="68"/>
        <v>11726</v>
      </c>
      <c r="Y82" s="57">
        <f t="shared" si="69"/>
        <v>56853</v>
      </c>
      <c r="AE82" s="16">
        <f>500000*0.3*60</f>
        <v>9000000</v>
      </c>
      <c r="AL82" s="2" t="e">
        <f>IF(AND(#REF!&gt;=$W$14,#REF!&lt;=$W$14+5),0,IF($C$9&gt;$AF$51,ROUND(AI42*$C$43/(DATEVALUE(CONCATENATE("01/01/",YEAR(#REF!)+1))-DATEVALUE(CONCATENATE("01/01/",YEAR(#REF!))))*(#REF!-#REF!),2),0))</f>
        <v>#REF!</v>
      </c>
      <c r="AM82" s="34" t="e">
        <f t="shared" si="65"/>
        <v>#DIV/0!</v>
      </c>
      <c r="AN82" s="57">
        <f t="shared" si="127"/>
        <v>57218</v>
      </c>
      <c r="AO82" s="130" t="e">
        <f t="shared" si="117"/>
        <v>#DIV/0!</v>
      </c>
      <c r="AP82" s="109">
        <f t="shared" si="123"/>
        <v>74</v>
      </c>
      <c r="AQ82" s="110">
        <f t="shared" si="98"/>
        <v>46695</v>
      </c>
      <c r="AR82" s="105" t="e">
        <f t="shared" si="125"/>
        <v>#DIV/0!</v>
      </c>
      <c r="AS82" s="105" t="e">
        <f t="shared" si="105"/>
        <v>#DIV/0!</v>
      </c>
      <c r="AT82" s="105">
        <f t="shared" si="119"/>
        <v>0</v>
      </c>
      <c r="AU82" s="105" t="e">
        <f t="shared" si="99"/>
        <v>#DIV/0!</v>
      </c>
      <c r="AV82" s="105" t="e">
        <f t="shared" si="45"/>
        <v>#DIV/0!</v>
      </c>
      <c r="AW82" s="105" t="e">
        <f t="shared" si="24"/>
        <v>#DIV/0!</v>
      </c>
      <c r="AX82" s="105">
        <f t="shared" si="88"/>
        <v>0</v>
      </c>
      <c r="AY82" s="105">
        <f t="shared" si="89"/>
        <v>0</v>
      </c>
      <c r="AZ82" s="105"/>
      <c r="BA82" s="105"/>
      <c r="BB82" s="105"/>
      <c r="BC82" s="105"/>
      <c r="BD82" s="105"/>
      <c r="BE82" s="105" t="e">
        <f t="shared" si="120"/>
        <v>#DIV/0!</v>
      </c>
      <c r="BF82" s="108">
        <f t="shared" si="124"/>
        <v>0</v>
      </c>
      <c r="BG82" s="108">
        <f t="shared" si="118"/>
        <v>0</v>
      </c>
      <c r="BH82" s="22">
        <f t="shared" si="101"/>
        <v>46511</v>
      </c>
      <c r="BI82" s="108">
        <f t="shared" si="102"/>
        <v>0</v>
      </c>
      <c r="BJ82" s="2" t="e">
        <f t="shared" si="103"/>
        <v>#DIV/0!</v>
      </c>
    </row>
    <row r="83" spans="1:62" s="16" customFormat="1" x14ac:dyDescent="0.25">
      <c r="A83" s="2"/>
      <c r="B83" s="2"/>
      <c r="C83" s="2"/>
      <c r="D83" s="2"/>
      <c r="E83" s="2"/>
      <c r="F83" s="2"/>
      <c r="G83" s="426">
        <f t="shared" si="121"/>
        <v>75</v>
      </c>
      <c r="H83" s="427">
        <f t="shared" si="108"/>
        <v>46725</v>
      </c>
      <c r="I83" s="494">
        <f t="shared" si="77"/>
        <v>5.9000000000000004E-2</v>
      </c>
      <c r="J83" s="423">
        <f t="shared" si="74"/>
        <v>0</v>
      </c>
      <c r="K83" s="423">
        <f t="shared" si="110"/>
        <v>0</v>
      </c>
      <c r="L83" s="423">
        <f t="shared" si="111"/>
        <v>0</v>
      </c>
      <c r="M83" s="423">
        <f t="shared" si="112"/>
        <v>0</v>
      </c>
      <c r="N83" s="423">
        <f t="shared" si="30"/>
        <v>0</v>
      </c>
      <c r="O83" s="423">
        <f t="shared" si="109"/>
        <v>0</v>
      </c>
      <c r="P83" s="423">
        <f t="shared" si="113"/>
        <v>0</v>
      </c>
      <c r="Q83" s="423">
        <f t="shared" si="114"/>
        <v>0</v>
      </c>
      <c r="R83" s="423">
        <f t="shared" si="115"/>
        <v>0</v>
      </c>
      <c r="S83" s="470"/>
      <c r="T83" s="36">
        <f t="shared" si="122"/>
        <v>0</v>
      </c>
      <c r="U83" s="36">
        <f t="shared" si="116"/>
        <v>0</v>
      </c>
      <c r="V83" s="2"/>
      <c r="W83" s="2" t="e">
        <f t="shared" si="126"/>
        <v>#VALUE!</v>
      </c>
      <c r="X83" s="34">
        <f t="shared" si="68"/>
        <v>11726</v>
      </c>
      <c r="Y83" s="57">
        <f t="shared" si="69"/>
        <v>57218</v>
      </c>
      <c r="AL83" s="2" t="e">
        <f>IF(AND(#REF!&gt;=$W$14,#REF!&lt;=$W$14+5),0,IF($C$9&gt;$AF$51,ROUND(AI43*$C$43/(DATEVALUE(CONCATENATE("01/01/",YEAR(#REF!)+1))-DATEVALUE(CONCATENATE("01/01/",YEAR(#REF!))))*(#REF!-#REF!),2),0))</f>
        <v>#REF!</v>
      </c>
      <c r="AM83" s="34" t="e">
        <f t="shared" si="65"/>
        <v>#DIV/0!</v>
      </c>
      <c r="AN83" s="57">
        <f t="shared" si="127"/>
        <v>57583</v>
      </c>
      <c r="AO83" s="130" t="e">
        <f t="shared" si="117"/>
        <v>#DIV/0!</v>
      </c>
      <c r="AP83" s="109">
        <f t="shared" si="123"/>
        <v>75</v>
      </c>
      <c r="AQ83" s="110">
        <f t="shared" si="98"/>
        <v>46725</v>
      </c>
      <c r="AR83" s="105" t="e">
        <f t="shared" si="125"/>
        <v>#DIV/0!</v>
      </c>
      <c r="AS83" s="105" t="e">
        <f t="shared" si="105"/>
        <v>#DIV/0!</v>
      </c>
      <c r="AT83" s="105">
        <f t="shared" si="119"/>
        <v>0</v>
      </c>
      <c r="AU83" s="105" t="e">
        <f t="shared" si="99"/>
        <v>#DIV/0!</v>
      </c>
      <c r="AV83" s="105" t="e">
        <f t="shared" si="45"/>
        <v>#DIV/0!</v>
      </c>
      <c r="AW83" s="105" t="e">
        <f t="shared" si="24"/>
        <v>#DIV/0!</v>
      </c>
      <c r="AX83" s="105">
        <f t="shared" ref="AX83:AX108" si="128">IF(BG89=0,0,0)</f>
        <v>0</v>
      </c>
      <c r="AY83" s="105">
        <f t="shared" ref="AY83:AY108" si="129">IF(BG89=0,0,0)</f>
        <v>0</v>
      </c>
      <c r="AZ83" s="105"/>
      <c r="BA83" s="105"/>
      <c r="BB83" s="105"/>
      <c r="BC83" s="105"/>
      <c r="BD83" s="105"/>
      <c r="BE83" s="105" t="e">
        <f t="shared" si="120"/>
        <v>#DIV/0!</v>
      </c>
      <c r="BF83" s="108">
        <f t="shared" si="124"/>
        <v>0</v>
      </c>
      <c r="BG83" s="108">
        <f t="shared" si="118"/>
        <v>0</v>
      </c>
      <c r="BH83" s="22">
        <f t="shared" si="101"/>
        <v>46542</v>
      </c>
      <c r="BI83" s="108">
        <f t="shared" si="102"/>
        <v>0</v>
      </c>
      <c r="BJ83" s="2" t="e">
        <f t="shared" si="103"/>
        <v>#DIV/0!</v>
      </c>
    </row>
    <row r="84" spans="1:62" s="16" customFormat="1" x14ac:dyDescent="0.25">
      <c r="A84" s="53"/>
      <c r="C84" s="2"/>
      <c r="D84" s="2"/>
      <c r="E84" s="2"/>
      <c r="F84" s="2"/>
      <c r="G84" s="426">
        <f t="shared" si="121"/>
        <v>76</v>
      </c>
      <c r="H84" s="427">
        <f t="shared" si="108"/>
        <v>46756</v>
      </c>
      <c r="I84" s="494">
        <f t="shared" si="77"/>
        <v>5.9000000000000004E-2</v>
      </c>
      <c r="J84" s="423">
        <f t="shared" si="74"/>
        <v>0</v>
      </c>
      <c r="K84" s="423">
        <f t="shared" si="110"/>
        <v>0</v>
      </c>
      <c r="L84" s="423">
        <f t="shared" si="111"/>
        <v>0</v>
      </c>
      <c r="M84" s="423">
        <f t="shared" si="112"/>
        <v>0</v>
      </c>
      <c r="N84" s="423">
        <f t="shared" si="30"/>
        <v>0</v>
      </c>
      <c r="O84" s="423">
        <f t="shared" si="109"/>
        <v>0</v>
      </c>
      <c r="P84" s="423">
        <f t="shared" si="113"/>
        <v>0</v>
      </c>
      <c r="Q84" s="423">
        <f t="shared" si="114"/>
        <v>0</v>
      </c>
      <c r="R84" s="423">
        <f t="shared" si="115"/>
        <v>0</v>
      </c>
      <c r="S84" s="470"/>
      <c r="T84" s="36">
        <f t="shared" si="122"/>
        <v>0</v>
      </c>
      <c r="U84" s="36">
        <f t="shared" si="116"/>
        <v>0</v>
      </c>
      <c r="V84" s="2"/>
      <c r="W84" s="2" t="e">
        <f t="shared" si="126"/>
        <v>#VALUE!</v>
      </c>
      <c r="X84" s="34">
        <f t="shared" si="68"/>
        <v>11726</v>
      </c>
      <c r="Y84" s="57">
        <f t="shared" si="69"/>
        <v>57583</v>
      </c>
      <c r="AL84" s="2" t="e">
        <f>IF(AND(Y46&gt;=$W$14,Y46&lt;=$W$14+5),0,IF($C$9&gt;$AF$51,ROUND(AI44*$C$43/(DATEVALUE(CONCATENATE("01/01/",YEAR(Z46)+1))-DATEVALUE(CONCATENATE("01/01/",YEAR(Z46))))*(Z46-#REF!),2),0))</f>
        <v>#VALUE!</v>
      </c>
      <c r="AM84" s="34" t="e">
        <f t="shared" si="65"/>
        <v>#DIV/0!</v>
      </c>
      <c r="AN84" s="57">
        <f t="shared" si="127"/>
        <v>57948</v>
      </c>
      <c r="AO84" s="130" t="e">
        <f t="shared" si="117"/>
        <v>#DIV/0!</v>
      </c>
      <c r="AP84" s="109">
        <f t="shared" si="123"/>
        <v>76</v>
      </c>
      <c r="AQ84" s="110">
        <f t="shared" si="98"/>
        <v>46756</v>
      </c>
      <c r="AR84" s="105" t="e">
        <f t="shared" si="125"/>
        <v>#DIV/0!</v>
      </c>
      <c r="AS84" s="105" t="e">
        <f t="shared" si="105"/>
        <v>#DIV/0!</v>
      </c>
      <c r="AT84" s="105">
        <f t="shared" si="119"/>
        <v>0</v>
      </c>
      <c r="AU84" s="105" t="e">
        <f t="shared" si="99"/>
        <v>#DIV/0!</v>
      </c>
      <c r="AV84" s="105" t="e">
        <f t="shared" si="45"/>
        <v>#DIV/0!</v>
      </c>
      <c r="AW84" s="105" t="e">
        <f t="shared" si="24"/>
        <v>#DIV/0!</v>
      </c>
      <c r="AX84" s="105">
        <f t="shared" si="128"/>
        <v>0</v>
      </c>
      <c r="AY84" s="105">
        <f t="shared" si="129"/>
        <v>0</v>
      </c>
      <c r="AZ84" s="105"/>
      <c r="BA84" s="105"/>
      <c r="BB84" s="105"/>
      <c r="BC84" s="105"/>
      <c r="BD84" s="105"/>
      <c r="BE84" s="105" t="e">
        <f t="shared" si="120"/>
        <v>#DIV/0!</v>
      </c>
      <c r="BF84" s="108">
        <f t="shared" si="124"/>
        <v>0</v>
      </c>
      <c r="BG84" s="108">
        <f t="shared" si="118"/>
        <v>0</v>
      </c>
      <c r="BH84" s="22">
        <f t="shared" si="101"/>
        <v>46572</v>
      </c>
      <c r="BI84" s="108">
        <f t="shared" si="102"/>
        <v>0</v>
      </c>
      <c r="BJ84" s="2" t="e">
        <f>IF(AND(G39&gt;=$W$14,G39&lt;=$W$14+5),0,IF($C$9&gt;$AF$51,ROUND(BE38*IF($D$33="",0,$D$33)/(DATEVALUE(CONCATENATE("01/01/",YEAR(AR39)+1))-DATEVALUE(CONCATENATE("01/01/",YEAR(AR39))))*(AR39-AQ38),2),0))</f>
        <v>#DIV/0!</v>
      </c>
    </row>
    <row r="85" spans="1:62" s="16" customFormat="1" x14ac:dyDescent="0.25">
      <c r="A85" s="53"/>
      <c r="B85" s="2"/>
      <c r="C85" s="2"/>
      <c r="D85" s="2"/>
      <c r="E85" s="2"/>
      <c r="F85" s="2"/>
      <c r="G85" s="426">
        <f t="shared" si="121"/>
        <v>77</v>
      </c>
      <c r="H85" s="427">
        <f t="shared" si="108"/>
        <v>46787</v>
      </c>
      <c r="I85" s="494">
        <f t="shared" si="77"/>
        <v>5.9000000000000004E-2</v>
      </c>
      <c r="J85" s="423">
        <f t="shared" si="74"/>
        <v>0</v>
      </c>
      <c r="K85" s="423">
        <f t="shared" si="110"/>
        <v>0</v>
      </c>
      <c r="L85" s="423">
        <f t="shared" si="111"/>
        <v>0</v>
      </c>
      <c r="M85" s="423">
        <f t="shared" si="112"/>
        <v>0</v>
      </c>
      <c r="N85" s="423">
        <f t="shared" si="30"/>
        <v>0</v>
      </c>
      <c r="O85" s="423">
        <f t="shared" si="109"/>
        <v>0</v>
      </c>
      <c r="P85" s="423">
        <f t="shared" si="113"/>
        <v>0</v>
      </c>
      <c r="Q85" s="423">
        <f t="shared" si="114"/>
        <v>0</v>
      </c>
      <c r="R85" s="423">
        <f t="shared" si="115"/>
        <v>0</v>
      </c>
      <c r="S85" s="470"/>
      <c r="T85" s="36">
        <f t="shared" si="122"/>
        <v>0</v>
      </c>
      <c r="U85" s="36">
        <f t="shared" si="116"/>
        <v>0</v>
      </c>
      <c r="V85" s="2"/>
      <c r="W85" s="2" t="e">
        <f t="shared" si="126"/>
        <v>#VALUE!</v>
      </c>
      <c r="X85" s="34">
        <f t="shared" si="68"/>
        <v>11494</v>
      </c>
      <c r="Y85" s="57">
        <f t="shared" si="69"/>
        <v>57948</v>
      </c>
      <c r="AL85" s="2" t="e">
        <f t="shared" ref="AL85:AL116" si="130">IF(AND(Y47&gt;=$W$14,Y47&lt;=$W$14+5),0,IF($C$9&gt;$AF$51,ROUND(AI45*$C$43/(DATEVALUE(CONCATENATE("01/01/",YEAR(Z47)+1))-DATEVALUE(CONCATENATE("01/01/",YEAR(Z47))))*(Z47-Z46),2),0))</f>
        <v>#VALUE!</v>
      </c>
      <c r="AM85" s="34" t="e">
        <f t="shared" si="65"/>
        <v>#DIV/0!</v>
      </c>
      <c r="AN85" s="57">
        <f t="shared" si="127"/>
        <v>58313</v>
      </c>
      <c r="AO85" s="130" t="e">
        <f t="shared" si="117"/>
        <v>#DIV/0!</v>
      </c>
      <c r="AP85" s="109">
        <f t="shared" si="123"/>
        <v>77</v>
      </c>
      <c r="AQ85" s="110">
        <f t="shared" si="98"/>
        <v>46787</v>
      </c>
      <c r="AR85" s="105" t="e">
        <f t="shared" si="125"/>
        <v>#DIV/0!</v>
      </c>
      <c r="AS85" s="105" t="e">
        <f t="shared" si="105"/>
        <v>#DIV/0!</v>
      </c>
      <c r="AT85" s="105">
        <f t="shared" si="119"/>
        <v>0</v>
      </c>
      <c r="AU85" s="105" t="e">
        <f t="shared" si="99"/>
        <v>#DIV/0!</v>
      </c>
      <c r="AV85" s="105" t="e">
        <f t="shared" si="45"/>
        <v>#DIV/0!</v>
      </c>
      <c r="AW85" s="105" t="e">
        <f t="shared" si="24"/>
        <v>#DIV/0!</v>
      </c>
      <c r="AX85" s="105">
        <f t="shared" si="128"/>
        <v>0</v>
      </c>
      <c r="AY85" s="105">
        <f t="shared" si="129"/>
        <v>0</v>
      </c>
      <c r="AZ85" s="105"/>
      <c r="BA85" s="105"/>
      <c r="BB85" s="105"/>
      <c r="BC85" s="105"/>
      <c r="BD85" s="105"/>
      <c r="BE85" s="105" t="e">
        <f t="shared" si="120"/>
        <v>#DIV/0!</v>
      </c>
      <c r="BF85" s="108">
        <f t="shared" si="124"/>
        <v>0</v>
      </c>
      <c r="BG85" s="108">
        <f t="shared" si="118"/>
        <v>0</v>
      </c>
      <c r="BH85" s="22">
        <f t="shared" si="101"/>
        <v>46603</v>
      </c>
      <c r="BI85" s="108">
        <f t="shared" si="102"/>
        <v>0</v>
      </c>
      <c r="BJ85" s="2" t="e">
        <f>IF(AND(G40&gt;=$W$14,G40&lt;=$W$14+5),0,IF($C$9&gt;$AF$51,ROUND(BF39*IF($D$33="",0,$D$33)/(DATEVALUE(CONCATENATE("01/01/",YEAR(AR40)+1))-DATEVALUE(CONCATENATE("01/01/",YEAR(AR40))))*(AR40-AR39),2),0))</f>
        <v>#DIV/0!</v>
      </c>
    </row>
    <row r="86" spans="1:62" s="16" customFormat="1" x14ac:dyDescent="0.25">
      <c r="A86" s="2"/>
      <c r="B86" s="2"/>
      <c r="C86" s="1"/>
      <c r="D86" s="2"/>
      <c r="E86" s="2"/>
      <c r="F86" s="2"/>
      <c r="G86" s="426">
        <f t="shared" si="121"/>
        <v>78</v>
      </c>
      <c r="H86" s="427">
        <f t="shared" si="108"/>
        <v>46816</v>
      </c>
      <c r="I86" s="494">
        <f t="shared" si="77"/>
        <v>5.9000000000000004E-2</v>
      </c>
      <c r="J86" s="423">
        <f t="shared" si="74"/>
        <v>0</v>
      </c>
      <c r="K86" s="423">
        <f t="shared" si="110"/>
        <v>0</v>
      </c>
      <c r="L86" s="423">
        <f t="shared" si="111"/>
        <v>0</v>
      </c>
      <c r="M86" s="423">
        <f t="shared" si="112"/>
        <v>0</v>
      </c>
      <c r="N86" s="423">
        <f t="shared" ref="N86:N108" si="131">P85-M85</f>
        <v>0</v>
      </c>
      <c r="O86" s="423">
        <f t="shared" si="109"/>
        <v>0</v>
      </c>
      <c r="P86" s="423">
        <f t="shared" si="113"/>
        <v>0</v>
      </c>
      <c r="Q86" s="423">
        <f t="shared" si="114"/>
        <v>0</v>
      </c>
      <c r="R86" s="423">
        <f t="shared" si="115"/>
        <v>0</v>
      </c>
      <c r="S86" s="470"/>
      <c r="T86" s="36">
        <f t="shared" si="122"/>
        <v>0</v>
      </c>
      <c r="U86" s="36">
        <f t="shared" si="116"/>
        <v>0</v>
      </c>
      <c r="V86" s="2"/>
      <c r="W86" s="2" t="e">
        <f t="shared" si="126"/>
        <v>#VALUE!</v>
      </c>
      <c r="X86" s="34">
        <f t="shared" si="68"/>
        <v>11494</v>
      </c>
      <c r="Y86" s="57">
        <f t="shared" si="69"/>
        <v>58313</v>
      </c>
      <c r="AL86" s="2" t="e">
        <f t="shared" si="130"/>
        <v>#VALUE!</v>
      </c>
      <c r="AM86" s="34" t="e">
        <f t="shared" si="65"/>
        <v>#DIV/0!</v>
      </c>
      <c r="AN86" s="57">
        <f t="shared" si="127"/>
        <v>58678</v>
      </c>
      <c r="AO86" s="130" t="e">
        <f t="shared" si="117"/>
        <v>#DIV/0!</v>
      </c>
      <c r="AP86" s="109">
        <f t="shared" si="123"/>
        <v>78</v>
      </c>
      <c r="AQ86" s="110">
        <f t="shared" si="98"/>
        <v>46816</v>
      </c>
      <c r="AR86" s="105" t="e">
        <f t="shared" si="125"/>
        <v>#DIV/0!</v>
      </c>
      <c r="AS86" s="105" t="e">
        <f t="shared" si="105"/>
        <v>#DIV/0!</v>
      </c>
      <c r="AT86" s="105">
        <f t="shared" si="119"/>
        <v>0</v>
      </c>
      <c r="AU86" s="105" t="e">
        <f t="shared" si="99"/>
        <v>#DIV/0!</v>
      </c>
      <c r="AV86" s="105" t="e">
        <f t="shared" ref="AV86:AV108" si="132">AX85-AU85</f>
        <v>#DIV/0!</v>
      </c>
      <c r="AW86" s="105" t="e">
        <f t="shared" ref="AW86:AW108" si="133">AS86+AX86</f>
        <v>#DIV/0!</v>
      </c>
      <c r="AX86" s="105">
        <f t="shared" si="128"/>
        <v>0</v>
      </c>
      <c r="AY86" s="105">
        <f t="shared" si="129"/>
        <v>0</v>
      </c>
      <c r="AZ86" s="105"/>
      <c r="BA86" s="105"/>
      <c r="BB86" s="105"/>
      <c r="BC86" s="105"/>
      <c r="BD86" s="105"/>
      <c r="BE86" s="105" t="e">
        <f t="shared" si="120"/>
        <v>#DIV/0!</v>
      </c>
      <c r="BF86" s="108">
        <f t="shared" si="124"/>
        <v>0</v>
      </c>
      <c r="BG86" s="108">
        <f t="shared" si="118"/>
        <v>0</v>
      </c>
      <c r="BH86" s="22">
        <f t="shared" si="101"/>
        <v>46634</v>
      </c>
      <c r="BI86" s="108">
        <f t="shared" si="102"/>
        <v>0</v>
      </c>
      <c r="BJ86" s="2" t="e">
        <f>IF(AND(G41&gt;=$W$14,G41&lt;=$W$14+5),0,IF($C$9&gt;$AF$51,ROUND(BF40*IF($D$33="",0,$D$33)/(DATEVALUE(CONCATENATE("01/01/",YEAR(AR41)+1))-DATEVALUE(CONCATENATE("01/01/",YEAR(AR41))))*(AR41-AR40),2),0))</f>
        <v>#DIV/0!</v>
      </c>
    </row>
    <row r="87" spans="1:62" s="16" customFormat="1" x14ac:dyDescent="0.25">
      <c r="A87" s="2"/>
      <c r="B87" s="2"/>
      <c r="C87" s="1"/>
      <c r="D87" s="2"/>
      <c r="E87" s="2"/>
      <c r="F87" s="2"/>
      <c r="G87" s="426">
        <f t="shared" si="121"/>
        <v>79</v>
      </c>
      <c r="H87" s="427">
        <f t="shared" si="108"/>
        <v>46847</v>
      </c>
      <c r="I87" s="494">
        <f t="shared" si="77"/>
        <v>5.9000000000000004E-2</v>
      </c>
      <c r="J87" s="423">
        <f t="shared" si="74"/>
        <v>0</v>
      </c>
      <c r="K87" s="423">
        <f t="shared" si="110"/>
        <v>0</v>
      </c>
      <c r="L87" s="423">
        <f t="shared" si="111"/>
        <v>0</v>
      </c>
      <c r="M87" s="423">
        <f t="shared" si="112"/>
        <v>0</v>
      </c>
      <c r="N87" s="423">
        <f t="shared" si="131"/>
        <v>0</v>
      </c>
      <c r="O87" s="423">
        <f t="shared" si="109"/>
        <v>0</v>
      </c>
      <c r="P87" s="423">
        <f t="shared" si="113"/>
        <v>0</v>
      </c>
      <c r="Q87" s="423">
        <f t="shared" si="114"/>
        <v>0</v>
      </c>
      <c r="R87" s="423">
        <f t="shared" si="115"/>
        <v>0</v>
      </c>
      <c r="S87" s="470"/>
      <c r="T87" s="36">
        <f t="shared" si="122"/>
        <v>0</v>
      </c>
      <c r="U87" s="36">
        <f t="shared" si="116"/>
        <v>0</v>
      </c>
      <c r="V87" s="2"/>
      <c r="W87" s="2" t="e">
        <f t="shared" si="126"/>
        <v>#VALUE!</v>
      </c>
      <c r="X87" s="34">
        <f t="shared" si="68"/>
        <v>11494</v>
      </c>
      <c r="Y87" s="57">
        <f t="shared" si="69"/>
        <v>58678</v>
      </c>
      <c r="Z87" s="60">
        <v>43858</v>
      </c>
      <c r="AL87" s="2" t="e">
        <f t="shared" si="130"/>
        <v>#VALUE!</v>
      </c>
      <c r="AM87" s="34" t="e">
        <f t="shared" si="65"/>
        <v>#DIV/0!</v>
      </c>
      <c r="AN87" s="57">
        <f t="shared" si="127"/>
        <v>59043</v>
      </c>
      <c r="AO87" s="130" t="e">
        <f t="shared" si="117"/>
        <v>#DIV/0!</v>
      </c>
      <c r="AP87" s="109">
        <f t="shared" si="123"/>
        <v>79</v>
      </c>
      <c r="AQ87" s="110">
        <f t="shared" si="98"/>
        <v>46847</v>
      </c>
      <c r="AR87" s="105" t="e">
        <f t="shared" si="125"/>
        <v>#DIV/0!</v>
      </c>
      <c r="AS87" s="105" t="e">
        <f t="shared" si="105"/>
        <v>#DIV/0!</v>
      </c>
      <c r="AT87" s="105">
        <f t="shared" si="119"/>
        <v>0</v>
      </c>
      <c r="AU87" s="105" t="e">
        <f t="shared" si="99"/>
        <v>#DIV/0!</v>
      </c>
      <c r="AV87" s="105" t="e">
        <f t="shared" si="132"/>
        <v>#DIV/0!</v>
      </c>
      <c r="AW87" s="105" t="e">
        <f t="shared" si="133"/>
        <v>#DIV/0!</v>
      </c>
      <c r="AX87" s="105">
        <f t="shared" si="128"/>
        <v>0</v>
      </c>
      <c r="AY87" s="105">
        <f t="shared" si="129"/>
        <v>0</v>
      </c>
      <c r="AZ87" s="105"/>
      <c r="BA87" s="105"/>
      <c r="BB87" s="105"/>
      <c r="BC87" s="105"/>
      <c r="BD87" s="105"/>
      <c r="BE87" s="105" t="e">
        <f t="shared" si="120"/>
        <v>#DIV/0!</v>
      </c>
      <c r="BF87" s="108">
        <f t="shared" si="124"/>
        <v>0</v>
      </c>
      <c r="BG87" s="108">
        <f t="shared" si="118"/>
        <v>0</v>
      </c>
      <c r="BH87" s="22">
        <f t="shared" si="101"/>
        <v>46664</v>
      </c>
      <c r="BI87" s="108">
        <f t="shared" si="102"/>
        <v>0</v>
      </c>
      <c r="BJ87" s="2" t="e">
        <f>IF(AND(G42&gt;=$W$14,G42&lt;=$W$14+5),0,IF($C$9&gt;$AF$51,ROUND(BF41*IF($D$33="",0,$D$33)/(DATEVALUE(CONCATENATE("01/01/",YEAR(AQ42)+1))-DATEVALUE(CONCATENATE("01/01/",YEAR(AQ42))))*(AQ42-AR41),2),0))</f>
        <v>#DIV/0!</v>
      </c>
    </row>
    <row r="88" spans="1:62" s="16" customFormat="1" x14ac:dyDescent="0.25">
      <c r="A88" s="2"/>
      <c r="B88" s="2"/>
      <c r="C88" s="1"/>
      <c r="D88" s="2"/>
      <c r="E88" s="2"/>
      <c r="F88" s="2"/>
      <c r="G88" s="426">
        <f t="shared" si="121"/>
        <v>80</v>
      </c>
      <c r="H88" s="427">
        <f t="shared" si="108"/>
        <v>46877</v>
      </c>
      <c r="I88" s="494">
        <f t="shared" si="77"/>
        <v>5.9000000000000004E-2</v>
      </c>
      <c r="J88" s="423">
        <f t="shared" si="74"/>
        <v>0</v>
      </c>
      <c r="K88" s="423">
        <f t="shared" si="110"/>
        <v>0</v>
      </c>
      <c r="L88" s="423">
        <f t="shared" si="111"/>
        <v>0</v>
      </c>
      <c r="M88" s="423">
        <f t="shared" si="112"/>
        <v>0</v>
      </c>
      <c r="N88" s="423">
        <f t="shared" si="131"/>
        <v>0</v>
      </c>
      <c r="O88" s="423">
        <f t="shared" si="109"/>
        <v>0</v>
      </c>
      <c r="P88" s="423">
        <f t="shared" si="113"/>
        <v>0</v>
      </c>
      <c r="Q88" s="423">
        <f t="shared" si="114"/>
        <v>0</v>
      </c>
      <c r="R88" s="423">
        <f t="shared" si="115"/>
        <v>0</v>
      </c>
      <c r="S88" s="470"/>
      <c r="T88" s="36">
        <f t="shared" si="122"/>
        <v>0</v>
      </c>
      <c r="U88" s="36">
        <f t="shared" si="116"/>
        <v>0</v>
      </c>
      <c r="V88" s="2"/>
      <c r="W88" s="2" t="e">
        <f t="shared" si="126"/>
        <v>#VALUE!</v>
      </c>
      <c r="X88" s="34">
        <f t="shared" si="68"/>
        <v>11494</v>
      </c>
      <c r="Y88" s="57">
        <f t="shared" si="69"/>
        <v>59043</v>
      </c>
      <c r="AL88" s="2" t="e">
        <f t="shared" si="130"/>
        <v>#VALUE!</v>
      </c>
      <c r="AM88" s="34" t="e">
        <f t="shared" si="65"/>
        <v>#DIV/0!</v>
      </c>
      <c r="AN88" s="57">
        <f t="shared" si="127"/>
        <v>59408</v>
      </c>
      <c r="AO88" s="130" t="e">
        <f t="shared" si="117"/>
        <v>#DIV/0!</v>
      </c>
      <c r="AP88" s="109">
        <f t="shared" si="123"/>
        <v>80</v>
      </c>
      <c r="AQ88" s="110">
        <f t="shared" si="98"/>
        <v>46877</v>
      </c>
      <c r="AR88" s="105" t="e">
        <f t="shared" si="125"/>
        <v>#DIV/0!</v>
      </c>
      <c r="AS88" s="105" t="e">
        <f t="shared" si="105"/>
        <v>#DIV/0!</v>
      </c>
      <c r="AT88" s="105">
        <f t="shared" si="119"/>
        <v>0</v>
      </c>
      <c r="AU88" s="105" t="e">
        <f t="shared" si="99"/>
        <v>#DIV/0!</v>
      </c>
      <c r="AV88" s="105" t="e">
        <f t="shared" si="132"/>
        <v>#DIV/0!</v>
      </c>
      <c r="AW88" s="105" t="e">
        <f t="shared" si="133"/>
        <v>#DIV/0!</v>
      </c>
      <c r="AX88" s="105">
        <f t="shared" si="128"/>
        <v>0</v>
      </c>
      <c r="AY88" s="105">
        <f t="shared" si="129"/>
        <v>0</v>
      </c>
      <c r="AZ88" s="105"/>
      <c r="BA88" s="105"/>
      <c r="BB88" s="105"/>
      <c r="BC88" s="105"/>
      <c r="BD88" s="105"/>
      <c r="BE88" s="105" t="e">
        <f t="shared" si="120"/>
        <v>#DIV/0!</v>
      </c>
      <c r="BF88" s="108">
        <f t="shared" si="124"/>
        <v>0</v>
      </c>
      <c r="BG88" s="108">
        <f t="shared" si="118"/>
        <v>0</v>
      </c>
      <c r="BH88" s="22">
        <f t="shared" si="101"/>
        <v>46695</v>
      </c>
      <c r="BI88" s="108">
        <f t="shared" si="102"/>
        <v>0</v>
      </c>
      <c r="BJ88" s="2" t="e">
        <f t="shared" si="103"/>
        <v>#DIV/0!</v>
      </c>
    </row>
    <row r="89" spans="1:62" s="16" customFormat="1" x14ac:dyDescent="0.25">
      <c r="A89" s="2"/>
      <c r="B89" s="2"/>
      <c r="C89" s="1"/>
      <c r="D89" s="13"/>
      <c r="E89" s="2"/>
      <c r="F89" s="2"/>
      <c r="G89" s="426">
        <f t="shared" si="121"/>
        <v>81</v>
      </c>
      <c r="H89" s="427">
        <f t="shared" si="108"/>
        <v>46908</v>
      </c>
      <c r="I89" s="494">
        <f t="shared" si="77"/>
        <v>5.9000000000000004E-2</v>
      </c>
      <c r="J89" s="423">
        <f t="shared" ref="J89:J108" si="134">IF(AND($C$8&lt;&gt;"Нет",G89&gt;=$W$14,G89&lt;=$W$14+5),$W$15,IF(AND(R88+M89+K89&gt;J88,J88&lt;&gt;0),$AE$98,IF(R88=0,0,R88+M89+K89+K90)))</f>
        <v>0</v>
      </c>
      <c r="K89" s="423">
        <f t="shared" si="110"/>
        <v>0</v>
      </c>
      <c r="L89" s="423">
        <f t="shared" si="111"/>
        <v>0</v>
      </c>
      <c r="M89" s="423">
        <f t="shared" si="112"/>
        <v>0</v>
      </c>
      <c r="N89" s="423">
        <f t="shared" si="131"/>
        <v>0</v>
      </c>
      <c r="O89" s="423">
        <f t="shared" si="109"/>
        <v>0</v>
      </c>
      <c r="P89" s="423">
        <f t="shared" si="113"/>
        <v>0</v>
      </c>
      <c r="Q89" s="423">
        <f t="shared" si="114"/>
        <v>0</v>
      </c>
      <c r="R89" s="423">
        <f t="shared" si="115"/>
        <v>0</v>
      </c>
      <c r="S89" s="470"/>
      <c r="T89" s="36">
        <f t="shared" si="122"/>
        <v>0</v>
      </c>
      <c r="U89" s="36">
        <f t="shared" si="116"/>
        <v>0</v>
      </c>
      <c r="V89" s="2"/>
      <c r="W89" s="2" t="e">
        <f t="shared" si="126"/>
        <v>#VALUE!</v>
      </c>
      <c r="X89" s="34">
        <f t="shared" si="68"/>
        <v>1569.149999999973</v>
      </c>
      <c r="Y89" s="57">
        <f t="shared" si="69"/>
        <v>59408</v>
      </c>
      <c r="AL89" s="2" t="e">
        <f t="shared" si="130"/>
        <v>#VALUE!</v>
      </c>
      <c r="AM89" s="34" t="e">
        <f t="shared" si="65"/>
        <v>#DIV/0!</v>
      </c>
      <c r="AN89" s="57">
        <f t="shared" si="127"/>
        <v>59773</v>
      </c>
      <c r="AO89" s="130" t="e">
        <f t="shared" si="117"/>
        <v>#DIV/0!</v>
      </c>
      <c r="AP89" s="109">
        <f t="shared" si="123"/>
        <v>81</v>
      </c>
      <c r="AQ89" s="110">
        <f t="shared" si="98"/>
        <v>46908</v>
      </c>
      <c r="AR89" s="105" t="e">
        <f t="shared" si="125"/>
        <v>#DIV/0!</v>
      </c>
      <c r="AS89" s="105" t="e">
        <f t="shared" si="105"/>
        <v>#DIV/0!</v>
      </c>
      <c r="AT89" s="105">
        <f t="shared" si="119"/>
        <v>0</v>
      </c>
      <c r="AU89" s="105" t="e">
        <f t="shared" si="99"/>
        <v>#DIV/0!</v>
      </c>
      <c r="AV89" s="105" t="e">
        <f t="shared" si="132"/>
        <v>#DIV/0!</v>
      </c>
      <c r="AW89" s="105" t="e">
        <f t="shared" si="133"/>
        <v>#DIV/0!</v>
      </c>
      <c r="AX89" s="105">
        <f t="shared" si="128"/>
        <v>0</v>
      </c>
      <c r="AY89" s="105">
        <f t="shared" si="129"/>
        <v>0</v>
      </c>
      <c r="AZ89" s="105"/>
      <c r="BA89" s="105"/>
      <c r="BB89" s="105"/>
      <c r="BC89" s="105"/>
      <c r="BD89" s="105"/>
      <c r="BE89" s="105" t="e">
        <f t="shared" si="120"/>
        <v>#DIV/0!</v>
      </c>
      <c r="BF89" s="108">
        <f t="shared" si="124"/>
        <v>0</v>
      </c>
      <c r="BG89" s="108">
        <f t="shared" si="118"/>
        <v>0</v>
      </c>
      <c r="BH89" s="22">
        <f t="shared" si="101"/>
        <v>46725</v>
      </c>
      <c r="BI89" s="108">
        <f t="shared" si="102"/>
        <v>0</v>
      </c>
      <c r="BJ89" s="2" t="e">
        <f t="shared" si="103"/>
        <v>#DIV/0!</v>
      </c>
    </row>
    <row r="90" spans="1:62" s="16" customFormat="1" x14ac:dyDescent="0.25">
      <c r="A90" s="2"/>
      <c r="B90" s="2"/>
      <c r="C90" s="1"/>
      <c r="D90" s="13"/>
      <c r="E90" s="2"/>
      <c r="F90" s="2"/>
      <c r="G90" s="426">
        <f t="shared" si="121"/>
        <v>82</v>
      </c>
      <c r="H90" s="427">
        <f t="shared" si="108"/>
        <v>46938</v>
      </c>
      <c r="I90" s="494">
        <f t="shared" si="77"/>
        <v>5.9000000000000004E-2</v>
      </c>
      <c r="J90" s="423">
        <f t="shared" si="134"/>
        <v>0</v>
      </c>
      <c r="K90" s="423">
        <f t="shared" si="110"/>
        <v>0</v>
      </c>
      <c r="L90" s="423">
        <f t="shared" si="111"/>
        <v>0</v>
      </c>
      <c r="M90" s="423">
        <f t="shared" si="112"/>
        <v>0</v>
      </c>
      <c r="N90" s="423">
        <f t="shared" si="131"/>
        <v>0</v>
      </c>
      <c r="O90" s="423">
        <f t="shared" si="109"/>
        <v>0</v>
      </c>
      <c r="P90" s="423">
        <f t="shared" si="113"/>
        <v>0</v>
      </c>
      <c r="Q90" s="423">
        <f t="shared" si="114"/>
        <v>0</v>
      </c>
      <c r="R90" s="423">
        <f t="shared" si="115"/>
        <v>0</v>
      </c>
      <c r="S90" s="470"/>
      <c r="T90" s="36">
        <f t="shared" si="122"/>
        <v>0</v>
      </c>
      <c r="U90" s="36">
        <f t="shared" si="116"/>
        <v>0</v>
      </c>
      <c r="V90" s="2"/>
      <c r="W90" s="2" t="e">
        <f t="shared" si="126"/>
        <v>#VALUE!</v>
      </c>
      <c r="X90" s="34">
        <f t="shared" si="68"/>
        <v>0</v>
      </c>
      <c r="Y90" s="57">
        <f t="shared" si="69"/>
        <v>59773</v>
      </c>
      <c r="AL90" s="2" t="e">
        <f t="shared" si="130"/>
        <v>#VALUE!</v>
      </c>
      <c r="AM90" s="34" t="e">
        <f t="shared" si="65"/>
        <v>#DIV/0!</v>
      </c>
      <c r="AN90" s="57">
        <f t="shared" si="127"/>
        <v>60138</v>
      </c>
      <c r="AO90" s="130" t="e">
        <f t="shared" si="117"/>
        <v>#DIV/0!</v>
      </c>
      <c r="AP90" s="109">
        <f t="shared" si="123"/>
        <v>82</v>
      </c>
      <c r="AQ90" s="110">
        <f t="shared" si="98"/>
        <v>46938</v>
      </c>
      <c r="AR90" s="105" t="e">
        <f t="shared" si="125"/>
        <v>#DIV/0!</v>
      </c>
      <c r="AS90" s="105" t="e">
        <f t="shared" si="105"/>
        <v>#DIV/0!</v>
      </c>
      <c r="AT90" s="105">
        <f t="shared" si="119"/>
        <v>0</v>
      </c>
      <c r="AU90" s="105" t="e">
        <f t="shared" si="99"/>
        <v>#DIV/0!</v>
      </c>
      <c r="AV90" s="105" t="e">
        <f t="shared" si="132"/>
        <v>#DIV/0!</v>
      </c>
      <c r="AW90" s="105" t="e">
        <f t="shared" si="133"/>
        <v>#DIV/0!</v>
      </c>
      <c r="AX90" s="105">
        <f t="shared" si="128"/>
        <v>0</v>
      </c>
      <c r="AY90" s="105">
        <f t="shared" si="129"/>
        <v>0</v>
      </c>
      <c r="AZ90" s="105"/>
      <c r="BA90" s="105"/>
      <c r="BB90" s="105"/>
      <c r="BC90" s="105"/>
      <c r="BD90" s="105"/>
      <c r="BE90" s="105" t="e">
        <f t="shared" si="120"/>
        <v>#DIV/0!</v>
      </c>
      <c r="BF90" s="108">
        <f t="shared" si="124"/>
        <v>0</v>
      </c>
      <c r="BG90" s="108">
        <f t="shared" si="118"/>
        <v>0</v>
      </c>
      <c r="BH90" s="22">
        <f t="shared" si="101"/>
        <v>46756</v>
      </c>
      <c r="BI90" s="108">
        <f t="shared" si="102"/>
        <v>0</v>
      </c>
      <c r="BJ90" s="2" t="e">
        <f t="shared" si="103"/>
        <v>#DIV/0!</v>
      </c>
    </row>
    <row r="91" spans="1:62" s="16" customFormat="1" x14ac:dyDescent="0.25">
      <c r="A91" s="2"/>
      <c r="B91" s="2"/>
      <c r="C91" s="1"/>
      <c r="D91" s="2"/>
      <c r="E91" s="2"/>
      <c r="F91" s="2"/>
      <c r="G91" s="426">
        <f t="shared" si="121"/>
        <v>83</v>
      </c>
      <c r="H91" s="427">
        <f t="shared" si="108"/>
        <v>46969</v>
      </c>
      <c r="I91" s="494">
        <f t="shared" si="77"/>
        <v>5.9000000000000004E-2</v>
      </c>
      <c r="J91" s="423">
        <f t="shared" si="134"/>
        <v>0</v>
      </c>
      <c r="K91" s="423">
        <f t="shared" si="110"/>
        <v>0</v>
      </c>
      <c r="L91" s="423">
        <f t="shared" si="111"/>
        <v>0</v>
      </c>
      <c r="M91" s="423">
        <f t="shared" si="112"/>
        <v>0</v>
      </c>
      <c r="N91" s="423">
        <f t="shared" si="131"/>
        <v>0</v>
      </c>
      <c r="O91" s="423">
        <f t="shared" si="109"/>
        <v>0</v>
      </c>
      <c r="P91" s="423">
        <f t="shared" si="113"/>
        <v>0</v>
      </c>
      <c r="Q91" s="423">
        <f t="shared" si="114"/>
        <v>0</v>
      </c>
      <c r="R91" s="423">
        <f t="shared" si="115"/>
        <v>0</v>
      </c>
      <c r="S91" s="470"/>
      <c r="T91" s="36">
        <f t="shared" si="122"/>
        <v>0</v>
      </c>
      <c r="U91" s="36">
        <f t="shared" si="116"/>
        <v>0</v>
      </c>
      <c r="V91" s="2"/>
      <c r="W91" s="2" t="e">
        <f t="shared" si="126"/>
        <v>#VALUE!</v>
      </c>
      <c r="X91" s="34">
        <f t="shared" si="68"/>
        <v>0</v>
      </c>
      <c r="Y91" s="57">
        <f t="shared" si="69"/>
        <v>60138</v>
      </c>
      <c r="AE91" s="173">
        <f>$C$25-AF91</f>
        <v>-1540</v>
      </c>
      <c r="AF91" s="2">
        <f>ROUNDUP(((R20)*AF95/12*(1+AF95/12)^(T21)/((1+AF95/12)^(T21)-1)+R20/10000*IF(T21&lt;11,20,IF(T21&lt;34,0.7,IF(T21&lt;58,0.3,0.1)))*IF(AF95&lt;0.3,AF95/0.2,AF95/0.1))/AG47,0)*AG47</f>
        <v>13730</v>
      </c>
      <c r="AG91" s="16">
        <v>6000000</v>
      </c>
      <c r="AL91" s="2" t="e">
        <f t="shared" si="130"/>
        <v>#VALUE!</v>
      </c>
      <c r="AM91" s="34" t="e">
        <f t="shared" si="65"/>
        <v>#DIV/0!</v>
      </c>
      <c r="AN91" s="57">
        <f t="shared" si="127"/>
        <v>60503</v>
      </c>
      <c r="AO91" s="130" t="e">
        <f t="shared" si="117"/>
        <v>#DIV/0!</v>
      </c>
      <c r="AP91" s="109">
        <f t="shared" si="123"/>
        <v>83</v>
      </c>
      <c r="AQ91" s="110">
        <f t="shared" si="98"/>
        <v>46969</v>
      </c>
      <c r="AR91" s="105" t="e">
        <f t="shared" si="125"/>
        <v>#DIV/0!</v>
      </c>
      <c r="AS91" s="105" t="e">
        <f t="shared" si="105"/>
        <v>#DIV/0!</v>
      </c>
      <c r="AT91" s="105">
        <f t="shared" si="119"/>
        <v>0</v>
      </c>
      <c r="AU91" s="105" t="e">
        <f t="shared" si="99"/>
        <v>#DIV/0!</v>
      </c>
      <c r="AV91" s="105" t="e">
        <f t="shared" si="132"/>
        <v>#DIV/0!</v>
      </c>
      <c r="AW91" s="105" t="e">
        <f t="shared" si="133"/>
        <v>#DIV/0!</v>
      </c>
      <c r="AX91" s="105">
        <f t="shared" si="128"/>
        <v>0</v>
      </c>
      <c r="AY91" s="105">
        <f t="shared" si="129"/>
        <v>0</v>
      </c>
      <c r="AZ91" s="105"/>
      <c r="BA91" s="105"/>
      <c r="BB91" s="105"/>
      <c r="BC91" s="105"/>
      <c r="BD91" s="105"/>
      <c r="BE91" s="105" t="e">
        <f t="shared" si="120"/>
        <v>#DIV/0!</v>
      </c>
      <c r="BF91" s="108">
        <f t="shared" si="124"/>
        <v>0</v>
      </c>
      <c r="BG91" s="108">
        <f t="shared" si="118"/>
        <v>0</v>
      </c>
      <c r="BH91" s="22">
        <f t="shared" si="101"/>
        <v>46787</v>
      </c>
      <c r="BI91" s="108">
        <f t="shared" si="102"/>
        <v>0</v>
      </c>
      <c r="BJ91" s="2" t="e">
        <f t="shared" si="103"/>
        <v>#DIV/0!</v>
      </c>
    </row>
    <row r="92" spans="1:62" s="16" customFormat="1" x14ac:dyDescent="0.25">
      <c r="A92" s="2"/>
      <c r="B92" s="2"/>
      <c r="C92" s="1"/>
      <c r="D92" s="2"/>
      <c r="E92" s="2"/>
      <c r="F92" s="2"/>
      <c r="G92" s="426">
        <f t="shared" si="121"/>
        <v>84</v>
      </c>
      <c r="H92" s="427">
        <f t="shared" si="108"/>
        <v>47000</v>
      </c>
      <c r="I92" s="494">
        <f t="shared" si="77"/>
        <v>5.9000000000000004E-2</v>
      </c>
      <c r="J92" s="423">
        <f t="shared" si="134"/>
        <v>0</v>
      </c>
      <c r="K92" s="423">
        <f t="shared" si="110"/>
        <v>0</v>
      </c>
      <c r="L92" s="423">
        <f t="shared" si="111"/>
        <v>0</v>
      </c>
      <c r="M92" s="423">
        <f t="shared" si="112"/>
        <v>0</v>
      </c>
      <c r="N92" s="423">
        <f t="shared" si="131"/>
        <v>0</v>
      </c>
      <c r="O92" s="423">
        <f t="shared" si="109"/>
        <v>0</v>
      </c>
      <c r="P92" s="423">
        <f t="shared" si="113"/>
        <v>0</v>
      </c>
      <c r="Q92" s="423">
        <f t="shared" si="114"/>
        <v>0</v>
      </c>
      <c r="R92" s="423">
        <f t="shared" si="115"/>
        <v>0</v>
      </c>
      <c r="S92" s="470"/>
      <c r="T92" s="36">
        <f t="shared" si="122"/>
        <v>0</v>
      </c>
      <c r="U92" s="36">
        <f t="shared" si="116"/>
        <v>0</v>
      </c>
      <c r="V92" s="2"/>
      <c r="W92" s="2" t="e">
        <f t="shared" si="126"/>
        <v>#VALUE!</v>
      </c>
      <c r="X92" s="34">
        <f t="shared" si="68"/>
        <v>0</v>
      </c>
      <c r="Y92" s="57">
        <f t="shared" si="69"/>
        <v>60503</v>
      </c>
      <c r="AL92" s="2" t="e">
        <f t="shared" si="130"/>
        <v>#VALUE!</v>
      </c>
      <c r="AM92" s="34" t="e">
        <f t="shared" si="65"/>
        <v>#DIV/0!</v>
      </c>
      <c r="AN92" s="57">
        <f t="shared" si="127"/>
        <v>60868</v>
      </c>
      <c r="AO92" s="130" t="e">
        <f t="shared" si="117"/>
        <v>#DIV/0!</v>
      </c>
      <c r="AP92" s="109">
        <f t="shared" si="123"/>
        <v>84</v>
      </c>
      <c r="AQ92" s="110">
        <f t="shared" si="98"/>
        <v>47000</v>
      </c>
      <c r="AR92" s="105" t="e">
        <f t="shared" si="125"/>
        <v>#DIV/0!</v>
      </c>
      <c r="AS92" s="105" t="e">
        <f t="shared" si="105"/>
        <v>#DIV/0!</v>
      </c>
      <c r="AT92" s="105">
        <f t="shared" si="119"/>
        <v>0</v>
      </c>
      <c r="AU92" s="105" t="e">
        <f t="shared" si="99"/>
        <v>#DIV/0!</v>
      </c>
      <c r="AV92" s="105" t="e">
        <f t="shared" si="132"/>
        <v>#DIV/0!</v>
      </c>
      <c r="AW92" s="105" t="e">
        <f t="shared" si="133"/>
        <v>#DIV/0!</v>
      </c>
      <c r="AX92" s="105">
        <f t="shared" si="128"/>
        <v>0</v>
      </c>
      <c r="AY92" s="105">
        <f t="shared" si="129"/>
        <v>0</v>
      </c>
      <c r="AZ92" s="105"/>
      <c r="BA92" s="105"/>
      <c r="BB92" s="105"/>
      <c r="BC92" s="105"/>
      <c r="BD92" s="105"/>
      <c r="BE92" s="105" t="e">
        <f t="shared" si="120"/>
        <v>#DIV/0!</v>
      </c>
      <c r="BF92" s="108">
        <f t="shared" si="124"/>
        <v>0</v>
      </c>
      <c r="BG92" s="108">
        <f t="shared" si="118"/>
        <v>0</v>
      </c>
      <c r="BH92" s="22">
        <f t="shared" si="101"/>
        <v>46816</v>
      </c>
      <c r="BI92" s="108">
        <f t="shared" si="102"/>
        <v>0</v>
      </c>
      <c r="BJ92" s="2" t="e">
        <f t="shared" si="103"/>
        <v>#DIV/0!</v>
      </c>
    </row>
    <row r="93" spans="1:62" s="16" customFormat="1" x14ac:dyDescent="0.25">
      <c r="A93" s="2"/>
      <c r="B93" s="2"/>
      <c r="C93" s="1"/>
      <c r="D93" s="2"/>
      <c r="E93" s="2"/>
      <c r="F93" s="2"/>
      <c r="G93" s="426">
        <f t="shared" si="121"/>
        <v>85</v>
      </c>
      <c r="H93" s="427">
        <f t="shared" si="108"/>
        <v>47030</v>
      </c>
      <c r="I93" s="494">
        <f t="shared" si="77"/>
        <v>5.9000000000000004E-2</v>
      </c>
      <c r="J93" s="423">
        <f t="shared" si="134"/>
        <v>0</v>
      </c>
      <c r="K93" s="423">
        <f t="shared" si="110"/>
        <v>0</v>
      </c>
      <c r="L93" s="423">
        <f t="shared" si="111"/>
        <v>0</v>
      </c>
      <c r="M93" s="423">
        <f t="shared" si="112"/>
        <v>0</v>
      </c>
      <c r="N93" s="423">
        <f t="shared" si="131"/>
        <v>0</v>
      </c>
      <c r="O93" s="423">
        <f t="shared" si="109"/>
        <v>0</v>
      </c>
      <c r="P93" s="423">
        <f t="shared" si="113"/>
        <v>0</v>
      </c>
      <c r="Q93" s="423">
        <f t="shared" si="114"/>
        <v>0</v>
      </c>
      <c r="R93" s="423">
        <f t="shared" si="115"/>
        <v>0</v>
      </c>
      <c r="S93" s="470"/>
      <c r="T93" s="36">
        <f t="shared" si="122"/>
        <v>0</v>
      </c>
      <c r="U93" s="36">
        <f t="shared" si="116"/>
        <v>0</v>
      </c>
      <c r="V93" s="2"/>
      <c r="W93" s="2" t="e">
        <f t="shared" si="126"/>
        <v>#VALUE!</v>
      </c>
      <c r="X93" s="34">
        <f t="shared" si="68"/>
        <v>0</v>
      </c>
      <c r="Y93" s="57">
        <f t="shared" si="69"/>
        <v>60868</v>
      </c>
      <c r="AE93" s="47">
        <f>ROUNDUP(AG93/AG91*C24/1,0)*1</f>
        <v>232</v>
      </c>
      <c r="AF93" s="169">
        <f>IF(C7&lt;=1000000,3%,IF(C11=13.9%,3%,2%))</f>
        <v>0.03</v>
      </c>
      <c r="AG93" s="16">
        <f>IF(C7&gt;1000000,INDEX(V40:AF40,MATCH($C$11,$V$39:$AF$39,0)),INDEX(V43:AF43,MATCH($C$11,$V$42:$AF$42,0)))</f>
        <v>4000</v>
      </c>
      <c r="AL93" s="2" t="e">
        <f t="shared" si="130"/>
        <v>#VALUE!</v>
      </c>
      <c r="AM93" s="34" t="e">
        <f t="shared" si="65"/>
        <v>#DIV/0!</v>
      </c>
      <c r="AN93" s="57">
        <f t="shared" si="127"/>
        <v>61233</v>
      </c>
      <c r="AO93" s="130" t="e">
        <f t="shared" si="117"/>
        <v>#DIV/0!</v>
      </c>
      <c r="AP93" s="109">
        <f t="shared" si="123"/>
        <v>85</v>
      </c>
      <c r="AQ93" s="110">
        <f t="shared" si="98"/>
        <v>47030</v>
      </c>
      <c r="AR93" s="105" t="e">
        <f t="shared" si="125"/>
        <v>#DIV/0!</v>
      </c>
      <c r="AS93" s="105" t="e">
        <f t="shared" si="105"/>
        <v>#DIV/0!</v>
      </c>
      <c r="AT93" s="105">
        <f t="shared" si="119"/>
        <v>0</v>
      </c>
      <c r="AU93" s="105" t="e">
        <f t="shared" si="99"/>
        <v>#DIV/0!</v>
      </c>
      <c r="AV93" s="105" t="e">
        <f t="shared" si="132"/>
        <v>#DIV/0!</v>
      </c>
      <c r="AW93" s="105" t="e">
        <f t="shared" si="133"/>
        <v>#DIV/0!</v>
      </c>
      <c r="AX93" s="105">
        <f t="shared" si="128"/>
        <v>0</v>
      </c>
      <c r="AY93" s="105">
        <f t="shared" si="129"/>
        <v>0</v>
      </c>
      <c r="AZ93" s="105"/>
      <c r="BA93" s="105"/>
      <c r="BB93" s="105"/>
      <c r="BC93" s="105"/>
      <c r="BD93" s="105"/>
      <c r="BE93" s="105" t="e">
        <f t="shared" si="120"/>
        <v>#DIV/0!</v>
      </c>
      <c r="BF93" s="108">
        <f t="shared" si="124"/>
        <v>0</v>
      </c>
      <c r="BG93" s="108">
        <f t="shared" si="118"/>
        <v>0</v>
      </c>
      <c r="BH93" s="22">
        <f t="shared" si="101"/>
        <v>46847</v>
      </c>
      <c r="BI93" s="108">
        <f t="shared" si="102"/>
        <v>0</v>
      </c>
      <c r="BJ93" s="2" t="e">
        <f t="shared" si="103"/>
        <v>#DIV/0!</v>
      </c>
    </row>
    <row r="94" spans="1:62" s="16" customFormat="1" x14ac:dyDescent="0.25">
      <c r="A94" s="2"/>
      <c r="B94" s="2"/>
      <c r="C94" s="1"/>
      <c r="D94" s="2"/>
      <c r="E94" s="2"/>
      <c r="F94" s="2"/>
      <c r="G94" s="426">
        <f t="shared" si="121"/>
        <v>86</v>
      </c>
      <c r="H94" s="427">
        <f t="shared" si="108"/>
        <v>47061</v>
      </c>
      <c r="I94" s="494">
        <f t="shared" si="77"/>
        <v>5.9000000000000004E-2</v>
      </c>
      <c r="J94" s="423">
        <f t="shared" si="134"/>
        <v>0</v>
      </c>
      <c r="K94" s="423">
        <f t="shared" si="110"/>
        <v>0</v>
      </c>
      <c r="L94" s="423">
        <f t="shared" si="111"/>
        <v>0</v>
      </c>
      <c r="M94" s="423">
        <f t="shared" si="112"/>
        <v>0</v>
      </c>
      <c r="N94" s="423">
        <f t="shared" si="131"/>
        <v>0</v>
      </c>
      <c r="O94" s="423">
        <f t="shared" si="109"/>
        <v>0</v>
      </c>
      <c r="P94" s="423">
        <f t="shared" si="113"/>
        <v>0</v>
      </c>
      <c r="Q94" s="423">
        <f t="shared" si="114"/>
        <v>0</v>
      </c>
      <c r="R94" s="423">
        <f t="shared" si="115"/>
        <v>0</v>
      </c>
      <c r="S94" s="470"/>
      <c r="T94" s="36">
        <f t="shared" si="122"/>
        <v>0</v>
      </c>
      <c r="U94" s="36">
        <f t="shared" si="116"/>
        <v>0</v>
      </c>
      <c r="V94" s="2"/>
      <c r="W94" s="2" t="e">
        <f t="shared" si="126"/>
        <v>#VALUE!</v>
      </c>
      <c r="X94" s="34">
        <f t="shared" si="68"/>
        <v>0</v>
      </c>
      <c r="Y94" s="57">
        <f t="shared" si="69"/>
        <v>61233</v>
      </c>
      <c r="AE94" s="47">
        <f>C25</f>
        <v>12190</v>
      </c>
      <c r="AF94" s="15">
        <f>IF(OR(C$8="Гарантия стандарт",C$8="Гарантия пакет"),AD13,C13)</f>
        <v>0.159</v>
      </c>
      <c r="AG94" s="16">
        <f>IF(C7&gt;1000000,INDEX(V41:AF41,MATCH($C$11,$V$39:$AF$39,0)),INDEX(V44:AF44,MATCH($C$11,$V$42:$AF$42,0)))</f>
        <v>210990</v>
      </c>
      <c r="AL94" s="2" t="e">
        <f t="shared" si="130"/>
        <v>#VALUE!</v>
      </c>
      <c r="AM94" s="34" t="e">
        <f t="shared" si="65"/>
        <v>#DIV/0!</v>
      </c>
      <c r="AN94" s="57">
        <f t="shared" si="127"/>
        <v>61598</v>
      </c>
      <c r="AO94" s="130" t="e">
        <f t="shared" si="117"/>
        <v>#DIV/0!</v>
      </c>
      <c r="AP94" s="109">
        <f t="shared" si="123"/>
        <v>86</v>
      </c>
      <c r="AQ94" s="110">
        <f t="shared" si="98"/>
        <v>47061</v>
      </c>
      <c r="AR94" s="105" t="e">
        <f t="shared" si="125"/>
        <v>#DIV/0!</v>
      </c>
      <c r="AS94" s="105" t="e">
        <f t="shared" si="105"/>
        <v>#DIV/0!</v>
      </c>
      <c r="AT94" s="105">
        <f t="shared" si="119"/>
        <v>0</v>
      </c>
      <c r="AU94" s="105" t="e">
        <f t="shared" si="99"/>
        <v>#DIV/0!</v>
      </c>
      <c r="AV94" s="105" t="e">
        <f t="shared" si="132"/>
        <v>#DIV/0!</v>
      </c>
      <c r="AW94" s="105" t="e">
        <f t="shared" si="133"/>
        <v>#DIV/0!</v>
      </c>
      <c r="AX94" s="105">
        <f t="shared" si="128"/>
        <v>0</v>
      </c>
      <c r="AY94" s="105">
        <f t="shared" si="129"/>
        <v>0</v>
      </c>
      <c r="AZ94" s="105"/>
      <c r="BA94" s="105"/>
      <c r="BB94" s="105"/>
      <c r="BC94" s="105"/>
      <c r="BD94" s="105"/>
      <c r="BE94" s="105" t="e">
        <f t="shared" si="120"/>
        <v>#DIV/0!</v>
      </c>
      <c r="BF94" s="108">
        <f t="shared" si="124"/>
        <v>0</v>
      </c>
      <c r="BG94" s="108">
        <f t="shared" si="118"/>
        <v>0</v>
      </c>
      <c r="BH94" s="22">
        <f t="shared" si="101"/>
        <v>46877</v>
      </c>
      <c r="BI94" s="108">
        <f t="shared" si="102"/>
        <v>0</v>
      </c>
      <c r="BJ94" s="2" t="e">
        <f t="shared" si="103"/>
        <v>#DIV/0!</v>
      </c>
    </row>
    <row r="95" spans="1:62" s="16" customFormat="1" x14ac:dyDescent="0.25">
      <c r="A95" s="2"/>
      <c r="B95" s="2"/>
      <c r="C95" s="1"/>
      <c r="D95" s="2"/>
      <c r="E95" s="2"/>
      <c r="F95" s="2"/>
      <c r="G95" s="426">
        <f t="shared" si="121"/>
        <v>87</v>
      </c>
      <c r="H95" s="427">
        <f t="shared" si="108"/>
        <v>47091</v>
      </c>
      <c r="I95" s="494">
        <f t="shared" si="77"/>
        <v>5.9000000000000004E-2</v>
      </c>
      <c r="J95" s="423">
        <f t="shared" si="134"/>
        <v>0</v>
      </c>
      <c r="K95" s="423">
        <f t="shared" si="110"/>
        <v>0</v>
      </c>
      <c r="L95" s="423">
        <f t="shared" si="111"/>
        <v>0</v>
      </c>
      <c r="M95" s="423">
        <f t="shared" si="112"/>
        <v>0</v>
      </c>
      <c r="N95" s="423">
        <f t="shared" si="131"/>
        <v>0</v>
      </c>
      <c r="O95" s="423">
        <f t="shared" si="109"/>
        <v>0</v>
      </c>
      <c r="P95" s="423">
        <f t="shared" si="113"/>
        <v>0</v>
      </c>
      <c r="Q95" s="423">
        <f t="shared" si="114"/>
        <v>0</v>
      </c>
      <c r="R95" s="423">
        <f t="shared" si="115"/>
        <v>0</v>
      </c>
      <c r="S95" s="470"/>
      <c r="T95" s="36">
        <f t="shared" si="122"/>
        <v>0</v>
      </c>
      <c r="U95" s="36">
        <f t="shared" si="116"/>
        <v>0</v>
      </c>
      <c r="V95" s="2"/>
      <c r="W95" s="2" t="e">
        <f t="shared" si="126"/>
        <v>#VALUE!</v>
      </c>
      <c r="X95" s="34">
        <f t="shared" si="68"/>
        <v>0</v>
      </c>
      <c r="Y95" s="57">
        <f t="shared" si="69"/>
        <v>61598</v>
      </c>
      <c r="AE95" s="47">
        <f>IF(AF95-AF94=0,AE94,AE94-$AE$93)</f>
        <v>11958</v>
      </c>
      <c r="AF95" s="169">
        <f>AF94-$AF$93</f>
        <v>0.129</v>
      </c>
      <c r="AL95" s="2" t="e">
        <f t="shared" si="130"/>
        <v>#VALUE!</v>
      </c>
      <c r="AM95" s="34" t="e">
        <f t="shared" si="65"/>
        <v>#DIV/0!</v>
      </c>
      <c r="AN95" s="57">
        <f t="shared" si="127"/>
        <v>61963</v>
      </c>
      <c r="AO95" s="130" t="e">
        <f t="shared" si="117"/>
        <v>#DIV/0!</v>
      </c>
      <c r="AP95" s="109">
        <f t="shared" si="123"/>
        <v>87</v>
      </c>
      <c r="AQ95" s="110">
        <f t="shared" si="98"/>
        <v>47091</v>
      </c>
      <c r="AR95" s="105" t="e">
        <f t="shared" si="125"/>
        <v>#DIV/0!</v>
      </c>
      <c r="AS95" s="105" t="e">
        <f t="shared" si="105"/>
        <v>#DIV/0!</v>
      </c>
      <c r="AT95" s="105">
        <f t="shared" si="119"/>
        <v>0</v>
      </c>
      <c r="AU95" s="105" t="e">
        <f t="shared" si="99"/>
        <v>#DIV/0!</v>
      </c>
      <c r="AV95" s="105" t="e">
        <f t="shared" si="132"/>
        <v>#DIV/0!</v>
      </c>
      <c r="AW95" s="105" t="e">
        <f t="shared" si="133"/>
        <v>#DIV/0!</v>
      </c>
      <c r="AX95" s="105">
        <f t="shared" si="128"/>
        <v>0</v>
      </c>
      <c r="AY95" s="105">
        <f t="shared" si="129"/>
        <v>0</v>
      </c>
      <c r="AZ95" s="105"/>
      <c r="BA95" s="105"/>
      <c r="BB95" s="105"/>
      <c r="BC95" s="105"/>
      <c r="BD95" s="105"/>
      <c r="BE95" s="105" t="e">
        <f t="shared" si="120"/>
        <v>#DIV/0!</v>
      </c>
      <c r="BF95" s="108">
        <f t="shared" si="124"/>
        <v>0</v>
      </c>
      <c r="BG95" s="108">
        <f t="shared" si="118"/>
        <v>0</v>
      </c>
      <c r="BH95" s="22">
        <f t="shared" si="101"/>
        <v>46908</v>
      </c>
      <c r="BI95" s="108">
        <f t="shared" si="102"/>
        <v>0</v>
      </c>
      <c r="BJ95" s="2" t="e">
        <f t="shared" si="103"/>
        <v>#DIV/0!</v>
      </c>
    </row>
    <row r="96" spans="1:62" s="16" customFormat="1" x14ac:dyDescent="0.25">
      <c r="A96" s="2"/>
      <c r="B96" s="2"/>
      <c r="C96" s="1"/>
      <c r="D96" s="2"/>
      <c r="E96" s="2"/>
      <c r="F96" s="2"/>
      <c r="G96" s="426">
        <f t="shared" si="121"/>
        <v>88</v>
      </c>
      <c r="H96" s="427">
        <f t="shared" si="108"/>
        <v>47122</v>
      </c>
      <c r="I96" s="494">
        <f t="shared" si="77"/>
        <v>5.9000000000000004E-2</v>
      </c>
      <c r="J96" s="423">
        <f t="shared" si="134"/>
        <v>0</v>
      </c>
      <c r="K96" s="423">
        <f t="shared" si="110"/>
        <v>0</v>
      </c>
      <c r="L96" s="423">
        <f t="shared" si="111"/>
        <v>0</v>
      </c>
      <c r="M96" s="423">
        <f t="shared" si="112"/>
        <v>0</v>
      </c>
      <c r="N96" s="423">
        <f t="shared" si="131"/>
        <v>0</v>
      </c>
      <c r="O96" s="423">
        <f t="shared" si="109"/>
        <v>0</v>
      </c>
      <c r="P96" s="423">
        <f t="shared" si="113"/>
        <v>0</v>
      </c>
      <c r="Q96" s="423">
        <f t="shared" si="114"/>
        <v>0</v>
      </c>
      <c r="R96" s="423">
        <f t="shared" si="115"/>
        <v>0</v>
      </c>
      <c r="S96" s="470"/>
      <c r="T96" s="36">
        <f t="shared" si="122"/>
        <v>0</v>
      </c>
      <c r="U96" s="36">
        <f t="shared" si="116"/>
        <v>0</v>
      </c>
      <c r="V96" s="2"/>
      <c r="W96" s="2" t="e">
        <f t="shared" si="126"/>
        <v>#VALUE!</v>
      </c>
      <c r="X96" s="34">
        <f t="shared" si="68"/>
        <v>0</v>
      </c>
      <c r="Y96" s="57">
        <f t="shared" si="69"/>
        <v>61963</v>
      </c>
      <c r="AE96" s="47">
        <f t="shared" ref="AE96:AE97" si="135">IF(AF96-AF95=0,AE95,AE95-$AE$93)</f>
        <v>11726</v>
      </c>
      <c r="AF96" s="169">
        <f>AF95-$AF$93</f>
        <v>9.9000000000000005E-2</v>
      </c>
      <c r="AL96" s="2" t="e">
        <f t="shared" si="130"/>
        <v>#VALUE!</v>
      </c>
      <c r="AM96" s="34" t="e">
        <f t="shared" si="65"/>
        <v>#DIV/0!</v>
      </c>
      <c r="AN96" s="57">
        <f t="shared" si="127"/>
        <v>62328</v>
      </c>
      <c r="AO96" s="130" t="e">
        <f t="shared" si="117"/>
        <v>#DIV/0!</v>
      </c>
      <c r="AP96" s="109">
        <f t="shared" si="123"/>
        <v>88</v>
      </c>
      <c r="AQ96" s="110">
        <f t="shared" si="98"/>
        <v>47122</v>
      </c>
      <c r="AR96" s="105" t="e">
        <f t="shared" si="125"/>
        <v>#DIV/0!</v>
      </c>
      <c r="AS96" s="105" t="e">
        <f t="shared" si="105"/>
        <v>#DIV/0!</v>
      </c>
      <c r="AT96" s="105">
        <f t="shared" si="119"/>
        <v>0</v>
      </c>
      <c r="AU96" s="105" t="e">
        <f t="shared" si="99"/>
        <v>#DIV/0!</v>
      </c>
      <c r="AV96" s="105" t="e">
        <f t="shared" si="132"/>
        <v>#DIV/0!</v>
      </c>
      <c r="AW96" s="105" t="e">
        <f t="shared" si="133"/>
        <v>#DIV/0!</v>
      </c>
      <c r="AX96" s="105">
        <f t="shared" si="128"/>
        <v>0</v>
      </c>
      <c r="AY96" s="105">
        <f t="shared" si="129"/>
        <v>0</v>
      </c>
      <c r="AZ96" s="105"/>
      <c r="BA96" s="105"/>
      <c r="BB96" s="105"/>
      <c r="BC96" s="105"/>
      <c r="BD96" s="105"/>
      <c r="BE96" s="105" t="e">
        <f t="shared" si="120"/>
        <v>#DIV/0!</v>
      </c>
      <c r="BF96" s="108">
        <f t="shared" si="124"/>
        <v>0</v>
      </c>
      <c r="BG96" s="108">
        <f t="shared" si="118"/>
        <v>0</v>
      </c>
      <c r="BH96" s="22">
        <f t="shared" si="101"/>
        <v>46938</v>
      </c>
      <c r="BI96" s="108">
        <f t="shared" si="102"/>
        <v>0</v>
      </c>
      <c r="BJ96" s="2" t="e">
        <f t="shared" si="103"/>
        <v>#DIV/0!</v>
      </c>
    </row>
    <row r="97" spans="1:1215" s="16" customFormat="1" x14ac:dyDescent="0.25">
      <c r="A97" s="2"/>
      <c r="B97" s="2"/>
      <c r="C97" s="1"/>
      <c r="D97" s="2"/>
      <c r="E97" s="2"/>
      <c r="F97" s="2"/>
      <c r="G97" s="426">
        <f t="shared" si="121"/>
        <v>89</v>
      </c>
      <c r="H97" s="427">
        <f t="shared" si="108"/>
        <v>47153</v>
      </c>
      <c r="I97" s="494">
        <f t="shared" si="77"/>
        <v>5.9000000000000004E-2</v>
      </c>
      <c r="J97" s="423">
        <f t="shared" si="134"/>
        <v>0</v>
      </c>
      <c r="K97" s="423">
        <f t="shared" si="110"/>
        <v>0</v>
      </c>
      <c r="L97" s="423">
        <f t="shared" si="111"/>
        <v>0</v>
      </c>
      <c r="M97" s="423">
        <f t="shared" si="112"/>
        <v>0</v>
      </c>
      <c r="N97" s="423">
        <f t="shared" si="131"/>
        <v>0</v>
      </c>
      <c r="O97" s="423">
        <f t="shared" si="109"/>
        <v>0</v>
      </c>
      <c r="P97" s="423">
        <f t="shared" si="113"/>
        <v>0</v>
      </c>
      <c r="Q97" s="423">
        <f t="shared" si="114"/>
        <v>0</v>
      </c>
      <c r="R97" s="423">
        <f t="shared" si="115"/>
        <v>0</v>
      </c>
      <c r="S97" s="470"/>
      <c r="T97" s="36">
        <f t="shared" si="122"/>
        <v>0</v>
      </c>
      <c r="U97" s="36">
        <f t="shared" si="116"/>
        <v>0</v>
      </c>
      <c r="V97" s="2"/>
      <c r="W97" s="2" t="e">
        <f t="shared" si="126"/>
        <v>#VALUE!</v>
      </c>
      <c r="X97" s="34">
        <f t="shared" si="68"/>
        <v>0</v>
      </c>
      <c r="Y97" s="57">
        <f t="shared" si="69"/>
        <v>62328</v>
      </c>
      <c r="AE97" s="47">
        <f t="shared" si="135"/>
        <v>11494</v>
      </c>
      <c r="AF97" s="169">
        <f>MAX(5.9%,AF96-$AF$93)</f>
        <v>6.9000000000000006E-2</v>
      </c>
      <c r="AL97" s="2" t="e">
        <f t="shared" si="130"/>
        <v>#VALUE!</v>
      </c>
      <c r="AM97" s="34" t="e">
        <f t="shared" si="65"/>
        <v>#DIV/0!</v>
      </c>
      <c r="AN97" s="57">
        <f t="shared" si="127"/>
        <v>62693</v>
      </c>
      <c r="AO97" s="130" t="e">
        <f t="shared" si="117"/>
        <v>#DIV/0!</v>
      </c>
      <c r="AP97" s="109">
        <f t="shared" si="123"/>
        <v>89</v>
      </c>
      <c r="AQ97" s="110">
        <f t="shared" si="98"/>
        <v>47153</v>
      </c>
      <c r="AR97" s="105" t="e">
        <f t="shared" si="125"/>
        <v>#DIV/0!</v>
      </c>
      <c r="AS97" s="105" t="e">
        <f t="shared" si="105"/>
        <v>#DIV/0!</v>
      </c>
      <c r="AT97" s="105">
        <f t="shared" si="119"/>
        <v>0</v>
      </c>
      <c r="AU97" s="105" t="e">
        <f t="shared" si="99"/>
        <v>#DIV/0!</v>
      </c>
      <c r="AV97" s="105" t="e">
        <f t="shared" si="132"/>
        <v>#DIV/0!</v>
      </c>
      <c r="AW97" s="105" t="e">
        <f t="shared" si="133"/>
        <v>#DIV/0!</v>
      </c>
      <c r="AX97" s="105">
        <f t="shared" si="128"/>
        <v>0</v>
      </c>
      <c r="AY97" s="105">
        <f t="shared" si="129"/>
        <v>0</v>
      </c>
      <c r="AZ97" s="105"/>
      <c r="BA97" s="105"/>
      <c r="BB97" s="105"/>
      <c r="BC97" s="105"/>
      <c r="BD97" s="105"/>
      <c r="BE97" s="105" t="e">
        <f t="shared" si="120"/>
        <v>#DIV/0!</v>
      </c>
      <c r="BF97" s="108">
        <f t="shared" si="124"/>
        <v>0</v>
      </c>
      <c r="BG97" s="108">
        <f t="shared" si="118"/>
        <v>0</v>
      </c>
      <c r="BH97" s="22">
        <f t="shared" si="101"/>
        <v>46969</v>
      </c>
      <c r="BI97" s="108">
        <f t="shared" si="102"/>
        <v>0</v>
      </c>
      <c r="BJ97" s="2" t="e">
        <f t="shared" si="103"/>
        <v>#DIV/0!</v>
      </c>
    </row>
    <row r="98" spans="1:1215" s="16" customFormat="1" x14ac:dyDescent="0.25">
      <c r="A98" s="2"/>
      <c r="B98" s="2"/>
      <c r="C98" s="1"/>
      <c r="D98" s="2"/>
      <c r="E98" s="2"/>
      <c r="F98" s="2"/>
      <c r="G98" s="426">
        <f t="shared" si="121"/>
        <v>90</v>
      </c>
      <c r="H98" s="427">
        <f t="shared" si="108"/>
        <v>47181</v>
      </c>
      <c r="I98" s="494">
        <f t="shared" si="77"/>
        <v>5.9000000000000004E-2</v>
      </c>
      <c r="J98" s="423">
        <f t="shared" si="134"/>
        <v>0</v>
      </c>
      <c r="K98" s="423">
        <f t="shared" si="110"/>
        <v>0</v>
      </c>
      <c r="L98" s="423">
        <f t="shared" si="111"/>
        <v>0</v>
      </c>
      <c r="M98" s="423">
        <f t="shared" si="112"/>
        <v>0</v>
      </c>
      <c r="N98" s="423">
        <f t="shared" si="131"/>
        <v>0</v>
      </c>
      <c r="O98" s="423">
        <f t="shared" si="109"/>
        <v>0</v>
      </c>
      <c r="P98" s="423">
        <f t="shared" si="113"/>
        <v>0</v>
      </c>
      <c r="Q98" s="423">
        <f t="shared" si="114"/>
        <v>0</v>
      </c>
      <c r="R98" s="423">
        <f t="shared" si="115"/>
        <v>0</v>
      </c>
      <c r="S98" s="470"/>
      <c r="T98" s="36">
        <f t="shared" si="122"/>
        <v>0</v>
      </c>
      <c r="U98" s="36">
        <f t="shared" si="116"/>
        <v>0</v>
      </c>
      <c r="V98" s="2"/>
      <c r="W98" s="2" t="e">
        <f t="shared" si="126"/>
        <v>#VALUE!</v>
      </c>
      <c r="X98" s="34">
        <f t="shared" si="68"/>
        <v>0</v>
      </c>
      <c r="Y98" s="57">
        <f t="shared" si="69"/>
        <v>62693</v>
      </c>
      <c r="AE98" s="47">
        <f>IF(AF97-$AF$93&gt;=2%,AE97-$AE$93,AE97)</f>
        <v>11262</v>
      </c>
      <c r="AF98" s="169">
        <f>MAX(5.9%,AF97-$AF$93)</f>
        <v>5.9000000000000004E-2</v>
      </c>
      <c r="AL98" s="2" t="e">
        <f t="shared" si="130"/>
        <v>#VALUE!</v>
      </c>
      <c r="AM98" s="34" t="e">
        <f t="shared" ref="AM98:AM105" si="136">AS59</f>
        <v>#DIV/0!</v>
      </c>
      <c r="AN98" s="57">
        <f t="shared" si="127"/>
        <v>63058</v>
      </c>
      <c r="AO98" s="130" t="e">
        <f t="shared" si="117"/>
        <v>#DIV/0!</v>
      </c>
      <c r="AP98" s="109">
        <f t="shared" si="123"/>
        <v>90</v>
      </c>
      <c r="AQ98" s="110">
        <f t="shared" si="98"/>
        <v>47181</v>
      </c>
      <c r="AR98" s="105" t="e">
        <f t="shared" si="125"/>
        <v>#DIV/0!</v>
      </c>
      <c r="AS98" s="105" t="e">
        <f t="shared" si="105"/>
        <v>#DIV/0!</v>
      </c>
      <c r="AT98" s="105">
        <f t="shared" si="119"/>
        <v>0</v>
      </c>
      <c r="AU98" s="105" t="e">
        <f t="shared" si="99"/>
        <v>#DIV/0!</v>
      </c>
      <c r="AV98" s="105" t="e">
        <f t="shared" si="132"/>
        <v>#DIV/0!</v>
      </c>
      <c r="AW98" s="105" t="e">
        <f t="shared" si="133"/>
        <v>#DIV/0!</v>
      </c>
      <c r="AX98" s="105">
        <f t="shared" si="128"/>
        <v>0</v>
      </c>
      <c r="AY98" s="105">
        <f t="shared" si="129"/>
        <v>0</v>
      </c>
      <c r="AZ98" s="105"/>
      <c r="BA98" s="105"/>
      <c r="BB98" s="105"/>
      <c r="BC98" s="105"/>
      <c r="BD98" s="105"/>
      <c r="BE98" s="105" t="e">
        <f t="shared" si="120"/>
        <v>#DIV/0!</v>
      </c>
      <c r="BF98" s="108">
        <f t="shared" si="124"/>
        <v>0</v>
      </c>
      <c r="BG98" s="108">
        <f t="shared" si="118"/>
        <v>0</v>
      </c>
      <c r="BH98" s="22">
        <f t="shared" si="101"/>
        <v>47000</v>
      </c>
      <c r="BI98" s="108">
        <f t="shared" si="102"/>
        <v>0</v>
      </c>
      <c r="BJ98" s="2" t="e">
        <f t="shared" si="103"/>
        <v>#DIV/0!</v>
      </c>
    </row>
    <row r="99" spans="1:1215" s="16" customFormat="1" x14ac:dyDescent="0.25">
      <c r="A99" s="2"/>
      <c r="B99" s="2"/>
      <c r="C99" s="1"/>
      <c r="D99" s="2"/>
      <c r="E99" s="2"/>
      <c r="F99" s="2"/>
      <c r="G99" s="426">
        <f t="shared" si="121"/>
        <v>91</v>
      </c>
      <c r="H99" s="427">
        <f t="shared" si="108"/>
        <v>47212</v>
      </c>
      <c r="I99" s="494">
        <f t="shared" si="77"/>
        <v>5.9000000000000004E-2</v>
      </c>
      <c r="J99" s="423">
        <f t="shared" si="134"/>
        <v>0</v>
      </c>
      <c r="K99" s="423">
        <f t="shared" si="110"/>
        <v>0</v>
      </c>
      <c r="L99" s="423">
        <f t="shared" si="111"/>
        <v>0</v>
      </c>
      <c r="M99" s="423">
        <f t="shared" si="112"/>
        <v>0</v>
      </c>
      <c r="N99" s="423">
        <f t="shared" si="131"/>
        <v>0</v>
      </c>
      <c r="O99" s="423">
        <f t="shared" si="109"/>
        <v>0</v>
      </c>
      <c r="P99" s="423">
        <f t="shared" si="113"/>
        <v>0</v>
      </c>
      <c r="Q99" s="423">
        <f t="shared" si="114"/>
        <v>0</v>
      </c>
      <c r="R99" s="423">
        <f t="shared" si="115"/>
        <v>0</v>
      </c>
      <c r="S99" s="470"/>
      <c r="T99" s="36">
        <f t="shared" si="122"/>
        <v>0</v>
      </c>
      <c r="U99" s="36">
        <f t="shared" si="116"/>
        <v>0</v>
      </c>
      <c r="V99" s="2"/>
      <c r="W99" s="2" t="e">
        <f t="shared" si="126"/>
        <v>#VALUE!</v>
      </c>
      <c r="X99" s="34">
        <f t="shared" si="68"/>
        <v>0</v>
      </c>
      <c r="Y99" s="57">
        <f t="shared" si="69"/>
        <v>63058</v>
      </c>
      <c r="AE99" s="2"/>
      <c r="AF99" s="2"/>
      <c r="AG99" s="2"/>
      <c r="AL99" s="2" t="e">
        <f t="shared" si="130"/>
        <v>#VALUE!</v>
      </c>
      <c r="AM99" s="34" t="e">
        <f t="shared" si="136"/>
        <v>#DIV/0!</v>
      </c>
      <c r="AN99" s="57">
        <f t="shared" si="127"/>
        <v>63423</v>
      </c>
      <c r="AO99" s="130" t="e">
        <f t="shared" si="117"/>
        <v>#DIV/0!</v>
      </c>
      <c r="AP99" s="109">
        <f t="shared" si="123"/>
        <v>91</v>
      </c>
      <c r="AQ99" s="110">
        <f t="shared" si="98"/>
        <v>47212</v>
      </c>
      <c r="AR99" s="105" t="e">
        <f t="shared" si="125"/>
        <v>#DIV/0!</v>
      </c>
      <c r="AS99" s="105" t="e">
        <f t="shared" si="105"/>
        <v>#DIV/0!</v>
      </c>
      <c r="AT99" s="105">
        <f t="shared" si="119"/>
        <v>0</v>
      </c>
      <c r="AU99" s="105" t="e">
        <f t="shared" si="99"/>
        <v>#DIV/0!</v>
      </c>
      <c r="AV99" s="105" t="e">
        <f t="shared" si="132"/>
        <v>#DIV/0!</v>
      </c>
      <c r="AW99" s="105" t="e">
        <f t="shared" si="133"/>
        <v>#DIV/0!</v>
      </c>
      <c r="AX99" s="105">
        <f t="shared" si="128"/>
        <v>0</v>
      </c>
      <c r="AY99" s="105">
        <f t="shared" si="129"/>
        <v>0</v>
      </c>
      <c r="AZ99" s="105"/>
      <c r="BA99" s="105"/>
      <c r="BB99" s="105"/>
      <c r="BC99" s="105"/>
      <c r="BD99" s="105"/>
      <c r="BE99" s="105" t="e">
        <f t="shared" si="120"/>
        <v>#DIV/0!</v>
      </c>
      <c r="BF99" s="108">
        <f t="shared" si="124"/>
        <v>0</v>
      </c>
      <c r="BG99" s="108">
        <f t="shared" si="118"/>
        <v>0</v>
      </c>
      <c r="BH99" s="22">
        <f t="shared" si="101"/>
        <v>47030</v>
      </c>
      <c r="BI99" s="108">
        <f t="shared" si="102"/>
        <v>0</v>
      </c>
      <c r="BJ99" s="2" t="e">
        <f t="shared" si="103"/>
        <v>#DIV/0!</v>
      </c>
    </row>
    <row r="100" spans="1:1215" s="16" customFormat="1" x14ac:dyDescent="0.25">
      <c r="A100" s="2"/>
      <c r="B100" s="2"/>
      <c r="C100" s="1"/>
      <c r="D100" s="2"/>
      <c r="E100" s="2"/>
      <c r="F100" s="2"/>
      <c r="G100" s="426">
        <f t="shared" si="121"/>
        <v>92</v>
      </c>
      <c r="H100" s="427">
        <f t="shared" si="108"/>
        <v>47242</v>
      </c>
      <c r="I100" s="494">
        <f t="shared" si="77"/>
        <v>5.9000000000000004E-2</v>
      </c>
      <c r="J100" s="423">
        <f t="shared" si="134"/>
        <v>0</v>
      </c>
      <c r="K100" s="423">
        <f t="shared" si="110"/>
        <v>0</v>
      </c>
      <c r="L100" s="423">
        <f t="shared" si="111"/>
        <v>0</v>
      </c>
      <c r="M100" s="423">
        <f t="shared" si="112"/>
        <v>0</v>
      </c>
      <c r="N100" s="423">
        <f t="shared" si="131"/>
        <v>0</v>
      </c>
      <c r="O100" s="423">
        <f t="shared" si="109"/>
        <v>0</v>
      </c>
      <c r="P100" s="423">
        <f t="shared" si="113"/>
        <v>0</v>
      </c>
      <c r="Q100" s="423">
        <f t="shared" si="114"/>
        <v>0</v>
      </c>
      <c r="R100" s="423">
        <f t="shared" si="115"/>
        <v>0</v>
      </c>
      <c r="S100" s="470"/>
      <c r="T100" s="36">
        <f t="shared" si="122"/>
        <v>0</v>
      </c>
      <c r="U100" s="36">
        <f t="shared" si="116"/>
        <v>0</v>
      </c>
      <c r="V100" s="2"/>
      <c r="W100" s="2" t="e">
        <f t="shared" si="126"/>
        <v>#VALUE!</v>
      </c>
      <c r="X100" s="34">
        <f t="shared" si="68"/>
        <v>0</v>
      </c>
      <c r="Y100" s="57">
        <f t="shared" si="69"/>
        <v>63423</v>
      </c>
      <c r="AL100" s="2" t="e">
        <f t="shared" si="130"/>
        <v>#VALUE!</v>
      </c>
      <c r="AM100" s="34" t="e">
        <f t="shared" si="136"/>
        <v>#DIV/0!</v>
      </c>
      <c r="AN100" s="57">
        <f t="shared" si="127"/>
        <v>63788</v>
      </c>
      <c r="AO100" s="130" t="e">
        <f t="shared" si="117"/>
        <v>#DIV/0!</v>
      </c>
      <c r="AP100" s="109">
        <f t="shared" si="123"/>
        <v>92</v>
      </c>
      <c r="AQ100" s="110">
        <f t="shared" si="98"/>
        <v>47242</v>
      </c>
      <c r="AR100" s="105" t="e">
        <f>IF(BF106=1,AU100+AS100+AT100,IF(BE99+AU100+AS100&gt;AR99,$D$39,IF(BE99=0,0,BE99+AU100+AS100+AS109)))</f>
        <v>#DIV/0!</v>
      </c>
      <c r="AS100" s="105" t="e">
        <f t="shared" si="105"/>
        <v>#DIV/0!</v>
      </c>
      <c r="AT100" s="105">
        <f t="shared" si="119"/>
        <v>0</v>
      </c>
      <c r="AU100" s="105" t="e">
        <f t="shared" si="99"/>
        <v>#DIV/0!</v>
      </c>
      <c r="AV100" s="105" t="e">
        <f t="shared" si="132"/>
        <v>#DIV/0!</v>
      </c>
      <c r="AW100" s="105" t="e">
        <f t="shared" si="133"/>
        <v>#DIV/0!</v>
      </c>
      <c r="AX100" s="105">
        <f t="shared" si="128"/>
        <v>0</v>
      </c>
      <c r="AY100" s="105">
        <f t="shared" si="129"/>
        <v>0</v>
      </c>
      <c r="AZ100" s="105"/>
      <c r="BA100" s="105"/>
      <c r="BB100" s="105"/>
      <c r="BC100" s="105"/>
      <c r="BD100" s="105"/>
      <c r="BE100" s="105" t="e">
        <f t="shared" si="120"/>
        <v>#DIV/0!</v>
      </c>
      <c r="BF100" s="108">
        <f t="shared" si="124"/>
        <v>0</v>
      </c>
      <c r="BG100" s="108">
        <f t="shared" si="118"/>
        <v>0</v>
      </c>
      <c r="BH100" s="22">
        <f t="shared" si="101"/>
        <v>47061</v>
      </c>
      <c r="BI100" s="108">
        <f t="shared" si="102"/>
        <v>0</v>
      </c>
      <c r="BJ100" s="2" t="e">
        <f t="shared" si="103"/>
        <v>#DIV/0!</v>
      </c>
    </row>
    <row r="101" spans="1:1215" s="16" customFormat="1" x14ac:dyDescent="0.25">
      <c r="A101" s="2"/>
      <c r="B101" s="2"/>
      <c r="C101" s="1"/>
      <c r="D101" s="13"/>
      <c r="E101" s="2"/>
      <c r="F101" s="2"/>
      <c r="G101" s="426">
        <f t="shared" si="121"/>
        <v>93</v>
      </c>
      <c r="H101" s="427">
        <f t="shared" si="108"/>
        <v>47273</v>
      </c>
      <c r="I101" s="494">
        <f t="shared" si="77"/>
        <v>5.9000000000000004E-2</v>
      </c>
      <c r="J101" s="423">
        <f t="shared" si="134"/>
        <v>0</v>
      </c>
      <c r="K101" s="423">
        <f t="shared" si="110"/>
        <v>0</v>
      </c>
      <c r="L101" s="423">
        <f t="shared" si="111"/>
        <v>0</v>
      </c>
      <c r="M101" s="423">
        <f t="shared" si="112"/>
        <v>0</v>
      </c>
      <c r="N101" s="423">
        <f t="shared" si="131"/>
        <v>0</v>
      </c>
      <c r="O101" s="423">
        <f t="shared" si="109"/>
        <v>0</v>
      </c>
      <c r="P101" s="423">
        <f t="shared" si="113"/>
        <v>0</v>
      </c>
      <c r="Q101" s="423">
        <f t="shared" si="114"/>
        <v>0</v>
      </c>
      <c r="R101" s="423">
        <f t="shared" si="115"/>
        <v>0</v>
      </c>
      <c r="S101" s="470"/>
      <c r="T101" s="36">
        <f t="shared" si="122"/>
        <v>0</v>
      </c>
      <c r="U101" s="36">
        <f t="shared" si="116"/>
        <v>0</v>
      </c>
      <c r="V101" s="2"/>
      <c r="W101" s="2" t="e">
        <f t="shared" si="126"/>
        <v>#VALUE!</v>
      </c>
      <c r="X101" s="34">
        <f t="shared" si="68"/>
        <v>0</v>
      </c>
      <c r="Y101" s="57">
        <f t="shared" si="69"/>
        <v>63788</v>
      </c>
      <c r="AL101" s="2" t="e">
        <f t="shared" si="130"/>
        <v>#VALUE!</v>
      </c>
      <c r="AM101" s="34" t="e">
        <f t="shared" si="136"/>
        <v>#DIV/0!</v>
      </c>
      <c r="AN101" s="57">
        <f t="shared" si="127"/>
        <v>64153</v>
      </c>
      <c r="AO101" s="130" t="e">
        <f t="shared" si="117"/>
        <v>#DIV/0!</v>
      </c>
      <c r="AP101" s="109">
        <f t="shared" si="123"/>
        <v>93</v>
      </c>
      <c r="AQ101" s="110">
        <f t="shared" si="98"/>
        <v>47273</v>
      </c>
      <c r="AR101" s="105" t="e">
        <f t="shared" ref="AR101:AR108" si="137">IF(BF107=1,AU101+AS101+AT101,IF(BE100+AU101+AS101&gt;AR100,$D$39,IF(BE100=0,0,BE100+AU101+AS101+AS132)))</f>
        <v>#DIV/0!</v>
      </c>
      <c r="AS101" s="105" t="e">
        <f t="shared" si="105"/>
        <v>#DIV/0!</v>
      </c>
      <c r="AT101" s="105">
        <f t="shared" si="119"/>
        <v>0</v>
      </c>
      <c r="AU101" s="105" t="e">
        <f t="shared" si="99"/>
        <v>#DIV/0!</v>
      </c>
      <c r="AV101" s="105" t="e">
        <f t="shared" si="132"/>
        <v>#DIV/0!</v>
      </c>
      <c r="AW101" s="105" t="e">
        <f t="shared" si="133"/>
        <v>#DIV/0!</v>
      </c>
      <c r="AX101" s="105">
        <f t="shared" si="128"/>
        <v>0</v>
      </c>
      <c r="AY101" s="105">
        <f t="shared" si="129"/>
        <v>0</v>
      </c>
      <c r="AZ101" s="105"/>
      <c r="BA101" s="105"/>
      <c r="BB101" s="105"/>
      <c r="BC101" s="105"/>
      <c r="BD101" s="105"/>
      <c r="BE101" s="105" t="e">
        <f t="shared" si="120"/>
        <v>#DIV/0!</v>
      </c>
      <c r="BF101" s="108">
        <f t="shared" si="124"/>
        <v>0</v>
      </c>
      <c r="BG101" s="108">
        <f t="shared" si="118"/>
        <v>0</v>
      </c>
      <c r="BH101" s="22">
        <f t="shared" si="101"/>
        <v>47091</v>
      </c>
      <c r="BI101" s="108">
        <f t="shared" si="102"/>
        <v>0</v>
      </c>
      <c r="BJ101" s="2" t="e">
        <f t="shared" si="103"/>
        <v>#DIV/0!</v>
      </c>
    </row>
    <row r="102" spans="1:1215" s="16" customFormat="1" x14ac:dyDescent="0.25">
      <c r="A102" s="2"/>
      <c r="B102" s="2"/>
      <c r="C102" s="1"/>
      <c r="D102" s="2"/>
      <c r="E102" s="2"/>
      <c r="F102" s="2"/>
      <c r="G102" s="426">
        <f t="shared" si="121"/>
        <v>94</v>
      </c>
      <c r="H102" s="427">
        <f t="shared" si="108"/>
        <v>47303</v>
      </c>
      <c r="I102" s="494">
        <f t="shared" si="77"/>
        <v>5.9000000000000004E-2</v>
      </c>
      <c r="J102" s="423">
        <f t="shared" si="134"/>
        <v>0</v>
      </c>
      <c r="K102" s="423">
        <f t="shared" si="110"/>
        <v>0</v>
      </c>
      <c r="L102" s="423">
        <f t="shared" si="111"/>
        <v>0</v>
      </c>
      <c r="M102" s="423">
        <f t="shared" si="112"/>
        <v>0</v>
      </c>
      <c r="N102" s="423">
        <f t="shared" si="131"/>
        <v>0</v>
      </c>
      <c r="O102" s="423">
        <f t="shared" si="109"/>
        <v>0</v>
      </c>
      <c r="P102" s="423">
        <f t="shared" si="113"/>
        <v>0</v>
      </c>
      <c r="Q102" s="423">
        <f t="shared" si="114"/>
        <v>0</v>
      </c>
      <c r="R102" s="423">
        <f t="shared" si="115"/>
        <v>0</v>
      </c>
      <c r="S102" s="470"/>
      <c r="T102" s="36">
        <f t="shared" si="122"/>
        <v>0</v>
      </c>
      <c r="U102" s="36">
        <f t="shared" si="116"/>
        <v>0</v>
      </c>
      <c r="V102" s="2"/>
      <c r="W102" s="2" t="e">
        <f t="shared" si="126"/>
        <v>#VALUE!</v>
      </c>
      <c r="X102" s="34">
        <f t="shared" si="68"/>
        <v>0</v>
      </c>
      <c r="Y102" s="57">
        <f t="shared" si="69"/>
        <v>64153</v>
      </c>
      <c r="AL102" s="2" t="e">
        <f t="shared" si="130"/>
        <v>#VALUE!</v>
      </c>
      <c r="AM102" s="34" t="e">
        <f t="shared" si="136"/>
        <v>#DIV/0!</v>
      </c>
      <c r="AN102" s="57">
        <f t="shared" si="127"/>
        <v>64518</v>
      </c>
      <c r="AO102" s="130" t="e">
        <f t="shared" si="117"/>
        <v>#DIV/0!</v>
      </c>
      <c r="AP102" s="109">
        <f t="shared" si="123"/>
        <v>94</v>
      </c>
      <c r="AQ102" s="110">
        <f t="shared" si="98"/>
        <v>47303</v>
      </c>
      <c r="AR102" s="105" t="e">
        <f t="shared" si="137"/>
        <v>#DIV/0!</v>
      </c>
      <c r="AS102" s="105" t="e">
        <f t="shared" si="105"/>
        <v>#DIV/0!</v>
      </c>
      <c r="AT102" s="105">
        <f t="shared" si="119"/>
        <v>0</v>
      </c>
      <c r="AU102" s="105" t="e">
        <f t="shared" si="99"/>
        <v>#DIV/0!</v>
      </c>
      <c r="AV102" s="105" t="e">
        <f t="shared" si="132"/>
        <v>#DIV/0!</v>
      </c>
      <c r="AW102" s="105" t="e">
        <f t="shared" si="133"/>
        <v>#DIV/0!</v>
      </c>
      <c r="AX102" s="105">
        <f t="shared" si="128"/>
        <v>0</v>
      </c>
      <c r="AY102" s="105">
        <f t="shared" si="129"/>
        <v>0</v>
      </c>
      <c r="AZ102" s="105"/>
      <c r="BA102" s="105"/>
      <c r="BB102" s="105"/>
      <c r="BC102" s="105"/>
      <c r="BD102" s="105"/>
      <c r="BE102" s="105" t="e">
        <f t="shared" si="120"/>
        <v>#DIV/0!</v>
      </c>
      <c r="BF102" s="108">
        <f t="shared" si="124"/>
        <v>0</v>
      </c>
      <c r="BG102" s="108">
        <f t="shared" si="118"/>
        <v>0</v>
      </c>
      <c r="BH102" s="22">
        <f t="shared" si="101"/>
        <v>47122</v>
      </c>
      <c r="BI102" s="108">
        <f t="shared" si="102"/>
        <v>0</v>
      </c>
      <c r="BJ102" s="2" t="e">
        <f t="shared" si="103"/>
        <v>#DIV/0!</v>
      </c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  <c r="AAB102" s="2"/>
      <c r="AAC102" s="2"/>
      <c r="AAD102" s="2"/>
      <c r="AAE102" s="2"/>
      <c r="AAF102" s="2"/>
      <c r="AAG102" s="2"/>
      <c r="AAH102" s="2"/>
      <c r="AAI102" s="2"/>
      <c r="AAJ102" s="2"/>
      <c r="AAK102" s="2"/>
      <c r="AAL102" s="2"/>
      <c r="AAM102" s="2"/>
      <c r="AAN102" s="2"/>
      <c r="AAO102" s="2"/>
      <c r="AAP102" s="2"/>
      <c r="AAQ102" s="2"/>
      <c r="AAR102" s="2"/>
      <c r="AAS102" s="2"/>
      <c r="AAT102" s="2"/>
      <c r="AAU102" s="2"/>
      <c r="AAV102" s="2"/>
      <c r="AAW102" s="2"/>
      <c r="AAX102" s="2"/>
      <c r="AAY102" s="2"/>
      <c r="AAZ102" s="2"/>
      <c r="ABA102" s="2"/>
      <c r="ABB102" s="2"/>
      <c r="ABC102" s="2"/>
      <c r="ABD102" s="2"/>
      <c r="ABE102" s="2"/>
      <c r="ABF102" s="2"/>
      <c r="ABG102" s="2"/>
      <c r="ABH102" s="2"/>
      <c r="ABI102" s="2"/>
      <c r="ABJ102" s="2"/>
      <c r="ABK102" s="2"/>
      <c r="ABL102" s="2"/>
      <c r="ABM102" s="2"/>
      <c r="ABN102" s="2"/>
      <c r="ABO102" s="2"/>
      <c r="ABP102" s="2"/>
      <c r="ABQ102" s="2"/>
      <c r="ABR102" s="2"/>
      <c r="ABS102" s="2"/>
      <c r="ABT102" s="2"/>
      <c r="ABU102" s="2"/>
      <c r="ABV102" s="2"/>
      <c r="ABW102" s="2"/>
      <c r="ABX102" s="2"/>
      <c r="ABY102" s="2"/>
      <c r="ABZ102" s="2"/>
      <c r="ACA102" s="2"/>
      <c r="ACB102" s="2"/>
      <c r="ACC102" s="2"/>
      <c r="ACD102" s="2"/>
      <c r="ACE102" s="2"/>
      <c r="ACF102" s="2"/>
      <c r="ACG102" s="2"/>
      <c r="ACH102" s="2"/>
      <c r="ACI102" s="2"/>
      <c r="ACJ102" s="2"/>
      <c r="ACK102" s="2"/>
      <c r="ACL102" s="2"/>
      <c r="ACM102" s="2"/>
      <c r="ACN102" s="2"/>
      <c r="ACO102" s="2"/>
      <c r="ACP102" s="2"/>
      <c r="ACQ102" s="2"/>
      <c r="ACR102" s="2"/>
      <c r="ACS102" s="2"/>
      <c r="ACT102" s="2"/>
      <c r="ACU102" s="2"/>
      <c r="ACV102" s="2"/>
      <c r="ACW102" s="2"/>
      <c r="ACX102" s="2"/>
      <c r="ACY102" s="2"/>
      <c r="ACZ102" s="2"/>
      <c r="ADA102" s="2"/>
      <c r="ADB102" s="2"/>
      <c r="ADC102" s="2"/>
      <c r="ADD102" s="2"/>
      <c r="ADE102" s="2"/>
      <c r="ADF102" s="2"/>
      <c r="ADG102" s="2"/>
      <c r="ADH102" s="2"/>
      <c r="ADI102" s="2"/>
      <c r="ADJ102" s="2"/>
      <c r="ADK102" s="2"/>
      <c r="ADL102" s="2"/>
      <c r="ADM102" s="2"/>
      <c r="ADN102" s="2"/>
      <c r="ADO102" s="2"/>
      <c r="ADP102" s="2"/>
      <c r="ADQ102" s="2"/>
      <c r="ADR102" s="2"/>
      <c r="ADS102" s="2"/>
      <c r="ADT102" s="2"/>
      <c r="ADU102" s="2"/>
      <c r="ADV102" s="2"/>
      <c r="ADW102" s="2"/>
      <c r="ADX102" s="2"/>
      <c r="ADY102" s="2"/>
      <c r="ADZ102" s="2"/>
      <c r="AEA102" s="2"/>
      <c r="AEB102" s="2"/>
      <c r="AEC102" s="2"/>
      <c r="AED102" s="2"/>
      <c r="AEE102" s="2"/>
      <c r="AEF102" s="2"/>
      <c r="AEG102" s="2"/>
      <c r="AEH102" s="2"/>
      <c r="AEI102" s="2"/>
      <c r="AEJ102" s="2"/>
      <c r="AEK102" s="2"/>
      <c r="AEL102" s="2"/>
      <c r="AEM102" s="2"/>
      <c r="AEN102" s="2"/>
      <c r="AEO102" s="2"/>
      <c r="AEP102" s="2"/>
      <c r="AEQ102" s="2"/>
      <c r="AER102" s="2"/>
      <c r="AES102" s="2"/>
      <c r="AET102" s="2"/>
      <c r="AEU102" s="2"/>
      <c r="AEV102" s="2"/>
      <c r="AEW102" s="2"/>
      <c r="AEX102" s="2"/>
      <c r="AEY102" s="2"/>
      <c r="AEZ102" s="2"/>
      <c r="AFA102" s="2"/>
      <c r="AFB102" s="2"/>
      <c r="AFC102" s="2"/>
      <c r="AFD102" s="2"/>
      <c r="AFE102" s="2"/>
      <c r="AFF102" s="2"/>
      <c r="AFG102" s="2"/>
      <c r="AFH102" s="2"/>
      <c r="AFI102" s="2"/>
      <c r="AFJ102" s="2"/>
      <c r="AFK102" s="2"/>
      <c r="AFL102" s="2"/>
      <c r="AFM102" s="2"/>
      <c r="AFN102" s="2"/>
      <c r="AFO102" s="2"/>
      <c r="AFP102" s="2"/>
      <c r="AFQ102" s="2"/>
      <c r="AFR102" s="2"/>
      <c r="AFS102" s="2"/>
      <c r="AFT102" s="2"/>
      <c r="AFU102" s="2"/>
      <c r="AFV102" s="2"/>
      <c r="AFW102" s="2"/>
      <c r="AFX102" s="2"/>
      <c r="AFY102" s="2"/>
      <c r="AFZ102" s="2"/>
      <c r="AGA102" s="2"/>
      <c r="AGB102" s="2"/>
      <c r="AGC102" s="2"/>
      <c r="AGD102" s="2"/>
      <c r="AGE102" s="2"/>
      <c r="AGF102" s="2"/>
      <c r="AGG102" s="2"/>
      <c r="AGH102" s="2"/>
      <c r="AGI102" s="2"/>
      <c r="AGJ102" s="2"/>
      <c r="AGK102" s="2"/>
      <c r="AGL102" s="2"/>
      <c r="AGM102" s="2"/>
      <c r="AGN102" s="2"/>
      <c r="AGO102" s="2"/>
      <c r="AGP102" s="2"/>
      <c r="AGQ102" s="2"/>
      <c r="AGR102" s="2"/>
      <c r="AGS102" s="2"/>
      <c r="AGT102" s="2"/>
      <c r="AGU102" s="2"/>
      <c r="AGV102" s="2"/>
      <c r="AGW102" s="2"/>
      <c r="AGX102" s="2"/>
      <c r="AGY102" s="2"/>
      <c r="AGZ102" s="2"/>
      <c r="AHA102" s="2"/>
      <c r="AHB102" s="2"/>
      <c r="AHC102" s="2"/>
      <c r="AHD102" s="2"/>
      <c r="AHE102" s="2"/>
      <c r="AHF102" s="2"/>
      <c r="AHG102" s="2"/>
      <c r="AHH102" s="2"/>
      <c r="AHI102" s="2"/>
      <c r="AHJ102" s="2"/>
      <c r="AHK102" s="2"/>
      <c r="AHL102" s="2"/>
      <c r="AHM102" s="2"/>
      <c r="AHN102" s="2"/>
      <c r="AHO102" s="2"/>
      <c r="AHP102" s="2"/>
      <c r="AHQ102" s="2"/>
      <c r="AHR102" s="2"/>
      <c r="AHS102" s="2"/>
      <c r="AHT102" s="2"/>
      <c r="AHU102" s="2"/>
      <c r="AHV102" s="2"/>
      <c r="AHW102" s="2"/>
      <c r="AHX102" s="2"/>
      <c r="AHY102" s="2"/>
      <c r="AHZ102" s="2"/>
      <c r="AIA102" s="2"/>
      <c r="AIB102" s="2"/>
      <c r="AIC102" s="2"/>
      <c r="AID102" s="2"/>
      <c r="AIE102" s="2"/>
      <c r="AIF102" s="2"/>
      <c r="AIG102" s="2"/>
      <c r="AIH102" s="2"/>
      <c r="AII102" s="2"/>
      <c r="AIJ102" s="2"/>
      <c r="AIK102" s="2"/>
      <c r="AIL102" s="2"/>
      <c r="AIM102" s="2"/>
      <c r="AIN102" s="2"/>
      <c r="AIO102" s="2"/>
      <c r="AIP102" s="2"/>
      <c r="AIQ102" s="2"/>
      <c r="AIR102" s="2"/>
      <c r="AIS102" s="2"/>
      <c r="AIT102" s="2"/>
      <c r="AIU102" s="2"/>
      <c r="AIV102" s="2"/>
      <c r="AIW102" s="2"/>
      <c r="AIX102" s="2"/>
      <c r="AIY102" s="2"/>
      <c r="AIZ102" s="2"/>
      <c r="AJA102" s="2"/>
      <c r="AJB102" s="2"/>
      <c r="AJC102" s="2"/>
      <c r="AJD102" s="2"/>
      <c r="AJE102" s="2"/>
      <c r="AJF102" s="2"/>
      <c r="AJG102" s="2"/>
      <c r="AJH102" s="2"/>
      <c r="AJI102" s="2"/>
      <c r="AJJ102" s="2"/>
      <c r="AJK102" s="2"/>
      <c r="AJL102" s="2"/>
      <c r="AJM102" s="2"/>
      <c r="AJN102" s="2"/>
      <c r="AJO102" s="2"/>
      <c r="AJP102" s="2"/>
      <c r="AJQ102" s="2"/>
      <c r="AJR102" s="2"/>
      <c r="AJS102" s="2"/>
      <c r="AJT102" s="2"/>
      <c r="AJU102" s="2"/>
      <c r="AJV102" s="2"/>
      <c r="AJW102" s="2"/>
      <c r="AJX102" s="2"/>
      <c r="AJY102" s="2"/>
      <c r="AJZ102" s="2"/>
      <c r="AKA102" s="2"/>
      <c r="AKB102" s="2"/>
      <c r="AKC102" s="2"/>
      <c r="AKD102" s="2"/>
      <c r="AKE102" s="2"/>
      <c r="AKF102" s="2"/>
      <c r="AKG102" s="2"/>
      <c r="AKH102" s="2"/>
      <c r="AKI102" s="2"/>
      <c r="AKJ102" s="2"/>
      <c r="AKK102" s="2"/>
      <c r="AKL102" s="2"/>
      <c r="AKM102" s="2"/>
      <c r="AKN102" s="2"/>
      <c r="AKO102" s="2"/>
      <c r="AKP102" s="2"/>
      <c r="AKQ102" s="2"/>
      <c r="AKR102" s="2"/>
      <c r="AKS102" s="2"/>
      <c r="AKT102" s="2"/>
      <c r="AKU102" s="2"/>
      <c r="AKV102" s="2"/>
      <c r="AKW102" s="2"/>
      <c r="AKX102" s="2"/>
      <c r="AKY102" s="2"/>
      <c r="AKZ102" s="2"/>
      <c r="ALA102" s="2"/>
      <c r="ALB102" s="2"/>
      <c r="ALC102" s="2"/>
      <c r="ALD102" s="2"/>
      <c r="ALE102" s="2"/>
      <c r="ALF102" s="2"/>
      <c r="ALG102" s="2"/>
      <c r="ALH102" s="2"/>
      <c r="ALI102" s="2"/>
      <c r="ALJ102" s="2"/>
      <c r="ALK102" s="2"/>
      <c r="ALL102" s="2"/>
      <c r="ALM102" s="2"/>
      <c r="ALN102" s="2"/>
      <c r="ALO102" s="2"/>
      <c r="ALP102" s="2"/>
      <c r="ALQ102" s="2"/>
      <c r="ALR102" s="2"/>
      <c r="ALS102" s="2"/>
      <c r="ALT102" s="2"/>
      <c r="ALU102" s="2"/>
      <c r="ALV102" s="2"/>
      <c r="ALW102" s="2"/>
      <c r="ALX102" s="2"/>
      <c r="ALY102" s="2"/>
      <c r="ALZ102" s="2"/>
      <c r="AMA102" s="2"/>
      <c r="AMB102" s="2"/>
      <c r="AMC102" s="2"/>
      <c r="AMD102" s="2"/>
      <c r="AME102" s="2"/>
      <c r="AMF102" s="2"/>
      <c r="AMG102" s="2"/>
      <c r="AMH102" s="2"/>
      <c r="AMI102" s="2"/>
      <c r="AMJ102" s="2"/>
      <c r="AMK102" s="2"/>
      <c r="AML102" s="2"/>
      <c r="AMM102" s="2"/>
      <c r="AMN102" s="2"/>
      <c r="AMO102" s="2"/>
      <c r="AMP102" s="2"/>
      <c r="AMQ102" s="2"/>
      <c r="AMR102" s="2"/>
      <c r="AMS102" s="2"/>
      <c r="AMT102" s="2"/>
      <c r="AMU102" s="2"/>
      <c r="AMV102" s="2"/>
      <c r="AMW102" s="2"/>
      <c r="AMX102" s="2"/>
      <c r="AMY102" s="2"/>
      <c r="AMZ102" s="2"/>
      <c r="ANA102" s="2"/>
      <c r="ANB102" s="2"/>
      <c r="ANC102" s="2"/>
      <c r="AND102" s="2"/>
      <c r="ANE102" s="2"/>
      <c r="ANF102" s="2"/>
      <c r="ANG102" s="2"/>
      <c r="ANH102" s="2"/>
      <c r="ANI102" s="2"/>
      <c r="ANJ102" s="2"/>
      <c r="ANK102" s="2"/>
      <c r="ANL102" s="2"/>
      <c r="ANM102" s="2"/>
      <c r="ANN102" s="2"/>
      <c r="ANO102" s="2"/>
      <c r="ANP102" s="2"/>
      <c r="ANQ102" s="2"/>
      <c r="ANR102" s="2"/>
      <c r="ANS102" s="2"/>
      <c r="ANT102" s="2"/>
      <c r="ANU102" s="2"/>
      <c r="ANV102" s="2"/>
      <c r="ANW102" s="2"/>
      <c r="ANX102" s="2"/>
      <c r="ANY102" s="2"/>
      <c r="ANZ102" s="2"/>
      <c r="AOA102" s="2"/>
      <c r="AOB102" s="2"/>
      <c r="AOC102" s="2"/>
      <c r="AOD102" s="2"/>
      <c r="AOE102" s="2"/>
      <c r="AOF102" s="2"/>
      <c r="AOG102" s="2"/>
      <c r="AOH102" s="2"/>
      <c r="AOI102" s="2"/>
      <c r="AOJ102" s="2"/>
      <c r="AOK102" s="2"/>
      <c r="AOL102" s="2"/>
      <c r="AOM102" s="2"/>
      <c r="AON102" s="2"/>
      <c r="AOO102" s="2"/>
      <c r="AOP102" s="2"/>
      <c r="AOQ102" s="2"/>
      <c r="AOR102" s="2"/>
      <c r="AOS102" s="2"/>
      <c r="AOT102" s="2"/>
      <c r="AOU102" s="2"/>
      <c r="AOV102" s="2"/>
      <c r="AOW102" s="2"/>
      <c r="AOX102" s="2"/>
      <c r="AOY102" s="2"/>
      <c r="AOZ102" s="2"/>
      <c r="APA102" s="2"/>
      <c r="APB102" s="2"/>
      <c r="APC102" s="2"/>
      <c r="APD102" s="2"/>
      <c r="APE102" s="2"/>
      <c r="APF102" s="2"/>
      <c r="APG102" s="2"/>
      <c r="APH102" s="2"/>
      <c r="API102" s="2"/>
      <c r="APJ102" s="2"/>
      <c r="APK102" s="2"/>
      <c r="APL102" s="2"/>
      <c r="APM102" s="2"/>
      <c r="APN102" s="2"/>
      <c r="APO102" s="2"/>
      <c r="APP102" s="2"/>
      <c r="APQ102" s="2"/>
      <c r="APR102" s="2"/>
      <c r="APS102" s="2"/>
      <c r="APT102" s="2"/>
      <c r="APU102" s="2"/>
      <c r="APV102" s="2"/>
      <c r="APW102" s="2"/>
      <c r="APX102" s="2"/>
      <c r="APY102" s="2"/>
      <c r="APZ102" s="2"/>
      <c r="AQA102" s="2"/>
      <c r="AQB102" s="2"/>
      <c r="AQC102" s="2"/>
      <c r="AQD102" s="2"/>
      <c r="AQE102" s="2"/>
      <c r="AQF102" s="2"/>
      <c r="AQG102" s="2"/>
      <c r="AQH102" s="2"/>
      <c r="AQI102" s="2"/>
      <c r="AQJ102" s="2"/>
      <c r="AQK102" s="2"/>
      <c r="AQL102" s="2"/>
      <c r="AQM102" s="2"/>
      <c r="AQN102" s="2"/>
      <c r="AQO102" s="2"/>
      <c r="AQP102" s="2"/>
      <c r="AQQ102" s="2"/>
      <c r="AQR102" s="2"/>
      <c r="AQS102" s="2"/>
      <c r="AQT102" s="2"/>
      <c r="AQU102" s="2"/>
      <c r="AQV102" s="2"/>
      <c r="AQW102" s="2"/>
      <c r="AQX102" s="2"/>
      <c r="AQY102" s="2"/>
      <c r="AQZ102" s="2"/>
      <c r="ARA102" s="2"/>
      <c r="ARB102" s="2"/>
      <c r="ARC102" s="2"/>
      <c r="ARD102" s="2"/>
      <c r="ARE102" s="2"/>
      <c r="ARF102" s="2"/>
      <c r="ARG102" s="2"/>
      <c r="ARH102" s="2"/>
      <c r="ARI102" s="2"/>
      <c r="ARJ102" s="2"/>
      <c r="ARK102" s="2"/>
      <c r="ARL102" s="2"/>
      <c r="ARM102" s="2"/>
      <c r="ARN102" s="2"/>
      <c r="ARO102" s="2"/>
      <c r="ARP102" s="2"/>
      <c r="ARQ102" s="2"/>
      <c r="ARR102" s="2"/>
      <c r="ARS102" s="2"/>
      <c r="ART102" s="2"/>
      <c r="ARU102" s="2"/>
      <c r="ARV102" s="2"/>
      <c r="ARW102" s="2"/>
      <c r="ARX102" s="2"/>
      <c r="ARY102" s="2"/>
      <c r="ARZ102" s="2"/>
      <c r="ASA102" s="2"/>
      <c r="ASB102" s="2"/>
      <c r="ASC102" s="2"/>
      <c r="ASD102" s="2"/>
      <c r="ASE102" s="2"/>
      <c r="ASF102" s="2"/>
      <c r="ASG102" s="2"/>
      <c r="ASH102" s="2"/>
      <c r="ASI102" s="2"/>
      <c r="ASJ102" s="2"/>
      <c r="ASK102" s="2"/>
      <c r="ASL102" s="2"/>
      <c r="ASM102" s="2"/>
      <c r="ASN102" s="2"/>
      <c r="ASO102" s="2"/>
      <c r="ASP102" s="2"/>
      <c r="ASQ102" s="2"/>
      <c r="ASR102" s="2"/>
      <c r="ASS102" s="2"/>
      <c r="AST102" s="2"/>
      <c r="ASU102" s="2"/>
      <c r="ASV102" s="2"/>
      <c r="ASW102" s="2"/>
      <c r="ASX102" s="2"/>
      <c r="ASY102" s="2"/>
      <c r="ASZ102" s="2"/>
      <c r="ATA102" s="2"/>
      <c r="ATB102" s="2"/>
      <c r="ATC102" s="2"/>
      <c r="ATD102" s="2"/>
      <c r="ATE102" s="2"/>
      <c r="ATF102" s="2"/>
      <c r="ATG102" s="2"/>
      <c r="ATH102" s="2"/>
      <c r="ATI102" s="2"/>
      <c r="ATJ102" s="2"/>
      <c r="ATK102" s="2"/>
      <c r="ATL102" s="2"/>
      <c r="ATM102" s="2"/>
      <c r="ATN102" s="2"/>
      <c r="ATO102" s="2"/>
      <c r="ATP102" s="2"/>
      <c r="ATQ102" s="2"/>
      <c r="ATR102" s="2"/>
      <c r="ATS102" s="2"/>
    </row>
    <row r="103" spans="1:1215" x14ac:dyDescent="0.25">
      <c r="E103" s="2"/>
      <c r="F103" s="2"/>
      <c r="G103" s="426">
        <f t="shared" si="121"/>
        <v>95</v>
      </c>
      <c r="H103" s="427">
        <f t="shared" si="108"/>
        <v>47334</v>
      </c>
      <c r="I103" s="494">
        <f t="shared" si="77"/>
        <v>5.9000000000000004E-2</v>
      </c>
      <c r="J103" s="423">
        <f t="shared" si="134"/>
        <v>0</v>
      </c>
      <c r="K103" s="423">
        <f t="shared" si="110"/>
        <v>0</v>
      </c>
      <c r="L103" s="423">
        <f t="shared" si="111"/>
        <v>0</v>
      </c>
      <c r="M103" s="423">
        <f t="shared" si="112"/>
        <v>0</v>
      </c>
      <c r="N103" s="423">
        <f t="shared" si="131"/>
        <v>0</v>
      </c>
      <c r="O103" s="423">
        <f t="shared" si="109"/>
        <v>0</v>
      </c>
      <c r="P103" s="423">
        <f t="shared" si="113"/>
        <v>0</v>
      </c>
      <c r="Q103" s="423">
        <f t="shared" si="114"/>
        <v>0</v>
      </c>
      <c r="R103" s="423">
        <f t="shared" si="115"/>
        <v>0</v>
      </c>
      <c r="S103" s="470"/>
      <c r="T103" s="36">
        <f t="shared" si="122"/>
        <v>0</v>
      </c>
      <c r="U103" s="36">
        <f t="shared" si="116"/>
        <v>0</v>
      </c>
      <c r="W103" s="2" t="e">
        <f t="shared" si="126"/>
        <v>#VALUE!</v>
      </c>
      <c r="X103" s="34">
        <f t="shared" si="68"/>
        <v>0</v>
      </c>
      <c r="Y103" s="57">
        <f t="shared" si="69"/>
        <v>64518</v>
      </c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2" t="e">
        <f t="shared" si="130"/>
        <v>#VALUE!</v>
      </c>
      <c r="AM103" s="34" t="e">
        <f t="shared" si="136"/>
        <v>#DIV/0!</v>
      </c>
      <c r="AN103" s="57">
        <f t="shared" si="127"/>
        <v>64883</v>
      </c>
      <c r="AO103" s="130" t="e">
        <f t="shared" si="117"/>
        <v>#DIV/0!</v>
      </c>
      <c r="AP103" s="109">
        <f t="shared" si="123"/>
        <v>95</v>
      </c>
      <c r="AQ103" s="110">
        <f t="shared" si="98"/>
        <v>47334</v>
      </c>
      <c r="AR103" s="105" t="e">
        <f t="shared" si="137"/>
        <v>#DIV/0!</v>
      </c>
      <c r="AS103" s="105" t="e">
        <f t="shared" si="105"/>
        <v>#DIV/0!</v>
      </c>
      <c r="AT103" s="105">
        <f t="shared" si="119"/>
        <v>0</v>
      </c>
      <c r="AU103" s="105" t="e">
        <f t="shared" si="99"/>
        <v>#DIV/0!</v>
      </c>
      <c r="AV103" s="105" t="e">
        <f t="shared" si="132"/>
        <v>#DIV/0!</v>
      </c>
      <c r="AW103" s="105" t="e">
        <f t="shared" si="133"/>
        <v>#DIV/0!</v>
      </c>
      <c r="AX103" s="105">
        <f t="shared" si="128"/>
        <v>0</v>
      </c>
      <c r="AY103" s="105">
        <f t="shared" si="129"/>
        <v>0</v>
      </c>
      <c r="AZ103" s="105"/>
      <c r="BA103" s="105"/>
      <c r="BB103" s="105"/>
      <c r="BC103" s="105"/>
      <c r="BD103" s="105"/>
      <c r="BE103" s="105" t="e">
        <f t="shared" si="120"/>
        <v>#DIV/0!</v>
      </c>
      <c r="BF103" s="108">
        <f t="shared" si="124"/>
        <v>0</v>
      </c>
      <c r="BG103" s="108">
        <f t="shared" si="118"/>
        <v>0</v>
      </c>
      <c r="BH103" s="22">
        <f t="shared" si="101"/>
        <v>47153</v>
      </c>
      <c r="BI103" s="108">
        <f t="shared" si="102"/>
        <v>0</v>
      </c>
      <c r="BJ103" s="2" t="e">
        <f t="shared" si="103"/>
        <v>#DIV/0!</v>
      </c>
    </row>
    <row r="104" spans="1:1215" x14ac:dyDescent="0.25">
      <c r="E104" s="2"/>
      <c r="F104" s="2"/>
      <c r="G104" s="426">
        <f t="shared" si="121"/>
        <v>96</v>
      </c>
      <c r="H104" s="427">
        <f t="shared" si="108"/>
        <v>47365</v>
      </c>
      <c r="I104" s="494">
        <f t="shared" si="77"/>
        <v>5.9000000000000004E-2</v>
      </c>
      <c r="J104" s="423">
        <f t="shared" si="134"/>
        <v>0</v>
      </c>
      <c r="K104" s="423">
        <f t="shared" si="110"/>
        <v>0</v>
      </c>
      <c r="L104" s="423">
        <f t="shared" si="111"/>
        <v>0</v>
      </c>
      <c r="M104" s="423">
        <f t="shared" si="112"/>
        <v>0</v>
      </c>
      <c r="N104" s="423">
        <f t="shared" si="131"/>
        <v>0</v>
      </c>
      <c r="O104" s="423">
        <f t="shared" si="109"/>
        <v>0</v>
      </c>
      <c r="P104" s="423">
        <f t="shared" si="113"/>
        <v>0</v>
      </c>
      <c r="Q104" s="423">
        <f t="shared" si="114"/>
        <v>0</v>
      </c>
      <c r="R104" s="423">
        <f t="shared" si="115"/>
        <v>0</v>
      </c>
      <c r="S104" s="470"/>
      <c r="T104" s="36">
        <f t="shared" si="122"/>
        <v>0</v>
      </c>
      <c r="U104" s="36">
        <f t="shared" si="116"/>
        <v>0</v>
      </c>
      <c r="W104" s="2" t="e">
        <f t="shared" si="126"/>
        <v>#VALUE!</v>
      </c>
      <c r="X104" s="34">
        <f t="shared" si="68"/>
        <v>0</v>
      </c>
      <c r="Y104" s="57">
        <f t="shared" si="69"/>
        <v>64883</v>
      </c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2" t="e">
        <f t="shared" si="130"/>
        <v>#VALUE!</v>
      </c>
      <c r="AM104" s="34" t="e">
        <f t="shared" si="136"/>
        <v>#DIV/0!</v>
      </c>
      <c r="AN104" s="57">
        <f t="shared" si="127"/>
        <v>65248</v>
      </c>
      <c r="AO104" s="130" t="e">
        <f t="shared" si="117"/>
        <v>#DIV/0!</v>
      </c>
      <c r="AP104" s="109">
        <f t="shared" si="123"/>
        <v>96</v>
      </c>
      <c r="AQ104" s="110">
        <f t="shared" si="98"/>
        <v>47365</v>
      </c>
      <c r="AR104" s="105" t="e">
        <f t="shared" si="137"/>
        <v>#DIV/0!</v>
      </c>
      <c r="AS104" s="105" t="e">
        <f t="shared" si="105"/>
        <v>#DIV/0!</v>
      </c>
      <c r="AT104" s="105">
        <f t="shared" si="119"/>
        <v>0</v>
      </c>
      <c r="AU104" s="105" t="e">
        <f t="shared" si="99"/>
        <v>#DIV/0!</v>
      </c>
      <c r="AV104" s="105" t="e">
        <f t="shared" si="132"/>
        <v>#DIV/0!</v>
      </c>
      <c r="AW104" s="105" t="e">
        <f t="shared" si="133"/>
        <v>#DIV/0!</v>
      </c>
      <c r="AX104" s="105">
        <f t="shared" si="128"/>
        <v>0</v>
      </c>
      <c r="AY104" s="105">
        <f t="shared" si="129"/>
        <v>0</v>
      </c>
      <c r="AZ104" s="105"/>
      <c r="BA104" s="105"/>
      <c r="BB104" s="105"/>
      <c r="BC104" s="105"/>
      <c r="BD104" s="105"/>
      <c r="BE104" s="105" t="e">
        <f t="shared" si="120"/>
        <v>#DIV/0!</v>
      </c>
      <c r="BF104" s="108">
        <f t="shared" si="124"/>
        <v>0</v>
      </c>
      <c r="BG104" s="108">
        <f t="shared" si="118"/>
        <v>0</v>
      </c>
      <c r="BH104" s="22">
        <f t="shared" si="101"/>
        <v>47181</v>
      </c>
      <c r="BI104" s="108">
        <f t="shared" si="102"/>
        <v>0</v>
      </c>
      <c r="BJ104" s="2" t="e">
        <f>IF(AND(G59&gt;=$W$14,G59&lt;=$W$14+5),0,IF($C$9&gt;$AF$51,ROUND(BE58*IF($D$33="",0,$D$33)/(DATEVALUE(CONCATENATE("01/01/",YEAR(AR59)+1))-DATEVALUE(CONCATENATE("01/01/",YEAR(AR59))))*(AR59-AQ58),2),0))</f>
        <v>#DIV/0!</v>
      </c>
    </row>
    <row r="105" spans="1:1215" x14ac:dyDescent="0.25">
      <c r="E105" s="2"/>
      <c r="F105" s="2"/>
      <c r="G105" s="426">
        <f t="shared" si="121"/>
        <v>97</v>
      </c>
      <c r="H105" s="427">
        <f t="shared" si="108"/>
        <v>47395</v>
      </c>
      <c r="I105" s="494">
        <f t="shared" si="77"/>
        <v>5.9000000000000004E-2</v>
      </c>
      <c r="J105" s="423">
        <f t="shared" si="134"/>
        <v>0</v>
      </c>
      <c r="K105" s="423">
        <f t="shared" si="110"/>
        <v>0</v>
      </c>
      <c r="L105" s="423">
        <f t="shared" si="111"/>
        <v>0</v>
      </c>
      <c r="M105" s="423">
        <f t="shared" si="112"/>
        <v>0</v>
      </c>
      <c r="N105" s="423">
        <f t="shared" si="131"/>
        <v>0</v>
      </c>
      <c r="O105" s="423">
        <f t="shared" si="109"/>
        <v>0</v>
      </c>
      <c r="P105" s="423">
        <f t="shared" si="113"/>
        <v>0</v>
      </c>
      <c r="Q105" s="423">
        <f t="shared" si="114"/>
        <v>0</v>
      </c>
      <c r="R105" s="423">
        <f t="shared" si="115"/>
        <v>0</v>
      </c>
      <c r="S105" s="470"/>
      <c r="T105" s="36">
        <f t="shared" si="122"/>
        <v>0</v>
      </c>
      <c r="U105" s="36">
        <f t="shared" si="116"/>
        <v>0</v>
      </c>
      <c r="W105" s="2" t="e">
        <f t="shared" si="126"/>
        <v>#VALUE!</v>
      </c>
      <c r="X105" s="34">
        <f t="shared" si="68"/>
        <v>0</v>
      </c>
      <c r="Y105" s="57">
        <f t="shared" si="69"/>
        <v>65248</v>
      </c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2" t="e">
        <f t="shared" si="130"/>
        <v>#VALUE!</v>
      </c>
      <c r="AM105" s="34" t="e">
        <f t="shared" si="136"/>
        <v>#DIV/0!</v>
      </c>
      <c r="AN105" s="57">
        <f t="shared" si="127"/>
        <v>65613</v>
      </c>
      <c r="AO105" s="130" t="e">
        <f t="shared" si="117"/>
        <v>#DIV/0!</v>
      </c>
      <c r="AP105" s="109">
        <f t="shared" si="123"/>
        <v>97</v>
      </c>
      <c r="AQ105" s="110">
        <f t="shared" si="98"/>
        <v>47395</v>
      </c>
      <c r="AR105" s="105" t="e">
        <f t="shared" si="137"/>
        <v>#DIV/0!</v>
      </c>
      <c r="AS105" s="105" t="e">
        <f t="shared" si="105"/>
        <v>#DIV/0!</v>
      </c>
      <c r="AT105" s="105">
        <f t="shared" si="119"/>
        <v>0</v>
      </c>
      <c r="AU105" s="105" t="e">
        <f t="shared" si="99"/>
        <v>#DIV/0!</v>
      </c>
      <c r="AV105" s="105" t="e">
        <f t="shared" si="132"/>
        <v>#DIV/0!</v>
      </c>
      <c r="AW105" s="105" t="e">
        <f t="shared" si="133"/>
        <v>#DIV/0!</v>
      </c>
      <c r="AX105" s="105">
        <f t="shared" si="128"/>
        <v>0</v>
      </c>
      <c r="AY105" s="105">
        <f t="shared" si="129"/>
        <v>0</v>
      </c>
      <c r="AZ105" s="105"/>
      <c r="BA105" s="105"/>
      <c r="BB105" s="105"/>
      <c r="BC105" s="105"/>
      <c r="BD105" s="105"/>
      <c r="BE105" s="105" t="e">
        <f t="shared" si="120"/>
        <v>#DIV/0!</v>
      </c>
      <c r="BF105" s="108">
        <f t="shared" si="124"/>
        <v>0</v>
      </c>
      <c r="BG105" s="108">
        <f t="shared" si="118"/>
        <v>0</v>
      </c>
      <c r="BH105" s="22">
        <f t="shared" si="101"/>
        <v>47212</v>
      </c>
      <c r="BI105" s="108">
        <f t="shared" si="102"/>
        <v>0</v>
      </c>
      <c r="BJ105" s="2" t="e">
        <f t="shared" ref="BJ105:BJ111" si="138">IF(AND(G60&gt;=$W$14,G60&lt;=$W$14+5),0,IF($C$9&gt;$AF$51,ROUND(BF59*IF($D$33="",0,$D$33)/(DATEVALUE(CONCATENATE("01/01/",YEAR(AR60)+1))-DATEVALUE(CONCATENATE("01/01/",YEAR(AR60))))*(AR60-AR59),2),0))</f>
        <v>#DIV/0!</v>
      </c>
    </row>
    <row r="106" spans="1:1215" x14ac:dyDescent="0.25">
      <c r="E106" s="2"/>
      <c r="F106" s="2"/>
      <c r="G106" s="426">
        <f t="shared" si="121"/>
        <v>98</v>
      </c>
      <c r="H106" s="427">
        <f t="shared" si="108"/>
        <v>47426</v>
      </c>
      <c r="I106" s="494">
        <f t="shared" si="77"/>
        <v>5.9000000000000004E-2</v>
      </c>
      <c r="J106" s="423">
        <f t="shared" si="134"/>
        <v>0</v>
      </c>
      <c r="K106" s="423">
        <f t="shared" si="110"/>
        <v>0</v>
      </c>
      <c r="L106" s="423">
        <f t="shared" si="111"/>
        <v>0</v>
      </c>
      <c r="M106" s="423">
        <f t="shared" si="112"/>
        <v>0</v>
      </c>
      <c r="N106" s="423">
        <f t="shared" si="131"/>
        <v>0</v>
      </c>
      <c r="O106" s="423">
        <f t="shared" si="109"/>
        <v>0</v>
      </c>
      <c r="P106" s="423">
        <f t="shared" si="113"/>
        <v>0</v>
      </c>
      <c r="Q106" s="423">
        <f t="shared" si="114"/>
        <v>0</v>
      </c>
      <c r="R106" s="423">
        <f t="shared" si="115"/>
        <v>0</v>
      </c>
      <c r="S106" s="470"/>
      <c r="T106" s="36">
        <f t="shared" si="122"/>
        <v>0</v>
      </c>
      <c r="U106" s="36">
        <f t="shared" si="116"/>
        <v>0</v>
      </c>
      <c r="W106" s="2" t="e">
        <f t="shared" si="126"/>
        <v>#VALUE!</v>
      </c>
      <c r="X106" s="34">
        <f t="shared" si="68"/>
        <v>0</v>
      </c>
      <c r="Y106" s="57">
        <f t="shared" si="69"/>
        <v>65613</v>
      </c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2" t="e">
        <f t="shared" si="130"/>
        <v>#VALUE!</v>
      </c>
      <c r="AM106" s="34" t="e">
        <f t="shared" si="65"/>
        <v>#DIV/0!</v>
      </c>
      <c r="AN106" s="57">
        <f t="shared" si="127"/>
        <v>65978</v>
      </c>
      <c r="AO106" s="130" t="e">
        <f t="shared" si="117"/>
        <v>#DIV/0!</v>
      </c>
      <c r="AP106" s="109">
        <f t="shared" si="123"/>
        <v>98</v>
      </c>
      <c r="AQ106" s="110">
        <f t="shared" si="98"/>
        <v>47426</v>
      </c>
      <c r="AR106" s="105" t="e">
        <f t="shared" si="137"/>
        <v>#DIV/0!</v>
      </c>
      <c r="AS106" s="105" t="e">
        <f t="shared" si="105"/>
        <v>#DIV/0!</v>
      </c>
      <c r="AT106" s="105">
        <f t="shared" si="119"/>
        <v>0</v>
      </c>
      <c r="AU106" s="105" t="e">
        <f t="shared" si="99"/>
        <v>#DIV/0!</v>
      </c>
      <c r="AV106" s="105" t="e">
        <f t="shared" si="132"/>
        <v>#DIV/0!</v>
      </c>
      <c r="AW106" s="105" t="e">
        <f t="shared" si="133"/>
        <v>#DIV/0!</v>
      </c>
      <c r="AX106" s="105">
        <f t="shared" si="128"/>
        <v>0</v>
      </c>
      <c r="AY106" s="105">
        <f t="shared" si="129"/>
        <v>0</v>
      </c>
      <c r="AZ106" s="105"/>
      <c r="BA106" s="105"/>
      <c r="BB106" s="105"/>
      <c r="BC106" s="105"/>
      <c r="BD106" s="105"/>
      <c r="BE106" s="105" t="e">
        <f t="shared" si="120"/>
        <v>#DIV/0!</v>
      </c>
      <c r="BF106" s="108">
        <f t="shared" si="124"/>
        <v>0</v>
      </c>
      <c r="BG106" s="108">
        <f t="shared" si="118"/>
        <v>0</v>
      </c>
      <c r="BH106" s="22">
        <f t="shared" si="101"/>
        <v>47242</v>
      </c>
      <c r="BI106" s="108">
        <f t="shared" si="102"/>
        <v>0</v>
      </c>
      <c r="BJ106" s="2" t="e">
        <f t="shared" si="138"/>
        <v>#DIV/0!</v>
      </c>
    </row>
    <row r="107" spans="1:1215" x14ac:dyDescent="0.25">
      <c r="E107" s="2"/>
      <c r="F107" s="2"/>
      <c r="G107" s="426">
        <f t="shared" si="121"/>
        <v>99</v>
      </c>
      <c r="H107" s="427">
        <f t="shared" si="108"/>
        <v>47456</v>
      </c>
      <c r="I107" s="494">
        <f t="shared" si="77"/>
        <v>5.9000000000000004E-2</v>
      </c>
      <c r="J107" s="423">
        <f t="shared" si="134"/>
        <v>0</v>
      </c>
      <c r="K107" s="423">
        <f t="shared" si="110"/>
        <v>0</v>
      </c>
      <c r="L107" s="423">
        <f t="shared" si="111"/>
        <v>0</v>
      </c>
      <c r="M107" s="423">
        <f t="shared" si="112"/>
        <v>0</v>
      </c>
      <c r="N107" s="423">
        <f t="shared" si="131"/>
        <v>0</v>
      </c>
      <c r="O107" s="423">
        <f t="shared" si="109"/>
        <v>0</v>
      </c>
      <c r="P107" s="423">
        <f t="shared" si="113"/>
        <v>0</v>
      </c>
      <c r="Q107" s="423">
        <f t="shared" si="114"/>
        <v>0</v>
      </c>
      <c r="R107" s="423">
        <f t="shared" si="115"/>
        <v>0</v>
      </c>
      <c r="S107" s="470"/>
      <c r="T107" s="36">
        <f t="shared" si="122"/>
        <v>0</v>
      </c>
      <c r="U107" s="36">
        <f t="shared" si="116"/>
        <v>0</v>
      </c>
      <c r="W107" s="2" t="e">
        <f t="shared" si="126"/>
        <v>#VALUE!</v>
      </c>
      <c r="X107" s="34">
        <f t="shared" si="68"/>
        <v>0</v>
      </c>
      <c r="Y107" s="57">
        <f t="shared" si="69"/>
        <v>65978</v>
      </c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2" t="e">
        <f t="shared" si="130"/>
        <v>#VALUE!</v>
      </c>
      <c r="AM107" s="34" t="e">
        <f t="shared" si="65"/>
        <v>#DIV/0!</v>
      </c>
      <c r="AN107" s="57">
        <f t="shared" si="127"/>
        <v>66343</v>
      </c>
      <c r="AO107" s="130" t="e">
        <f t="shared" si="117"/>
        <v>#DIV/0!</v>
      </c>
      <c r="AP107" s="109">
        <f t="shared" si="123"/>
        <v>99</v>
      </c>
      <c r="AQ107" s="110">
        <f t="shared" si="98"/>
        <v>47456</v>
      </c>
      <c r="AR107" s="105" t="e">
        <f t="shared" si="137"/>
        <v>#DIV/0!</v>
      </c>
      <c r="AS107" s="105" t="e">
        <f t="shared" si="105"/>
        <v>#DIV/0!</v>
      </c>
      <c r="AT107" s="105">
        <f t="shared" si="119"/>
        <v>0</v>
      </c>
      <c r="AU107" s="105" t="e">
        <f t="shared" si="99"/>
        <v>#DIV/0!</v>
      </c>
      <c r="AV107" s="105" t="e">
        <f t="shared" si="132"/>
        <v>#DIV/0!</v>
      </c>
      <c r="AW107" s="105" t="e">
        <f t="shared" si="133"/>
        <v>#DIV/0!</v>
      </c>
      <c r="AX107" s="105">
        <f t="shared" si="128"/>
        <v>0</v>
      </c>
      <c r="AY107" s="105">
        <f t="shared" si="129"/>
        <v>0</v>
      </c>
      <c r="AZ107" s="105"/>
      <c r="BA107" s="105"/>
      <c r="BB107" s="105"/>
      <c r="BC107" s="105"/>
      <c r="BD107" s="105"/>
      <c r="BE107" s="105" t="e">
        <f t="shared" si="120"/>
        <v>#DIV/0!</v>
      </c>
      <c r="BF107" s="108">
        <f t="shared" si="124"/>
        <v>0</v>
      </c>
      <c r="BG107" s="108">
        <f t="shared" si="118"/>
        <v>0</v>
      </c>
      <c r="BH107" s="22">
        <f t="shared" si="101"/>
        <v>47273</v>
      </c>
      <c r="BI107" s="108">
        <f t="shared" si="102"/>
        <v>0</v>
      </c>
      <c r="BJ107" s="2" t="e">
        <f t="shared" si="138"/>
        <v>#DIV/0!</v>
      </c>
    </row>
    <row r="108" spans="1:1215" x14ac:dyDescent="0.25">
      <c r="E108" s="2"/>
      <c r="F108" s="2"/>
      <c r="G108" s="426">
        <f t="shared" si="121"/>
        <v>100</v>
      </c>
      <c r="H108" s="427">
        <f t="shared" si="108"/>
        <v>47487</v>
      </c>
      <c r="I108" s="494">
        <f t="shared" si="77"/>
        <v>5.9000000000000004E-2</v>
      </c>
      <c r="J108" s="423">
        <f t="shared" si="134"/>
        <v>0</v>
      </c>
      <c r="K108" s="423">
        <f t="shared" si="110"/>
        <v>0</v>
      </c>
      <c r="L108" s="423">
        <f t="shared" si="111"/>
        <v>0</v>
      </c>
      <c r="M108" s="423">
        <f t="shared" si="112"/>
        <v>0</v>
      </c>
      <c r="N108" s="423">
        <f t="shared" si="131"/>
        <v>0</v>
      </c>
      <c r="O108" s="423">
        <f t="shared" si="109"/>
        <v>0</v>
      </c>
      <c r="P108" s="423">
        <f t="shared" si="113"/>
        <v>0</v>
      </c>
      <c r="Q108" s="423">
        <f t="shared" si="114"/>
        <v>0</v>
      </c>
      <c r="R108" s="423">
        <f t="shared" si="115"/>
        <v>0</v>
      </c>
      <c r="S108" s="470"/>
      <c r="T108" s="36">
        <f t="shared" si="122"/>
        <v>0</v>
      </c>
      <c r="U108" s="36">
        <f>IF(ISERR(CEILING(FLOOR(NPER($C$11/12,-$AD$55,R107),0.1),1))=TRUE,0,CEILING(FLOOR(NPER($C$11/12,-$AD$55,R107),0.1),1))</f>
        <v>0</v>
      </c>
      <c r="W108" s="2" t="e">
        <f t="shared" si="126"/>
        <v>#VALUE!</v>
      </c>
      <c r="X108" s="34">
        <f t="shared" si="68"/>
        <v>0</v>
      </c>
      <c r="Y108" s="57">
        <f t="shared" si="69"/>
        <v>66343</v>
      </c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2" t="e">
        <f t="shared" si="130"/>
        <v>#VALUE!</v>
      </c>
      <c r="AM108" s="34" t="e">
        <f t="shared" si="65"/>
        <v>#DIV/0!</v>
      </c>
      <c r="AN108" s="57">
        <f t="shared" si="127"/>
        <v>66708</v>
      </c>
      <c r="AO108" s="130" t="e">
        <f t="shared" si="117"/>
        <v>#DIV/0!</v>
      </c>
      <c r="AP108" s="109">
        <f t="shared" si="123"/>
        <v>100</v>
      </c>
      <c r="AQ108" s="110">
        <f t="shared" si="98"/>
        <v>47487</v>
      </c>
      <c r="AR108" s="105" t="e">
        <f t="shared" si="137"/>
        <v>#DIV/0!</v>
      </c>
      <c r="AS108" s="105" t="e">
        <f t="shared" si="105"/>
        <v>#DIV/0!</v>
      </c>
      <c r="AT108" s="105">
        <f t="shared" si="119"/>
        <v>0</v>
      </c>
      <c r="AU108" s="105" t="e">
        <f t="shared" si="99"/>
        <v>#DIV/0!</v>
      </c>
      <c r="AV108" s="105" t="e">
        <f t="shared" si="132"/>
        <v>#DIV/0!</v>
      </c>
      <c r="AW108" s="105" t="e">
        <f t="shared" si="133"/>
        <v>#DIV/0!</v>
      </c>
      <c r="AX108" s="105">
        <f t="shared" si="128"/>
        <v>0</v>
      </c>
      <c r="AY108" s="105">
        <f t="shared" si="129"/>
        <v>0</v>
      </c>
      <c r="AZ108" s="105"/>
      <c r="BA108" s="105"/>
      <c r="BB108" s="105"/>
      <c r="BC108" s="105"/>
      <c r="BD108" s="105"/>
      <c r="BE108" s="105" t="e">
        <f t="shared" si="120"/>
        <v>#DIV/0!</v>
      </c>
      <c r="BF108" s="108">
        <f t="shared" si="124"/>
        <v>0</v>
      </c>
      <c r="BG108" s="108">
        <f t="shared" si="118"/>
        <v>0</v>
      </c>
      <c r="BH108" s="22">
        <f t="shared" si="101"/>
        <v>47303</v>
      </c>
      <c r="BI108" s="108">
        <f t="shared" si="102"/>
        <v>0</v>
      </c>
      <c r="BJ108" s="2" t="e">
        <f t="shared" si="138"/>
        <v>#DIV/0!</v>
      </c>
    </row>
    <row r="109" spans="1:1215" x14ac:dyDescent="0.3">
      <c r="G109" s="443"/>
      <c r="H109" s="444" t="s">
        <v>7</v>
      </c>
      <c r="I109" s="444"/>
      <c r="J109" s="445">
        <f>(SUM(J9:J108)-IF(CODE(C12)=209,AI51,0))</f>
        <v>415093.14999999997</v>
      </c>
      <c r="K109" s="445">
        <f>(SUM(K9:K108)-IF(CODE(D28)=209,AJ51,0))</f>
        <v>68453.149999999994</v>
      </c>
      <c r="L109" s="445">
        <f>SUM(L9:L108)</f>
        <v>346639.99999999994</v>
      </c>
      <c r="M109" s="445">
        <f>SUM(M9:M108)</f>
        <v>0</v>
      </c>
      <c r="N109" s="445"/>
      <c r="O109" s="445"/>
      <c r="P109" s="445"/>
      <c r="Q109" s="445"/>
      <c r="R109" s="445"/>
      <c r="S109" s="445"/>
      <c r="T109" s="31"/>
      <c r="U109" s="51"/>
      <c r="W109" s="2" t="e">
        <f t="shared" si="126"/>
        <v>#VALUE!</v>
      </c>
      <c r="X109" s="34">
        <f t="shared" si="68"/>
        <v>0</v>
      </c>
      <c r="Y109" s="57">
        <f t="shared" si="69"/>
        <v>66708</v>
      </c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2" t="e">
        <f t="shared" si="130"/>
        <v>#VALUE!</v>
      </c>
      <c r="AM109" s="34" t="e">
        <f t="shared" si="65"/>
        <v>#DIV/0!</v>
      </c>
      <c r="AN109" s="57">
        <f t="shared" si="127"/>
        <v>67073</v>
      </c>
      <c r="AO109" s="130"/>
      <c r="AP109" s="28"/>
      <c r="AQ109" s="29" t="s">
        <v>7</v>
      </c>
      <c r="AR109" s="30" t="e">
        <f>(SUM(AR9:AR108)-IF(CODE(C12)=209,BV57,0))</f>
        <v>#DIV/0!</v>
      </c>
      <c r="AS109" s="30" t="e">
        <f>(SUM(AS9:AS108)-IF(CODE(D28)=209,BW57,0))</f>
        <v>#DIV/0!</v>
      </c>
      <c r="AT109" s="30" t="e">
        <f>SUM(AT9:AT108)</f>
        <v>#DIV/0!</v>
      </c>
      <c r="AU109" s="105" t="e">
        <f t="shared" si="99"/>
        <v>#DIV/0!</v>
      </c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108">
        <f t="shared" si="124"/>
        <v>0</v>
      </c>
      <c r="BG109" s="108">
        <f t="shared" si="118"/>
        <v>0</v>
      </c>
      <c r="BH109" s="22">
        <f t="shared" si="101"/>
        <v>47334</v>
      </c>
      <c r="BI109" s="108">
        <f t="shared" si="102"/>
        <v>0</v>
      </c>
      <c r="BJ109" s="2" t="e">
        <f t="shared" si="138"/>
        <v>#DIV/0!</v>
      </c>
    </row>
    <row r="110" spans="1:1215" ht="13.8" x14ac:dyDescent="0.3">
      <c r="G110" s="184"/>
      <c r="H110" s="184"/>
      <c r="I110" s="184"/>
      <c r="J110" s="184"/>
      <c r="K110" s="178"/>
      <c r="L110" s="184"/>
      <c r="M110" s="446"/>
      <c r="N110" s="446"/>
      <c r="O110" s="446"/>
      <c r="P110" s="446"/>
      <c r="Q110" s="446"/>
      <c r="R110" s="178"/>
      <c r="S110" s="178"/>
      <c r="W110" s="2" t="e">
        <f t="shared" si="126"/>
        <v>#VALUE!</v>
      </c>
      <c r="X110" s="34">
        <f t="shared" si="68"/>
        <v>0</v>
      </c>
      <c r="Y110" s="57">
        <f t="shared" si="69"/>
        <v>67073</v>
      </c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2" t="e">
        <f t="shared" si="130"/>
        <v>#VALUE!</v>
      </c>
      <c r="AM110" s="34" t="e">
        <f t="shared" si="65"/>
        <v>#DIV/0!</v>
      </c>
      <c r="AN110" s="57">
        <f t="shared" si="127"/>
        <v>67438</v>
      </c>
      <c r="AO110" s="130"/>
      <c r="BF110" s="108">
        <f t="shared" si="124"/>
        <v>0</v>
      </c>
      <c r="BG110" s="108">
        <f t="shared" si="118"/>
        <v>0</v>
      </c>
      <c r="BH110" s="22">
        <f t="shared" si="101"/>
        <v>47365</v>
      </c>
      <c r="BI110" s="108">
        <f t="shared" si="102"/>
        <v>0</v>
      </c>
      <c r="BJ110" s="2" t="e">
        <f t="shared" si="138"/>
        <v>#DIV/0!</v>
      </c>
    </row>
    <row r="111" spans="1:1215" x14ac:dyDescent="0.25">
      <c r="W111" s="2" t="e">
        <f t="shared" si="126"/>
        <v>#VALUE!</v>
      </c>
      <c r="X111" s="34">
        <f t="shared" si="68"/>
        <v>0</v>
      </c>
      <c r="Y111" s="57">
        <f t="shared" si="69"/>
        <v>67438</v>
      </c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2" t="e">
        <f t="shared" si="130"/>
        <v>#VALUE!</v>
      </c>
      <c r="AM111" s="34" t="e">
        <f t="shared" si="65"/>
        <v>#DIV/0!</v>
      </c>
      <c r="AN111" s="57">
        <f t="shared" si="127"/>
        <v>67803</v>
      </c>
      <c r="AO111" s="130"/>
      <c r="BF111" s="108">
        <f t="shared" si="124"/>
        <v>0</v>
      </c>
      <c r="BG111" s="108">
        <f t="shared" si="118"/>
        <v>0</v>
      </c>
      <c r="BH111" s="22">
        <f t="shared" si="101"/>
        <v>47395</v>
      </c>
      <c r="BI111" s="108">
        <f t="shared" si="102"/>
        <v>0</v>
      </c>
      <c r="BJ111" s="2" t="e">
        <f t="shared" si="138"/>
        <v>#DIV/0!</v>
      </c>
    </row>
    <row r="112" spans="1:1215" x14ac:dyDescent="0.25">
      <c r="W112" s="2" t="e">
        <f t="shared" si="126"/>
        <v>#VALUE!</v>
      </c>
      <c r="X112" s="34">
        <f t="shared" si="68"/>
        <v>0</v>
      </c>
      <c r="Y112" s="57">
        <f t="shared" si="69"/>
        <v>67803</v>
      </c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2" t="e">
        <f t="shared" si="130"/>
        <v>#VALUE!</v>
      </c>
      <c r="AM112" s="34" t="e">
        <f t="shared" ref="AM112:AM147" si="139">AR73</f>
        <v>#DIV/0!</v>
      </c>
      <c r="AN112" s="57">
        <f t="shared" si="127"/>
        <v>68168</v>
      </c>
      <c r="AO112" s="130"/>
      <c r="BF112" s="108">
        <f t="shared" si="124"/>
        <v>0</v>
      </c>
      <c r="BG112" s="108">
        <f t="shared" si="118"/>
        <v>0</v>
      </c>
      <c r="BH112" s="22">
        <f t="shared" si="101"/>
        <v>47426</v>
      </c>
      <c r="BI112" s="108">
        <f t="shared" si="102"/>
        <v>0</v>
      </c>
      <c r="BJ112" s="2" t="e">
        <f>IF(AND(G67&gt;=$W$14,G67&lt;=$W$14+5),0,IF($C$9&gt;$AF$51,ROUND(BF66*IF($D$33="",0,$D$33)/(DATEVALUE(CONCATENATE("01/01/",YEAR(AQ67)+1))-DATEVALUE(CONCATENATE("01/01/",YEAR(AQ67))))*(AQ67-AR66),2),0))</f>
        <v>#DIV/0!</v>
      </c>
    </row>
    <row r="113" spans="23:62" x14ac:dyDescent="0.25">
      <c r="W113" s="2" t="e">
        <f t="shared" ref="W113:W144" si="140">IF(AND(G73&gt;=$W$14,G73&lt;=$W$14+5),0,IF($C$9&gt;$AF$51,ROUND(R72*$C$43/(DATEVALUE(CONCATENATE("01/01/",YEAR(H73)+1))-DATEVALUE(CONCATENATE("01/01/",YEAR(H73))))*(H73-H72),2),0))</f>
        <v>#VALUE!</v>
      </c>
      <c r="X113" s="34">
        <f t="shared" si="68"/>
        <v>0</v>
      </c>
      <c r="Y113" s="57">
        <f t="shared" si="69"/>
        <v>68168</v>
      </c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2" t="e">
        <f t="shared" si="130"/>
        <v>#VALUE!</v>
      </c>
      <c r="AM113" s="34" t="e">
        <f t="shared" si="139"/>
        <v>#DIV/0!</v>
      </c>
      <c r="AN113" s="57">
        <f t="shared" si="127"/>
        <v>68533</v>
      </c>
      <c r="AO113" s="130"/>
      <c r="BF113" s="108">
        <f t="shared" si="124"/>
        <v>0</v>
      </c>
      <c r="BG113" s="108">
        <f t="shared" si="118"/>
        <v>0</v>
      </c>
      <c r="BH113" s="22">
        <f t="shared" si="101"/>
        <v>47456</v>
      </c>
      <c r="BI113" s="108">
        <f t="shared" si="102"/>
        <v>0</v>
      </c>
      <c r="BJ113" s="2" t="e">
        <f t="shared" ref="BJ113:BJ153" si="141">IF(AND(G68&gt;=$W$14,G68&lt;=$W$14+5),0,IF($C$9&gt;$AF$51,ROUND(BE67*IF($D$33="",0,$D$33)/(DATEVALUE(CONCATENATE("01/01/",YEAR(AQ68)+1))-DATEVALUE(CONCATENATE("01/01/",YEAR(AQ68))))*(AQ68-AQ67),2),0))</f>
        <v>#DIV/0!</v>
      </c>
    </row>
    <row r="114" spans="23:62" x14ac:dyDescent="0.25">
      <c r="W114" s="2" t="e">
        <f t="shared" si="140"/>
        <v>#VALUE!</v>
      </c>
      <c r="X114" s="34">
        <f t="shared" ref="X114:X148" si="142">IF(J74 &gt; 0, J74, 0)</f>
        <v>0</v>
      </c>
      <c r="Y114" s="57">
        <f t="shared" ref="Y114:Y148" si="143">Y113+365</f>
        <v>68533</v>
      </c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2" t="e">
        <f t="shared" si="130"/>
        <v>#VALUE!</v>
      </c>
      <c r="AM114" s="34" t="e">
        <f t="shared" si="139"/>
        <v>#DIV/0!</v>
      </c>
      <c r="AN114" s="57">
        <f t="shared" si="127"/>
        <v>68898</v>
      </c>
      <c r="AO114" s="130"/>
      <c r="BF114" s="108">
        <f t="shared" si="124"/>
        <v>0</v>
      </c>
      <c r="BG114" s="108">
        <f t="shared" si="118"/>
        <v>0</v>
      </c>
      <c r="BH114" s="22">
        <f t="shared" si="101"/>
        <v>47487</v>
      </c>
      <c r="BI114" s="108">
        <f t="shared" si="102"/>
        <v>0</v>
      </c>
      <c r="BJ114" s="2" t="e">
        <f t="shared" si="141"/>
        <v>#DIV/0!</v>
      </c>
    </row>
    <row r="115" spans="23:62" x14ac:dyDescent="0.25">
      <c r="W115" s="2" t="e">
        <f t="shared" si="140"/>
        <v>#VALUE!</v>
      </c>
      <c r="X115" s="34">
        <f t="shared" si="142"/>
        <v>0</v>
      </c>
      <c r="Y115" s="57">
        <f t="shared" si="143"/>
        <v>68898</v>
      </c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2" t="e">
        <f t="shared" si="130"/>
        <v>#VALUE!</v>
      </c>
      <c r="AM115" s="34" t="e">
        <f t="shared" si="139"/>
        <v>#DIV/0!</v>
      </c>
      <c r="AN115" s="57">
        <f t="shared" si="127"/>
        <v>69263</v>
      </c>
      <c r="AO115" s="130"/>
      <c r="BF115" s="31"/>
      <c r="BG115" s="51"/>
      <c r="BH115" s="29" t="s">
        <v>67</v>
      </c>
      <c r="BI115" s="152" t="e">
        <f>XIRR(BI7:BI114,BH7:BH114)</f>
        <v>#NUM!</v>
      </c>
      <c r="BJ115" s="2" t="e">
        <f t="shared" si="141"/>
        <v>#DIV/0!</v>
      </c>
    </row>
    <row r="116" spans="23:62" x14ac:dyDescent="0.25">
      <c r="W116" s="2" t="e">
        <f t="shared" si="140"/>
        <v>#VALUE!</v>
      </c>
      <c r="X116" s="34">
        <f t="shared" si="142"/>
        <v>0</v>
      </c>
      <c r="Y116" s="57">
        <f t="shared" si="143"/>
        <v>69263</v>
      </c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2" t="e">
        <f t="shared" si="130"/>
        <v>#VALUE!</v>
      </c>
      <c r="AM116" s="34" t="e">
        <f t="shared" si="139"/>
        <v>#DIV/0!</v>
      </c>
      <c r="AN116" s="57">
        <f t="shared" si="127"/>
        <v>69628</v>
      </c>
      <c r="AO116" s="130"/>
      <c r="BJ116" s="2" t="e">
        <f t="shared" si="141"/>
        <v>#DIV/0!</v>
      </c>
    </row>
    <row r="117" spans="23:62" x14ac:dyDescent="0.25">
      <c r="W117" s="2" t="e">
        <f t="shared" si="140"/>
        <v>#VALUE!</v>
      </c>
      <c r="X117" s="34">
        <f t="shared" si="142"/>
        <v>0</v>
      </c>
      <c r="Y117" s="57">
        <f t="shared" si="143"/>
        <v>69628</v>
      </c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2" t="e">
        <f t="shared" ref="AL117:AL147" si="144">IF(AND(Y79&gt;=$W$14,Y79&lt;=$W$14+5),0,IF($C$9&gt;$AF$51,ROUND(AI77*$C$43/(DATEVALUE(CONCATENATE("01/01/",YEAR(Z79)+1))-DATEVALUE(CONCATENATE("01/01/",YEAR(Z79))))*(Z79-Z78),2),0))</f>
        <v>#VALUE!</v>
      </c>
      <c r="AM117" s="34" t="e">
        <f t="shared" si="139"/>
        <v>#DIV/0!</v>
      </c>
      <c r="AN117" s="57">
        <f t="shared" si="127"/>
        <v>69993</v>
      </c>
      <c r="AO117" s="130"/>
      <c r="BJ117" s="2" t="e">
        <f t="shared" si="141"/>
        <v>#DIV/0!</v>
      </c>
    </row>
    <row r="118" spans="23:62" x14ac:dyDescent="0.25">
      <c r="W118" s="2" t="e">
        <f t="shared" si="140"/>
        <v>#VALUE!</v>
      </c>
      <c r="X118" s="34">
        <f t="shared" si="142"/>
        <v>0</v>
      </c>
      <c r="Y118" s="57">
        <f t="shared" si="143"/>
        <v>69993</v>
      </c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2" t="e">
        <f t="shared" si="144"/>
        <v>#VALUE!</v>
      </c>
      <c r="AM118" s="34" t="e">
        <f t="shared" si="139"/>
        <v>#DIV/0!</v>
      </c>
      <c r="AN118" s="57">
        <f>AN87+365</f>
        <v>59408</v>
      </c>
      <c r="AO118" s="130"/>
      <c r="BJ118" s="2" t="e">
        <f t="shared" si="141"/>
        <v>#DIV/0!</v>
      </c>
    </row>
    <row r="119" spans="23:62" x14ac:dyDescent="0.25">
      <c r="W119" s="2" t="e">
        <f t="shared" si="140"/>
        <v>#VALUE!</v>
      </c>
      <c r="X119" s="34">
        <f t="shared" si="142"/>
        <v>0</v>
      </c>
      <c r="Y119" s="57">
        <f>Y88+365</f>
        <v>59408</v>
      </c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2" t="e">
        <f t="shared" si="144"/>
        <v>#VALUE!</v>
      </c>
      <c r="AM119" s="34" t="e">
        <f t="shared" si="139"/>
        <v>#DIV/0!</v>
      </c>
      <c r="AN119" s="57">
        <f t="shared" si="127"/>
        <v>59773</v>
      </c>
      <c r="AO119" s="130"/>
      <c r="BJ119" s="2" t="e">
        <f t="shared" si="141"/>
        <v>#DIV/0!</v>
      </c>
    </row>
    <row r="120" spans="23:62" x14ac:dyDescent="0.25">
      <c r="W120" s="2" t="e">
        <f t="shared" si="140"/>
        <v>#VALUE!</v>
      </c>
      <c r="X120" s="34">
        <f t="shared" si="142"/>
        <v>0</v>
      </c>
      <c r="Y120" s="57">
        <f t="shared" si="143"/>
        <v>59773</v>
      </c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2" t="e">
        <f t="shared" si="144"/>
        <v>#VALUE!</v>
      </c>
      <c r="AM120" s="34" t="e">
        <f t="shared" si="139"/>
        <v>#DIV/0!</v>
      </c>
      <c r="AN120" s="57">
        <f t="shared" si="127"/>
        <v>60138</v>
      </c>
      <c r="AO120" s="130"/>
      <c r="BJ120" s="2" t="e">
        <f t="shared" si="141"/>
        <v>#DIV/0!</v>
      </c>
    </row>
    <row r="121" spans="23:62" x14ac:dyDescent="0.25">
      <c r="W121" s="2" t="e">
        <f t="shared" si="140"/>
        <v>#VALUE!</v>
      </c>
      <c r="X121" s="34">
        <f t="shared" si="142"/>
        <v>0</v>
      </c>
      <c r="Y121" s="57">
        <f t="shared" si="143"/>
        <v>60138</v>
      </c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2" t="e">
        <f t="shared" si="144"/>
        <v>#VALUE!</v>
      </c>
      <c r="AM121" s="34" t="e">
        <f t="shared" si="139"/>
        <v>#DIV/0!</v>
      </c>
      <c r="AN121" s="57">
        <f t="shared" si="127"/>
        <v>60503</v>
      </c>
      <c r="AO121" s="130"/>
      <c r="BJ121" s="2" t="e">
        <f t="shared" si="141"/>
        <v>#DIV/0!</v>
      </c>
    </row>
    <row r="122" spans="23:62" x14ac:dyDescent="0.25">
      <c r="W122" s="2" t="e">
        <f t="shared" si="140"/>
        <v>#VALUE!</v>
      </c>
      <c r="X122" s="34">
        <f t="shared" si="142"/>
        <v>0</v>
      </c>
      <c r="Y122" s="57">
        <f t="shared" si="143"/>
        <v>60503</v>
      </c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2" t="e">
        <f t="shared" si="144"/>
        <v>#VALUE!</v>
      </c>
      <c r="AM122" s="34" t="e">
        <f t="shared" si="139"/>
        <v>#DIV/0!</v>
      </c>
      <c r="AN122" s="57">
        <f t="shared" si="127"/>
        <v>60868</v>
      </c>
      <c r="AO122" s="130"/>
      <c r="BJ122" s="2" t="e">
        <f t="shared" si="141"/>
        <v>#DIV/0!</v>
      </c>
    </row>
    <row r="123" spans="23:62" x14ac:dyDescent="0.25">
      <c r="W123" s="2" t="e">
        <f t="shared" si="140"/>
        <v>#VALUE!</v>
      </c>
      <c r="X123" s="34">
        <f t="shared" si="142"/>
        <v>0</v>
      </c>
      <c r="Y123" s="57">
        <f t="shared" si="143"/>
        <v>60868</v>
      </c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2" t="e">
        <f t="shared" si="144"/>
        <v>#VALUE!</v>
      </c>
      <c r="AM123" s="34" t="e">
        <f t="shared" si="139"/>
        <v>#DIV/0!</v>
      </c>
      <c r="AN123" s="57">
        <f t="shared" si="127"/>
        <v>61233</v>
      </c>
      <c r="AO123" s="130"/>
      <c r="BJ123" s="2" t="e">
        <f t="shared" si="141"/>
        <v>#DIV/0!</v>
      </c>
    </row>
    <row r="124" spans="23:62" x14ac:dyDescent="0.25">
      <c r="W124" s="2" t="e">
        <f t="shared" si="140"/>
        <v>#VALUE!</v>
      </c>
      <c r="X124" s="34">
        <f t="shared" si="142"/>
        <v>0</v>
      </c>
      <c r="Y124" s="57">
        <f t="shared" si="143"/>
        <v>61233</v>
      </c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2" t="e">
        <f t="shared" si="144"/>
        <v>#VALUE!</v>
      </c>
      <c r="AM124" s="34" t="e">
        <f t="shared" si="139"/>
        <v>#DIV/0!</v>
      </c>
      <c r="AN124" s="57">
        <f t="shared" si="127"/>
        <v>61598</v>
      </c>
      <c r="AO124" s="130"/>
      <c r="BJ124" s="2" t="e">
        <f t="shared" si="141"/>
        <v>#DIV/0!</v>
      </c>
    </row>
    <row r="125" spans="23:62" x14ac:dyDescent="0.25">
      <c r="W125" s="2" t="e">
        <f t="shared" si="140"/>
        <v>#VALUE!</v>
      </c>
      <c r="X125" s="34">
        <f t="shared" si="142"/>
        <v>0</v>
      </c>
      <c r="Y125" s="57">
        <f t="shared" si="143"/>
        <v>61598</v>
      </c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2" t="e">
        <f t="shared" si="144"/>
        <v>#VALUE!</v>
      </c>
      <c r="AM125" s="34" t="e">
        <f t="shared" si="139"/>
        <v>#DIV/0!</v>
      </c>
      <c r="AN125" s="57">
        <f t="shared" si="127"/>
        <v>61963</v>
      </c>
      <c r="AO125" s="130"/>
      <c r="BJ125" s="2" t="e">
        <f t="shared" si="141"/>
        <v>#DIV/0!</v>
      </c>
    </row>
    <row r="126" spans="23:62" x14ac:dyDescent="0.25">
      <c r="W126" s="2" t="e">
        <f t="shared" si="140"/>
        <v>#VALUE!</v>
      </c>
      <c r="X126" s="34">
        <f t="shared" si="142"/>
        <v>0</v>
      </c>
      <c r="Y126" s="57">
        <f t="shared" si="143"/>
        <v>61963</v>
      </c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2" t="e">
        <f t="shared" si="144"/>
        <v>#VALUE!</v>
      </c>
      <c r="AM126" s="34" t="e">
        <f t="shared" si="139"/>
        <v>#DIV/0!</v>
      </c>
      <c r="AN126" s="57">
        <f t="shared" si="127"/>
        <v>62328</v>
      </c>
      <c r="AO126" s="130"/>
      <c r="BJ126" s="2" t="e">
        <f t="shared" si="141"/>
        <v>#DIV/0!</v>
      </c>
    </row>
    <row r="127" spans="23:62" x14ac:dyDescent="0.25">
      <c r="W127" s="2" t="e">
        <f t="shared" si="140"/>
        <v>#VALUE!</v>
      </c>
      <c r="X127" s="34">
        <f t="shared" si="142"/>
        <v>0</v>
      </c>
      <c r="Y127" s="57">
        <f t="shared" si="143"/>
        <v>62328</v>
      </c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2" t="e">
        <f t="shared" si="144"/>
        <v>#VALUE!</v>
      </c>
      <c r="AM127" s="34" t="e">
        <f t="shared" si="139"/>
        <v>#DIV/0!</v>
      </c>
      <c r="AN127" s="57">
        <f t="shared" si="127"/>
        <v>62693</v>
      </c>
      <c r="BJ127" s="2" t="e">
        <f t="shared" si="141"/>
        <v>#DIV/0!</v>
      </c>
    </row>
    <row r="128" spans="23:62" x14ac:dyDescent="0.25">
      <c r="W128" s="2" t="e">
        <f t="shared" si="140"/>
        <v>#VALUE!</v>
      </c>
      <c r="X128" s="34">
        <f t="shared" si="142"/>
        <v>0</v>
      </c>
      <c r="Y128" s="57">
        <f t="shared" si="143"/>
        <v>62693</v>
      </c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60"/>
      <c r="AL128" s="2" t="e">
        <f t="shared" si="144"/>
        <v>#VALUE!</v>
      </c>
      <c r="AM128" s="34" t="e">
        <f t="shared" si="139"/>
        <v>#DIV/0!</v>
      </c>
      <c r="AN128" s="57">
        <f t="shared" si="127"/>
        <v>63058</v>
      </c>
      <c r="BJ128" s="2" t="e">
        <f t="shared" si="141"/>
        <v>#DIV/0!</v>
      </c>
    </row>
    <row r="129" spans="23:62" x14ac:dyDescent="0.25">
      <c r="W129" s="2" t="e">
        <f t="shared" si="140"/>
        <v>#VALUE!</v>
      </c>
      <c r="X129" s="34">
        <f t="shared" si="142"/>
        <v>0</v>
      </c>
      <c r="Y129" s="57">
        <f t="shared" si="143"/>
        <v>63058</v>
      </c>
      <c r="Z129" s="16"/>
      <c r="AA129" s="16"/>
      <c r="AB129" s="16"/>
      <c r="AC129" s="16"/>
      <c r="AD129" s="16"/>
      <c r="AE129" s="33"/>
      <c r="AF129" s="33"/>
      <c r="AG129" s="33"/>
      <c r="AH129" s="33"/>
      <c r="AI129" s="16"/>
      <c r="AL129" s="2" t="e">
        <f t="shared" si="144"/>
        <v>#VALUE!</v>
      </c>
      <c r="AM129" s="34" t="e">
        <f t="shared" si="139"/>
        <v>#DIV/0!</v>
      </c>
      <c r="AN129" s="57">
        <f t="shared" si="127"/>
        <v>63423</v>
      </c>
      <c r="BJ129" s="2" t="e">
        <f t="shared" si="141"/>
        <v>#DIV/0!</v>
      </c>
    </row>
    <row r="130" spans="23:62" x14ac:dyDescent="0.25">
      <c r="W130" s="2" t="e">
        <f t="shared" si="140"/>
        <v>#VALUE!</v>
      </c>
      <c r="X130" s="34">
        <f t="shared" si="142"/>
        <v>0</v>
      </c>
      <c r="Y130" s="57">
        <f t="shared" si="143"/>
        <v>63423</v>
      </c>
      <c r="AL130" s="2" t="e">
        <f t="shared" si="144"/>
        <v>#VALUE!</v>
      </c>
      <c r="AM130" s="34" t="e">
        <f t="shared" si="139"/>
        <v>#DIV/0!</v>
      </c>
      <c r="AN130" s="57">
        <f t="shared" si="127"/>
        <v>63788</v>
      </c>
      <c r="BJ130" s="2" t="e">
        <f t="shared" si="141"/>
        <v>#DIV/0!</v>
      </c>
    </row>
    <row r="131" spans="23:62" x14ac:dyDescent="0.25">
      <c r="W131" s="2" t="e">
        <f t="shared" si="140"/>
        <v>#VALUE!</v>
      </c>
      <c r="X131" s="34">
        <f t="shared" si="142"/>
        <v>0</v>
      </c>
      <c r="Y131" s="57">
        <f t="shared" si="143"/>
        <v>63788</v>
      </c>
      <c r="AL131" s="2" t="e">
        <f t="shared" si="144"/>
        <v>#VALUE!</v>
      </c>
      <c r="AM131" s="34" t="e">
        <f t="shared" si="139"/>
        <v>#DIV/0!</v>
      </c>
      <c r="AN131" s="57">
        <f t="shared" si="127"/>
        <v>64153</v>
      </c>
      <c r="BJ131" s="2" t="e">
        <f t="shared" si="141"/>
        <v>#DIV/0!</v>
      </c>
    </row>
    <row r="132" spans="23:62" x14ac:dyDescent="0.25">
      <c r="W132" s="2" t="e">
        <f t="shared" si="140"/>
        <v>#VALUE!</v>
      </c>
      <c r="X132" s="34">
        <f t="shared" si="142"/>
        <v>0</v>
      </c>
      <c r="Y132" s="57">
        <f t="shared" si="143"/>
        <v>64153</v>
      </c>
      <c r="AL132" s="2" t="e">
        <f t="shared" si="144"/>
        <v>#VALUE!</v>
      </c>
      <c r="AM132" s="34" t="e">
        <f t="shared" si="139"/>
        <v>#DIV/0!</v>
      </c>
      <c r="AN132" s="57">
        <f t="shared" si="127"/>
        <v>64518</v>
      </c>
      <c r="BJ132" s="2" t="e">
        <f t="shared" si="141"/>
        <v>#DIV/0!</v>
      </c>
    </row>
    <row r="133" spans="23:62" x14ac:dyDescent="0.25">
      <c r="W133" s="2" t="e">
        <f t="shared" si="140"/>
        <v>#VALUE!</v>
      </c>
      <c r="X133" s="34">
        <f t="shared" si="142"/>
        <v>0</v>
      </c>
      <c r="Y133" s="57">
        <f t="shared" si="143"/>
        <v>64518</v>
      </c>
      <c r="AL133" s="2" t="e">
        <f t="shared" si="144"/>
        <v>#VALUE!</v>
      </c>
      <c r="AM133" s="34" t="e">
        <f t="shared" si="139"/>
        <v>#DIV/0!</v>
      </c>
      <c r="AN133" s="57">
        <f t="shared" si="127"/>
        <v>64883</v>
      </c>
      <c r="BJ133" s="2" t="e">
        <f t="shared" si="141"/>
        <v>#DIV/0!</v>
      </c>
    </row>
    <row r="134" spans="23:62" x14ac:dyDescent="0.25">
      <c r="W134" s="2" t="e">
        <f t="shared" si="140"/>
        <v>#VALUE!</v>
      </c>
      <c r="X134" s="34">
        <f t="shared" si="142"/>
        <v>0</v>
      </c>
      <c r="Y134" s="57">
        <f t="shared" si="143"/>
        <v>64883</v>
      </c>
      <c r="AL134" s="2" t="e">
        <f t="shared" si="144"/>
        <v>#VALUE!</v>
      </c>
      <c r="AM134" s="34" t="e">
        <f t="shared" si="139"/>
        <v>#DIV/0!</v>
      </c>
      <c r="AN134" s="57">
        <f t="shared" si="127"/>
        <v>65248</v>
      </c>
      <c r="BJ134" s="2" t="e">
        <f t="shared" si="141"/>
        <v>#DIV/0!</v>
      </c>
    </row>
    <row r="135" spans="23:62" x14ac:dyDescent="0.25">
      <c r="W135" s="2" t="e">
        <f t="shared" si="140"/>
        <v>#VALUE!</v>
      </c>
      <c r="X135" s="34">
        <f t="shared" si="142"/>
        <v>0</v>
      </c>
      <c r="Y135" s="57">
        <f t="shared" si="143"/>
        <v>65248</v>
      </c>
      <c r="AL135" s="2" t="e">
        <f t="shared" si="144"/>
        <v>#VALUE!</v>
      </c>
      <c r="AM135" s="34" t="e">
        <f t="shared" si="139"/>
        <v>#DIV/0!</v>
      </c>
      <c r="AN135" s="57">
        <f t="shared" si="127"/>
        <v>65613</v>
      </c>
      <c r="BJ135" s="2" t="e">
        <f t="shared" si="141"/>
        <v>#DIV/0!</v>
      </c>
    </row>
    <row r="136" spans="23:62" x14ac:dyDescent="0.25">
      <c r="W136" s="2" t="e">
        <f t="shared" si="140"/>
        <v>#VALUE!</v>
      </c>
      <c r="X136" s="34">
        <f t="shared" si="142"/>
        <v>0</v>
      </c>
      <c r="Y136" s="57">
        <f t="shared" si="143"/>
        <v>65613</v>
      </c>
      <c r="AL136" s="2" t="e">
        <f t="shared" si="144"/>
        <v>#VALUE!</v>
      </c>
      <c r="AM136" s="34" t="e">
        <f t="shared" si="139"/>
        <v>#DIV/0!</v>
      </c>
      <c r="AN136" s="57">
        <f t="shared" si="127"/>
        <v>65978</v>
      </c>
      <c r="BJ136" s="2" t="e">
        <f t="shared" si="141"/>
        <v>#DIV/0!</v>
      </c>
    </row>
    <row r="137" spans="23:62" x14ac:dyDescent="0.25">
      <c r="W137" s="2" t="e">
        <f t="shared" si="140"/>
        <v>#VALUE!</v>
      </c>
      <c r="X137" s="34">
        <f t="shared" si="142"/>
        <v>0</v>
      </c>
      <c r="Y137" s="57">
        <f t="shared" si="143"/>
        <v>65978</v>
      </c>
      <c r="AL137" s="2" t="e">
        <f t="shared" si="144"/>
        <v>#VALUE!</v>
      </c>
      <c r="AM137" s="34" t="e">
        <f t="shared" si="139"/>
        <v>#DIV/0!</v>
      </c>
      <c r="AN137" s="57">
        <f t="shared" si="127"/>
        <v>66343</v>
      </c>
      <c r="BJ137" s="2" t="e">
        <f t="shared" si="141"/>
        <v>#DIV/0!</v>
      </c>
    </row>
    <row r="138" spans="23:62" x14ac:dyDescent="0.25">
      <c r="W138" s="2" t="e">
        <f t="shared" si="140"/>
        <v>#VALUE!</v>
      </c>
      <c r="X138" s="34">
        <f t="shared" si="142"/>
        <v>0</v>
      </c>
      <c r="Y138" s="57">
        <f t="shared" si="143"/>
        <v>66343</v>
      </c>
      <c r="AL138" s="2" t="e">
        <f t="shared" si="144"/>
        <v>#VALUE!</v>
      </c>
      <c r="AM138" s="34" t="e">
        <f t="shared" si="139"/>
        <v>#DIV/0!</v>
      </c>
      <c r="AN138" s="57">
        <f t="shared" si="127"/>
        <v>66708</v>
      </c>
      <c r="BJ138" s="2" t="e">
        <f t="shared" si="141"/>
        <v>#DIV/0!</v>
      </c>
    </row>
    <row r="139" spans="23:62" x14ac:dyDescent="0.25">
      <c r="W139" s="2" t="e">
        <f t="shared" si="140"/>
        <v>#VALUE!</v>
      </c>
      <c r="X139" s="34">
        <f t="shared" si="142"/>
        <v>0</v>
      </c>
      <c r="Y139" s="57">
        <f t="shared" si="143"/>
        <v>66708</v>
      </c>
      <c r="AL139" s="2" t="e">
        <f t="shared" si="144"/>
        <v>#VALUE!</v>
      </c>
      <c r="AM139" s="34" t="e">
        <f t="shared" si="139"/>
        <v>#DIV/0!</v>
      </c>
      <c r="AN139" s="57">
        <f t="shared" si="127"/>
        <v>67073</v>
      </c>
      <c r="BJ139" s="2" t="e">
        <f t="shared" si="141"/>
        <v>#DIV/0!</v>
      </c>
    </row>
    <row r="140" spans="23:62" x14ac:dyDescent="0.25">
      <c r="W140" s="2" t="e">
        <f t="shared" si="140"/>
        <v>#VALUE!</v>
      </c>
      <c r="X140" s="34">
        <f t="shared" si="142"/>
        <v>0</v>
      </c>
      <c r="Y140" s="57">
        <f t="shared" si="143"/>
        <v>67073</v>
      </c>
      <c r="AL140" s="2" t="e">
        <f t="shared" si="144"/>
        <v>#VALUE!</v>
      </c>
      <c r="AM140" s="34" t="e">
        <f t="shared" si="139"/>
        <v>#DIV/0!</v>
      </c>
      <c r="AN140" s="57">
        <f t="shared" si="127"/>
        <v>67438</v>
      </c>
      <c r="BJ140" s="2" t="e">
        <f t="shared" si="141"/>
        <v>#DIV/0!</v>
      </c>
    </row>
    <row r="141" spans="23:62" x14ac:dyDescent="0.25">
      <c r="W141" s="2" t="e">
        <f t="shared" si="140"/>
        <v>#VALUE!</v>
      </c>
      <c r="X141" s="34">
        <f t="shared" si="142"/>
        <v>0</v>
      </c>
      <c r="Y141" s="57">
        <f t="shared" si="143"/>
        <v>67438</v>
      </c>
      <c r="AL141" s="2" t="e">
        <f t="shared" si="144"/>
        <v>#VALUE!</v>
      </c>
      <c r="AM141" s="34" t="e">
        <f t="shared" si="139"/>
        <v>#DIV/0!</v>
      </c>
      <c r="AN141" s="57">
        <f t="shared" si="127"/>
        <v>67803</v>
      </c>
      <c r="BJ141" s="2" t="e">
        <f t="shared" si="141"/>
        <v>#DIV/0!</v>
      </c>
    </row>
    <row r="142" spans="23:62" x14ac:dyDescent="0.25">
      <c r="W142" s="2" t="e">
        <f t="shared" si="140"/>
        <v>#VALUE!</v>
      </c>
      <c r="X142" s="34">
        <f t="shared" si="142"/>
        <v>0</v>
      </c>
      <c r="Y142" s="57">
        <f t="shared" si="143"/>
        <v>67803</v>
      </c>
      <c r="AL142" s="2" t="e">
        <f t="shared" si="144"/>
        <v>#VALUE!</v>
      </c>
      <c r="AM142" s="34" t="e">
        <f t="shared" si="139"/>
        <v>#DIV/0!</v>
      </c>
      <c r="AN142" s="57">
        <f t="shared" si="127"/>
        <v>68168</v>
      </c>
      <c r="BJ142" s="2" t="e">
        <f t="shared" si="141"/>
        <v>#DIV/0!</v>
      </c>
    </row>
    <row r="143" spans="23:62" x14ac:dyDescent="0.25">
      <c r="W143" s="2" t="e">
        <f t="shared" si="140"/>
        <v>#VALUE!</v>
      </c>
      <c r="X143" s="34">
        <f t="shared" si="142"/>
        <v>0</v>
      </c>
      <c r="Y143" s="57">
        <f t="shared" si="143"/>
        <v>68168</v>
      </c>
      <c r="AL143" s="2" t="e">
        <f t="shared" si="144"/>
        <v>#VALUE!</v>
      </c>
      <c r="AM143" s="34" t="e">
        <f t="shared" si="139"/>
        <v>#DIV/0!</v>
      </c>
      <c r="AN143" s="57">
        <f t="shared" si="127"/>
        <v>68533</v>
      </c>
      <c r="BJ143" s="2" t="e">
        <f t="shared" si="141"/>
        <v>#DIV/0!</v>
      </c>
    </row>
    <row r="144" spans="23:62" x14ac:dyDescent="0.25">
      <c r="W144" s="2" t="e">
        <f t="shared" si="140"/>
        <v>#VALUE!</v>
      </c>
      <c r="X144" s="34">
        <f t="shared" si="142"/>
        <v>0</v>
      </c>
      <c r="Y144" s="57">
        <f t="shared" si="143"/>
        <v>68533</v>
      </c>
      <c r="AL144" s="2" t="e">
        <f t="shared" si="144"/>
        <v>#VALUE!</v>
      </c>
      <c r="AM144" s="34" t="e">
        <f t="shared" si="139"/>
        <v>#DIV/0!</v>
      </c>
      <c r="AN144" s="57">
        <f t="shared" si="127"/>
        <v>68898</v>
      </c>
      <c r="BJ144" s="2" t="e">
        <f t="shared" si="141"/>
        <v>#DIV/0!</v>
      </c>
    </row>
    <row r="145" spans="22:62" x14ac:dyDescent="0.25">
      <c r="W145" s="2" t="e">
        <f t="shared" ref="W145:W148" si="145">IF(AND(G105&gt;=$W$14,G105&lt;=$W$14+5),0,IF($C$9&gt;$AF$51,ROUND(R104*$C$43/(DATEVALUE(CONCATENATE("01/01/",YEAR(H105)+1))-DATEVALUE(CONCATENATE("01/01/",YEAR(H105))))*(H105-H104),2),0))</f>
        <v>#VALUE!</v>
      </c>
      <c r="X145" s="34">
        <f t="shared" si="142"/>
        <v>0</v>
      </c>
      <c r="Y145" s="57">
        <f t="shared" si="143"/>
        <v>68898</v>
      </c>
      <c r="AL145" s="2" t="e">
        <f t="shared" si="144"/>
        <v>#VALUE!</v>
      </c>
      <c r="AM145" s="34" t="e">
        <f t="shared" si="139"/>
        <v>#DIV/0!</v>
      </c>
      <c r="AN145" s="57">
        <f t="shared" ref="AN145:AN147" si="146">AN144+365</f>
        <v>69263</v>
      </c>
      <c r="BJ145" s="2" t="e">
        <f t="shared" si="141"/>
        <v>#DIV/0!</v>
      </c>
    </row>
    <row r="146" spans="22:62" x14ac:dyDescent="0.25">
      <c r="W146" s="2" t="e">
        <f t="shared" si="145"/>
        <v>#VALUE!</v>
      </c>
      <c r="X146" s="34">
        <f t="shared" si="142"/>
        <v>0</v>
      </c>
      <c r="Y146" s="57">
        <f t="shared" si="143"/>
        <v>69263</v>
      </c>
      <c r="AL146" s="2" t="e">
        <f t="shared" si="144"/>
        <v>#VALUE!</v>
      </c>
      <c r="AM146" s="34" t="e">
        <f t="shared" si="139"/>
        <v>#DIV/0!</v>
      </c>
      <c r="AN146" s="57">
        <f t="shared" si="146"/>
        <v>69628</v>
      </c>
      <c r="BJ146" s="2" t="e">
        <f t="shared" si="141"/>
        <v>#DIV/0!</v>
      </c>
    </row>
    <row r="147" spans="22:62" x14ac:dyDescent="0.25">
      <c r="W147" s="2" t="e">
        <f t="shared" si="145"/>
        <v>#VALUE!</v>
      </c>
      <c r="X147" s="34">
        <f t="shared" si="142"/>
        <v>0</v>
      </c>
      <c r="Y147" s="57">
        <f t="shared" si="143"/>
        <v>69628</v>
      </c>
      <c r="AL147" s="2" t="e">
        <f t="shared" si="144"/>
        <v>#VALUE!</v>
      </c>
      <c r="AM147" s="34" t="e">
        <f t="shared" si="139"/>
        <v>#DIV/0!</v>
      </c>
      <c r="AN147" s="57">
        <f t="shared" si="146"/>
        <v>69993</v>
      </c>
      <c r="BJ147" s="2" t="e">
        <f t="shared" si="141"/>
        <v>#DIV/0!</v>
      </c>
    </row>
    <row r="148" spans="22:62" x14ac:dyDescent="0.25">
      <c r="W148" s="2" t="e">
        <f t="shared" si="145"/>
        <v>#VALUE!</v>
      </c>
      <c r="X148" s="34">
        <f t="shared" si="142"/>
        <v>0</v>
      </c>
      <c r="Y148" s="57">
        <f t="shared" si="143"/>
        <v>69993</v>
      </c>
      <c r="AL148" s="35" t="e">
        <f>SUM(AL48:AL147)</f>
        <v>#VALUE!</v>
      </c>
      <c r="AM148" s="35" t="e">
        <f>SUM(AM48:AM147)</f>
        <v>#DIV/0!</v>
      </c>
      <c r="AN148" s="154" t="e">
        <f>XIRR(AM46:AM147,AN46:AN147)*12</f>
        <v>#DIV/0!</v>
      </c>
      <c r="BJ148" s="2" t="e">
        <f t="shared" si="141"/>
        <v>#DIV/0!</v>
      </c>
    </row>
    <row r="149" spans="22:62" x14ac:dyDescent="0.25">
      <c r="V149" s="35"/>
      <c r="W149" s="35" t="e">
        <f>SUM(W49:W148)</f>
        <v>#VALUE!</v>
      </c>
      <c r="X149" s="35">
        <f>SUM(X49:X148)</f>
        <v>415093.14999999997</v>
      </c>
      <c r="Y149" s="154">
        <f>XIRR(X47:X148,Y47:Y148)*12</f>
        <v>9.6517574787139876E-2</v>
      </c>
      <c r="BJ149" s="2" t="e">
        <f t="shared" si="141"/>
        <v>#DIV/0!</v>
      </c>
    </row>
    <row r="150" spans="22:62" x14ac:dyDescent="0.25">
      <c r="X150" s="34"/>
      <c r="Y150" s="57"/>
      <c r="BJ150" s="2" t="e">
        <f t="shared" si="141"/>
        <v>#DIV/0!</v>
      </c>
    </row>
    <row r="151" spans="22:62" x14ac:dyDescent="0.25">
      <c r="X151" s="34"/>
      <c r="Y151" s="57"/>
      <c r="BJ151" s="2" t="e">
        <f t="shared" si="141"/>
        <v>#DIV/0!</v>
      </c>
    </row>
    <row r="152" spans="22:62" x14ac:dyDescent="0.25">
      <c r="X152" s="34"/>
      <c r="Y152" s="57"/>
      <c r="BJ152" s="2" t="e">
        <f t="shared" si="141"/>
        <v>#DIV/0!</v>
      </c>
    </row>
    <row r="153" spans="22:62" x14ac:dyDescent="0.25">
      <c r="X153" s="34"/>
      <c r="Y153" s="57"/>
      <c r="BJ153" s="2" t="e">
        <f t="shared" si="141"/>
        <v>#DIV/0!</v>
      </c>
    </row>
    <row r="154" spans="22:62" x14ac:dyDescent="0.25">
      <c r="BJ154" s="35" t="e">
        <f>SUM(BJ54:BJ153)</f>
        <v>#DIV/0!</v>
      </c>
    </row>
  </sheetData>
  <sheetProtection sheet="1" selectLockedCells="1"/>
  <dataConsolidate/>
  <mergeCells count="65">
    <mergeCell ref="D57:D63"/>
    <mergeCell ref="A34:B34"/>
    <mergeCell ref="A35:C35"/>
    <mergeCell ref="A36:A37"/>
    <mergeCell ref="A38:B38"/>
    <mergeCell ref="BL33:BL35"/>
    <mergeCell ref="A39:B39"/>
    <mergeCell ref="A27:B27"/>
    <mergeCell ref="A28:B28"/>
    <mergeCell ref="A30:B30"/>
    <mergeCell ref="A31:B31"/>
    <mergeCell ref="A32:B32"/>
    <mergeCell ref="A33:B33"/>
    <mergeCell ref="A29:B29"/>
    <mergeCell ref="A26:B26"/>
    <mergeCell ref="A12:B12"/>
    <mergeCell ref="A13:B13"/>
    <mergeCell ref="BL13:BL14"/>
    <mergeCell ref="BM13:BM14"/>
    <mergeCell ref="A14:B14"/>
    <mergeCell ref="A15:A16"/>
    <mergeCell ref="A21:B21"/>
    <mergeCell ref="A22:C22"/>
    <mergeCell ref="A23:C23"/>
    <mergeCell ref="A24:B24"/>
    <mergeCell ref="A25:B25"/>
    <mergeCell ref="A17:E17"/>
    <mergeCell ref="A18:E18"/>
    <mergeCell ref="A19:B19"/>
    <mergeCell ref="C19:D19"/>
    <mergeCell ref="BL6:BR6"/>
    <mergeCell ref="A7:B7"/>
    <mergeCell ref="C7:D7"/>
    <mergeCell ref="BP7:BP8"/>
    <mergeCell ref="A6:B6"/>
    <mergeCell ref="C6:D6"/>
    <mergeCell ref="AP3:BF4"/>
    <mergeCell ref="BL3:BR3"/>
    <mergeCell ref="A10:B10"/>
    <mergeCell ref="C10:D10"/>
    <mergeCell ref="BL10:BL11"/>
    <mergeCell ref="BM10:BM11"/>
    <mergeCell ref="A11:B11"/>
    <mergeCell ref="E7:E12"/>
    <mergeCell ref="BL7:BL8"/>
    <mergeCell ref="BM7:BM8"/>
    <mergeCell ref="G6:G7"/>
    <mergeCell ref="H6:H7"/>
    <mergeCell ref="J6:J7"/>
    <mergeCell ref="K6:K7"/>
    <mergeCell ref="BQ7:BQ8"/>
    <mergeCell ref="BR7:BR8"/>
    <mergeCell ref="A20:B20"/>
    <mergeCell ref="C20:D20"/>
    <mergeCell ref="I6:I7"/>
    <mergeCell ref="A5:E5"/>
    <mergeCell ref="A1:E2"/>
    <mergeCell ref="A3:E3"/>
    <mergeCell ref="G3:T4"/>
    <mergeCell ref="A8:B8"/>
    <mergeCell ref="A9:B9"/>
    <mergeCell ref="C9:D9"/>
    <mergeCell ref="L6:L7"/>
    <mergeCell ref="R6:R7"/>
    <mergeCell ref="S6:S7"/>
  </mergeCells>
  <dataValidations count="7">
    <dataValidation type="list" allowBlank="1" showInputMessage="1" showErrorMessage="1" sqref="C11" xr:uid="{00000000-0002-0000-0B00-000000000000}">
      <formula1>IF($C$7&gt;1000000,$W$9:$W$11,$W$6:$W$8)</formula1>
    </dataValidation>
    <dataValidation type="list" allowBlank="1" showInputMessage="1" showErrorMessage="1" sqref="D11 C15" xr:uid="{00000000-0002-0000-0B00-000001000000}">
      <formula1>$Y$33:$Z$33</formula1>
    </dataValidation>
    <dataValidation type="list" allowBlank="1" showInputMessage="1" showErrorMessage="1" sqref="D32 C42" xr:uid="{00000000-0002-0000-0B00-000002000000}">
      <formula1>$AC$30:$AD$30</formula1>
    </dataValidation>
    <dataValidation type="list" allowBlank="1" showInputMessage="1" showErrorMessage="1" sqref="D28 C12" xr:uid="{00000000-0002-0000-0B00-000003000000}">
      <formula1>$W$3:$AA$3</formula1>
    </dataValidation>
    <dataValidation type="list" allowBlank="1" showInputMessage="1" showErrorMessage="1" sqref="C19:D19" xr:uid="{00000000-0002-0000-0B00-000004000000}">
      <formula1>$BX$12:$BX$24</formula1>
    </dataValidation>
    <dataValidation type="list" allowBlank="1" showInputMessage="1" showErrorMessage="1" sqref="D8" xr:uid="{00000000-0002-0000-0B00-000005000000}">
      <formula1>$AC$59:$AJ$59</formula1>
    </dataValidation>
    <dataValidation type="list" allowBlank="1" showInputMessage="1" showErrorMessage="1" sqref="C8" xr:uid="{00000000-0002-0000-0B00-000006000000}">
      <formula1>$AC$59:$AG$59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6" orientation="portrait" r:id="rId1"/>
  <colBreaks count="1" manualBreakCount="1">
    <brk id="5" max="114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7000000}">
          <x14:formula1>
            <xm:f>'Для снижаем ставку'!$B$1:$F$1</xm:f>
          </x14:formula1>
          <xm:sqref>C10:D10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1"/>
  <sheetViews>
    <sheetView topLeftCell="A4" workbookViewId="0">
      <selection activeCell="I12" sqref="I12"/>
    </sheetView>
  </sheetViews>
  <sheetFormatPr defaultColWidth="8.6640625" defaultRowHeight="13.2" x14ac:dyDescent="0.25"/>
  <cols>
    <col min="2" max="3" width="10.33203125" customWidth="1"/>
    <col min="4" max="4" width="10.6640625" customWidth="1"/>
    <col min="6" max="6" width="12.6640625" customWidth="1"/>
    <col min="9" max="9" width="10.33203125" customWidth="1"/>
  </cols>
  <sheetData>
    <row r="1" spans="1:9" x14ac:dyDescent="0.25">
      <c r="B1">
        <v>36</v>
      </c>
      <c r="C1">
        <v>48</v>
      </c>
      <c r="D1">
        <v>60</v>
      </c>
      <c r="E1">
        <v>72</v>
      </c>
      <c r="F1">
        <v>84</v>
      </c>
    </row>
    <row r="2" spans="1:9" x14ac:dyDescent="0.25">
      <c r="A2" s="174">
        <v>9.9000000000000005E-2</v>
      </c>
      <c r="B2" s="16">
        <v>3000</v>
      </c>
      <c r="C2">
        <v>3000</v>
      </c>
      <c r="D2" s="16">
        <v>4000</v>
      </c>
    </row>
    <row r="3" spans="1:9" x14ac:dyDescent="0.25">
      <c r="B3" s="16">
        <v>194000</v>
      </c>
      <c r="C3" s="16">
        <v>152000</v>
      </c>
      <c r="D3" s="16">
        <v>128000</v>
      </c>
      <c r="F3" s="477"/>
      <c r="I3" s="174"/>
    </row>
    <row r="4" spans="1:9" x14ac:dyDescent="0.25">
      <c r="A4" s="174">
        <v>0.11899999999999999</v>
      </c>
      <c r="B4" s="478">
        <v>4000</v>
      </c>
      <c r="C4" s="478">
        <v>4500</v>
      </c>
      <c r="D4" s="478">
        <v>5600</v>
      </c>
      <c r="G4" s="477" t="s">
        <v>305</v>
      </c>
      <c r="I4" s="174"/>
    </row>
    <row r="5" spans="1:9" x14ac:dyDescent="0.25">
      <c r="B5" s="16">
        <f>ROUND(B$7+(B$23-B$7)/($A$22-$A$6)*($A$4-$A$6),0)</f>
        <v>200000</v>
      </c>
      <c r="C5" s="16">
        <f>ROUND(C$7+(C$23-C$7)/($A$22-$A$6)*($A$4-$A$6),0)</f>
        <v>158000</v>
      </c>
      <c r="D5" s="16">
        <f>ROUND(D$7+(D$23-D$7)/($A$22-$A$6)*($A$4-$A$6),0)</f>
        <v>134000</v>
      </c>
      <c r="G5" s="477"/>
      <c r="I5" s="174"/>
    </row>
    <row r="6" spans="1:9" x14ac:dyDescent="0.25">
      <c r="A6" s="174">
        <v>0.11899999999999999</v>
      </c>
      <c r="B6">
        <v>4000</v>
      </c>
      <c r="C6">
        <v>5000</v>
      </c>
      <c r="D6">
        <v>5500</v>
      </c>
      <c r="G6" t="s">
        <v>306</v>
      </c>
      <c r="I6" s="486"/>
    </row>
    <row r="7" spans="1:9" x14ac:dyDescent="0.25">
      <c r="B7">
        <v>200000</v>
      </c>
      <c r="C7">
        <v>158000</v>
      </c>
      <c r="D7" s="16">
        <v>134000</v>
      </c>
    </row>
    <row r="8" spans="1:9" x14ac:dyDescent="0.25">
      <c r="A8" s="174">
        <v>0.129</v>
      </c>
      <c r="B8" s="16">
        <f>ROUND(B$6+(B$22-B$6)/($A$22-$A$6)*($A$8-$A$6),0)</f>
        <v>4000</v>
      </c>
      <c r="C8" s="16">
        <v>5500</v>
      </c>
      <c r="D8" s="16">
        <v>5500</v>
      </c>
    </row>
    <row r="9" spans="1:9" x14ac:dyDescent="0.25">
      <c r="B9" s="16">
        <f>ROUND(B$7+(B$23-B$7)/($A$22-$A$6)*($A$8-$A$6),0)</f>
        <v>202858</v>
      </c>
      <c r="C9" s="16">
        <f>ROUND(C$7+(C$23-C$7)/($A$22-$A$6)*($A$8-$A$6),0)</f>
        <v>161056</v>
      </c>
      <c r="D9" s="16">
        <v>136260</v>
      </c>
    </row>
    <row r="10" spans="1:9" x14ac:dyDescent="0.25">
      <c r="A10" s="174">
        <v>0.13900000000000001</v>
      </c>
      <c r="B10" s="491">
        <v>4000</v>
      </c>
      <c r="C10" s="491">
        <v>4500</v>
      </c>
      <c r="D10" s="491">
        <v>5200</v>
      </c>
      <c r="E10" s="491">
        <v>5500</v>
      </c>
      <c r="F10" s="491">
        <v>5700</v>
      </c>
    </row>
    <row r="11" spans="1:9" x14ac:dyDescent="0.25">
      <c r="B11" s="16">
        <v>205050</v>
      </c>
      <c r="C11" s="16">
        <v>163980</v>
      </c>
      <c r="D11" s="16">
        <v>140000</v>
      </c>
      <c r="E11" s="16">
        <v>124000</v>
      </c>
      <c r="F11" s="16">
        <v>112500</v>
      </c>
    </row>
    <row r="12" spans="1:9" x14ac:dyDescent="0.25">
      <c r="A12" s="174">
        <v>0.14899999999999999</v>
      </c>
      <c r="B12" s="490">
        <f>ROUND(B$6+(B$22-B$6)/($A$22-$A$6)*($A$12-$A$6),0)</f>
        <v>4000</v>
      </c>
      <c r="C12" s="490">
        <f>ROUND(C$6+(C$22-C$6)/($A$22-$A$6)*($A$12-$A$6),0)</f>
        <v>5000</v>
      </c>
      <c r="D12" s="490">
        <v>7000</v>
      </c>
      <c r="E12" s="490"/>
      <c r="F12" s="490"/>
    </row>
    <row r="13" spans="1:9" x14ac:dyDescent="0.25">
      <c r="B13" s="16">
        <f>ROUND(B$7+(B$23-B$7)/($A$22-$A$6)*($A$12-$A$6),0)</f>
        <v>208573</v>
      </c>
      <c r="C13" s="16">
        <f>ROUND(C$7+(C$23-C$7)/($A$22-$A$6)*($A$12-$A$6),0)</f>
        <v>167169</v>
      </c>
      <c r="D13" s="16">
        <f>ROUND(D$9+(D$23-D$9)/($A$22-$A$6)*($A$12-$A$6),0)</f>
        <v>144671</v>
      </c>
      <c r="E13" s="490"/>
      <c r="F13" s="490"/>
    </row>
    <row r="14" spans="1:9" x14ac:dyDescent="0.25">
      <c r="A14" s="174">
        <v>0.159</v>
      </c>
      <c r="B14" s="491">
        <v>4000</v>
      </c>
      <c r="C14" s="491">
        <v>5500</v>
      </c>
      <c r="D14" s="491">
        <v>5400</v>
      </c>
      <c r="E14" s="491">
        <v>6000</v>
      </c>
      <c r="F14" s="491">
        <v>6500</v>
      </c>
    </row>
    <row r="15" spans="1:9" x14ac:dyDescent="0.25">
      <c r="B15" s="16">
        <v>210990</v>
      </c>
      <c r="C15" s="16">
        <v>170140</v>
      </c>
      <c r="D15" s="16">
        <v>145800</v>
      </c>
      <c r="E15" s="16">
        <v>130100</v>
      </c>
      <c r="F15" s="16">
        <v>119100</v>
      </c>
    </row>
    <row r="16" spans="1:9" x14ac:dyDescent="0.25">
      <c r="A16" s="174">
        <v>0.16900000000000001</v>
      </c>
      <c r="B16">
        <f>ROUND(B$6+(B$22-B$6)/($A$22-$A$6)*($A$16-$A$6),0)</f>
        <v>4000</v>
      </c>
      <c r="C16">
        <f>ROUND(C$6+(C$22-C$6)/($A$22-$A$6)*($A$16-$A$6),0)</f>
        <v>5000</v>
      </c>
      <c r="D16">
        <v>6500</v>
      </c>
    </row>
    <row r="17" spans="1:4" x14ac:dyDescent="0.25">
      <c r="B17" s="16">
        <f>ROUND(B$7+(B$23-B$7)/($A$22-$A$6)*($A$16-$A$6),0)</f>
        <v>214288</v>
      </c>
      <c r="C17" s="16">
        <f>ROUND(C$7+(C$23-C$7)/($A$22-$A$6)*($A$16-$A$6),0)</f>
        <v>173281</v>
      </c>
      <c r="D17" s="16">
        <f>ROUND(D$9+(D$23-D$9)/($A$22-$A$6)*($A$16-$A$6),0)</f>
        <v>150279</v>
      </c>
    </row>
    <row r="18" spans="1:4" x14ac:dyDescent="0.25">
      <c r="A18" s="174">
        <v>0.17899999999999999</v>
      </c>
      <c r="B18">
        <f>ROUND(B$6+(B$22-B$6)/($A$22-$A$6)*($A$18-$A$6),0)</f>
        <v>4000</v>
      </c>
      <c r="C18">
        <f>ROUND(C$6+(C$22-C$6)/($A$22-$A$6)*($A$18-$A$6),0)</f>
        <v>5000</v>
      </c>
      <c r="D18">
        <v>6500</v>
      </c>
    </row>
    <row r="19" spans="1:4" x14ac:dyDescent="0.25">
      <c r="B19" s="16">
        <f>ROUND(B$7+(B$23-B$7)/($A$22-$A$6)*($A$18-$A$6),0)</f>
        <v>217145</v>
      </c>
      <c r="C19" s="16">
        <f>ROUND(C$7+(C$23-C$7)/($A$22-$A$6)*($A$18-$A$6),0)</f>
        <v>176338</v>
      </c>
      <c r="D19" s="16">
        <f>ROUND(D$9+(D$23-D$9)/($A$22-$A$6)*($A$18-$A$6),0)</f>
        <v>153083</v>
      </c>
    </row>
    <row r="20" spans="1:4" x14ac:dyDescent="0.25">
      <c r="A20" s="174">
        <v>0.189</v>
      </c>
      <c r="B20">
        <f>ROUND(B$6+(B$22-B$6)/($A$22-$A$6)*($A$20-$A$6),0)</f>
        <v>4000</v>
      </c>
      <c r="C20">
        <f>ROUND(C$6+(C$22-C$6)/($A$22-$A$6)*($A$20-$A$6),0)</f>
        <v>5000</v>
      </c>
      <c r="D20">
        <v>6500</v>
      </c>
    </row>
    <row r="21" spans="1:4" x14ac:dyDescent="0.25">
      <c r="B21" s="16">
        <f>ROUND(B$7+(B$23-B$7)/($A$22-$A$6)*($A$20-$A$6),0)</f>
        <v>220003</v>
      </c>
      <c r="C21" s="16">
        <f>ROUND(C$7+(C$23-C$7)/($A$22-$A$6)*($A$20-$A$6),0)</f>
        <v>179394</v>
      </c>
      <c r="D21" s="16">
        <f>ROUND(D$9+(D$23-D$9)/($A$22-$A$6)*($A$20-$A$6),0)</f>
        <v>155886</v>
      </c>
    </row>
    <row r="22" spans="1:4" x14ac:dyDescent="0.25">
      <c r="A22" s="174">
        <v>0.19900000000000001</v>
      </c>
      <c r="B22">
        <v>4000</v>
      </c>
      <c r="C22">
        <v>5000</v>
      </c>
      <c r="D22" s="16">
        <v>6000</v>
      </c>
    </row>
    <row r="23" spans="1:4" x14ac:dyDescent="0.25">
      <c r="B23">
        <v>222860</v>
      </c>
      <c r="C23">
        <v>182450</v>
      </c>
      <c r="D23" s="16">
        <v>158690</v>
      </c>
    </row>
    <row r="24" spans="1:4" x14ac:dyDescent="0.25">
      <c r="B24" s="477"/>
      <c r="C24" s="477"/>
      <c r="D24" s="477"/>
    </row>
    <row r="26" spans="1:4" x14ac:dyDescent="0.25">
      <c r="C26" s="478"/>
    </row>
    <row r="27" spans="1:4" x14ac:dyDescent="0.25">
      <c r="B27" s="478"/>
      <c r="C27" s="478"/>
    </row>
    <row r="31" spans="1:4" x14ac:dyDescent="0.25">
      <c r="B31" s="478"/>
      <c r="C31" s="478"/>
    </row>
  </sheetData>
  <sheetProtection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TU154"/>
  <sheetViews>
    <sheetView showGridLines="0" view="pageBreakPreview" zoomScale="70" zoomScaleNormal="90" zoomScaleSheetLayoutView="70" workbookViewId="0">
      <selection activeCell="C11" sqref="C11"/>
    </sheetView>
  </sheetViews>
  <sheetFormatPr defaultColWidth="8.6640625" defaultRowHeight="13.2" x14ac:dyDescent="0.25"/>
  <cols>
    <col min="1" max="1" width="38" style="2" customWidth="1"/>
    <col min="2" max="2" width="36.6640625" style="2" customWidth="1"/>
    <col min="3" max="3" width="19.33203125" style="1" customWidth="1"/>
    <col min="4" max="4" width="18.109375" style="1" customWidth="1"/>
    <col min="5" max="5" width="25" style="1" customWidth="1"/>
    <col min="6" max="6" width="5.44140625" style="1" customWidth="1"/>
    <col min="7" max="7" width="7.6640625" style="1" customWidth="1"/>
    <col min="8" max="9" width="10.6640625" style="1" customWidth="1"/>
    <col min="10" max="10" width="16.33203125" style="1" customWidth="1"/>
    <col min="11" max="11" width="15.44140625" style="1" customWidth="1"/>
    <col min="12" max="12" width="14" style="2" customWidth="1"/>
    <col min="13" max="13" width="14.109375" style="1" customWidth="1"/>
    <col min="14" max="16" width="15" style="3" hidden="1" customWidth="1"/>
    <col min="17" max="17" width="17.109375" style="3" customWidth="1"/>
    <col min="18" max="18" width="15" style="3" hidden="1" customWidth="1"/>
    <col min="19" max="20" width="14" style="2" customWidth="1"/>
    <col min="21" max="21" width="11.109375" style="2" hidden="1" customWidth="1"/>
    <col min="22" max="22" width="11.44140625" style="44" hidden="1" customWidth="1"/>
    <col min="23" max="23" width="17.6640625" style="2" hidden="1" customWidth="1"/>
    <col min="24" max="24" width="18.33203125" style="2" hidden="1" customWidth="1"/>
    <col min="25" max="25" width="13.109375" style="2" hidden="1" customWidth="1"/>
    <col min="26" max="26" width="20" style="2" hidden="1" customWidth="1"/>
    <col min="27" max="27" width="19.6640625" style="2" hidden="1" customWidth="1"/>
    <col min="28" max="28" width="17.44140625" style="2" hidden="1" customWidth="1"/>
    <col min="29" max="29" width="33.6640625" style="2" hidden="1" customWidth="1"/>
    <col min="30" max="30" width="19" style="2" hidden="1" customWidth="1"/>
    <col min="31" max="31" width="32.44140625" style="3" hidden="1" customWidth="1"/>
    <col min="32" max="32" width="31.109375" style="3" hidden="1" customWidth="1"/>
    <col min="33" max="33" width="14.44140625" style="3" hidden="1" customWidth="1"/>
    <col min="34" max="34" width="17" style="3" hidden="1" customWidth="1"/>
    <col min="35" max="35" width="13.44140625" style="2" hidden="1" customWidth="1"/>
    <col min="36" max="36" width="14.44140625" style="2" hidden="1" customWidth="1"/>
    <col min="37" max="37" width="14.44140625" style="57" hidden="1" customWidth="1"/>
    <col min="38" max="41" width="14.44140625" style="2" hidden="1" customWidth="1"/>
    <col min="42" max="42" width="7.6640625" style="2" customWidth="1"/>
    <col min="43" max="46" width="14.44140625" style="2" customWidth="1"/>
    <col min="47" max="47" width="13.6640625" style="2" customWidth="1"/>
    <col min="48" max="48" width="15.6640625" style="2" customWidth="1"/>
    <col min="49" max="49" width="12" style="2" hidden="1" customWidth="1"/>
    <col min="50" max="51" width="13.6640625" style="2" hidden="1" customWidth="1"/>
    <col min="52" max="52" width="10.6640625" style="2" hidden="1" customWidth="1"/>
    <col min="53" max="58" width="8.6640625" style="2" hidden="1" customWidth="1"/>
    <col min="59" max="59" width="14" style="2" customWidth="1"/>
    <col min="60" max="60" width="8.6640625" style="2" hidden="1" customWidth="1"/>
    <col min="61" max="61" width="11.44140625" style="2" hidden="1" customWidth="1"/>
    <col min="62" max="62" width="1.33203125" style="1" hidden="1" customWidth="1"/>
    <col min="63" max="63" width="1.109375" style="2" hidden="1" customWidth="1"/>
    <col min="64" max="64" width="1.109375" style="2" customWidth="1"/>
    <col min="65" max="65" width="3.6640625" style="2" customWidth="1"/>
    <col min="66" max="66" width="24.109375" style="2" customWidth="1"/>
    <col min="67" max="67" width="3.6640625" style="2" customWidth="1"/>
    <col min="68" max="68" width="41.44140625" style="2" customWidth="1"/>
    <col min="69" max="69" width="4.44140625" style="2" customWidth="1"/>
    <col min="70" max="70" width="18" style="2" customWidth="1"/>
    <col min="71" max="71" width="4.6640625" style="2" customWidth="1"/>
    <col min="72" max="72" width="7.6640625" style="2" customWidth="1"/>
    <col min="73" max="84" width="8.6640625" style="2" customWidth="1"/>
    <col min="85" max="16384" width="8.6640625" style="2"/>
  </cols>
  <sheetData>
    <row r="1" spans="1:72" ht="12.75" customHeight="1" x14ac:dyDescent="0.4">
      <c r="A1" s="946" t="s">
        <v>167</v>
      </c>
      <c r="B1" s="947"/>
      <c r="C1" s="947"/>
      <c r="D1" s="947"/>
      <c r="E1" s="948"/>
      <c r="F1" s="227"/>
      <c r="G1" s="2"/>
      <c r="H1" s="2"/>
      <c r="I1" s="2"/>
      <c r="J1" s="2"/>
      <c r="K1" s="2"/>
      <c r="M1" s="2"/>
      <c r="N1" s="2"/>
      <c r="O1" s="2"/>
      <c r="P1" s="2"/>
      <c r="Q1" s="2"/>
      <c r="R1" s="2"/>
      <c r="V1" s="2"/>
      <c r="AE1" s="2"/>
      <c r="AF1" s="2"/>
      <c r="AG1" s="2"/>
      <c r="AH1" s="2"/>
      <c r="AK1" s="62" t="s">
        <v>52</v>
      </c>
      <c r="AL1" s="86" t="str">
        <f>IF($C$12=$AG$3,$AG$4,IF($C$12=$AH$3,$AH$4,IF($C$12=$AI$3,$AI$4,IF($C$12=$AJ$3,$AJ$4,IF($C$12=$AK$3,$AK$4,IF($C$12=$AL$3,$AL$4,""))))))</f>
        <v/>
      </c>
      <c r="AN1" s="65"/>
      <c r="BJ1" s="2"/>
    </row>
    <row r="2" spans="1:72" ht="34.950000000000003" customHeight="1" x14ac:dyDescent="0.4">
      <c r="A2" s="949"/>
      <c r="B2" s="950"/>
      <c r="C2" s="950"/>
      <c r="D2" s="950"/>
      <c r="E2" s="951"/>
      <c r="F2" s="227"/>
      <c r="G2" s="2"/>
      <c r="H2" s="2"/>
      <c r="I2" s="2"/>
      <c r="J2" s="2"/>
      <c r="K2" s="2"/>
      <c r="M2" s="2"/>
      <c r="N2" s="2"/>
      <c r="O2" s="2"/>
      <c r="P2" s="2"/>
      <c r="Q2" s="2"/>
      <c r="R2" s="2"/>
      <c r="V2" s="2"/>
      <c r="AE2" s="2" t="s">
        <v>47</v>
      </c>
      <c r="AF2" s="2"/>
      <c r="AG2" s="2"/>
      <c r="AH2" s="2"/>
      <c r="BJ2" s="2"/>
    </row>
    <row r="3" spans="1:72" ht="25.95" customHeight="1" x14ac:dyDescent="0.3">
      <c r="A3" s="864" t="s">
        <v>196</v>
      </c>
      <c r="B3" s="865"/>
      <c r="C3" s="865"/>
      <c r="D3" s="865"/>
      <c r="E3" s="866"/>
      <c r="F3" s="310"/>
      <c r="G3" s="943" t="str">
        <f>CONCATENATE("ГРАФИК ПЛАТЕЖЕЙ - ТАРИФ ПРАЙМ",IF(C16="Да"," + ПАКЕТ ПОЧЕТНЫЙ КЛИЕНТ",""))</f>
        <v>ГРАФИК ПЛАТЕЖЕЙ - ТАРИФ ПРАЙМ + ПАКЕТ ПОЧЕТНЫЙ КЛИЕНТ</v>
      </c>
      <c r="H3" s="943"/>
      <c r="I3" s="943"/>
      <c r="J3" s="943"/>
      <c r="K3" s="943"/>
      <c r="L3" s="943"/>
      <c r="M3" s="943"/>
      <c r="N3" s="943"/>
      <c r="O3" s="943"/>
      <c r="P3" s="943"/>
      <c r="Q3" s="943"/>
      <c r="R3" s="943"/>
      <c r="S3" s="943"/>
      <c r="T3" s="943"/>
      <c r="U3" s="943"/>
      <c r="V3" s="146"/>
      <c r="W3" s="63" t="s">
        <v>33</v>
      </c>
      <c r="X3" s="63" t="s">
        <v>159</v>
      </c>
      <c r="Y3" s="63" t="s">
        <v>72</v>
      </c>
      <c r="Z3" s="63" t="s">
        <v>73</v>
      </c>
      <c r="AA3" s="63" t="s">
        <v>74</v>
      </c>
      <c r="AB3" s="63"/>
      <c r="AC3" s="63" t="s">
        <v>159</v>
      </c>
      <c r="AD3" s="63"/>
      <c r="AE3" s="63"/>
      <c r="AF3" s="63"/>
      <c r="AG3" s="87"/>
      <c r="AH3" s="87"/>
      <c r="AI3" s="87"/>
      <c r="AJ3" s="87"/>
      <c r="AK3" s="87"/>
      <c r="AL3" s="87"/>
      <c r="AM3" s="63"/>
      <c r="AN3" s="63"/>
      <c r="AO3" s="63"/>
      <c r="AP3" s="875" t="str">
        <f>CONCATENATE("ГРАФИК ПЛАТЕЖЕЙ - ТАРИФ ПРАЙМ БЕЗ ПАКЕТА ПОЧЕТНЫЙ КЛИЕНТ",IF(D16="Да"," + пакет Почетный Клиент",""))</f>
        <v>ГРАФИК ПЛАТЕЖЕЙ - ТАРИФ ПРАЙМ БЕЗ ПАКЕТА ПОЧЕТНЫЙ КЛИЕНТ</v>
      </c>
      <c r="AQ3" s="875"/>
      <c r="AR3" s="875"/>
      <c r="AS3" s="875"/>
      <c r="AT3" s="875"/>
      <c r="AU3" s="875"/>
      <c r="AV3" s="875"/>
      <c r="AW3" s="875"/>
      <c r="AX3" s="875"/>
      <c r="AY3" s="875"/>
      <c r="AZ3" s="875"/>
      <c r="BA3" s="875"/>
      <c r="BB3" s="875"/>
      <c r="BC3" s="875"/>
      <c r="BD3" s="875"/>
      <c r="BE3" s="875"/>
      <c r="BF3" s="875"/>
      <c r="BG3" s="875"/>
      <c r="BH3" s="875"/>
      <c r="BI3" s="102"/>
      <c r="BJ3" s="102"/>
      <c r="BK3" s="102"/>
      <c r="BN3" s="826" t="s">
        <v>94</v>
      </c>
      <c r="BO3" s="826"/>
      <c r="BP3" s="826"/>
      <c r="BQ3" s="826"/>
      <c r="BR3" s="826"/>
      <c r="BS3" s="826"/>
      <c r="BT3" s="826"/>
    </row>
    <row r="4" spans="1:72" ht="13.5" hidden="1" customHeight="1" x14ac:dyDescent="0.2">
      <c r="A4" s="187"/>
      <c r="B4" s="185"/>
      <c r="C4" s="185"/>
      <c r="D4" s="185"/>
      <c r="E4" s="188"/>
      <c r="F4" s="228"/>
      <c r="G4" s="943"/>
      <c r="H4" s="943"/>
      <c r="I4" s="943"/>
      <c r="J4" s="943"/>
      <c r="K4" s="943"/>
      <c r="L4" s="943"/>
      <c r="M4" s="943"/>
      <c r="N4" s="943"/>
      <c r="O4" s="943"/>
      <c r="P4" s="943"/>
      <c r="Q4" s="943"/>
      <c r="R4" s="943"/>
      <c r="S4" s="943"/>
      <c r="T4" s="943"/>
      <c r="U4" s="943"/>
      <c r="V4" s="146"/>
      <c r="W4" s="15">
        <v>0.159</v>
      </c>
      <c r="X4" s="15">
        <f t="shared" ref="X4:AA7" si="0">$W4-2%</f>
        <v>0.13900000000000001</v>
      </c>
      <c r="Y4" s="15">
        <f t="shared" si="0"/>
        <v>0.13900000000000001</v>
      </c>
      <c r="Z4" s="15">
        <f t="shared" si="0"/>
        <v>0.13900000000000001</v>
      </c>
      <c r="AA4" s="15">
        <f t="shared" si="0"/>
        <v>0.13900000000000001</v>
      </c>
      <c r="AB4" s="15"/>
      <c r="AC4" s="63" t="s">
        <v>72</v>
      </c>
      <c r="AD4" s="147"/>
      <c r="AE4" s="147"/>
      <c r="AF4" s="147"/>
      <c r="AG4" s="148"/>
      <c r="AH4" s="148"/>
      <c r="AI4" s="148"/>
      <c r="AJ4" s="148"/>
      <c r="AK4" s="148"/>
      <c r="AL4" s="148"/>
      <c r="AM4" s="147"/>
      <c r="AN4" s="147"/>
      <c r="AO4" s="147"/>
      <c r="AP4" s="875"/>
      <c r="AQ4" s="875"/>
      <c r="AR4" s="875"/>
      <c r="AS4" s="875"/>
      <c r="AT4" s="875"/>
      <c r="AU4" s="875"/>
      <c r="AV4" s="875"/>
      <c r="AW4" s="875"/>
      <c r="AX4" s="875"/>
      <c r="AY4" s="875"/>
      <c r="AZ4" s="875"/>
      <c r="BA4" s="875"/>
      <c r="BB4" s="875"/>
      <c r="BC4" s="875"/>
      <c r="BD4" s="875"/>
      <c r="BE4" s="875"/>
      <c r="BF4" s="875"/>
      <c r="BG4" s="875"/>
      <c r="BH4" s="875"/>
      <c r="BI4" s="102"/>
      <c r="BJ4" s="102"/>
      <c r="BK4" s="102"/>
      <c r="BL4" s="57"/>
    </row>
    <row r="5" spans="1:72" ht="13.5" hidden="1" customHeight="1" thickBot="1" x14ac:dyDescent="0.25">
      <c r="A5" s="869"/>
      <c r="B5" s="870"/>
      <c r="C5" s="870"/>
      <c r="D5" s="870"/>
      <c r="E5" s="871"/>
      <c r="F5" s="229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49"/>
      <c r="W5" s="15">
        <v>0.17499999999999999</v>
      </c>
      <c r="X5" s="15">
        <f t="shared" si="0"/>
        <v>0.155</v>
      </c>
      <c r="Y5" s="15">
        <f t="shared" si="0"/>
        <v>0.155</v>
      </c>
      <c r="Z5" s="15">
        <f t="shared" si="0"/>
        <v>0.155</v>
      </c>
      <c r="AA5" s="15">
        <f t="shared" si="0"/>
        <v>0.155</v>
      </c>
      <c r="AB5" s="15"/>
      <c r="AC5" s="63" t="s">
        <v>73</v>
      </c>
      <c r="AD5" s="147"/>
      <c r="AE5" s="147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2"/>
      <c r="BJ5" s="117"/>
      <c r="BK5" s="102"/>
      <c r="BL5" s="57"/>
    </row>
    <row r="6" spans="1:72" ht="25.95" customHeight="1" thickBot="1" x14ac:dyDescent="0.3">
      <c r="A6" s="839" t="s">
        <v>164</v>
      </c>
      <c r="B6" s="839"/>
      <c r="C6" s="839" t="s">
        <v>165</v>
      </c>
      <c r="D6" s="839"/>
      <c r="E6" s="189" t="s">
        <v>166</v>
      </c>
      <c r="F6" s="230"/>
      <c r="G6" s="825" t="s">
        <v>148</v>
      </c>
      <c r="H6" s="825" t="s">
        <v>187</v>
      </c>
      <c r="I6" s="825" t="s">
        <v>188</v>
      </c>
      <c r="J6" s="825" t="s">
        <v>189</v>
      </c>
      <c r="K6" s="825" t="s">
        <v>190</v>
      </c>
      <c r="L6" s="825" t="s">
        <v>191</v>
      </c>
      <c r="M6" s="825" t="s">
        <v>192</v>
      </c>
      <c r="N6" s="238"/>
      <c r="O6" s="238"/>
      <c r="P6" s="238"/>
      <c r="Q6" s="825" t="s">
        <v>195</v>
      </c>
      <c r="R6" s="238"/>
      <c r="S6" s="825" t="s">
        <v>193</v>
      </c>
      <c r="T6" s="825" t="s">
        <v>289</v>
      </c>
      <c r="U6" s="195"/>
      <c r="V6" s="49"/>
      <c r="W6" s="15">
        <v>0.17899999999999999</v>
      </c>
      <c r="X6" s="15">
        <f t="shared" si="0"/>
        <v>0.159</v>
      </c>
      <c r="Y6" s="15">
        <f t="shared" si="0"/>
        <v>0.159</v>
      </c>
      <c r="Z6" s="15">
        <f t="shared" si="0"/>
        <v>0.159</v>
      </c>
      <c r="AA6" s="15">
        <f t="shared" si="0"/>
        <v>0.159</v>
      </c>
      <c r="AB6" s="15"/>
      <c r="AC6" s="63" t="s">
        <v>74</v>
      </c>
      <c r="AD6" s="147"/>
      <c r="AE6" s="147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972" t="s">
        <v>148</v>
      </c>
      <c r="AQ6" s="972" t="s">
        <v>187</v>
      </c>
      <c r="AR6" s="972" t="s">
        <v>188</v>
      </c>
      <c r="AS6" s="267"/>
      <c r="AT6" s="972" t="s">
        <v>194</v>
      </c>
      <c r="AU6" s="972" t="s">
        <v>191</v>
      </c>
      <c r="AV6" s="972" t="s">
        <v>192</v>
      </c>
      <c r="AW6" s="267"/>
      <c r="AX6" s="267"/>
      <c r="AY6" s="267"/>
      <c r="AZ6" s="267"/>
      <c r="BA6" s="267"/>
      <c r="BB6" s="267"/>
      <c r="BC6" s="267"/>
      <c r="BD6" s="267"/>
      <c r="BE6" s="267"/>
      <c r="BF6" s="267"/>
      <c r="BG6" s="972" t="s">
        <v>193</v>
      </c>
      <c r="BH6" s="103"/>
      <c r="BI6" s="102"/>
      <c r="BJ6" s="117"/>
      <c r="BK6" s="102"/>
      <c r="BL6" s="57"/>
      <c r="BN6" s="827" t="s">
        <v>95</v>
      </c>
      <c r="BO6" s="827"/>
      <c r="BP6" s="827"/>
      <c r="BQ6" s="827"/>
      <c r="BR6" s="827"/>
      <c r="BS6" s="827"/>
      <c r="BT6" s="827"/>
    </row>
    <row r="7" spans="1:72" ht="28.95" customHeight="1" x14ac:dyDescent="0.6">
      <c r="A7" s="841" t="s">
        <v>200</v>
      </c>
      <c r="B7" s="841"/>
      <c r="C7" s="862">
        <v>500000</v>
      </c>
      <c r="D7" s="862"/>
      <c r="E7" s="219"/>
      <c r="F7" s="231"/>
      <c r="G7" s="825"/>
      <c r="H7" s="825"/>
      <c r="I7" s="825"/>
      <c r="J7" s="825"/>
      <c r="K7" s="825"/>
      <c r="L7" s="825"/>
      <c r="M7" s="825"/>
      <c r="N7" s="237" t="s">
        <v>36</v>
      </c>
      <c r="O7" s="237" t="s">
        <v>39</v>
      </c>
      <c r="P7" s="237" t="s">
        <v>38</v>
      </c>
      <c r="Q7" s="825"/>
      <c r="R7" s="326" t="s">
        <v>40</v>
      </c>
      <c r="S7" s="825"/>
      <c r="T7" s="825"/>
      <c r="U7" s="196" t="s">
        <v>32</v>
      </c>
      <c r="V7" s="150" t="s">
        <v>31</v>
      </c>
      <c r="W7" s="15">
        <v>0.19900000000000001</v>
      </c>
      <c r="X7" s="15">
        <f t="shared" si="0"/>
        <v>0.17900000000000002</v>
      </c>
      <c r="Y7" s="15">
        <f t="shared" si="0"/>
        <v>0.17900000000000002</v>
      </c>
      <c r="Z7" s="15">
        <f t="shared" si="0"/>
        <v>0.17900000000000002</v>
      </c>
      <c r="AA7" s="15">
        <f t="shared" si="0"/>
        <v>0.17900000000000002</v>
      </c>
      <c r="AB7" s="15"/>
      <c r="AC7" s="101"/>
      <c r="AD7" s="147"/>
      <c r="AE7" s="147"/>
      <c r="AF7" s="101"/>
      <c r="AG7" s="101"/>
      <c r="AH7" s="101"/>
      <c r="AI7" s="101"/>
      <c r="AJ7" s="101"/>
      <c r="AK7" s="101"/>
      <c r="AL7" s="101"/>
      <c r="AM7" s="101"/>
      <c r="AN7" s="101"/>
      <c r="AO7" s="151">
        <f>SUM(AO9:AO108)</f>
        <v>57</v>
      </c>
      <c r="AP7" s="972"/>
      <c r="AQ7" s="972"/>
      <c r="AR7" s="972"/>
      <c r="AS7" s="461" t="s">
        <v>156</v>
      </c>
      <c r="AT7" s="972"/>
      <c r="AU7" s="972"/>
      <c r="AV7" s="972"/>
      <c r="AW7" s="461" t="s">
        <v>36</v>
      </c>
      <c r="AX7" s="461" t="s">
        <v>39</v>
      </c>
      <c r="AY7" s="461" t="s">
        <v>38</v>
      </c>
      <c r="AZ7" s="461" t="s">
        <v>158</v>
      </c>
      <c r="BA7" s="461" t="s">
        <v>40</v>
      </c>
      <c r="BB7" s="461"/>
      <c r="BC7" s="461"/>
      <c r="BD7" s="461"/>
      <c r="BE7" s="461"/>
      <c r="BF7" s="461"/>
      <c r="BG7" s="972"/>
      <c r="BH7" s="163" t="s">
        <v>32</v>
      </c>
      <c r="BI7" s="104" t="s">
        <v>31</v>
      </c>
      <c r="BJ7" s="153">
        <f>BJ8</f>
        <v>44285</v>
      </c>
      <c r="BK7" s="108">
        <f>K8</f>
        <v>-593750</v>
      </c>
      <c r="BL7" s="61"/>
      <c r="BN7" s="830" t="s">
        <v>84</v>
      </c>
      <c r="BO7" s="828" t="s">
        <v>85</v>
      </c>
      <c r="BP7" s="127" t="s">
        <v>86</v>
      </c>
      <c r="BQ7" s="124" t="s">
        <v>88</v>
      </c>
      <c r="BR7" s="834" t="s">
        <v>9</v>
      </c>
      <c r="BS7" s="836" t="s">
        <v>89</v>
      </c>
      <c r="BT7" s="832">
        <v>1</v>
      </c>
    </row>
    <row r="8" spans="1:72" ht="18" customHeight="1" thickBot="1" x14ac:dyDescent="0.65">
      <c r="A8" s="841" t="s">
        <v>276</v>
      </c>
      <c r="B8" s="841"/>
      <c r="C8" s="193" t="s">
        <v>111</v>
      </c>
      <c r="D8" s="215" t="str">
        <f>C8</f>
        <v>Максимум</v>
      </c>
      <c r="E8" s="219"/>
      <c r="F8" s="231"/>
      <c r="G8" s="253"/>
      <c r="H8" s="240">
        <f>C9</f>
        <v>44285</v>
      </c>
      <c r="I8" s="240"/>
      <c r="J8" s="240"/>
      <c r="K8" s="241">
        <f>-C23</f>
        <v>-593750</v>
      </c>
      <c r="L8" s="242"/>
      <c r="M8" s="243"/>
      <c r="N8" s="243"/>
      <c r="O8" s="243"/>
      <c r="P8" s="243"/>
      <c r="Q8" s="243"/>
      <c r="R8" s="243"/>
      <c r="S8" s="239">
        <f>C23</f>
        <v>593750</v>
      </c>
      <c r="T8" s="466"/>
      <c r="U8" s="197"/>
      <c r="V8" s="36"/>
      <c r="W8" s="15"/>
      <c r="X8" s="15"/>
      <c r="Y8" s="15"/>
      <c r="Z8" s="15"/>
      <c r="AA8" s="15"/>
      <c r="AB8" s="15"/>
      <c r="AC8" s="15"/>
      <c r="AD8" s="147">
        <f>IF(OR($C$8="Гарантия стандарт",$C$8="Гарантия пакет"),AB4,W4)</f>
        <v>0.159</v>
      </c>
      <c r="AE8" s="147">
        <f>IF(OR($D$8="Гарантия стандарт",$D$8="Гарантия пакет"),AB4,W4)</f>
        <v>0.159</v>
      </c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255"/>
      <c r="AQ8" s="256">
        <f>C9</f>
        <v>44285</v>
      </c>
      <c r="AR8" s="256"/>
      <c r="AS8" s="256"/>
      <c r="AT8" s="257">
        <f>-D23</f>
        <v>-593750</v>
      </c>
      <c r="AU8" s="258"/>
      <c r="AV8" s="259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60">
        <f>D23</f>
        <v>593750</v>
      </c>
      <c r="BH8" s="106"/>
      <c r="BI8" s="108"/>
      <c r="BJ8" s="22">
        <f>H8</f>
        <v>44285</v>
      </c>
      <c r="BK8" s="104">
        <f>$C$25</f>
        <v>93750</v>
      </c>
      <c r="BN8" s="831"/>
      <c r="BO8" s="829"/>
      <c r="BP8" s="125" t="s">
        <v>87</v>
      </c>
      <c r="BQ8" s="126" t="s">
        <v>88</v>
      </c>
      <c r="BR8" s="835"/>
      <c r="BS8" s="837"/>
      <c r="BT8" s="833"/>
    </row>
    <row r="9" spans="1:72" ht="16.95" customHeight="1" thickBot="1" x14ac:dyDescent="0.3">
      <c r="A9" s="841" t="s">
        <v>199</v>
      </c>
      <c r="B9" s="841"/>
      <c r="C9" s="842">
        <v>44285</v>
      </c>
      <c r="D9" s="842"/>
      <c r="E9" s="219"/>
      <c r="F9" s="231"/>
      <c r="G9" s="244">
        <f>1</f>
        <v>1</v>
      </c>
      <c r="H9" s="245">
        <f t="shared" ref="H9:H72" si="1">IF((OR(DAY($AD$54)=29,DAY($AD$54)=30,DAY($AD$54)=31)),(EDATE($C$9-3,G9)),(IF((OR(DAY($AD$54)=1,DAY($AD$54)=2,DAY($AD$54)=3)),(EDATE($C$9,G9)+3),EDATE($C$9,G9))))</f>
        <v>44313</v>
      </c>
      <c r="I9" s="246">
        <f>IF(AND($W$9=1,G9&gt;=$W$9,G9&lt;=$W$9+5),0%,$C$13)</f>
        <v>0</v>
      </c>
      <c r="J9" s="247">
        <f>K9+Q9</f>
        <v>7000</v>
      </c>
      <c r="K9" s="242">
        <f>IF(AND($W$9=1,G9&gt;=$W$9,G9&lt;=$W$9+5),$W$10,IF(AND(S8+N9+L9&gt;K8,K8&lt;&gt;0),$C$24,IF(S8=0,0,S8+N9+L9+L10)))</f>
        <v>0</v>
      </c>
      <c r="L9" s="242">
        <f>IF(AND($W$9=1,G9&gt;=$W$9,G9&lt;=$W$9+5),0,IF($C$9&gt;$AF$51,ROUND(S8*I9*((H9-DATE(YEAR(H9),MONTH(H9),1)+1)/(DATE(YEAR(H9)+1,1,1)-DATE(YEAR(H9),1,1))+(EOMONTH(H8,0)-H8)/(DATE(YEAR(H8)+1,1,1)-DATE(YEAR(H8),1,1))),2),0))</f>
        <v>0</v>
      </c>
      <c r="M9" s="242">
        <f>IF(S8=0,0,IF(S8+N9+L9&gt;K8,K9-L9-N9,S8))</f>
        <v>0</v>
      </c>
      <c r="N9" s="242">
        <f t="shared" ref="N9:N40" si="2">IF(P9-Q9&gt;$C$24,$C$24-L9,IF(V9=0,0,R9)+$AI$51)</f>
        <v>0</v>
      </c>
      <c r="O9" s="242">
        <v>0</v>
      </c>
      <c r="P9" s="242">
        <f>L9+Q9</f>
        <v>7000</v>
      </c>
      <c r="Q9" s="242">
        <f>IF(OR($C$8="Нет",$C$16="Нет"),0,IF($C$17="Серебряный",3600,IF($C$17="Золотой",5000,IF($C$17="Платиновый",7000,""))))</f>
        <v>7000</v>
      </c>
      <c r="R9" s="242">
        <f>IF(V9=0,0,0)</f>
        <v>0</v>
      </c>
      <c r="S9" s="242">
        <f>S8-M9-T9</f>
        <v>593750</v>
      </c>
      <c r="T9" s="467"/>
      <c r="U9" s="198">
        <f>C10</f>
        <v>60</v>
      </c>
      <c r="V9" s="36">
        <f>U9</f>
        <v>60</v>
      </c>
      <c r="W9" s="130">
        <f>IF($C$8="Нет",0,1)</f>
        <v>1</v>
      </c>
      <c r="X9" s="15"/>
      <c r="Y9" s="15"/>
      <c r="Z9" s="15"/>
      <c r="AA9" s="15"/>
      <c r="AB9" s="15"/>
      <c r="AC9" s="132"/>
      <c r="AD9" s="147">
        <f>IF(OR($C$8="Гарантия стандарт",$C$8="Гарантия пакет"),AB5,W5)</f>
        <v>0.17499999999999999</v>
      </c>
      <c r="AE9" s="147">
        <f>IF(OR($D$8="Гарантия стандарт",$D$8="Гарантия пакет"),AB5,W5)</f>
        <v>0.17499999999999999</v>
      </c>
      <c r="AF9" s="15"/>
      <c r="AG9" s="15"/>
      <c r="AH9" s="15"/>
      <c r="AI9" s="15"/>
      <c r="AJ9" s="15"/>
      <c r="AK9" s="15"/>
      <c r="AL9" s="15"/>
      <c r="AM9" s="15"/>
      <c r="AN9" s="15"/>
      <c r="AO9" s="130">
        <f>IF(OR(AT9="",AT9=0),0,1)</f>
        <v>1</v>
      </c>
      <c r="AP9" s="261">
        <f>1</f>
        <v>1</v>
      </c>
      <c r="AQ9" s="262">
        <f t="shared" ref="AQ9:AQ72" si="3">IF((OR(DAY($AD$54)=29,DAY($AD$54)=30,DAY($AD$54)=31)),(EDATE($C$9-3,AP9)),(IF((OR(DAY($AD$54)=1,DAY($AD$54)=2,DAY($AD$54)=3)),(EDATE($C$9,AP9)+3),EDATE($C$9,AP9))))</f>
        <v>44313</v>
      </c>
      <c r="AR9" s="263">
        <f t="shared" ref="AR9:AR20" si="4">$D$13</f>
        <v>0.155</v>
      </c>
      <c r="AS9" s="258">
        <f>AT9+AZ9</f>
        <v>14930</v>
      </c>
      <c r="AT9" s="258">
        <f>IF(AND(BG8+AW9+AU9&gt;AT8,AT8&lt;&gt;0),IF($D$16="Да",$AL$36,$D$24),IF(BG8=0,0,BG8+AW9+AU9+AU10))</f>
        <v>14930</v>
      </c>
      <c r="AU9" s="258">
        <f>IF($C$9&gt;$AF$51,ROUND(BG8*AR9*((AQ9-DATE(YEAR(AQ9),MONTH(AQ9),1)+1)/(DATE(YEAR(AQ9)+1,1,1)-DATE(YEAR(AQ9),1,1))+(EOMONTH(AQ8,0)-AQ8)/(DATE(YEAR(AQ8)+1,1,1)-DATE(YEAR(AQ8),1,1))),2),0)</f>
        <v>7059.93</v>
      </c>
      <c r="AV9" s="258">
        <f>IF(BI9=0,0,IF(BI9=1,BG8,IF(BG8+AW9+AU9&gt;AT8,AT9-AU9-AW9,BG8)))</f>
        <v>7870.07</v>
      </c>
      <c r="AW9" s="258">
        <f t="shared" ref="AW9:AW40" si="5">IF(AY9-AZ9&gt;$D$24,$D$24-AU9,IF(BI9=0,0,BA9)+BX57)</f>
        <v>0</v>
      </c>
      <c r="AX9" s="258"/>
      <c r="AY9" s="258">
        <f>AU9+AZ9</f>
        <v>7059.93</v>
      </c>
      <c r="AZ9" s="258">
        <f t="shared" ref="AZ9:AZ20" si="6">IF($D$16="Нет",0,IF($D$17="Серебряный",1800,IF($D$17="Золотой",2500,IF($D$17="Платиновый",3500,""))))</f>
        <v>0</v>
      </c>
      <c r="BA9" s="258">
        <f>IF(BI9=0,0,0)</f>
        <v>0</v>
      </c>
      <c r="BB9" s="258"/>
      <c r="BC9" s="258"/>
      <c r="BD9" s="258"/>
      <c r="BE9" s="258"/>
      <c r="BF9" s="258"/>
      <c r="BG9" s="258">
        <f>IF(OR(BI9=1,BG8=0),0,BG8-AV9)</f>
        <v>585879.93000000005</v>
      </c>
      <c r="BH9" s="108">
        <f>C10</f>
        <v>60</v>
      </c>
      <c r="BI9" s="108">
        <f>BH9</f>
        <v>60</v>
      </c>
      <c r="BJ9" s="22">
        <f>H9</f>
        <v>44313</v>
      </c>
      <c r="BK9" s="108">
        <f t="shared" ref="BK9:BK72" si="7">K9</f>
        <v>0</v>
      </c>
    </row>
    <row r="10" spans="1:72" ht="18" customHeight="1" x14ac:dyDescent="0.25">
      <c r="A10" s="846" t="s">
        <v>198</v>
      </c>
      <c r="B10" s="846"/>
      <c r="C10" s="840">
        <v>60</v>
      </c>
      <c r="D10" s="840"/>
      <c r="E10" s="219"/>
      <c r="F10" s="231"/>
      <c r="G10" s="244">
        <f>G9+1</f>
        <v>2</v>
      </c>
      <c r="H10" s="245">
        <f t="shared" si="1"/>
        <v>44343</v>
      </c>
      <c r="I10" s="246">
        <f t="shared" ref="I10:I14" si="8">IF(AND($W$9=1,G10&gt;=$W$9,G10&lt;=$W$9+5),0%,$C$13)</f>
        <v>0</v>
      </c>
      <c r="J10" s="247">
        <f t="shared" ref="J10:J73" si="9">K10+Q10</f>
        <v>7000</v>
      </c>
      <c r="K10" s="242">
        <f t="shared" ref="K10:K14" si="10">IF(AND($W$9=1,G10&gt;=$W$9,G10&lt;=$W$9+5),$W$10,IF(AND(S9+N10+L10&gt;K9,K9&lt;&gt;0),$C$24,IF(S9=0,0,S9+N10+L10+L11)))</f>
        <v>0</v>
      </c>
      <c r="L10" s="242">
        <f t="shared" ref="L10:L14" si="11">IF(AND($W$9=1,G10&gt;=$W$9,G10&lt;=$W$9+5),0,IF($C$9&gt;$AF$51,ROUND(S9*I10*((H10-DATE(YEAR(H10),MONTH(H10),1)+1)/(DATE(YEAR(H10)+1,1,1)-DATE(YEAR(H10),1,1))+(EOMONTH(H9,0)-H9)/(DATE(YEAR(H9)+1,1,1)-DATE(YEAR(H9),1,1))),2),0))</f>
        <v>0</v>
      </c>
      <c r="M10" s="242">
        <f t="shared" ref="M10:M73" si="12">IF(S9=0,0,IF(S9+N10+L10&gt;K9,K10-L10-N10,S9))</f>
        <v>0</v>
      </c>
      <c r="N10" s="242">
        <f t="shared" si="2"/>
        <v>0</v>
      </c>
      <c r="O10" s="242">
        <v>0</v>
      </c>
      <c r="P10" s="242">
        <f>L10+Q10</f>
        <v>7000</v>
      </c>
      <c r="Q10" s="242">
        <f t="shared" ref="Q10:Q14" si="13">IF(OR($C$8="Нет",$C$16="Нет"),0,IF($C$17="Серебряный",3600,IF($C$17="Золотой",5000,IF($C$17="Платиновый",7000,""))))</f>
        <v>7000</v>
      </c>
      <c r="R10" s="242">
        <f t="shared" ref="R10:R73" si="14">IF(V10=0,0,0)</f>
        <v>0</v>
      </c>
      <c r="S10" s="242">
        <f t="shared" ref="S10:S73" si="15">S9-M10-T10</f>
        <v>593750</v>
      </c>
      <c r="T10" s="467"/>
      <c r="U10" s="198">
        <f>IF((U9-1)&lt;0,0,U9-1)</f>
        <v>59</v>
      </c>
      <c r="V10" s="36">
        <f t="shared" ref="V10:V73" si="16">U10</f>
        <v>59</v>
      </c>
      <c r="W10" s="54">
        <f>ROUND(S8*0%,-2)</f>
        <v>0</v>
      </c>
      <c r="X10" s="54">
        <f>ROUND(S8*0.5%,0)</f>
        <v>2969</v>
      </c>
      <c r="Y10" s="15"/>
      <c r="Z10" s="15"/>
      <c r="AA10" s="15"/>
      <c r="AB10" s="15"/>
      <c r="AC10" s="15"/>
      <c r="AD10" s="147">
        <f>IF(OR($C$8="Гарантия стандарт",$C$8="Гарантия пакет"),AB6,W6)</f>
        <v>0.17899999999999999</v>
      </c>
      <c r="AE10" s="147">
        <f>IF(OR($D$8="Гарантия стандарт",$D$8="Гарантия пакет"),AB6,W6)</f>
        <v>0.17899999999999999</v>
      </c>
      <c r="AF10" s="15"/>
      <c r="AG10" s="15"/>
      <c r="AH10" s="15"/>
      <c r="AI10" s="15"/>
      <c r="AJ10" s="15"/>
      <c r="AK10" s="15"/>
      <c r="AL10" s="15"/>
      <c r="AM10" s="15"/>
      <c r="AN10" s="15"/>
      <c r="AO10" s="130">
        <f t="shared" ref="AO10:AO73" si="17">IF(OR(AT10="",AT10=0),0,1)</f>
        <v>1</v>
      </c>
      <c r="AP10" s="261">
        <f>AP9+1</f>
        <v>2</v>
      </c>
      <c r="AQ10" s="262">
        <f t="shared" si="3"/>
        <v>44343</v>
      </c>
      <c r="AR10" s="263">
        <f t="shared" si="4"/>
        <v>0.155</v>
      </c>
      <c r="AS10" s="258">
        <f t="shared" ref="AS10:AS73" si="18">AT10+AZ10</f>
        <v>14930</v>
      </c>
      <c r="AT10" s="258">
        <f t="shared" ref="AT10:AT73" si="19">IF(AND(BG9+AW10+AU10&gt;AT9,AT9&lt;&gt;0),IF($D$16="Да",$AL$36,$D$24),IF(BG9=0,0,BG9+AW10+AU10+AU11))</f>
        <v>14930</v>
      </c>
      <c r="AU10" s="258">
        <f t="shared" ref="AU10:AU73" si="20">IF($C$9&gt;$AF$51,ROUND(BG9*AR10*((AQ10-DATE(YEAR(AQ10),MONTH(AQ10),1)+1)/(DATE(YEAR(AQ10)+1,1,1)-DATE(YEAR(AQ10),1,1))+(EOMONTH(AQ9,0)-AQ9)/(DATE(YEAR(AQ9)+1,1,1)-DATE(YEAR(AQ9),1,1))),2),0)</f>
        <v>7463.95</v>
      </c>
      <c r="AV10" s="258">
        <f t="shared" ref="AV10:AV73" si="21">IF(BI10=0,0,IF(BI10=1,BG9,IF(BG9+AW10+AU10&gt;AT9,AT10-AU10-AW10,BG9)))</f>
        <v>7466.05</v>
      </c>
      <c r="AW10" s="258">
        <f t="shared" si="5"/>
        <v>0</v>
      </c>
      <c r="AX10" s="258">
        <v>0</v>
      </c>
      <c r="AY10" s="258">
        <f t="shared" ref="AY10:AY85" si="22">AU10+AZ10</f>
        <v>7463.95</v>
      </c>
      <c r="AZ10" s="258">
        <f t="shared" si="6"/>
        <v>0</v>
      </c>
      <c r="BA10" s="258">
        <f t="shared" ref="BA10:BA18" si="23">IF(BI10=0,0,0)</f>
        <v>0</v>
      </c>
      <c r="BB10" s="258"/>
      <c r="BC10" s="258"/>
      <c r="BD10" s="258"/>
      <c r="BE10" s="258"/>
      <c r="BF10" s="258"/>
      <c r="BG10" s="258">
        <f t="shared" ref="BG10:BG73" si="24">IF(OR(BI10=1,BG9=0),0,BG9-AV10)</f>
        <v>578413.88</v>
      </c>
      <c r="BH10" s="108">
        <f>IF((BH9-1)&lt;0,0,BH9-1)</f>
        <v>59</v>
      </c>
      <c r="BI10" s="108">
        <f>BH10</f>
        <v>59</v>
      </c>
      <c r="BJ10" s="22">
        <f>H10</f>
        <v>44343</v>
      </c>
      <c r="BK10" s="108">
        <f t="shared" si="7"/>
        <v>0</v>
      </c>
      <c r="BN10" s="830" t="s">
        <v>90</v>
      </c>
      <c r="BO10" s="828" t="s">
        <v>85</v>
      </c>
      <c r="BP10" s="129" t="s">
        <v>84</v>
      </c>
    </row>
    <row r="11" spans="1:72" ht="18" customHeight="1" thickBot="1" x14ac:dyDescent="0.3">
      <c r="A11" s="882" t="s">
        <v>172</v>
      </c>
      <c r="B11" s="882"/>
      <c r="C11" s="220">
        <v>0.17499999999999999</v>
      </c>
      <c r="D11" s="217">
        <f>C11</f>
        <v>0.17499999999999999</v>
      </c>
      <c r="E11" s="214"/>
      <c r="F11" s="232"/>
      <c r="G11" s="244">
        <f>G10+1</f>
        <v>3</v>
      </c>
      <c r="H11" s="245">
        <f t="shared" si="1"/>
        <v>44374</v>
      </c>
      <c r="I11" s="246">
        <f t="shared" si="8"/>
        <v>0</v>
      </c>
      <c r="J11" s="247">
        <f t="shared" si="9"/>
        <v>7000</v>
      </c>
      <c r="K11" s="242">
        <f t="shared" si="10"/>
        <v>0</v>
      </c>
      <c r="L11" s="242">
        <f t="shared" si="11"/>
        <v>0</v>
      </c>
      <c r="M11" s="242">
        <f t="shared" si="12"/>
        <v>0</v>
      </c>
      <c r="N11" s="242">
        <f t="shared" si="2"/>
        <v>0</v>
      </c>
      <c r="O11" s="242">
        <v>0</v>
      </c>
      <c r="P11" s="242">
        <f t="shared" ref="P11:P85" si="25">L11+Q11</f>
        <v>7000</v>
      </c>
      <c r="Q11" s="242">
        <f t="shared" si="13"/>
        <v>7000</v>
      </c>
      <c r="R11" s="242">
        <f t="shared" si="14"/>
        <v>0</v>
      </c>
      <c r="S11" s="242">
        <f t="shared" si="15"/>
        <v>593750</v>
      </c>
      <c r="T11" s="467"/>
      <c r="U11" s="198">
        <f>IF((U10-1)&lt;0,0,U10-1)</f>
        <v>58</v>
      </c>
      <c r="V11" s="36">
        <f t="shared" si="16"/>
        <v>58</v>
      </c>
      <c r="W11" s="15"/>
      <c r="X11" s="15"/>
      <c r="Y11" s="15"/>
      <c r="Z11" s="15"/>
      <c r="AA11" s="15"/>
      <c r="AB11" s="15"/>
      <c r="AC11" s="15"/>
      <c r="AD11" s="147"/>
      <c r="AE11" s="147"/>
      <c r="AF11" s="15"/>
      <c r="AG11" s="15"/>
      <c r="AH11" s="15"/>
      <c r="AI11" s="15"/>
      <c r="AJ11" s="15"/>
      <c r="AK11" s="15"/>
      <c r="AL11" s="15"/>
      <c r="AM11" s="3"/>
      <c r="AN11" s="175"/>
      <c r="AO11" s="130">
        <f t="shared" si="17"/>
        <v>1</v>
      </c>
      <c r="AP11" s="261">
        <f>AP10+1</f>
        <v>3</v>
      </c>
      <c r="AQ11" s="262">
        <f t="shared" si="3"/>
        <v>44374</v>
      </c>
      <c r="AR11" s="263">
        <f t="shared" si="4"/>
        <v>0.155</v>
      </c>
      <c r="AS11" s="258">
        <f t="shared" si="18"/>
        <v>14930</v>
      </c>
      <c r="AT11" s="258">
        <f t="shared" si="19"/>
        <v>14930</v>
      </c>
      <c r="AU11" s="258">
        <f t="shared" si="20"/>
        <v>7614.46</v>
      </c>
      <c r="AV11" s="258">
        <f>IF(BI11=0,0,IF(BI11=1,BG10,IF(BG10+AW11+AU11&gt;AT10,AT11-AU11-AW11,BG10)))</f>
        <v>7315.54</v>
      </c>
      <c r="AW11" s="258">
        <f t="shared" si="5"/>
        <v>0</v>
      </c>
      <c r="AX11" s="258">
        <v>0</v>
      </c>
      <c r="AY11" s="258">
        <f t="shared" si="22"/>
        <v>7614.46</v>
      </c>
      <c r="AZ11" s="258">
        <f t="shared" si="6"/>
        <v>0</v>
      </c>
      <c r="BA11" s="258">
        <f t="shared" si="23"/>
        <v>0</v>
      </c>
      <c r="BB11" s="258"/>
      <c r="BC11" s="258"/>
      <c r="BD11" s="258"/>
      <c r="BE11" s="258"/>
      <c r="BF11" s="258"/>
      <c r="BG11" s="258">
        <f>IF(OR(BI11=1,BG10=0),0,BG10-AV11)</f>
        <v>571098.34</v>
      </c>
      <c r="BH11" s="108">
        <f>IF((BH10-1)&lt;0,0,BH10-1)</f>
        <v>58</v>
      </c>
      <c r="BI11" s="108">
        <f t="shared" ref="BI11:BI74" si="26">BH11</f>
        <v>58</v>
      </c>
      <c r="BJ11" s="22">
        <f t="shared" ref="BJ11:BJ74" si="27">H11</f>
        <v>44374</v>
      </c>
      <c r="BK11" s="108">
        <f t="shared" si="7"/>
        <v>0</v>
      </c>
      <c r="BN11" s="831"/>
      <c r="BO11" s="829"/>
      <c r="BP11" s="128" t="s">
        <v>91</v>
      </c>
    </row>
    <row r="12" spans="1:72" ht="18" customHeight="1" thickBot="1" x14ac:dyDescent="0.3">
      <c r="A12" s="882" t="s">
        <v>173</v>
      </c>
      <c r="B12" s="882"/>
      <c r="C12" s="221" t="s">
        <v>72</v>
      </c>
      <c r="D12" s="218" t="str">
        <f>C12</f>
        <v>Зарплатный</v>
      </c>
      <c r="E12" s="214"/>
      <c r="F12" s="232"/>
      <c r="G12" s="244">
        <f t="shared" ref="G12:G75" si="28">G11+1</f>
        <v>4</v>
      </c>
      <c r="H12" s="245">
        <f t="shared" si="1"/>
        <v>44404</v>
      </c>
      <c r="I12" s="246">
        <f t="shared" si="8"/>
        <v>0</v>
      </c>
      <c r="J12" s="247">
        <f t="shared" si="9"/>
        <v>7000</v>
      </c>
      <c r="K12" s="242">
        <f t="shared" si="10"/>
        <v>0</v>
      </c>
      <c r="L12" s="242">
        <f t="shared" si="11"/>
        <v>0</v>
      </c>
      <c r="M12" s="242">
        <f t="shared" si="12"/>
        <v>0</v>
      </c>
      <c r="N12" s="242">
        <f t="shared" si="2"/>
        <v>0</v>
      </c>
      <c r="O12" s="242">
        <v>0</v>
      </c>
      <c r="P12" s="242">
        <f t="shared" si="25"/>
        <v>7000</v>
      </c>
      <c r="Q12" s="242">
        <f t="shared" si="13"/>
        <v>7000</v>
      </c>
      <c r="R12" s="242">
        <f t="shared" si="14"/>
        <v>0</v>
      </c>
      <c r="S12" s="242">
        <f t="shared" si="15"/>
        <v>593750</v>
      </c>
      <c r="T12" s="467"/>
      <c r="U12" s="198">
        <f t="shared" ref="U12:U75" si="29">IF((U11-1)&lt;0,0,U11-1)</f>
        <v>57</v>
      </c>
      <c r="V12" s="36">
        <f t="shared" si="16"/>
        <v>57</v>
      </c>
      <c r="W12" s="15"/>
      <c r="X12" s="15"/>
      <c r="Y12" s="15"/>
      <c r="Z12" s="15"/>
      <c r="AA12" s="15"/>
      <c r="AB12" s="15"/>
      <c r="AC12" s="15"/>
      <c r="AD12" s="147">
        <f>IF(OR($C$8="Гарантия стандарт",$C$8="Гарантия пакет"),AB8,W7)</f>
        <v>0.19900000000000001</v>
      </c>
      <c r="AE12" s="147">
        <f>IF(OR($D$8="Гарантия стандарт",$D$8="Гарантия пакет"),AB8,W7)</f>
        <v>0.19900000000000001</v>
      </c>
      <c r="AF12" s="15"/>
      <c r="AG12" s="15"/>
      <c r="AH12" s="15"/>
      <c r="AI12" s="15"/>
      <c r="AJ12" s="15"/>
      <c r="AK12" s="15"/>
      <c r="AL12" s="15"/>
      <c r="AN12" s="57"/>
      <c r="AO12" s="130">
        <f t="shared" si="17"/>
        <v>1</v>
      </c>
      <c r="AP12" s="261">
        <f t="shared" ref="AP12:AP75" si="30">AP11+1</f>
        <v>4</v>
      </c>
      <c r="AQ12" s="262">
        <f t="shared" si="3"/>
        <v>44404</v>
      </c>
      <c r="AR12" s="263">
        <f t="shared" si="4"/>
        <v>0.155</v>
      </c>
      <c r="AS12" s="258">
        <f t="shared" si="18"/>
        <v>14930</v>
      </c>
      <c r="AT12" s="258">
        <f t="shared" si="19"/>
        <v>14930</v>
      </c>
      <c r="AU12" s="258">
        <f t="shared" si="20"/>
        <v>7275.64</v>
      </c>
      <c r="AV12" s="258">
        <f t="shared" si="21"/>
        <v>7654.36</v>
      </c>
      <c r="AW12" s="258">
        <f t="shared" si="5"/>
        <v>0</v>
      </c>
      <c r="AX12" s="258">
        <v>0</v>
      </c>
      <c r="AY12" s="258">
        <f t="shared" si="22"/>
        <v>7275.64</v>
      </c>
      <c r="AZ12" s="258">
        <f t="shared" si="6"/>
        <v>0</v>
      </c>
      <c r="BA12" s="258">
        <f t="shared" si="23"/>
        <v>0</v>
      </c>
      <c r="BB12" s="258"/>
      <c r="BC12" s="258"/>
      <c r="BD12" s="258"/>
      <c r="BE12" s="258"/>
      <c r="BF12" s="258"/>
      <c r="BG12" s="258">
        <f t="shared" si="24"/>
        <v>563443.98</v>
      </c>
      <c r="BH12" s="108">
        <f t="shared" ref="BH12:BH75" si="31">IF((BH11-1)&lt;0,0,BH11-1)</f>
        <v>57</v>
      </c>
      <c r="BI12" s="108">
        <f t="shared" si="26"/>
        <v>57</v>
      </c>
      <c r="BJ12" s="22">
        <f t="shared" si="27"/>
        <v>44404</v>
      </c>
      <c r="BK12" s="108">
        <f t="shared" si="7"/>
        <v>0</v>
      </c>
    </row>
    <row r="13" spans="1:72" ht="18" customHeight="1" x14ac:dyDescent="0.25">
      <c r="A13" s="882" t="s">
        <v>171</v>
      </c>
      <c r="B13" s="882"/>
      <c r="C13" s="222">
        <f>IF(OR(C8="Гарантия стандарт",C8="Гарантия пакет",C12="Базовый"),C11,C11-2%)</f>
        <v>0.155</v>
      </c>
      <c r="D13" s="217">
        <f>IF(OR(D8="Гарантия стандарт",D8="Гарантия пакет",D12="Базовый"),D11,D11-2%)</f>
        <v>0.155</v>
      </c>
      <c r="E13" s="214"/>
      <c r="F13" s="232"/>
      <c r="G13" s="244">
        <f t="shared" si="28"/>
        <v>5</v>
      </c>
      <c r="H13" s="245">
        <f t="shared" si="1"/>
        <v>44435</v>
      </c>
      <c r="I13" s="246">
        <f t="shared" si="8"/>
        <v>0</v>
      </c>
      <c r="J13" s="247">
        <f t="shared" si="9"/>
        <v>7000</v>
      </c>
      <c r="K13" s="242">
        <f t="shared" si="10"/>
        <v>0</v>
      </c>
      <c r="L13" s="242">
        <f t="shared" si="11"/>
        <v>0</v>
      </c>
      <c r="M13" s="242">
        <f t="shared" si="12"/>
        <v>0</v>
      </c>
      <c r="N13" s="242">
        <f t="shared" si="2"/>
        <v>0</v>
      </c>
      <c r="O13" s="242">
        <v>0</v>
      </c>
      <c r="P13" s="242">
        <f t="shared" si="25"/>
        <v>7000</v>
      </c>
      <c r="Q13" s="242">
        <f t="shared" si="13"/>
        <v>7000</v>
      </c>
      <c r="R13" s="242">
        <f t="shared" si="14"/>
        <v>0</v>
      </c>
      <c r="S13" s="242">
        <f t="shared" si="15"/>
        <v>593750</v>
      </c>
      <c r="T13" s="467"/>
      <c r="U13" s="198">
        <f>IF((U12-1)&lt;0,0,U12-1)</f>
        <v>56</v>
      </c>
      <c r="V13" s="36">
        <f>U13</f>
        <v>56</v>
      </c>
      <c r="W13" s="15"/>
      <c r="X13" s="15"/>
      <c r="Y13" s="15"/>
      <c r="Z13" s="15"/>
      <c r="AA13" s="15"/>
      <c r="AB13" s="15"/>
      <c r="AC13" s="15"/>
      <c r="AD13" s="62">
        <f>INDEX(AD4:AD12,MATCH(C11,$W$4:$W$7,0))</f>
        <v>0</v>
      </c>
      <c r="AE13" s="62" t="e">
        <f>INDEX(AE4:AE12,MATCH(D13,$W$4:$W$7,0))</f>
        <v>#N/A</v>
      </c>
      <c r="AF13" s="15"/>
      <c r="AG13" s="15"/>
      <c r="AH13" s="15"/>
      <c r="AI13" s="15"/>
      <c r="AJ13" s="15"/>
      <c r="AK13" s="15"/>
      <c r="AL13" s="15"/>
      <c r="AO13" s="130">
        <f t="shared" si="17"/>
        <v>1</v>
      </c>
      <c r="AP13" s="264">
        <f>AP12+1</f>
        <v>5</v>
      </c>
      <c r="AQ13" s="265">
        <f t="shared" si="3"/>
        <v>44435</v>
      </c>
      <c r="AR13" s="263">
        <f t="shared" si="4"/>
        <v>0.155</v>
      </c>
      <c r="AS13" s="258">
        <f t="shared" si="18"/>
        <v>14930</v>
      </c>
      <c r="AT13" s="258">
        <f t="shared" si="19"/>
        <v>14930</v>
      </c>
      <c r="AU13" s="258">
        <f t="shared" si="20"/>
        <v>7417.39</v>
      </c>
      <c r="AV13" s="258">
        <f t="shared" si="21"/>
        <v>7512.61</v>
      </c>
      <c r="AW13" s="258">
        <f t="shared" si="5"/>
        <v>0</v>
      </c>
      <c r="AX13" s="258">
        <v>0</v>
      </c>
      <c r="AY13" s="258">
        <f t="shared" si="22"/>
        <v>7417.39</v>
      </c>
      <c r="AZ13" s="258">
        <f t="shared" si="6"/>
        <v>0</v>
      </c>
      <c r="BA13" s="258">
        <f t="shared" si="23"/>
        <v>0</v>
      </c>
      <c r="BB13" s="258"/>
      <c r="BC13" s="258"/>
      <c r="BD13" s="258"/>
      <c r="BE13" s="258"/>
      <c r="BF13" s="258"/>
      <c r="BG13" s="258">
        <f t="shared" si="24"/>
        <v>555931.37</v>
      </c>
      <c r="BH13" s="108">
        <f t="shared" si="31"/>
        <v>56</v>
      </c>
      <c r="BI13" s="108">
        <f t="shared" si="26"/>
        <v>56</v>
      </c>
      <c r="BJ13" s="22">
        <f t="shared" si="27"/>
        <v>44435</v>
      </c>
      <c r="BK13" s="108">
        <f t="shared" si="7"/>
        <v>0</v>
      </c>
      <c r="BN13" s="830" t="s">
        <v>92</v>
      </c>
      <c r="BO13" s="828" t="s">
        <v>85</v>
      </c>
      <c r="BP13" s="129" t="s">
        <v>90</v>
      </c>
    </row>
    <row r="14" spans="1:72" ht="19.5" customHeight="1" thickBot="1" x14ac:dyDescent="0.3">
      <c r="A14" s="879" t="s">
        <v>168</v>
      </c>
      <c r="B14" s="419" t="s">
        <v>102</v>
      </c>
      <c r="C14" s="397" t="s">
        <v>29</v>
      </c>
      <c r="D14" s="216" t="str">
        <f>C14</f>
        <v>нет</v>
      </c>
      <c r="E14" s="219"/>
      <c r="F14" s="231"/>
      <c r="G14" s="248">
        <f t="shared" si="28"/>
        <v>6</v>
      </c>
      <c r="H14" s="249">
        <f t="shared" si="1"/>
        <v>44466</v>
      </c>
      <c r="I14" s="250">
        <f t="shared" si="8"/>
        <v>0</v>
      </c>
      <c r="J14" s="251">
        <f t="shared" si="9"/>
        <v>7000</v>
      </c>
      <c r="K14" s="252">
        <f t="shared" si="10"/>
        <v>0</v>
      </c>
      <c r="L14" s="252">
        <f t="shared" si="11"/>
        <v>0</v>
      </c>
      <c r="M14" s="252">
        <f t="shared" si="12"/>
        <v>0</v>
      </c>
      <c r="N14" s="252">
        <f t="shared" si="2"/>
        <v>0</v>
      </c>
      <c r="O14" s="252">
        <v>0</v>
      </c>
      <c r="P14" s="252">
        <f t="shared" si="25"/>
        <v>7000</v>
      </c>
      <c r="Q14" s="252">
        <f t="shared" si="13"/>
        <v>7000</v>
      </c>
      <c r="R14" s="252">
        <f t="shared" si="14"/>
        <v>0</v>
      </c>
      <c r="S14" s="252">
        <f t="shared" si="15"/>
        <v>593750</v>
      </c>
      <c r="T14" s="468"/>
      <c r="U14" s="198">
        <f>IF((U13-1)&lt;0,0,U13-1)</f>
        <v>55</v>
      </c>
      <c r="V14" s="36">
        <f t="shared" si="16"/>
        <v>55</v>
      </c>
      <c r="W14" s="84">
        <v>9.9000000000000005E-2</v>
      </c>
      <c r="X14" s="84">
        <v>7.9000000000000001E-2</v>
      </c>
      <c r="Y14" s="84">
        <v>7.9000000000000001E-2</v>
      </c>
      <c r="Z14" s="84">
        <v>7.9000000000000001E-2</v>
      </c>
      <c r="AA14" s="84">
        <v>7.9000000000000001E-2</v>
      </c>
      <c r="AB14" s="15"/>
      <c r="AC14" s="15"/>
      <c r="AE14" s="15">
        <f>IF(OR(D$8="Гарантия стандарт",D$8="Гарантия пакет"),AE13,D13)</f>
        <v>0.155</v>
      </c>
      <c r="AF14" s="15"/>
      <c r="AG14" s="15"/>
      <c r="AH14" s="15"/>
      <c r="AI14" s="15"/>
      <c r="AJ14" s="15"/>
      <c r="AK14" s="15"/>
      <c r="AL14" s="15"/>
      <c r="AN14" s="57"/>
      <c r="AO14" s="130">
        <f t="shared" si="17"/>
        <v>1</v>
      </c>
      <c r="AP14" s="261">
        <f>AP13+1</f>
        <v>6</v>
      </c>
      <c r="AQ14" s="262">
        <f t="shared" si="3"/>
        <v>44466</v>
      </c>
      <c r="AR14" s="263">
        <f t="shared" si="4"/>
        <v>0.155</v>
      </c>
      <c r="AS14" s="258">
        <f t="shared" si="18"/>
        <v>14930</v>
      </c>
      <c r="AT14" s="258">
        <f t="shared" si="19"/>
        <v>14930</v>
      </c>
      <c r="AU14" s="258">
        <f t="shared" si="20"/>
        <v>7318.49</v>
      </c>
      <c r="AV14" s="258">
        <f t="shared" si="21"/>
        <v>7611.51</v>
      </c>
      <c r="AW14" s="258">
        <f t="shared" si="5"/>
        <v>0</v>
      </c>
      <c r="AX14" s="258">
        <v>0</v>
      </c>
      <c r="AY14" s="258">
        <f t="shared" si="22"/>
        <v>7318.49</v>
      </c>
      <c r="AZ14" s="258">
        <f t="shared" si="6"/>
        <v>0</v>
      </c>
      <c r="BA14" s="258">
        <f t="shared" si="23"/>
        <v>0</v>
      </c>
      <c r="BB14" s="258"/>
      <c r="BC14" s="258"/>
      <c r="BD14" s="258"/>
      <c r="BE14" s="258"/>
      <c r="BF14" s="258"/>
      <c r="BG14" s="258">
        <f t="shared" si="24"/>
        <v>548319.86</v>
      </c>
      <c r="BH14" s="108">
        <f t="shared" si="31"/>
        <v>55</v>
      </c>
      <c r="BI14" s="108">
        <f t="shared" si="26"/>
        <v>55</v>
      </c>
      <c r="BJ14" s="22">
        <f t="shared" si="27"/>
        <v>44466</v>
      </c>
      <c r="BK14" s="108">
        <f t="shared" si="7"/>
        <v>0</v>
      </c>
      <c r="BN14" s="831"/>
      <c r="BO14" s="829"/>
      <c r="BP14" s="128" t="s">
        <v>93</v>
      </c>
    </row>
    <row r="15" spans="1:72" ht="20.25" customHeight="1" x14ac:dyDescent="0.25">
      <c r="A15" s="880"/>
      <c r="B15" s="418" t="s">
        <v>182</v>
      </c>
      <c r="C15" s="216" t="str">
        <f>IF(C14="нет","",IF(OR(C8="Гарантия стандарт",C8="Гарантия плюс",C8="Гарантия пакет"),$AG$37,$AB$34))</f>
        <v/>
      </c>
      <c r="D15" s="216" t="str">
        <f>IF(D14="нет","",IF(OR(D8="Гарантия стандарт",D8="Гарантия плюс",D8="Гарантия пакет"),$AG$37,$AB$34))</f>
        <v/>
      </c>
      <c r="E15" s="219"/>
      <c r="F15" s="231"/>
      <c r="G15" s="244">
        <f t="shared" si="28"/>
        <v>7</v>
      </c>
      <c r="H15" s="245">
        <f t="shared" si="1"/>
        <v>44496</v>
      </c>
      <c r="I15" s="246">
        <f>$C$13</f>
        <v>0.155</v>
      </c>
      <c r="J15" s="242">
        <f t="shared" si="9"/>
        <v>14930</v>
      </c>
      <c r="K15" s="242">
        <f>IF(AND(G15&gt;=$W$9,G15&lt;=$W$9+5),$W$10,IF(S14+N15+L15&gt;K14,$C$24,IF(S14=0,0,S14+N15+L15+L16)))</f>
        <v>14930</v>
      </c>
      <c r="L15" s="242">
        <f>IF(AND(G15&gt;=$W$9,G15&lt;=$W$9+5),0,IF($C$9&gt;$AF$51,ROUND(S14*I15*((H15-DATE(YEAR(H15),MONTH(H15),1)+1)/(DATE(YEAR(H15)+1,1,1)-DATE(YEAR(H15),1,1))+(EOMONTH(H14,0)-H14)/(DATE(YEAR(H14)+1,1,1)-DATE(YEAR(H14),1,1))),2),0))</f>
        <v>7564.21</v>
      </c>
      <c r="M15" s="242">
        <f t="shared" si="12"/>
        <v>7365.79</v>
      </c>
      <c r="N15" s="242">
        <f t="shared" si="2"/>
        <v>0</v>
      </c>
      <c r="O15" s="242">
        <v>0</v>
      </c>
      <c r="P15" s="242">
        <f t="shared" si="25"/>
        <v>7564.21</v>
      </c>
      <c r="Q15" s="242">
        <f t="shared" ref="Q15:Q20" si="32">IF(V15=0,0,0)</f>
        <v>0</v>
      </c>
      <c r="R15" s="242">
        <f t="shared" si="14"/>
        <v>0</v>
      </c>
      <c r="S15" s="242">
        <f t="shared" si="15"/>
        <v>586384.21</v>
      </c>
      <c r="T15" s="467"/>
      <c r="U15" s="198">
        <f t="shared" si="29"/>
        <v>54</v>
      </c>
      <c r="V15" s="36">
        <f t="shared" si="16"/>
        <v>54</v>
      </c>
      <c r="W15" s="112">
        <v>0</v>
      </c>
      <c r="X15" s="112">
        <v>7.9000000000000001E-2</v>
      </c>
      <c r="Y15" s="112">
        <v>7.9000000000000001E-2</v>
      </c>
      <c r="Z15" s="112">
        <v>7.9000000000000001E-2</v>
      </c>
      <c r="AA15" s="112">
        <v>7.9000000000000001E-2</v>
      </c>
      <c r="AB15" s="15"/>
      <c r="AC15" s="15"/>
      <c r="AD15" s="15" t="str">
        <f>IF(OR(C8="Гарантия стандарт",C8="Гарантия плюс",C8="Гарантия пакет"),AD13,"")</f>
        <v/>
      </c>
      <c r="AE15" s="15" t="str">
        <f>IF(OR(D8="Гарантия стандарт",D8="Гарантия плюс",D8="Гарантия пакет"),AE13,"")</f>
        <v/>
      </c>
      <c r="AF15" s="15"/>
      <c r="AG15" s="15"/>
      <c r="AH15" s="15"/>
      <c r="AI15" s="15"/>
      <c r="AJ15" s="15"/>
      <c r="AK15" s="15"/>
      <c r="AL15" s="15"/>
      <c r="AO15" s="130">
        <f t="shared" si="17"/>
        <v>1</v>
      </c>
      <c r="AP15" s="261">
        <f t="shared" si="30"/>
        <v>7</v>
      </c>
      <c r="AQ15" s="262">
        <f t="shared" si="3"/>
        <v>44496</v>
      </c>
      <c r="AR15" s="263">
        <f t="shared" si="4"/>
        <v>0.155</v>
      </c>
      <c r="AS15" s="258">
        <f t="shared" si="18"/>
        <v>14930</v>
      </c>
      <c r="AT15" s="258">
        <f t="shared" si="19"/>
        <v>14930</v>
      </c>
      <c r="AU15" s="258">
        <f t="shared" si="20"/>
        <v>6985.44</v>
      </c>
      <c r="AV15" s="258">
        <f t="shared" si="21"/>
        <v>7944.56</v>
      </c>
      <c r="AW15" s="258">
        <f t="shared" si="5"/>
        <v>0</v>
      </c>
      <c r="AX15" s="258">
        <v>0</v>
      </c>
      <c r="AY15" s="258">
        <f t="shared" si="22"/>
        <v>6985.44</v>
      </c>
      <c r="AZ15" s="258">
        <f t="shared" si="6"/>
        <v>0</v>
      </c>
      <c r="BA15" s="258">
        <f t="shared" si="23"/>
        <v>0</v>
      </c>
      <c r="BB15" s="258"/>
      <c r="BC15" s="258"/>
      <c r="BD15" s="258"/>
      <c r="BE15" s="258"/>
      <c r="BF15" s="258"/>
      <c r="BG15" s="258">
        <f t="shared" si="24"/>
        <v>540375.29999999993</v>
      </c>
      <c r="BH15" s="108">
        <f t="shared" si="31"/>
        <v>54</v>
      </c>
      <c r="BI15" s="108">
        <f t="shared" si="26"/>
        <v>54</v>
      </c>
      <c r="BJ15" s="22">
        <f t="shared" si="27"/>
        <v>44496</v>
      </c>
      <c r="BK15" s="108">
        <f t="shared" si="7"/>
        <v>14930</v>
      </c>
    </row>
    <row r="16" spans="1:72" ht="19.2" customHeight="1" x14ac:dyDescent="0.25">
      <c r="A16" s="881" t="s">
        <v>169</v>
      </c>
      <c r="B16" s="186" t="s">
        <v>170</v>
      </c>
      <c r="C16" s="447" t="s">
        <v>179</v>
      </c>
      <c r="D16" s="448" t="s">
        <v>178</v>
      </c>
      <c r="E16" s="214"/>
      <c r="F16" s="232"/>
      <c r="G16" s="244">
        <f t="shared" si="28"/>
        <v>8</v>
      </c>
      <c r="H16" s="245">
        <f t="shared" si="1"/>
        <v>44527</v>
      </c>
      <c r="I16" s="246">
        <f t="shared" ref="I16:I20" si="33">$C$13</f>
        <v>0.155</v>
      </c>
      <c r="J16" s="242">
        <f t="shared" si="9"/>
        <v>14930</v>
      </c>
      <c r="K16" s="242">
        <f>IF(AND(G16&gt;=$W$9,G16&lt;=$W$9+5),$W$10,IF(AND(S15+N16+L16&gt;K15,K15&lt;&gt;0),$C$24,IF(S15=0,0,S15+N16+L16+L17)))</f>
        <v>14930</v>
      </c>
      <c r="L16" s="242">
        <f t="shared" ref="L16:L72" si="34">IF(AND(G16&gt;=$W$9,G16&lt;=$W$9+5),0,IF($C$9&gt;$AF$51,ROUND(S15*I16*((H16-DATE(YEAR(H16),MONTH(H16),1)+1)/(DATE(YEAR(H16)+1,1,1)-DATE(YEAR(H16),1,1))+(EOMONTH(H15,0)-H15)/(DATE(YEAR(H15)+1,1,1)-DATE(YEAR(H15),1,1))),2),0))</f>
        <v>7719.39</v>
      </c>
      <c r="M16" s="242">
        <f>IF(S15=0,0,IF(S15+N16+L16&gt;K15,K16-L16-N16,S15))</f>
        <v>7210.61</v>
      </c>
      <c r="N16" s="242">
        <f t="shared" si="2"/>
        <v>0</v>
      </c>
      <c r="O16" s="242">
        <v>0</v>
      </c>
      <c r="P16" s="242">
        <f t="shared" si="25"/>
        <v>7719.39</v>
      </c>
      <c r="Q16" s="242">
        <f t="shared" si="32"/>
        <v>0</v>
      </c>
      <c r="R16" s="242">
        <f t="shared" si="14"/>
        <v>0</v>
      </c>
      <c r="S16" s="242">
        <f t="shared" si="15"/>
        <v>579173.6</v>
      </c>
      <c r="T16" s="467"/>
      <c r="U16" s="198">
        <f t="shared" si="29"/>
        <v>53</v>
      </c>
      <c r="V16" s="36">
        <f t="shared" si="16"/>
        <v>53</v>
      </c>
      <c r="W16" s="101"/>
      <c r="X16" s="101"/>
      <c r="Y16" s="101"/>
      <c r="Z16" s="101"/>
      <c r="AA16" s="101"/>
      <c r="AB16" s="112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O16" s="130">
        <f t="shared" si="17"/>
        <v>1</v>
      </c>
      <c r="AP16" s="261">
        <f t="shared" si="30"/>
        <v>8</v>
      </c>
      <c r="AQ16" s="262">
        <f t="shared" si="3"/>
        <v>44527</v>
      </c>
      <c r="AR16" s="263">
        <f t="shared" si="4"/>
        <v>0.155</v>
      </c>
      <c r="AS16" s="258">
        <f t="shared" si="18"/>
        <v>14930</v>
      </c>
      <c r="AT16" s="258">
        <f t="shared" si="19"/>
        <v>14930</v>
      </c>
      <c r="AU16" s="258">
        <f t="shared" si="20"/>
        <v>7113.71</v>
      </c>
      <c r="AV16" s="258">
        <f t="shared" si="21"/>
        <v>7816.29</v>
      </c>
      <c r="AW16" s="258">
        <f t="shared" si="5"/>
        <v>0</v>
      </c>
      <c r="AX16" s="258">
        <v>0</v>
      </c>
      <c r="AY16" s="258">
        <f t="shared" si="22"/>
        <v>7113.71</v>
      </c>
      <c r="AZ16" s="258">
        <f t="shared" si="6"/>
        <v>0</v>
      </c>
      <c r="BA16" s="258">
        <f t="shared" si="23"/>
        <v>0</v>
      </c>
      <c r="BB16" s="258"/>
      <c r="BC16" s="258"/>
      <c r="BD16" s="258"/>
      <c r="BE16" s="258"/>
      <c r="BF16" s="258"/>
      <c r="BG16" s="258">
        <f t="shared" si="24"/>
        <v>532559.00999999989</v>
      </c>
      <c r="BH16" s="108">
        <f t="shared" si="31"/>
        <v>53</v>
      </c>
      <c r="BI16" s="108">
        <f t="shared" si="26"/>
        <v>53</v>
      </c>
      <c r="BJ16" s="22">
        <f t="shared" si="27"/>
        <v>44527</v>
      </c>
      <c r="BK16" s="108">
        <f t="shared" si="7"/>
        <v>14930</v>
      </c>
    </row>
    <row r="17" spans="1:393" ht="19.95" customHeight="1" x14ac:dyDescent="0.25">
      <c r="A17" s="881"/>
      <c r="B17" s="186" t="s">
        <v>183</v>
      </c>
      <c r="C17" s="449" t="str">
        <f>IF(C16="Да",IF(AND($C$23&gt;=100000,$C$23&lt;200000),"Серебряный",IF(AND($C$23&gt;=200000,$C$23&lt;300000),"Золотой",IF(AND($C$23&gt;=300000,$C$7&lt;=500000),"Платиновый",""))),"")</f>
        <v>Платиновый</v>
      </c>
      <c r="D17" s="450" t="str">
        <f>IF(D16="Да",IF(AND($D$23&gt;=100000,$D$23&lt;200000),"Серебряный",IF(AND($D$23&gt;=200000,$D$23&lt;300000),"Золотой",IF(AND($D$23&gt;=300000,$C$7&lt;=500000),"Платиновый",""))),"")</f>
        <v/>
      </c>
      <c r="E17" s="214"/>
      <c r="F17" s="232"/>
      <c r="G17" s="244">
        <f t="shared" si="28"/>
        <v>9</v>
      </c>
      <c r="H17" s="245">
        <f t="shared" si="1"/>
        <v>44557</v>
      </c>
      <c r="I17" s="246">
        <f t="shared" si="33"/>
        <v>0.155</v>
      </c>
      <c r="J17" s="242">
        <f t="shared" si="9"/>
        <v>14930</v>
      </c>
      <c r="K17" s="242">
        <f>IF(AND(G17&gt;=$W$9,G17&lt;=$W$9+5),$W$10,IF(AND(S16+N17+L17&gt;K16,K16&lt;&gt;0),$C$24,IF(S16=0,0,S16+N17+L17+L18)))</f>
        <v>14930</v>
      </c>
      <c r="L17" s="242">
        <f t="shared" si="34"/>
        <v>7378.51</v>
      </c>
      <c r="M17" s="242">
        <f t="shared" si="12"/>
        <v>7551.49</v>
      </c>
      <c r="N17" s="242">
        <f t="shared" si="2"/>
        <v>0</v>
      </c>
      <c r="O17" s="242">
        <v>0</v>
      </c>
      <c r="P17" s="242">
        <f t="shared" si="25"/>
        <v>7378.51</v>
      </c>
      <c r="Q17" s="242">
        <f t="shared" si="32"/>
        <v>0</v>
      </c>
      <c r="R17" s="242">
        <f t="shared" si="14"/>
        <v>0</v>
      </c>
      <c r="S17" s="242">
        <f t="shared" si="15"/>
        <v>571622.11</v>
      </c>
      <c r="T17" s="467"/>
      <c r="U17" s="198">
        <f t="shared" si="29"/>
        <v>52</v>
      </c>
      <c r="V17" s="36">
        <f t="shared" si="16"/>
        <v>52</v>
      </c>
      <c r="W17" s="101"/>
      <c r="X17" s="101"/>
      <c r="Y17" s="101"/>
      <c r="Z17" s="101"/>
      <c r="AA17" s="101"/>
      <c r="AB17" s="84">
        <v>0.129</v>
      </c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O17" s="130">
        <f t="shared" si="17"/>
        <v>1</v>
      </c>
      <c r="AP17" s="261">
        <f t="shared" si="30"/>
        <v>9</v>
      </c>
      <c r="AQ17" s="262">
        <f t="shared" si="3"/>
        <v>44557</v>
      </c>
      <c r="AR17" s="263">
        <f t="shared" si="4"/>
        <v>0.155</v>
      </c>
      <c r="AS17" s="258">
        <f t="shared" si="18"/>
        <v>14930</v>
      </c>
      <c r="AT17" s="258">
        <f t="shared" si="19"/>
        <v>14930</v>
      </c>
      <c r="AU17" s="258">
        <f t="shared" si="20"/>
        <v>6784.66</v>
      </c>
      <c r="AV17" s="258">
        <f t="shared" si="21"/>
        <v>8145.34</v>
      </c>
      <c r="AW17" s="258">
        <f t="shared" si="5"/>
        <v>0</v>
      </c>
      <c r="AX17" s="258">
        <v>0</v>
      </c>
      <c r="AY17" s="258">
        <f t="shared" si="22"/>
        <v>6784.66</v>
      </c>
      <c r="AZ17" s="258">
        <f t="shared" si="6"/>
        <v>0</v>
      </c>
      <c r="BA17" s="258">
        <f t="shared" si="23"/>
        <v>0</v>
      </c>
      <c r="BB17" s="258"/>
      <c r="BC17" s="258"/>
      <c r="BD17" s="258"/>
      <c r="BE17" s="258"/>
      <c r="BF17" s="258"/>
      <c r="BG17" s="258">
        <f t="shared" si="24"/>
        <v>524413.66999999993</v>
      </c>
      <c r="BH17" s="108">
        <f t="shared" si="31"/>
        <v>52</v>
      </c>
      <c r="BI17" s="108">
        <f t="shared" si="26"/>
        <v>52</v>
      </c>
      <c r="BJ17" s="22">
        <f t="shared" si="27"/>
        <v>44557</v>
      </c>
      <c r="BK17" s="108">
        <f t="shared" si="7"/>
        <v>14930</v>
      </c>
    </row>
    <row r="18" spans="1:393" ht="19.95" customHeight="1" x14ac:dyDescent="0.25">
      <c r="A18" s="881"/>
      <c r="B18" s="186" t="s">
        <v>184</v>
      </c>
      <c r="C18" s="331">
        <f>IF($C$17="Серебряный",3600,IF($C$17="Золотой",5000,IF($C$17="Платиновый",7000,"")))</f>
        <v>7000</v>
      </c>
      <c r="D18" s="450" t="str">
        <f>IF($D$17="Серебряный",1800,IF($D$17="Золотой",2500,IF($D$17="Платиновый",3500,"")))</f>
        <v/>
      </c>
      <c r="E18" s="214"/>
      <c r="F18" s="232"/>
      <c r="G18" s="244">
        <f t="shared" si="28"/>
        <v>10</v>
      </c>
      <c r="H18" s="245">
        <f t="shared" si="1"/>
        <v>44588</v>
      </c>
      <c r="I18" s="246">
        <f t="shared" si="33"/>
        <v>0.155</v>
      </c>
      <c r="J18" s="242">
        <f t="shared" si="9"/>
        <v>14930</v>
      </c>
      <c r="K18" s="242">
        <f>IF(AND(G18&gt;=$W$9,G18&lt;=$W$9+5),$W$10,IF(AND(S17+N18+L18&gt;K17,K17&lt;&gt;0),$C$24,IF(S17=0,0,S17+N18+L18+L19)))</f>
        <v>14930</v>
      </c>
      <c r="L18" s="242">
        <f t="shared" si="34"/>
        <v>7525.05</v>
      </c>
      <c r="M18" s="242">
        <f t="shared" si="12"/>
        <v>7404.95</v>
      </c>
      <c r="N18" s="242">
        <f t="shared" si="2"/>
        <v>0</v>
      </c>
      <c r="O18" s="242">
        <v>0</v>
      </c>
      <c r="P18" s="242">
        <f t="shared" si="25"/>
        <v>7525.05</v>
      </c>
      <c r="Q18" s="242">
        <f t="shared" si="32"/>
        <v>0</v>
      </c>
      <c r="R18" s="242">
        <f t="shared" si="14"/>
        <v>0</v>
      </c>
      <c r="S18" s="242">
        <f t="shared" si="15"/>
        <v>564217.16</v>
      </c>
      <c r="T18" s="467"/>
      <c r="U18" s="198">
        <f t="shared" si="29"/>
        <v>51</v>
      </c>
      <c r="V18" s="36">
        <f t="shared" si="16"/>
        <v>51</v>
      </c>
      <c r="W18" s="84">
        <v>8.9999999999999993E-3</v>
      </c>
      <c r="X18" s="84">
        <v>8.9999999999999993E-3</v>
      </c>
      <c r="Y18" s="84">
        <v>8.9999999999999993E-3</v>
      </c>
      <c r="Z18" s="84">
        <v>8.9999999999999993E-3</v>
      </c>
      <c r="AA18" s="84">
        <v>8.9999999999999993E-3</v>
      </c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O18" s="130">
        <f t="shared" si="17"/>
        <v>1</v>
      </c>
      <c r="AP18" s="261">
        <f t="shared" si="30"/>
        <v>10</v>
      </c>
      <c r="AQ18" s="262">
        <f t="shared" si="3"/>
        <v>44588</v>
      </c>
      <c r="AR18" s="263">
        <f t="shared" si="4"/>
        <v>0.155</v>
      </c>
      <c r="AS18" s="258">
        <f t="shared" si="18"/>
        <v>14930</v>
      </c>
      <c r="AT18" s="258">
        <f t="shared" si="19"/>
        <v>14930</v>
      </c>
      <c r="AU18" s="258">
        <f t="shared" si="20"/>
        <v>6903.58</v>
      </c>
      <c r="AV18" s="258">
        <f t="shared" si="21"/>
        <v>8026.42</v>
      </c>
      <c r="AW18" s="258">
        <f t="shared" si="5"/>
        <v>0</v>
      </c>
      <c r="AX18" s="258">
        <v>0</v>
      </c>
      <c r="AY18" s="258">
        <f t="shared" si="22"/>
        <v>6903.58</v>
      </c>
      <c r="AZ18" s="258">
        <f t="shared" si="6"/>
        <v>0</v>
      </c>
      <c r="BA18" s="258">
        <f t="shared" si="23"/>
        <v>0</v>
      </c>
      <c r="BB18" s="258"/>
      <c r="BC18" s="258"/>
      <c r="BD18" s="258"/>
      <c r="BE18" s="258"/>
      <c r="BF18" s="258"/>
      <c r="BG18" s="258">
        <f t="shared" si="24"/>
        <v>516387.24999999994</v>
      </c>
      <c r="BH18" s="108">
        <f t="shared" si="31"/>
        <v>51</v>
      </c>
      <c r="BI18" s="108">
        <f t="shared" si="26"/>
        <v>51</v>
      </c>
      <c r="BJ18" s="22">
        <f t="shared" si="27"/>
        <v>44588</v>
      </c>
      <c r="BK18" s="108">
        <f t="shared" si="7"/>
        <v>14930</v>
      </c>
    </row>
    <row r="19" spans="1:393" ht="28.2" customHeight="1" x14ac:dyDescent="0.25">
      <c r="A19" s="893" t="s">
        <v>303</v>
      </c>
      <c r="B19" s="893"/>
      <c r="C19" s="893"/>
      <c r="D19" s="893"/>
      <c r="E19" s="893"/>
      <c r="F19" s="233"/>
      <c r="G19" s="244">
        <f t="shared" si="28"/>
        <v>11</v>
      </c>
      <c r="H19" s="245">
        <f t="shared" si="1"/>
        <v>44619</v>
      </c>
      <c r="I19" s="246">
        <f t="shared" si="33"/>
        <v>0.155</v>
      </c>
      <c r="J19" s="242">
        <f t="shared" si="9"/>
        <v>14930</v>
      </c>
      <c r="K19" s="242">
        <f>IF(AND(G19&gt;=$W$9,G19&lt;=$W$9+5),$W$10,IF(AND(S18+N19+L19&gt;K18,K18&lt;&gt;0),$C$24,IF(S18=0,0,S18+N19+L19+L20)))</f>
        <v>14930</v>
      </c>
      <c r="L19" s="242">
        <f t="shared" si="34"/>
        <v>7427.57</v>
      </c>
      <c r="M19" s="242">
        <f t="shared" si="12"/>
        <v>7502.43</v>
      </c>
      <c r="N19" s="242">
        <f t="shared" si="2"/>
        <v>0</v>
      </c>
      <c r="O19" s="242">
        <v>0</v>
      </c>
      <c r="P19" s="242">
        <f t="shared" si="25"/>
        <v>7427.57</v>
      </c>
      <c r="Q19" s="242">
        <f t="shared" si="32"/>
        <v>0</v>
      </c>
      <c r="R19" s="242">
        <f t="shared" si="14"/>
        <v>0</v>
      </c>
      <c r="S19" s="242">
        <f t="shared" si="15"/>
        <v>556714.73</v>
      </c>
      <c r="T19" s="467"/>
      <c r="U19" s="198">
        <f>IF((U18-1)&lt;0,0,U18-1)</f>
        <v>50</v>
      </c>
      <c r="V19" s="36">
        <f t="shared" si="16"/>
        <v>50</v>
      </c>
      <c r="W19" s="84">
        <v>1.9E-2</v>
      </c>
      <c r="X19" s="84">
        <v>1.9E-2</v>
      </c>
      <c r="Y19" s="84">
        <v>1.9E-2</v>
      </c>
      <c r="Z19" s="84">
        <v>1.9E-2</v>
      </c>
      <c r="AA19" s="84">
        <v>1.9E-2</v>
      </c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O19" s="130">
        <f t="shared" si="17"/>
        <v>1</v>
      </c>
      <c r="AP19" s="261">
        <f>AP18+1</f>
        <v>11</v>
      </c>
      <c r="AQ19" s="262">
        <f t="shared" si="3"/>
        <v>44619</v>
      </c>
      <c r="AR19" s="263">
        <f t="shared" si="4"/>
        <v>0.155</v>
      </c>
      <c r="AS19" s="258">
        <f t="shared" si="18"/>
        <v>14930</v>
      </c>
      <c r="AT19" s="258">
        <f t="shared" si="19"/>
        <v>14930</v>
      </c>
      <c r="AU19" s="258">
        <f t="shared" si="20"/>
        <v>6797.92</v>
      </c>
      <c r="AV19" s="258">
        <f t="shared" si="21"/>
        <v>8132.08</v>
      </c>
      <c r="AW19" s="258">
        <f t="shared" si="5"/>
        <v>0</v>
      </c>
      <c r="AX19" s="258">
        <v>0</v>
      </c>
      <c r="AY19" s="258">
        <f t="shared" si="22"/>
        <v>6797.92</v>
      </c>
      <c r="AZ19" s="258">
        <f t="shared" si="6"/>
        <v>0</v>
      </c>
      <c r="BA19" s="258">
        <f>IF(BI25=0,0,0)</f>
        <v>0</v>
      </c>
      <c r="BB19" s="258"/>
      <c r="BC19" s="258"/>
      <c r="BD19" s="258"/>
      <c r="BE19" s="258"/>
      <c r="BF19" s="258"/>
      <c r="BG19" s="258">
        <f t="shared" si="24"/>
        <v>508255.16999999993</v>
      </c>
      <c r="BH19" s="108">
        <f t="shared" si="31"/>
        <v>50</v>
      </c>
      <c r="BI19" s="108">
        <f t="shared" si="26"/>
        <v>50</v>
      </c>
      <c r="BJ19" s="22">
        <f t="shared" si="27"/>
        <v>44619</v>
      </c>
      <c r="BK19" s="108">
        <f t="shared" si="7"/>
        <v>14930</v>
      </c>
    </row>
    <row r="20" spans="1:393" ht="16.95" customHeight="1" thickBot="1" x14ac:dyDescent="0.3">
      <c r="A20" s="888" t="s">
        <v>309</v>
      </c>
      <c r="B20" s="888"/>
      <c r="C20" s="888"/>
      <c r="D20" s="888"/>
      <c r="E20" s="888"/>
      <c r="F20" s="224"/>
      <c r="G20" s="248">
        <f t="shared" si="28"/>
        <v>12</v>
      </c>
      <c r="H20" s="249">
        <f t="shared" si="1"/>
        <v>44647</v>
      </c>
      <c r="I20" s="250">
        <f t="shared" si="33"/>
        <v>0.155</v>
      </c>
      <c r="J20" s="252">
        <f t="shared" si="9"/>
        <v>14930</v>
      </c>
      <c r="K20" s="252">
        <f>IF(AND(G20&gt;=$W$9,G20&lt;=$W$9+5),$W$10,IF(AND(S19+N20+L20&gt;K19,K19&lt;&gt;0),$C$24,IF(S19=0,0,S19+N20+L20+L21)))</f>
        <v>14930</v>
      </c>
      <c r="L20" s="252">
        <f t="shared" si="34"/>
        <v>6619.57</v>
      </c>
      <c r="M20" s="252">
        <f t="shared" si="12"/>
        <v>8310.43</v>
      </c>
      <c r="N20" s="252">
        <f t="shared" si="2"/>
        <v>0</v>
      </c>
      <c r="O20" s="252">
        <v>0</v>
      </c>
      <c r="P20" s="252">
        <f t="shared" si="25"/>
        <v>6619.57</v>
      </c>
      <c r="Q20" s="252">
        <f t="shared" si="32"/>
        <v>0</v>
      </c>
      <c r="R20" s="252">
        <f t="shared" si="14"/>
        <v>0</v>
      </c>
      <c r="S20" s="252">
        <f t="shared" si="15"/>
        <v>548404.29999999993</v>
      </c>
      <c r="T20" s="468"/>
      <c r="U20" s="198">
        <f>IF((U19-1)&lt;0,0,U19-1)</f>
        <v>49</v>
      </c>
      <c r="V20" s="36">
        <f t="shared" si="16"/>
        <v>49</v>
      </c>
      <c r="W20" s="122">
        <v>2.9000000000000001E-2</v>
      </c>
      <c r="X20" s="122">
        <v>2.9000000000000001E-2</v>
      </c>
      <c r="Y20" s="122">
        <v>2.9000000000000001E-2</v>
      </c>
      <c r="Z20" s="122">
        <v>2.9000000000000001E-2</v>
      </c>
      <c r="AA20" s="122">
        <v>2.9000000000000001E-2</v>
      </c>
      <c r="AB20" s="15">
        <v>4.9000000000000002E-2</v>
      </c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3"/>
      <c r="AN20" s="113"/>
      <c r="AO20" s="130">
        <f t="shared" si="17"/>
        <v>1</v>
      </c>
      <c r="AP20" s="264">
        <f>AP19+1</f>
        <v>12</v>
      </c>
      <c r="AQ20" s="265">
        <f t="shared" si="3"/>
        <v>44647</v>
      </c>
      <c r="AR20" s="263">
        <f t="shared" si="4"/>
        <v>0.155</v>
      </c>
      <c r="AS20" s="258">
        <f t="shared" si="18"/>
        <v>14930</v>
      </c>
      <c r="AT20" s="258">
        <f t="shared" si="19"/>
        <v>14930</v>
      </c>
      <c r="AU20" s="258">
        <f t="shared" si="20"/>
        <v>6043.36</v>
      </c>
      <c r="AV20" s="258">
        <f t="shared" si="21"/>
        <v>8886.64</v>
      </c>
      <c r="AW20" s="258">
        <f t="shared" si="5"/>
        <v>0</v>
      </c>
      <c r="AX20" s="258">
        <v>0</v>
      </c>
      <c r="AY20" s="258">
        <f t="shared" si="22"/>
        <v>6043.36</v>
      </c>
      <c r="AZ20" s="258">
        <f t="shared" si="6"/>
        <v>0</v>
      </c>
      <c r="BA20" s="258">
        <f t="shared" ref="BA20:BA83" si="35">IF(BI26=0,0,0)</f>
        <v>0</v>
      </c>
      <c r="BB20" s="258"/>
      <c r="BC20" s="258"/>
      <c r="BD20" s="258"/>
      <c r="BE20" s="258"/>
      <c r="BF20" s="258"/>
      <c r="BG20" s="258">
        <f t="shared" si="24"/>
        <v>499368.52999999991</v>
      </c>
      <c r="BH20" s="108">
        <f t="shared" si="31"/>
        <v>49</v>
      </c>
      <c r="BI20" s="108">
        <f t="shared" si="26"/>
        <v>49</v>
      </c>
      <c r="BJ20" s="22">
        <f t="shared" si="27"/>
        <v>44647</v>
      </c>
      <c r="BK20" s="108">
        <f t="shared" si="7"/>
        <v>14930</v>
      </c>
    </row>
    <row r="21" spans="1:393" ht="38.25" customHeight="1" x14ac:dyDescent="0.25">
      <c r="A21" s="973" t="str">
        <f>CONCATENATE("Наличие акции Снижаем ставку 2,0:
- 0% на 6 мес;
- ежегодное снижение ставки на ",AG35*100," % годовых")</f>
        <v>Наличие акции Снижаем ставку 2,0:
- 0% на 6 мес;
- ежегодное снижение ставки на 4 % годовых</v>
      </c>
      <c r="B21" s="952"/>
      <c r="C21" s="447" t="s">
        <v>179</v>
      </c>
      <c r="D21" s="448" t="s">
        <v>178</v>
      </c>
      <c r="E21" s="214"/>
      <c r="F21" s="224"/>
      <c r="G21" s="244">
        <f t="shared" si="28"/>
        <v>13</v>
      </c>
      <c r="H21" s="245">
        <f t="shared" si="1"/>
        <v>44678</v>
      </c>
      <c r="I21" s="246">
        <f>IF(AND($C$16="Да",$C$8&lt;&gt;"Нет"),$AG$37,$C$13)</f>
        <v>0.13499999999999998</v>
      </c>
      <c r="J21" s="242">
        <f>K21+Q21</f>
        <v>14278</v>
      </c>
      <c r="K21" s="242">
        <f>IF(AND(G21&gt;=$W$9,G21&lt;=$W$9+5),$W$10,IF(AND(S20+N21+L21&gt;K20,K20&lt;&gt;0),IF(AND($C$16="Да",$C$8&lt;&gt;"Нет"),$AF$37,$C$24),IF(S20=0,0,S20+N21+L21+L22)))</f>
        <v>14278</v>
      </c>
      <c r="L21" s="242">
        <f t="shared" si="34"/>
        <v>6287.87</v>
      </c>
      <c r="M21" s="242">
        <f t="shared" si="12"/>
        <v>7990.13</v>
      </c>
      <c r="N21" s="242">
        <f t="shared" si="2"/>
        <v>0</v>
      </c>
      <c r="O21" s="242">
        <v>0</v>
      </c>
      <c r="P21" s="242">
        <f t="shared" si="25"/>
        <v>6287.87</v>
      </c>
      <c r="Q21" s="242">
        <f t="shared" ref="Q21:Q84" si="36">IF(V21=0,0,0)</f>
        <v>0</v>
      </c>
      <c r="R21" s="242">
        <f t="shared" si="14"/>
        <v>0</v>
      </c>
      <c r="S21" s="242">
        <f t="shared" si="15"/>
        <v>540414.16999999993</v>
      </c>
      <c r="T21" s="467"/>
      <c r="U21" s="198">
        <f>IF((U20-1)&lt;0,0,U20-1)</f>
        <v>48</v>
      </c>
      <c r="V21" s="36">
        <f t="shared" si="16"/>
        <v>48</v>
      </c>
      <c r="W21" s="84">
        <v>4.9000000000000002E-2</v>
      </c>
      <c r="X21" s="84">
        <v>4.9000000000000002E-2</v>
      </c>
      <c r="Y21" s="84">
        <v>4.9000000000000002E-2</v>
      </c>
      <c r="Z21" s="84">
        <v>4.9000000000000002E-2</v>
      </c>
      <c r="AA21" s="84">
        <v>4.9000000000000002E-2</v>
      </c>
      <c r="AB21" s="115"/>
      <c r="AC21" s="84">
        <v>0.129</v>
      </c>
      <c r="AD21" s="84">
        <v>0.129</v>
      </c>
      <c r="AE21" s="84">
        <v>0.129</v>
      </c>
      <c r="AF21" s="84">
        <v>0.129</v>
      </c>
      <c r="AG21" s="84">
        <v>0.129</v>
      </c>
      <c r="AH21" s="84">
        <v>0.129</v>
      </c>
      <c r="AI21" s="84">
        <v>0.129</v>
      </c>
      <c r="AJ21" s="84">
        <v>0.129</v>
      </c>
      <c r="AK21" s="84">
        <v>0.129</v>
      </c>
      <c r="AL21" s="84">
        <v>0.129</v>
      </c>
      <c r="AM21" s="3"/>
      <c r="AN21" s="3"/>
      <c r="AO21" s="130">
        <f t="shared" si="17"/>
        <v>1</v>
      </c>
      <c r="AP21" s="261">
        <f>AP20+1</f>
        <v>13</v>
      </c>
      <c r="AQ21" s="262">
        <f t="shared" si="3"/>
        <v>44678</v>
      </c>
      <c r="AR21" s="263">
        <f t="shared" ref="AR21:AR32" si="37">IF($D$16="Да",$AM$37,$D$13)</f>
        <v>0.155</v>
      </c>
      <c r="AS21" s="258">
        <f t="shared" si="18"/>
        <v>14930</v>
      </c>
      <c r="AT21" s="258">
        <f t="shared" si="19"/>
        <v>14930</v>
      </c>
      <c r="AU21" s="258">
        <f t="shared" si="20"/>
        <v>6573.88</v>
      </c>
      <c r="AV21" s="258">
        <f t="shared" si="21"/>
        <v>8356.119999999999</v>
      </c>
      <c r="AW21" s="258">
        <f t="shared" si="5"/>
        <v>0</v>
      </c>
      <c r="AX21" s="258">
        <v>0</v>
      </c>
      <c r="AY21" s="258">
        <f t="shared" si="22"/>
        <v>6573.88</v>
      </c>
      <c r="AZ21" s="258">
        <f t="shared" ref="AZ21:AZ84" si="38">IF(BI27=0,0,0)</f>
        <v>0</v>
      </c>
      <c r="BA21" s="258">
        <f t="shared" si="35"/>
        <v>0</v>
      </c>
      <c r="BB21" s="258"/>
      <c r="BC21" s="258"/>
      <c r="BD21" s="258"/>
      <c r="BE21" s="258"/>
      <c r="BF21" s="258"/>
      <c r="BG21" s="258">
        <f t="shared" si="24"/>
        <v>491012.40999999992</v>
      </c>
      <c r="BH21" s="108">
        <f t="shared" si="31"/>
        <v>48</v>
      </c>
      <c r="BI21" s="108">
        <f t="shared" si="26"/>
        <v>48</v>
      </c>
      <c r="BJ21" s="22">
        <f t="shared" si="27"/>
        <v>44678</v>
      </c>
      <c r="BK21" s="108">
        <f t="shared" si="7"/>
        <v>14278</v>
      </c>
    </row>
    <row r="22" spans="1:393" ht="34.200000000000003" customHeight="1" x14ac:dyDescent="0.25">
      <c r="A22" s="944" t="s">
        <v>174</v>
      </c>
      <c r="B22" s="944"/>
      <c r="C22" s="944"/>
      <c r="D22" s="944"/>
      <c r="E22" s="944"/>
      <c r="F22" s="225"/>
      <c r="G22" s="244">
        <f t="shared" si="28"/>
        <v>14</v>
      </c>
      <c r="H22" s="245">
        <f t="shared" si="1"/>
        <v>44708</v>
      </c>
      <c r="I22" s="246">
        <f t="shared" ref="I22:I32" si="39">IF(AND($C$16="Да",$C$8&lt;&gt;"Нет"),$AG$37,$C$13)</f>
        <v>0.13499999999999998</v>
      </c>
      <c r="J22" s="242">
        <f t="shared" si="9"/>
        <v>14278</v>
      </c>
      <c r="K22" s="242">
        <f t="shared" ref="K22:K31" si="40">IF(AND(G22&gt;=$W$9,G22&lt;=$W$9+5),$W$10,IF(AND(S21+N22+L22&gt;K21,K21&lt;&gt;0),IF(AND($C$16="Да",$C$8&lt;&gt;"Нет"),$AF$37,$C$24),IF(S21=0,0,S21+N22+L22+L23)))</f>
        <v>14278</v>
      </c>
      <c r="L22" s="242">
        <f t="shared" si="34"/>
        <v>5996.38</v>
      </c>
      <c r="M22" s="242">
        <f t="shared" si="12"/>
        <v>8281.619999999999</v>
      </c>
      <c r="N22" s="242">
        <f t="shared" si="2"/>
        <v>0</v>
      </c>
      <c r="O22" s="242">
        <v>0</v>
      </c>
      <c r="P22" s="242">
        <f t="shared" si="25"/>
        <v>5996.38</v>
      </c>
      <c r="Q22" s="242">
        <f t="shared" si="36"/>
        <v>0</v>
      </c>
      <c r="R22" s="242">
        <f t="shared" si="14"/>
        <v>0</v>
      </c>
      <c r="S22" s="242">
        <f t="shared" si="15"/>
        <v>532132.54999999993</v>
      </c>
      <c r="T22" s="467"/>
      <c r="U22" s="198">
        <f t="shared" si="29"/>
        <v>47</v>
      </c>
      <c r="V22" s="36">
        <f t="shared" si="16"/>
        <v>47</v>
      </c>
      <c r="W22" s="84">
        <v>6.9000000000000006E-2</v>
      </c>
      <c r="X22" s="84">
        <v>6.9000000000000006E-2</v>
      </c>
      <c r="Y22" s="84">
        <v>6.9000000000000006E-2</v>
      </c>
      <c r="Z22" s="84">
        <v>6.9000000000000006E-2</v>
      </c>
      <c r="AA22" s="84">
        <v>6.9000000000000006E-2</v>
      </c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O22" s="130">
        <f t="shared" si="17"/>
        <v>1</v>
      </c>
      <c r="AP22" s="261">
        <f t="shared" si="30"/>
        <v>14</v>
      </c>
      <c r="AQ22" s="262">
        <f t="shared" si="3"/>
        <v>44708</v>
      </c>
      <c r="AR22" s="263">
        <f t="shared" si="37"/>
        <v>0.155</v>
      </c>
      <c r="AS22" s="258">
        <f t="shared" si="18"/>
        <v>14930</v>
      </c>
      <c r="AT22" s="258">
        <f t="shared" si="19"/>
        <v>14930</v>
      </c>
      <c r="AU22" s="258">
        <f t="shared" si="20"/>
        <v>6255.36</v>
      </c>
      <c r="AV22" s="258">
        <f t="shared" si="21"/>
        <v>8674.64</v>
      </c>
      <c r="AW22" s="258">
        <f t="shared" si="5"/>
        <v>0</v>
      </c>
      <c r="AX22" s="258">
        <v>0</v>
      </c>
      <c r="AY22" s="258">
        <f t="shared" si="22"/>
        <v>6255.36</v>
      </c>
      <c r="AZ22" s="258">
        <f t="shared" si="38"/>
        <v>0</v>
      </c>
      <c r="BA22" s="258">
        <f t="shared" si="35"/>
        <v>0</v>
      </c>
      <c r="BB22" s="258"/>
      <c r="BC22" s="258"/>
      <c r="BD22" s="258"/>
      <c r="BE22" s="258"/>
      <c r="BF22" s="258"/>
      <c r="BG22" s="258">
        <f t="shared" si="24"/>
        <v>482337.7699999999</v>
      </c>
      <c r="BH22" s="108">
        <f t="shared" si="31"/>
        <v>47</v>
      </c>
      <c r="BI22" s="108">
        <f t="shared" si="26"/>
        <v>47</v>
      </c>
      <c r="BJ22" s="22">
        <f t="shared" si="27"/>
        <v>44708</v>
      </c>
      <c r="BK22" s="108">
        <f t="shared" si="7"/>
        <v>14278</v>
      </c>
    </row>
    <row r="23" spans="1:393" ht="19.2" customHeight="1" x14ac:dyDescent="0.25">
      <c r="A23" s="852" t="str">
        <f>IF(AND($C$8&lt;&gt;"Нет",$D$8&lt;&gt;"Нет",$C$14&lt;&gt;"Нет"),"Сумма кредита с ФЗ + Почетный Клиент + Всё под контролем, руб.",IF(AND($C$8&lt;&gt;"Нет",$D$8&lt;&gt;"Нет",$C$14&lt;&gt;"Да"),"Сумма кредита с учетом Финансовой защиты, руб.",IF(AND($D$8&lt;&gt;"Нет",$C$14&lt;&gt;"Нет"),"Сумма кредита с учетом пакета услуг Всё под контролем, руб.","Сумма кредита, руб.")))</f>
        <v>Сумма кредита с учетом Финансовой защиты, руб.</v>
      </c>
      <c r="B23" s="852"/>
      <c r="C23" s="358">
        <f>$C$7+(IF($C$8="Нет",0,IF($C$25&lt;&gt;"",$C$25,0))+IF(C14="Нет",0,IF(C14="Да",C15,0)))</f>
        <v>593750</v>
      </c>
      <c r="D23" s="355">
        <f>$C$7+(IF($D$8="Нет",0,IF($D$25&lt;&gt;"",$D$25,0))+IF(D14="Нет",0,IF(D14="Да",D15,0)))</f>
        <v>593750</v>
      </c>
      <c r="E23" s="204">
        <f>C23-D23</f>
        <v>0</v>
      </c>
      <c r="F23" s="226"/>
      <c r="G23" s="244">
        <f t="shared" si="28"/>
        <v>15</v>
      </c>
      <c r="H23" s="245">
        <f t="shared" si="1"/>
        <v>44739</v>
      </c>
      <c r="I23" s="246">
        <f t="shared" si="39"/>
        <v>0.13499999999999998</v>
      </c>
      <c r="J23" s="242">
        <f t="shared" si="9"/>
        <v>14278</v>
      </c>
      <c r="K23" s="242">
        <f t="shared" si="40"/>
        <v>14278</v>
      </c>
      <c r="L23" s="242">
        <f t="shared" si="34"/>
        <v>6101.3</v>
      </c>
      <c r="M23" s="242">
        <f t="shared" si="12"/>
        <v>8176.7</v>
      </c>
      <c r="N23" s="242">
        <f t="shared" si="2"/>
        <v>0</v>
      </c>
      <c r="O23" s="242">
        <v>0</v>
      </c>
      <c r="P23" s="242">
        <f t="shared" si="25"/>
        <v>6101.3</v>
      </c>
      <c r="Q23" s="242">
        <f t="shared" si="36"/>
        <v>0</v>
      </c>
      <c r="R23" s="242">
        <f t="shared" si="14"/>
        <v>0</v>
      </c>
      <c r="S23" s="242">
        <f t="shared" si="15"/>
        <v>523955.84999999992</v>
      </c>
      <c r="T23" s="467"/>
      <c r="U23" s="198">
        <f t="shared" si="29"/>
        <v>46</v>
      </c>
      <c r="V23" s="36">
        <f t="shared" si="16"/>
        <v>46</v>
      </c>
      <c r="W23" s="2">
        <v>1</v>
      </c>
      <c r="X23" s="2">
        <v>1</v>
      </c>
      <c r="Y23" s="3">
        <v>1</v>
      </c>
      <c r="Z23" s="2">
        <v>1</v>
      </c>
      <c r="AA23" s="3">
        <v>1</v>
      </c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O23" s="130">
        <f t="shared" si="17"/>
        <v>1</v>
      </c>
      <c r="AP23" s="261">
        <f t="shared" si="30"/>
        <v>15</v>
      </c>
      <c r="AQ23" s="262">
        <f t="shared" si="3"/>
        <v>44739</v>
      </c>
      <c r="AR23" s="263">
        <f t="shared" si="37"/>
        <v>0.155</v>
      </c>
      <c r="AS23" s="258">
        <f t="shared" si="18"/>
        <v>14930</v>
      </c>
      <c r="AT23" s="258">
        <f t="shared" si="19"/>
        <v>14930</v>
      </c>
      <c r="AU23" s="258">
        <f t="shared" si="20"/>
        <v>6349.68</v>
      </c>
      <c r="AV23" s="258">
        <f t="shared" si="21"/>
        <v>8580.32</v>
      </c>
      <c r="AW23" s="258">
        <f t="shared" si="5"/>
        <v>0</v>
      </c>
      <c r="AX23" s="258">
        <v>0</v>
      </c>
      <c r="AY23" s="258">
        <f t="shared" si="22"/>
        <v>6349.68</v>
      </c>
      <c r="AZ23" s="258">
        <f t="shared" si="38"/>
        <v>0</v>
      </c>
      <c r="BA23" s="258">
        <f t="shared" si="35"/>
        <v>0</v>
      </c>
      <c r="BB23" s="258"/>
      <c r="BC23" s="258"/>
      <c r="BD23" s="258"/>
      <c r="BE23" s="258"/>
      <c r="BF23" s="258"/>
      <c r="BG23" s="258">
        <f t="shared" si="24"/>
        <v>473757.4499999999</v>
      </c>
      <c r="BH23" s="108">
        <f t="shared" si="31"/>
        <v>46</v>
      </c>
      <c r="BI23" s="108">
        <f t="shared" si="26"/>
        <v>46</v>
      </c>
      <c r="BJ23" s="22">
        <f t="shared" si="27"/>
        <v>44739</v>
      </c>
      <c r="BK23" s="108">
        <f t="shared" si="7"/>
        <v>14278</v>
      </c>
    </row>
    <row r="24" spans="1:393" ht="18" customHeight="1" x14ac:dyDescent="0.25">
      <c r="A24" s="852" t="str">
        <f>IF(AND($C$8&lt;&gt;"Нет",$D$8&lt;&gt;"Нет",$C$14&lt;&gt;"Нет"),"Платеж с учетом Финансовой защиты + пакета услуг Всё под контролем, руб.",IF(AND($C$8&lt;&gt;"Нет",$D$8&lt;&gt;"Нет",$C$14&lt;&gt;"Да"),"Платеж с учетом Финансовой защиты, руб.",IF(AND($D$8&lt;&gt;"Нет",$C$14&lt;&gt;"Нет"),"Платеж с учетом пакета услуг Всё под контролем, руб.","Платеж, руб.")))</f>
        <v>Платеж с учетом Финансовой защиты, руб.</v>
      </c>
      <c r="B24" s="852"/>
      <c r="C24" s="358">
        <f>ROUNDUP(AH36/AH33*C23/AG47,0)*AG47</f>
        <v>14930</v>
      </c>
      <c r="D24" s="355">
        <f>ROUNDUP(AI36/AH33*D23/AG47,0)*AG47</f>
        <v>14930</v>
      </c>
      <c r="E24" s="204">
        <f>C24-D24</f>
        <v>0</v>
      </c>
      <c r="F24" s="226"/>
      <c r="G24" s="244">
        <f t="shared" si="28"/>
        <v>16</v>
      </c>
      <c r="H24" s="245">
        <f t="shared" si="1"/>
        <v>44769</v>
      </c>
      <c r="I24" s="246">
        <f t="shared" si="39"/>
        <v>0.13499999999999998</v>
      </c>
      <c r="J24" s="242">
        <f t="shared" si="9"/>
        <v>14278</v>
      </c>
      <c r="K24" s="242">
        <f t="shared" si="40"/>
        <v>14278</v>
      </c>
      <c r="L24" s="242">
        <f t="shared" si="34"/>
        <v>5813.76</v>
      </c>
      <c r="M24" s="242">
        <f t="shared" si="12"/>
        <v>8464.24</v>
      </c>
      <c r="N24" s="242">
        <f t="shared" si="2"/>
        <v>0</v>
      </c>
      <c r="O24" s="242">
        <v>0</v>
      </c>
      <c r="P24" s="242">
        <f t="shared" si="25"/>
        <v>5813.76</v>
      </c>
      <c r="Q24" s="242">
        <f t="shared" si="36"/>
        <v>0</v>
      </c>
      <c r="R24" s="242">
        <f t="shared" si="14"/>
        <v>0</v>
      </c>
      <c r="S24" s="242">
        <f t="shared" si="15"/>
        <v>515491.60999999993</v>
      </c>
      <c r="T24" s="467"/>
      <c r="U24" s="198">
        <f t="shared" si="29"/>
        <v>45</v>
      </c>
      <c r="V24" s="36">
        <f t="shared" si="16"/>
        <v>45</v>
      </c>
      <c r="AB24" s="3">
        <v>1</v>
      </c>
      <c r="AC24" s="15">
        <v>4.9000000000000002E-2</v>
      </c>
      <c r="AD24" s="15">
        <v>4.9000000000000002E-2</v>
      </c>
      <c r="AE24" s="15">
        <v>4.9000000000000002E-2</v>
      </c>
      <c r="AF24" s="80">
        <v>6.9000000000000006E-2</v>
      </c>
      <c r="AG24" s="80">
        <v>6.9000000000000006E-2</v>
      </c>
      <c r="AH24" s="80">
        <v>6.9000000000000006E-2</v>
      </c>
      <c r="AI24" s="80">
        <v>6.9000000000000006E-2</v>
      </c>
      <c r="AJ24" s="80">
        <v>6.9000000000000006E-2</v>
      </c>
      <c r="AK24" s="80">
        <v>6.9000000000000006E-2</v>
      </c>
      <c r="AL24" s="80">
        <v>6.9000000000000006E-2</v>
      </c>
      <c r="AO24" s="130">
        <f t="shared" si="17"/>
        <v>1</v>
      </c>
      <c r="AP24" s="261">
        <f t="shared" si="30"/>
        <v>16</v>
      </c>
      <c r="AQ24" s="262">
        <f t="shared" si="3"/>
        <v>44769</v>
      </c>
      <c r="AR24" s="263">
        <f t="shared" si="37"/>
        <v>0.155</v>
      </c>
      <c r="AS24" s="258">
        <f t="shared" si="18"/>
        <v>14930</v>
      </c>
      <c r="AT24" s="258">
        <f t="shared" si="19"/>
        <v>14930</v>
      </c>
      <c r="AU24" s="258">
        <f t="shared" si="20"/>
        <v>6035.54</v>
      </c>
      <c r="AV24" s="258">
        <f t="shared" si="21"/>
        <v>8894.4599999999991</v>
      </c>
      <c r="AW24" s="258">
        <f t="shared" si="5"/>
        <v>0</v>
      </c>
      <c r="AX24" s="258">
        <v>0</v>
      </c>
      <c r="AY24" s="258">
        <f t="shared" si="22"/>
        <v>6035.54</v>
      </c>
      <c r="AZ24" s="258">
        <f t="shared" si="38"/>
        <v>0</v>
      </c>
      <c r="BA24" s="258">
        <f t="shared" si="35"/>
        <v>0</v>
      </c>
      <c r="BB24" s="258"/>
      <c r="BC24" s="258"/>
      <c r="BD24" s="258"/>
      <c r="BE24" s="258"/>
      <c r="BF24" s="258"/>
      <c r="BG24" s="258">
        <f t="shared" si="24"/>
        <v>464862.98999999987</v>
      </c>
      <c r="BH24" s="108">
        <f t="shared" si="31"/>
        <v>45</v>
      </c>
      <c r="BI24" s="108">
        <f t="shared" si="26"/>
        <v>45</v>
      </c>
      <c r="BJ24" s="22">
        <f t="shared" si="27"/>
        <v>44769</v>
      </c>
      <c r="BK24" s="108">
        <f t="shared" si="7"/>
        <v>14278</v>
      </c>
    </row>
    <row r="25" spans="1:393" ht="18" customHeight="1" x14ac:dyDescent="0.25">
      <c r="A25" s="846" t="s">
        <v>285</v>
      </c>
      <c r="B25" s="846"/>
      <c r="C25" s="331">
        <f>IF(C8="Гарантия пакет",(AH65*AH79+AI65*AI79),INDEX($AC$79:$AI$79,MATCH(C$8,$AC$59:$AJ$59,0))*C26)*$C$10</f>
        <v>93750</v>
      </c>
      <c r="D25" s="357">
        <f>IF(D8="Гарантия пакет",(AH65*AH79+AI65*AI79),INDEX($AC$79:$AI$79,MATCH(D$8,$AC$59:$AJ$59,0))*D26)*$C$10</f>
        <v>93750</v>
      </c>
      <c r="E25" s="206">
        <f>C25-D25</f>
        <v>0</v>
      </c>
      <c r="F25" s="226"/>
      <c r="G25" s="244">
        <f t="shared" si="28"/>
        <v>17</v>
      </c>
      <c r="H25" s="245">
        <f t="shared" si="1"/>
        <v>44800</v>
      </c>
      <c r="I25" s="246">
        <f t="shared" si="39"/>
        <v>0.13499999999999998</v>
      </c>
      <c r="J25" s="242">
        <f t="shared" si="9"/>
        <v>14278</v>
      </c>
      <c r="K25" s="242">
        <f t="shared" si="40"/>
        <v>14278</v>
      </c>
      <c r="L25" s="242">
        <f t="shared" si="34"/>
        <v>5910.5</v>
      </c>
      <c r="M25" s="242">
        <f t="shared" si="12"/>
        <v>8367.5</v>
      </c>
      <c r="N25" s="242">
        <f t="shared" si="2"/>
        <v>0</v>
      </c>
      <c r="O25" s="242">
        <v>0</v>
      </c>
      <c r="P25" s="242">
        <f t="shared" si="25"/>
        <v>5910.5</v>
      </c>
      <c r="Q25" s="242">
        <f t="shared" si="36"/>
        <v>0</v>
      </c>
      <c r="R25" s="242">
        <f t="shared" si="14"/>
        <v>0</v>
      </c>
      <c r="S25" s="242">
        <f t="shared" si="15"/>
        <v>507124.10999999993</v>
      </c>
      <c r="T25" s="467"/>
      <c r="U25" s="198">
        <f t="shared" si="29"/>
        <v>44</v>
      </c>
      <c r="V25" s="36">
        <f t="shared" si="16"/>
        <v>44</v>
      </c>
      <c r="W25" s="2">
        <v>0</v>
      </c>
      <c r="X25" s="2">
        <v>1</v>
      </c>
      <c r="Y25" s="2">
        <v>2</v>
      </c>
      <c r="Z25" s="2">
        <v>3</v>
      </c>
      <c r="AA25" s="2">
        <v>4</v>
      </c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6"/>
      <c r="AN25" s="116"/>
      <c r="AO25" s="130">
        <f t="shared" si="17"/>
        <v>1</v>
      </c>
      <c r="AP25" s="266">
        <f t="shared" si="30"/>
        <v>17</v>
      </c>
      <c r="AQ25" s="265">
        <f t="shared" si="3"/>
        <v>44800</v>
      </c>
      <c r="AR25" s="263">
        <f t="shared" si="37"/>
        <v>0.155</v>
      </c>
      <c r="AS25" s="258">
        <f t="shared" si="18"/>
        <v>14930</v>
      </c>
      <c r="AT25" s="258">
        <f t="shared" si="19"/>
        <v>14930</v>
      </c>
      <c r="AU25" s="258">
        <f t="shared" si="20"/>
        <v>6119.63</v>
      </c>
      <c r="AV25" s="258">
        <f t="shared" si="21"/>
        <v>8810.369999999999</v>
      </c>
      <c r="AW25" s="258">
        <f t="shared" si="5"/>
        <v>0</v>
      </c>
      <c r="AX25" s="258">
        <v>0</v>
      </c>
      <c r="AY25" s="258">
        <f t="shared" si="22"/>
        <v>6119.63</v>
      </c>
      <c r="AZ25" s="258">
        <f t="shared" si="38"/>
        <v>0</v>
      </c>
      <c r="BA25" s="258">
        <f t="shared" si="35"/>
        <v>0</v>
      </c>
      <c r="BB25" s="258"/>
      <c r="BC25" s="258"/>
      <c r="BD25" s="258"/>
      <c r="BE25" s="258"/>
      <c r="BF25" s="258"/>
      <c r="BG25" s="258">
        <f t="shared" si="24"/>
        <v>456052.61999999988</v>
      </c>
      <c r="BH25" s="108">
        <f t="shared" si="31"/>
        <v>44</v>
      </c>
      <c r="BI25" s="108">
        <f t="shared" si="26"/>
        <v>44</v>
      </c>
      <c r="BJ25" s="22">
        <f t="shared" si="27"/>
        <v>44800</v>
      </c>
      <c r="BK25" s="108">
        <f t="shared" si="7"/>
        <v>14278</v>
      </c>
    </row>
    <row r="26" spans="1:393" ht="18" customHeight="1" x14ac:dyDescent="0.25">
      <c r="A26" s="846" t="s">
        <v>100</v>
      </c>
      <c r="B26" s="891"/>
      <c r="C26" s="330">
        <f>IF(C8="Нет",0,IF(C8=AC59,AC65,IF(C8=AD59,AD65,IF(C8=AF59,AF65,IF(C8=AG59,AG65,IF(C8=AE59,AE65,IF(C8=AH59,AH65,IF(C8=AI59,AI65,IF(C8=AJ59,AJ65,Y23)))))))))</f>
        <v>2.5000000000000001E-3</v>
      </c>
      <c r="D26" s="356">
        <f>IF(D8=AC59,AC65,IF(D8=AD59,AD65,IF(D8=AF59,AF65,IF(D8=AG59,AG65,IF(D8=AE59,AE65,IF(D8=AH59,AH65,IF(D8=AI59,AI65,IF(D8=AJ59,AJ65,Y23))))))))</f>
        <v>2.5000000000000001E-3</v>
      </c>
      <c r="E26" s="205"/>
      <c r="F26" s="192"/>
      <c r="G26" s="244">
        <f t="shared" si="28"/>
        <v>18</v>
      </c>
      <c r="H26" s="245">
        <f t="shared" si="1"/>
        <v>44831</v>
      </c>
      <c r="I26" s="246">
        <f t="shared" si="39"/>
        <v>0.13499999999999998</v>
      </c>
      <c r="J26" s="242">
        <f t="shared" si="9"/>
        <v>14278</v>
      </c>
      <c r="K26" s="242">
        <f t="shared" si="40"/>
        <v>14278</v>
      </c>
      <c r="L26" s="242">
        <f t="shared" si="34"/>
        <v>5814.56</v>
      </c>
      <c r="M26" s="242">
        <f t="shared" si="12"/>
        <v>8463.4399999999987</v>
      </c>
      <c r="N26" s="242">
        <f t="shared" si="2"/>
        <v>0</v>
      </c>
      <c r="O26" s="242">
        <v>0</v>
      </c>
      <c r="P26" s="242">
        <f t="shared" si="25"/>
        <v>5814.56</v>
      </c>
      <c r="Q26" s="242">
        <f t="shared" si="36"/>
        <v>0</v>
      </c>
      <c r="R26" s="242">
        <f t="shared" si="14"/>
        <v>0</v>
      </c>
      <c r="S26" s="242">
        <f t="shared" si="15"/>
        <v>498660.66999999993</v>
      </c>
      <c r="T26" s="467"/>
      <c r="U26" s="198">
        <f t="shared" si="29"/>
        <v>43</v>
      </c>
      <c r="V26" s="36">
        <f t="shared" si="16"/>
        <v>43</v>
      </c>
      <c r="AB26" s="13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O26" s="130">
        <f t="shared" si="17"/>
        <v>1</v>
      </c>
      <c r="AP26" s="261">
        <f t="shared" si="30"/>
        <v>18</v>
      </c>
      <c r="AQ26" s="262">
        <f t="shared" si="3"/>
        <v>44831</v>
      </c>
      <c r="AR26" s="263">
        <f t="shared" si="37"/>
        <v>0.155</v>
      </c>
      <c r="AS26" s="258">
        <f t="shared" si="18"/>
        <v>14930</v>
      </c>
      <c r="AT26" s="258">
        <f t="shared" si="19"/>
        <v>14930</v>
      </c>
      <c r="AU26" s="258">
        <f t="shared" si="20"/>
        <v>6003.65</v>
      </c>
      <c r="AV26" s="258">
        <f t="shared" si="21"/>
        <v>8926.35</v>
      </c>
      <c r="AW26" s="258">
        <f t="shared" si="5"/>
        <v>0</v>
      </c>
      <c r="AX26" s="258">
        <v>0</v>
      </c>
      <c r="AY26" s="258">
        <f t="shared" si="22"/>
        <v>6003.65</v>
      </c>
      <c r="AZ26" s="258">
        <f t="shared" si="38"/>
        <v>0</v>
      </c>
      <c r="BA26" s="258">
        <f t="shared" si="35"/>
        <v>0</v>
      </c>
      <c r="BB26" s="258"/>
      <c r="BC26" s="258"/>
      <c r="BD26" s="258"/>
      <c r="BE26" s="258"/>
      <c r="BF26" s="258"/>
      <c r="BG26" s="258">
        <f t="shared" si="24"/>
        <v>447126.2699999999</v>
      </c>
      <c r="BH26" s="108">
        <f t="shared" si="31"/>
        <v>43</v>
      </c>
      <c r="BI26" s="108">
        <f t="shared" si="26"/>
        <v>43</v>
      </c>
      <c r="BJ26" s="22">
        <f t="shared" si="27"/>
        <v>44831</v>
      </c>
      <c r="BK26" s="108">
        <f t="shared" si="7"/>
        <v>14278</v>
      </c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97"/>
      <c r="DW26" s="97"/>
      <c r="DX26" s="97"/>
      <c r="DY26" s="97"/>
      <c r="DZ26" s="97"/>
      <c r="EA26" s="97"/>
      <c r="EB26" s="97"/>
      <c r="EC26" s="97"/>
      <c r="ED26" s="97"/>
      <c r="EE26" s="97"/>
      <c r="EF26" s="97"/>
      <c r="EG26" s="97"/>
      <c r="EH26" s="97"/>
      <c r="EI26" s="97"/>
      <c r="EJ26" s="97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97"/>
      <c r="FC26" s="97"/>
      <c r="FD26" s="97"/>
      <c r="FE26" s="97"/>
      <c r="FF26" s="97"/>
      <c r="FG26" s="97"/>
      <c r="FH26" s="97"/>
      <c r="FI26" s="97"/>
      <c r="FJ26" s="97"/>
      <c r="FK26" s="97"/>
      <c r="FL26" s="97"/>
      <c r="FM26" s="97"/>
      <c r="FN26" s="97"/>
      <c r="FO26" s="97"/>
      <c r="FP26" s="97"/>
      <c r="FQ26" s="97"/>
      <c r="FR26" s="97"/>
      <c r="FS26" s="97"/>
      <c r="FT26" s="97"/>
      <c r="FU26" s="97"/>
      <c r="FV26" s="97"/>
      <c r="FW26" s="97"/>
      <c r="FX26" s="97"/>
      <c r="FY26" s="97"/>
      <c r="FZ26" s="97"/>
      <c r="GA26" s="97"/>
      <c r="GB26" s="97"/>
      <c r="GC26" s="97"/>
      <c r="GD26" s="97"/>
      <c r="GE26" s="97"/>
      <c r="GF26" s="97"/>
      <c r="GG26" s="97"/>
      <c r="GH26" s="97"/>
      <c r="GI26" s="97"/>
      <c r="GJ26" s="97"/>
      <c r="GK26" s="97"/>
      <c r="GL26" s="97"/>
      <c r="GM26" s="97"/>
      <c r="GN26" s="97"/>
      <c r="GO26" s="97"/>
      <c r="GP26" s="97"/>
      <c r="GQ26" s="97"/>
      <c r="GR26" s="97"/>
      <c r="GS26" s="97"/>
      <c r="GT26" s="97"/>
      <c r="GU26" s="97"/>
      <c r="GV26" s="97"/>
      <c r="GW26" s="97"/>
      <c r="GX26" s="97"/>
      <c r="GY26" s="97"/>
      <c r="GZ26" s="97"/>
      <c r="HA26" s="97"/>
      <c r="HB26" s="97"/>
      <c r="HC26" s="97"/>
      <c r="HD26" s="97"/>
      <c r="HE26" s="97"/>
      <c r="HF26" s="97"/>
      <c r="HG26" s="97"/>
      <c r="HH26" s="97"/>
      <c r="HI26" s="97"/>
      <c r="HJ26" s="97"/>
      <c r="HK26" s="97"/>
      <c r="HL26" s="97"/>
      <c r="HM26" s="97"/>
      <c r="HN26" s="97"/>
      <c r="HO26" s="97"/>
      <c r="HP26" s="97"/>
      <c r="HQ26" s="97"/>
      <c r="HR26" s="97"/>
      <c r="HS26" s="97"/>
      <c r="HT26" s="97"/>
      <c r="HU26" s="97"/>
      <c r="HV26" s="97"/>
      <c r="HW26" s="97"/>
      <c r="HX26" s="97"/>
      <c r="HY26" s="97"/>
      <c r="HZ26" s="97"/>
      <c r="IA26" s="97"/>
      <c r="IB26" s="97"/>
      <c r="IC26" s="97"/>
      <c r="ID26" s="97"/>
      <c r="IE26" s="97"/>
      <c r="IF26" s="97"/>
      <c r="IG26" s="97"/>
      <c r="IH26" s="97"/>
      <c r="II26" s="97"/>
      <c r="IJ26" s="97"/>
      <c r="IK26" s="97"/>
      <c r="IL26" s="97"/>
      <c r="IM26" s="97"/>
      <c r="IN26" s="97"/>
      <c r="IO26" s="97"/>
      <c r="IP26" s="97"/>
      <c r="IQ26" s="97"/>
      <c r="IR26" s="97"/>
      <c r="IS26" s="97"/>
      <c r="IT26" s="97"/>
      <c r="IU26" s="97"/>
      <c r="IV26" s="97"/>
      <c r="IW26" s="97"/>
      <c r="IX26" s="97"/>
      <c r="IY26" s="97"/>
      <c r="IZ26" s="97"/>
      <c r="JA26" s="97"/>
      <c r="JB26" s="97"/>
      <c r="JC26" s="97"/>
      <c r="JD26" s="97"/>
      <c r="JE26" s="97"/>
      <c r="JF26" s="97"/>
      <c r="JG26" s="97"/>
      <c r="JH26" s="97"/>
      <c r="JI26" s="97"/>
      <c r="JJ26" s="97"/>
      <c r="JK26" s="97"/>
      <c r="JL26" s="97"/>
      <c r="JM26" s="97"/>
      <c r="JN26" s="97"/>
      <c r="JO26" s="97"/>
      <c r="JP26" s="97"/>
      <c r="JQ26" s="97"/>
      <c r="JR26" s="97"/>
      <c r="JS26" s="97"/>
      <c r="JT26" s="97"/>
      <c r="JU26" s="97"/>
      <c r="JV26" s="97"/>
      <c r="JW26" s="97"/>
      <c r="JX26" s="97"/>
      <c r="JY26" s="97"/>
      <c r="JZ26" s="97"/>
      <c r="KA26" s="97"/>
      <c r="KB26" s="97"/>
      <c r="KC26" s="97"/>
      <c r="KD26" s="97"/>
      <c r="KE26" s="97"/>
      <c r="KF26" s="97"/>
      <c r="KG26" s="97"/>
      <c r="KH26" s="97"/>
      <c r="KI26" s="97"/>
      <c r="KJ26" s="97"/>
      <c r="KK26" s="97"/>
      <c r="KL26" s="97"/>
      <c r="KM26" s="97"/>
      <c r="KN26" s="97"/>
      <c r="KO26" s="97"/>
      <c r="KP26" s="97"/>
      <c r="KQ26" s="97"/>
      <c r="KR26" s="97"/>
      <c r="KS26" s="97"/>
      <c r="KT26" s="97"/>
      <c r="KU26" s="97"/>
      <c r="KV26" s="97"/>
      <c r="KW26" s="97"/>
      <c r="KX26" s="97"/>
      <c r="KY26" s="97"/>
      <c r="KZ26" s="97"/>
      <c r="LA26" s="97"/>
      <c r="LB26" s="97"/>
      <c r="LC26" s="97"/>
      <c r="LD26" s="97"/>
      <c r="LE26" s="97"/>
      <c r="LF26" s="97"/>
      <c r="LG26" s="97"/>
      <c r="LH26" s="97"/>
      <c r="LI26" s="97"/>
      <c r="LJ26" s="97"/>
      <c r="LK26" s="97"/>
      <c r="LL26" s="97"/>
      <c r="LM26" s="97"/>
      <c r="LN26" s="97"/>
      <c r="LO26" s="97"/>
      <c r="LP26" s="97"/>
      <c r="LQ26" s="97"/>
      <c r="LR26" s="97"/>
      <c r="LS26" s="97"/>
      <c r="LT26" s="97"/>
      <c r="LU26" s="97"/>
      <c r="LV26" s="97"/>
      <c r="LW26" s="97"/>
      <c r="LX26" s="97"/>
      <c r="LY26" s="97"/>
      <c r="LZ26" s="97"/>
      <c r="MA26" s="97"/>
      <c r="MB26" s="97"/>
      <c r="MC26" s="97"/>
      <c r="MD26" s="97"/>
      <c r="ME26" s="97"/>
      <c r="MF26" s="97"/>
      <c r="MG26" s="97"/>
      <c r="MH26" s="97"/>
      <c r="MI26" s="97"/>
      <c r="MJ26" s="97"/>
      <c r="MK26" s="97"/>
      <c r="ML26" s="97"/>
      <c r="MM26" s="97"/>
      <c r="MN26" s="97"/>
      <c r="MO26" s="97"/>
      <c r="MP26" s="97"/>
      <c r="MQ26" s="97"/>
      <c r="MR26" s="97"/>
      <c r="MS26" s="97"/>
      <c r="MT26" s="97"/>
      <c r="MU26" s="97"/>
      <c r="MV26" s="97"/>
      <c r="MW26" s="97"/>
      <c r="MX26" s="97"/>
      <c r="MY26" s="97"/>
      <c r="MZ26" s="97"/>
      <c r="NA26" s="97"/>
      <c r="NB26" s="97"/>
      <c r="NC26" s="97"/>
      <c r="ND26" s="97"/>
      <c r="NE26" s="97"/>
      <c r="NF26" s="97"/>
      <c r="NG26" s="97"/>
      <c r="NH26" s="97"/>
      <c r="NI26" s="97"/>
      <c r="NJ26" s="97"/>
      <c r="NK26" s="97"/>
      <c r="NL26" s="97"/>
      <c r="NM26" s="97"/>
      <c r="NN26" s="97"/>
      <c r="NO26" s="97"/>
      <c r="NP26" s="97"/>
      <c r="NQ26" s="97"/>
      <c r="NR26" s="97"/>
      <c r="NS26" s="97"/>
      <c r="NT26" s="97"/>
      <c r="NU26" s="97"/>
      <c r="NV26" s="97"/>
      <c r="NW26" s="97"/>
      <c r="NX26" s="97"/>
      <c r="NY26" s="97"/>
      <c r="NZ26" s="97"/>
      <c r="OA26" s="97"/>
      <c r="OB26" s="97"/>
      <c r="OC26" s="97"/>
    </row>
    <row r="27" spans="1:393" ht="16.95" customHeight="1" x14ac:dyDescent="0.25">
      <c r="A27" s="846" t="s">
        <v>325</v>
      </c>
      <c r="B27" s="846"/>
      <c r="C27" s="331">
        <f>IF(C8="Гарантия пакет",(AH65*AH79+AI65*AI79),INDEX($AC$79:$AI$79,MATCH(C$8,$AC$59:$AJ$59,0)))</f>
        <v>625000</v>
      </c>
      <c r="D27" s="357">
        <f>IF(D8="Гарантия пакет",(AH65*AH79+AI65*AI79),INDEX($AC$79:$AI$79,MATCH(D$8,$AC$59:$AJ$59,0)))</f>
        <v>625000</v>
      </c>
      <c r="E27" s="206">
        <f>C27-D27</f>
        <v>0</v>
      </c>
      <c r="F27" s="192"/>
      <c r="G27" s="244">
        <f t="shared" si="28"/>
        <v>19</v>
      </c>
      <c r="H27" s="245">
        <f t="shared" si="1"/>
        <v>44861</v>
      </c>
      <c r="I27" s="246">
        <f t="shared" si="39"/>
        <v>0.13499999999999998</v>
      </c>
      <c r="J27" s="242">
        <f t="shared" si="9"/>
        <v>14278</v>
      </c>
      <c r="K27" s="242">
        <f t="shared" si="40"/>
        <v>14278</v>
      </c>
      <c r="L27" s="242">
        <f t="shared" si="34"/>
        <v>5533.08</v>
      </c>
      <c r="M27" s="242">
        <f t="shared" si="12"/>
        <v>8744.92</v>
      </c>
      <c r="N27" s="242">
        <f t="shared" si="2"/>
        <v>0</v>
      </c>
      <c r="O27" s="242">
        <v>0</v>
      </c>
      <c r="P27" s="242">
        <f t="shared" si="25"/>
        <v>5533.08</v>
      </c>
      <c r="Q27" s="242">
        <f t="shared" si="36"/>
        <v>0</v>
      </c>
      <c r="R27" s="242">
        <f t="shared" si="14"/>
        <v>0</v>
      </c>
      <c r="S27" s="242">
        <f t="shared" si="15"/>
        <v>489915.74999999994</v>
      </c>
      <c r="T27" s="467"/>
      <c r="U27" s="198">
        <f t="shared" si="29"/>
        <v>42</v>
      </c>
      <c r="V27" s="36">
        <f t="shared" si="16"/>
        <v>42</v>
      </c>
      <c r="W27" s="16"/>
      <c r="X27" s="16"/>
      <c r="Y27" s="57"/>
      <c r="AB27" s="13" t="s">
        <v>79</v>
      </c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O27" s="130">
        <f t="shared" si="17"/>
        <v>1</v>
      </c>
      <c r="AP27" s="261">
        <f t="shared" si="30"/>
        <v>19</v>
      </c>
      <c r="AQ27" s="262">
        <f t="shared" si="3"/>
        <v>44861</v>
      </c>
      <c r="AR27" s="263">
        <f t="shared" si="37"/>
        <v>0.155</v>
      </c>
      <c r="AS27" s="258">
        <f t="shared" si="18"/>
        <v>14930</v>
      </c>
      <c r="AT27" s="258">
        <f t="shared" si="19"/>
        <v>14930</v>
      </c>
      <c r="AU27" s="258">
        <f t="shared" si="20"/>
        <v>5696.27</v>
      </c>
      <c r="AV27" s="258">
        <f t="shared" si="21"/>
        <v>9233.73</v>
      </c>
      <c r="AW27" s="258">
        <f t="shared" si="5"/>
        <v>0</v>
      </c>
      <c r="AX27" s="258">
        <v>0</v>
      </c>
      <c r="AY27" s="258">
        <f t="shared" si="22"/>
        <v>5696.27</v>
      </c>
      <c r="AZ27" s="258">
        <f t="shared" si="38"/>
        <v>0</v>
      </c>
      <c r="BA27" s="258">
        <f t="shared" si="35"/>
        <v>0</v>
      </c>
      <c r="BB27" s="258"/>
      <c r="BC27" s="258"/>
      <c r="BD27" s="258"/>
      <c r="BE27" s="258"/>
      <c r="BF27" s="258"/>
      <c r="BG27" s="258">
        <f t="shared" si="24"/>
        <v>437892.53999999992</v>
      </c>
      <c r="BH27" s="108">
        <f t="shared" si="31"/>
        <v>42</v>
      </c>
      <c r="BI27" s="108">
        <f t="shared" si="26"/>
        <v>42</v>
      </c>
      <c r="BJ27" s="22">
        <f t="shared" si="27"/>
        <v>44861</v>
      </c>
      <c r="BK27" s="108">
        <f t="shared" si="7"/>
        <v>14278</v>
      </c>
    </row>
    <row r="28" spans="1:393" ht="22.5" customHeight="1" x14ac:dyDescent="0.25">
      <c r="A28" s="846" t="s">
        <v>310</v>
      </c>
      <c r="B28" s="846"/>
      <c r="C28" s="331">
        <f>C25/$C$10</f>
        <v>1562.5</v>
      </c>
      <c r="D28" s="357">
        <f>D25/$C$10</f>
        <v>1562.5</v>
      </c>
      <c r="E28" s="206">
        <f t="shared" ref="E28:E29" si="41">C28-D28</f>
        <v>0</v>
      </c>
      <c r="F28" s="190"/>
      <c r="G28" s="244">
        <f t="shared" si="28"/>
        <v>20</v>
      </c>
      <c r="H28" s="245">
        <f t="shared" si="1"/>
        <v>44892</v>
      </c>
      <c r="I28" s="246">
        <f t="shared" si="39"/>
        <v>0.13499999999999998</v>
      </c>
      <c r="J28" s="242">
        <f t="shared" si="9"/>
        <v>14278</v>
      </c>
      <c r="K28" s="242">
        <f t="shared" si="40"/>
        <v>14278</v>
      </c>
      <c r="L28" s="242">
        <f t="shared" si="34"/>
        <v>5617.25</v>
      </c>
      <c r="M28" s="242">
        <f t="shared" si="12"/>
        <v>8660.75</v>
      </c>
      <c r="N28" s="242">
        <f t="shared" si="2"/>
        <v>0</v>
      </c>
      <c r="O28" s="242">
        <v>0</v>
      </c>
      <c r="P28" s="242">
        <f t="shared" si="25"/>
        <v>5617.25</v>
      </c>
      <c r="Q28" s="242">
        <f t="shared" si="36"/>
        <v>0</v>
      </c>
      <c r="R28" s="242">
        <f t="shared" si="14"/>
        <v>0</v>
      </c>
      <c r="S28" s="242">
        <f t="shared" si="15"/>
        <v>481254.99999999994</v>
      </c>
      <c r="T28" s="467"/>
      <c r="U28" s="198">
        <f t="shared" si="29"/>
        <v>41</v>
      </c>
      <c r="V28" s="36">
        <f t="shared" si="16"/>
        <v>41</v>
      </c>
      <c r="W28" s="138" t="s">
        <v>104</v>
      </c>
      <c r="X28" s="139"/>
      <c r="Y28" s="139" t="s">
        <v>20</v>
      </c>
      <c r="Z28" s="139" t="s">
        <v>29</v>
      </c>
      <c r="AA28" s="139"/>
      <c r="AB28" s="13" t="s">
        <v>80</v>
      </c>
      <c r="AC28" s="3">
        <v>1</v>
      </c>
      <c r="AD28" s="3">
        <v>1</v>
      </c>
      <c r="AE28" s="3">
        <v>1</v>
      </c>
      <c r="AF28" s="81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O28" s="130">
        <f t="shared" si="17"/>
        <v>1</v>
      </c>
      <c r="AP28" s="261">
        <f t="shared" si="30"/>
        <v>20</v>
      </c>
      <c r="AQ28" s="262">
        <f t="shared" si="3"/>
        <v>44892</v>
      </c>
      <c r="AR28" s="263">
        <f t="shared" si="37"/>
        <v>0.155</v>
      </c>
      <c r="AS28" s="258">
        <f t="shared" si="18"/>
        <v>14930</v>
      </c>
      <c r="AT28" s="258">
        <f t="shared" si="19"/>
        <v>14930</v>
      </c>
      <c r="AU28" s="258">
        <f t="shared" si="20"/>
        <v>5764.59</v>
      </c>
      <c r="AV28" s="258">
        <f t="shared" si="21"/>
        <v>9165.41</v>
      </c>
      <c r="AW28" s="258">
        <f t="shared" si="5"/>
        <v>0</v>
      </c>
      <c r="AX28" s="258">
        <v>0</v>
      </c>
      <c r="AY28" s="258">
        <f t="shared" si="22"/>
        <v>5764.59</v>
      </c>
      <c r="AZ28" s="258">
        <f t="shared" si="38"/>
        <v>0</v>
      </c>
      <c r="BA28" s="258">
        <f t="shared" si="35"/>
        <v>0</v>
      </c>
      <c r="BB28" s="258"/>
      <c r="BC28" s="258"/>
      <c r="BD28" s="258"/>
      <c r="BE28" s="258"/>
      <c r="BF28" s="258"/>
      <c r="BG28" s="258">
        <f t="shared" si="24"/>
        <v>428727.12999999995</v>
      </c>
      <c r="BH28" s="108">
        <f t="shared" si="31"/>
        <v>41</v>
      </c>
      <c r="BI28" s="108">
        <f t="shared" si="26"/>
        <v>41</v>
      </c>
      <c r="BJ28" s="22">
        <f t="shared" si="27"/>
        <v>44892</v>
      </c>
      <c r="BK28" s="108">
        <f t="shared" si="7"/>
        <v>14278</v>
      </c>
    </row>
    <row r="29" spans="1:393" ht="19.5" customHeight="1" x14ac:dyDescent="0.3">
      <c r="A29" s="846" t="s">
        <v>311</v>
      </c>
      <c r="B29" s="846"/>
      <c r="C29" s="354">
        <f>ROUND($C$28/30.4,2)</f>
        <v>51.4</v>
      </c>
      <c r="D29" s="208">
        <f>ROUND($D$28/30.4,2)</f>
        <v>51.4</v>
      </c>
      <c r="E29" s="210">
        <f t="shared" si="41"/>
        <v>0</v>
      </c>
      <c r="F29" s="234"/>
      <c r="G29" s="244">
        <f t="shared" si="28"/>
        <v>21</v>
      </c>
      <c r="H29" s="245">
        <f t="shared" si="1"/>
        <v>44922</v>
      </c>
      <c r="I29" s="246">
        <f t="shared" si="39"/>
        <v>0.13499999999999998</v>
      </c>
      <c r="J29" s="242">
        <f t="shared" si="9"/>
        <v>14278</v>
      </c>
      <c r="K29" s="242">
        <f t="shared" si="40"/>
        <v>14278</v>
      </c>
      <c r="L29" s="242">
        <f t="shared" si="34"/>
        <v>5339.95</v>
      </c>
      <c r="M29" s="242">
        <f t="shared" si="12"/>
        <v>8938.0499999999993</v>
      </c>
      <c r="N29" s="242">
        <f t="shared" si="2"/>
        <v>0</v>
      </c>
      <c r="O29" s="242">
        <v>0</v>
      </c>
      <c r="P29" s="242">
        <f t="shared" si="25"/>
        <v>5339.95</v>
      </c>
      <c r="Q29" s="242">
        <f t="shared" si="36"/>
        <v>0</v>
      </c>
      <c r="R29" s="242">
        <f t="shared" si="14"/>
        <v>0</v>
      </c>
      <c r="S29" s="242">
        <f t="shared" si="15"/>
        <v>472316.94999999995</v>
      </c>
      <c r="T29" s="467"/>
      <c r="U29" s="198">
        <f t="shared" si="29"/>
        <v>40</v>
      </c>
      <c r="V29" s="36">
        <f t="shared" si="16"/>
        <v>40</v>
      </c>
      <c r="W29" s="140" t="s">
        <v>106</v>
      </c>
      <c r="X29" s="140" t="s">
        <v>107</v>
      </c>
      <c r="Y29" s="140" t="s">
        <v>108</v>
      </c>
      <c r="Z29" s="140" t="s">
        <v>109</v>
      </c>
      <c r="AA29" s="140" t="s">
        <v>110</v>
      </c>
      <c r="AE29" s="82"/>
      <c r="AF29" s="2"/>
      <c r="AG29" s="2"/>
      <c r="AH29" s="2"/>
      <c r="AI29" s="3"/>
      <c r="AJ29" s="3"/>
      <c r="AK29" s="3"/>
      <c r="AL29" s="3"/>
      <c r="AO29" s="130">
        <f t="shared" si="17"/>
        <v>1</v>
      </c>
      <c r="AP29" s="261">
        <f t="shared" si="30"/>
        <v>21</v>
      </c>
      <c r="AQ29" s="262">
        <f t="shared" si="3"/>
        <v>44922</v>
      </c>
      <c r="AR29" s="263">
        <f t="shared" si="37"/>
        <v>0.155</v>
      </c>
      <c r="AS29" s="258">
        <f t="shared" si="18"/>
        <v>14930</v>
      </c>
      <c r="AT29" s="258">
        <f t="shared" si="19"/>
        <v>14930</v>
      </c>
      <c r="AU29" s="258">
        <f t="shared" si="20"/>
        <v>5461.87</v>
      </c>
      <c r="AV29" s="258">
        <f t="shared" si="21"/>
        <v>9468.130000000001</v>
      </c>
      <c r="AW29" s="258">
        <f t="shared" si="5"/>
        <v>0</v>
      </c>
      <c r="AX29" s="258">
        <v>0</v>
      </c>
      <c r="AY29" s="258">
        <f t="shared" si="22"/>
        <v>5461.87</v>
      </c>
      <c r="AZ29" s="258">
        <f t="shared" si="38"/>
        <v>0</v>
      </c>
      <c r="BA29" s="258">
        <f t="shared" si="35"/>
        <v>0</v>
      </c>
      <c r="BB29" s="258"/>
      <c r="BC29" s="258"/>
      <c r="BD29" s="258"/>
      <c r="BE29" s="258"/>
      <c r="BF29" s="258"/>
      <c r="BG29" s="258">
        <f t="shared" si="24"/>
        <v>419258.99999999994</v>
      </c>
      <c r="BH29" s="108">
        <f t="shared" si="31"/>
        <v>40</v>
      </c>
      <c r="BI29" s="108">
        <f t="shared" si="26"/>
        <v>40</v>
      </c>
      <c r="BJ29" s="22">
        <f t="shared" si="27"/>
        <v>44922</v>
      </c>
      <c r="BK29" s="108">
        <f t="shared" si="7"/>
        <v>14278</v>
      </c>
    </row>
    <row r="30" spans="1:393" ht="17.25" customHeight="1" x14ac:dyDescent="0.3">
      <c r="A30" s="846" t="s">
        <v>75</v>
      </c>
      <c r="B30" s="846"/>
      <c r="C30" s="194">
        <f>L109</f>
        <v>170804.76999999996</v>
      </c>
      <c r="D30" s="209">
        <f>AU109</f>
        <v>243889.36999999991</v>
      </c>
      <c r="E30" s="192">
        <f>C30-D30</f>
        <v>-73084.599999999948</v>
      </c>
      <c r="F30" s="235"/>
      <c r="G30" s="244">
        <f>G29+1</f>
        <v>22</v>
      </c>
      <c r="H30" s="245">
        <f t="shared" si="1"/>
        <v>44953</v>
      </c>
      <c r="I30" s="246">
        <f t="shared" si="39"/>
        <v>0.13499999999999998</v>
      </c>
      <c r="J30" s="242">
        <f t="shared" si="9"/>
        <v>14278</v>
      </c>
      <c r="K30" s="242">
        <f t="shared" si="40"/>
        <v>14278</v>
      </c>
      <c r="L30" s="242">
        <f t="shared" si="34"/>
        <v>5415.47</v>
      </c>
      <c r="M30" s="242">
        <f t="shared" si="12"/>
        <v>8862.5299999999988</v>
      </c>
      <c r="N30" s="242">
        <f t="shared" si="2"/>
        <v>0</v>
      </c>
      <c r="O30" s="242">
        <v>0</v>
      </c>
      <c r="P30" s="242">
        <f t="shared" si="25"/>
        <v>5415.47</v>
      </c>
      <c r="Q30" s="242">
        <f t="shared" si="36"/>
        <v>0</v>
      </c>
      <c r="R30" s="242">
        <f t="shared" si="14"/>
        <v>0</v>
      </c>
      <c r="S30" s="242">
        <f t="shared" si="15"/>
        <v>463454.41999999993</v>
      </c>
      <c r="T30" s="467"/>
      <c r="U30" s="198">
        <f>IF((U29-1)&lt;0,0,U29-1)</f>
        <v>39</v>
      </c>
      <c r="V30" s="36">
        <f t="shared" si="16"/>
        <v>39</v>
      </c>
      <c r="W30" s="141">
        <v>13</v>
      </c>
      <c r="X30" s="142">
        <v>19</v>
      </c>
      <c r="Y30" s="142">
        <v>31</v>
      </c>
      <c r="Z30" s="141">
        <v>43</v>
      </c>
      <c r="AA30" s="141">
        <v>55</v>
      </c>
      <c r="AC30" s="13" t="s">
        <v>47</v>
      </c>
      <c r="AD30" s="2" t="s">
        <v>35</v>
      </c>
      <c r="AE30" s="82" t="s">
        <v>35</v>
      </c>
      <c r="AF30" s="2" t="s">
        <v>35</v>
      </c>
      <c r="AG30" s="2" t="s">
        <v>35</v>
      </c>
      <c r="AH30" s="2" t="s">
        <v>35</v>
      </c>
      <c r="AK30" s="2"/>
      <c r="AO30" s="130">
        <f t="shared" si="17"/>
        <v>1</v>
      </c>
      <c r="AP30" s="261">
        <f>AP29+1</f>
        <v>22</v>
      </c>
      <c r="AQ30" s="262">
        <f t="shared" si="3"/>
        <v>44953</v>
      </c>
      <c r="AR30" s="263">
        <f t="shared" si="37"/>
        <v>0.155</v>
      </c>
      <c r="AS30" s="258">
        <f t="shared" si="18"/>
        <v>14930</v>
      </c>
      <c r="AT30" s="258">
        <f t="shared" si="19"/>
        <v>14930</v>
      </c>
      <c r="AU30" s="258">
        <f t="shared" si="20"/>
        <v>5519.29</v>
      </c>
      <c r="AV30" s="258">
        <f>IF(BI30=0,0,IF(BI30=1,BG29,IF(BG29+AW30+AU30&gt;AT29,AT30-AU30-AW30,BG29)))</f>
        <v>9410.7099999999991</v>
      </c>
      <c r="AW30" s="258">
        <f t="shared" si="5"/>
        <v>0</v>
      </c>
      <c r="AX30" s="258">
        <v>0</v>
      </c>
      <c r="AY30" s="258">
        <f t="shared" si="22"/>
        <v>5519.29</v>
      </c>
      <c r="AZ30" s="258">
        <f t="shared" si="38"/>
        <v>0</v>
      </c>
      <c r="BA30" s="258">
        <f t="shared" si="35"/>
        <v>0</v>
      </c>
      <c r="BB30" s="258"/>
      <c r="BC30" s="258"/>
      <c r="BD30" s="258"/>
      <c r="BE30" s="258"/>
      <c r="BF30" s="258"/>
      <c r="BG30" s="258">
        <f>IF(OR(BI30=1,BG29=0),0,BG29-AV30)</f>
        <v>409848.28999999992</v>
      </c>
      <c r="BH30" s="108">
        <f>IF((BH29-1)&lt;0,0,BH29-1)</f>
        <v>39</v>
      </c>
      <c r="BI30" s="108">
        <f t="shared" si="26"/>
        <v>39</v>
      </c>
      <c r="BJ30" s="22">
        <f t="shared" si="27"/>
        <v>44953</v>
      </c>
      <c r="BK30" s="108">
        <f t="shared" si="7"/>
        <v>14278</v>
      </c>
    </row>
    <row r="31" spans="1:393" ht="16.5" customHeight="1" x14ac:dyDescent="0.25">
      <c r="A31" s="846" t="s">
        <v>290</v>
      </c>
      <c r="B31" s="846"/>
      <c r="C31" s="194">
        <f>IF(C18="",0,C18*6)</f>
        <v>42000</v>
      </c>
      <c r="D31" s="209">
        <f>IF(D18="",0,D18*12)</f>
        <v>0</v>
      </c>
      <c r="E31" s="274">
        <f>C31-D31</f>
        <v>42000</v>
      </c>
      <c r="F31" s="236"/>
      <c r="G31" s="244">
        <f t="shared" si="28"/>
        <v>23</v>
      </c>
      <c r="H31" s="245">
        <f t="shared" si="1"/>
        <v>44984</v>
      </c>
      <c r="I31" s="246">
        <f t="shared" si="39"/>
        <v>0.13499999999999998</v>
      </c>
      <c r="J31" s="242">
        <f t="shared" si="9"/>
        <v>14278</v>
      </c>
      <c r="K31" s="242">
        <f t="shared" si="40"/>
        <v>14278</v>
      </c>
      <c r="L31" s="242">
        <f t="shared" si="34"/>
        <v>5313.85</v>
      </c>
      <c r="M31" s="242">
        <f t="shared" si="12"/>
        <v>8964.15</v>
      </c>
      <c r="N31" s="242">
        <f t="shared" si="2"/>
        <v>0</v>
      </c>
      <c r="O31" s="242">
        <v>0</v>
      </c>
      <c r="P31" s="242">
        <f t="shared" si="25"/>
        <v>5313.85</v>
      </c>
      <c r="Q31" s="242">
        <f t="shared" si="36"/>
        <v>0</v>
      </c>
      <c r="R31" s="242">
        <f t="shared" si="14"/>
        <v>0</v>
      </c>
      <c r="S31" s="242">
        <f t="shared" si="15"/>
        <v>454490.2699999999</v>
      </c>
      <c r="T31" s="467"/>
      <c r="U31" s="198">
        <f t="shared" si="29"/>
        <v>38</v>
      </c>
      <c r="V31" s="36">
        <f t="shared" si="16"/>
        <v>38</v>
      </c>
      <c r="W31" s="142">
        <v>18</v>
      </c>
      <c r="X31" s="142">
        <v>30</v>
      </c>
      <c r="Y31" s="142">
        <v>42</v>
      </c>
      <c r="Z31" s="142">
        <v>54</v>
      </c>
      <c r="AA31" s="142">
        <v>60</v>
      </c>
      <c r="AC31" s="15">
        <f>IF(C12=W3,W17,IF(C12=Y3,Y17,IF(C12=Z3,Z17,IF(C12=AA3,AA17,IF(C12=X3,X17,)))))</f>
        <v>0</v>
      </c>
      <c r="AD31" s="15">
        <v>0</v>
      </c>
      <c r="AE31" s="2">
        <v>0</v>
      </c>
      <c r="AF31" s="2">
        <v>0</v>
      </c>
      <c r="AG31" s="2">
        <v>0</v>
      </c>
      <c r="AH31" s="2"/>
      <c r="AK31" s="2"/>
      <c r="AO31" s="130">
        <f t="shared" si="17"/>
        <v>1</v>
      </c>
      <c r="AP31" s="261">
        <f t="shared" si="30"/>
        <v>23</v>
      </c>
      <c r="AQ31" s="262">
        <f t="shared" si="3"/>
        <v>44984</v>
      </c>
      <c r="AR31" s="263">
        <f t="shared" si="37"/>
        <v>0.155</v>
      </c>
      <c r="AS31" s="258">
        <f t="shared" si="18"/>
        <v>14930</v>
      </c>
      <c r="AT31" s="258">
        <f t="shared" si="19"/>
        <v>14930</v>
      </c>
      <c r="AU31" s="258">
        <f t="shared" si="20"/>
        <v>5395.4</v>
      </c>
      <c r="AV31" s="258">
        <f t="shared" si="21"/>
        <v>9534.6</v>
      </c>
      <c r="AW31" s="258">
        <f t="shared" si="5"/>
        <v>0</v>
      </c>
      <c r="AX31" s="258">
        <v>0</v>
      </c>
      <c r="AY31" s="258">
        <f t="shared" si="22"/>
        <v>5395.4</v>
      </c>
      <c r="AZ31" s="258">
        <f t="shared" si="38"/>
        <v>0</v>
      </c>
      <c r="BA31" s="258">
        <f t="shared" si="35"/>
        <v>0</v>
      </c>
      <c r="BB31" s="258"/>
      <c r="BC31" s="258"/>
      <c r="BD31" s="258"/>
      <c r="BE31" s="258"/>
      <c r="BF31" s="258"/>
      <c r="BG31" s="258">
        <f t="shared" si="24"/>
        <v>400313.68999999994</v>
      </c>
      <c r="BH31" s="108">
        <f t="shared" si="31"/>
        <v>38</v>
      </c>
      <c r="BI31" s="108">
        <f t="shared" si="26"/>
        <v>38</v>
      </c>
      <c r="BJ31" s="22">
        <f t="shared" si="27"/>
        <v>44984</v>
      </c>
      <c r="BK31" s="108">
        <f t="shared" si="7"/>
        <v>14278</v>
      </c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116"/>
      <c r="FX31" s="116"/>
      <c r="FY31" s="116"/>
      <c r="FZ31" s="116"/>
      <c r="GA31" s="116"/>
      <c r="GB31" s="116"/>
      <c r="GC31" s="116"/>
      <c r="GD31" s="116"/>
      <c r="GE31" s="116"/>
      <c r="GF31" s="116"/>
      <c r="GG31" s="116"/>
      <c r="GH31" s="116"/>
      <c r="GI31" s="116"/>
      <c r="GJ31" s="116"/>
      <c r="GK31" s="116"/>
      <c r="GL31" s="116"/>
      <c r="GM31" s="116"/>
      <c r="GN31" s="116"/>
      <c r="GO31" s="116"/>
      <c r="GP31" s="116"/>
      <c r="GQ31" s="116"/>
      <c r="GR31" s="116"/>
      <c r="GS31" s="116"/>
      <c r="GT31" s="116"/>
      <c r="GU31" s="116"/>
      <c r="GV31" s="116"/>
      <c r="GW31" s="116"/>
      <c r="GX31" s="116"/>
      <c r="GY31" s="116"/>
      <c r="GZ31" s="116"/>
      <c r="HA31" s="116"/>
      <c r="HB31" s="116"/>
      <c r="HC31" s="116"/>
      <c r="HD31" s="116"/>
      <c r="HE31" s="116"/>
      <c r="HF31" s="116"/>
      <c r="HG31" s="116"/>
      <c r="HH31" s="116"/>
      <c r="HI31" s="116"/>
      <c r="HJ31" s="116"/>
      <c r="HK31" s="116"/>
      <c r="HL31" s="116"/>
      <c r="HM31" s="116"/>
      <c r="HN31" s="116"/>
      <c r="HO31" s="116"/>
      <c r="HP31" s="116"/>
      <c r="HQ31" s="116"/>
      <c r="HR31" s="116"/>
      <c r="HS31" s="116"/>
      <c r="HT31" s="116"/>
      <c r="HU31" s="116"/>
      <c r="HV31" s="116"/>
      <c r="HW31" s="116"/>
      <c r="HX31" s="116"/>
      <c r="HY31" s="116"/>
      <c r="HZ31" s="116"/>
      <c r="IA31" s="116"/>
      <c r="IB31" s="116"/>
      <c r="IC31" s="116"/>
      <c r="ID31" s="116"/>
      <c r="IE31" s="116"/>
      <c r="IF31" s="116"/>
      <c r="IG31" s="116"/>
      <c r="IH31" s="116"/>
      <c r="II31" s="116"/>
      <c r="IJ31" s="116"/>
      <c r="IK31" s="116"/>
      <c r="IL31" s="116"/>
      <c r="IM31" s="116"/>
      <c r="IN31" s="116"/>
      <c r="IO31" s="116"/>
      <c r="IP31" s="116"/>
      <c r="IQ31" s="116"/>
      <c r="IR31" s="116"/>
      <c r="IS31" s="116"/>
      <c r="IT31" s="116"/>
      <c r="IU31" s="116"/>
      <c r="IV31" s="116"/>
      <c r="IW31" s="116"/>
      <c r="IX31" s="116"/>
      <c r="IY31" s="116"/>
      <c r="IZ31" s="116"/>
      <c r="JA31" s="116"/>
      <c r="JB31" s="116"/>
      <c r="JC31" s="116"/>
      <c r="JD31" s="116"/>
      <c r="JE31" s="116"/>
      <c r="JF31" s="116"/>
      <c r="JG31" s="116"/>
      <c r="JH31" s="116"/>
      <c r="JI31" s="116"/>
      <c r="JJ31" s="116"/>
      <c r="JK31" s="116"/>
      <c r="JL31" s="116"/>
      <c r="JM31" s="116"/>
      <c r="JN31" s="116"/>
      <c r="JO31" s="116"/>
      <c r="JP31" s="116"/>
      <c r="JQ31" s="116"/>
      <c r="JR31" s="116"/>
      <c r="JS31" s="116"/>
      <c r="JT31" s="116"/>
      <c r="JU31" s="116"/>
      <c r="JV31" s="116"/>
      <c r="JW31" s="116"/>
      <c r="JX31" s="116"/>
      <c r="JY31" s="116"/>
      <c r="JZ31" s="116"/>
      <c r="KA31" s="116"/>
      <c r="KB31" s="116"/>
      <c r="KC31" s="116"/>
      <c r="KD31" s="116"/>
      <c r="KE31" s="116"/>
      <c r="KF31" s="116"/>
      <c r="KG31" s="116"/>
      <c r="KH31" s="116"/>
      <c r="KI31" s="116"/>
      <c r="KJ31" s="116"/>
      <c r="KK31" s="116"/>
      <c r="KL31" s="116"/>
      <c r="KM31" s="116"/>
      <c r="KN31" s="116"/>
      <c r="KO31" s="116"/>
      <c r="KP31" s="116"/>
      <c r="KQ31" s="116"/>
      <c r="KR31" s="116"/>
      <c r="KS31" s="116"/>
      <c r="KT31" s="116"/>
      <c r="KU31" s="116"/>
      <c r="KV31" s="116"/>
      <c r="KW31" s="116"/>
      <c r="KX31" s="116"/>
      <c r="KY31" s="116"/>
      <c r="KZ31" s="116"/>
      <c r="LA31" s="116"/>
      <c r="LB31" s="116"/>
      <c r="LC31" s="116"/>
      <c r="LD31" s="116"/>
      <c r="LE31" s="116"/>
      <c r="LF31" s="116"/>
      <c r="LG31" s="116"/>
      <c r="LH31" s="116"/>
      <c r="LI31" s="116"/>
      <c r="LJ31" s="116"/>
      <c r="LK31" s="116"/>
      <c r="LL31" s="116"/>
      <c r="LM31" s="116"/>
      <c r="LN31" s="116"/>
      <c r="LO31" s="116"/>
      <c r="LP31" s="116"/>
      <c r="LQ31" s="116"/>
      <c r="LR31" s="116"/>
      <c r="LS31" s="116"/>
      <c r="LT31" s="116"/>
      <c r="LU31" s="116"/>
      <c r="LV31" s="116"/>
      <c r="LW31" s="116"/>
      <c r="LX31" s="116"/>
      <c r="LY31" s="116"/>
      <c r="LZ31" s="116"/>
      <c r="MA31" s="116"/>
      <c r="MB31" s="116"/>
      <c r="MC31" s="116"/>
      <c r="MD31" s="116"/>
      <c r="ME31" s="116"/>
      <c r="MF31" s="116"/>
      <c r="MG31" s="116"/>
      <c r="MH31" s="116"/>
      <c r="MI31" s="116"/>
      <c r="MJ31" s="116"/>
      <c r="MK31" s="116"/>
      <c r="ML31" s="116"/>
      <c r="MM31" s="116"/>
      <c r="MN31" s="116"/>
      <c r="MO31" s="116"/>
      <c r="MP31" s="116"/>
      <c r="MQ31" s="116"/>
      <c r="MR31" s="116"/>
      <c r="MS31" s="116"/>
      <c r="MT31" s="116"/>
      <c r="MU31" s="116"/>
      <c r="MV31" s="116"/>
      <c r="MW31" s="116"/>
      <c r="MX31" s="116"/>
      <c r="MY31" s="116"/>
      <c r="MZ31" s="116"/>
      <c r="NA31" s="116"/>
      <c r="NB31" s="116"/>
      <c r="NC31" s="116"/>
      <c r="ND31" s="116"/>
      <c r="NE31" s="116"/>
      <c r="NF31" s="116"/>
      <c r="NG31" s="116"/>
      <c r="NH31" s="116"/>
      <c r="NI31" s="116"/>
      <c r="NJ31" s="116"/>
      <c r="NK31" s="116"/>
      <c r="NL31" s="116"/>
      <c r="NM31" s="116"/>
      <c r="NN31" s="116"/>
      <c r="NO31" s="116"/>
      <c r="NP31" s="116"/>
      <c r="NQ31" s="116"/>
    </row>
    <row r="32" spans="1:393" ht="23.25" customHeight="1" thickBot="1" x14ac:dyDescent="0.3">
      <c r="A32" s="846" t="s">
        <v>157</v>
      </c>
      <c r="B32" s="846"/>
      <c r="C32" s="199">
        <f>J109</f>
        <v>806554.7699999999</v>
      </c>
      <c r="D32" s="207">
        <f>AT109</f>
        <v>837639.37</v>
      </c>
      <c r="E32" s="473">
        <f>C32-D32</f>
        <v>-31084.600000000093</v>
      </c>
      <c r="F32" s="191"/>
      <c r="G32" s="248">
        <f t="shared" si="28"/>
        <v>24</v>
      </c>
      <c r="H32" s="249">
        <f t="shared" si="1"/>
        <v>45012</v>
      </c>
      <c r="I32" s="250">
        <f t="shared" si="39"/>
        <v>0.13499999999999998</v>
      </c>
      <c r="J32" s="252">
        <f t="shared" si="9"/>
        <v>14278</v>
      </c>
      <c r="K32" s="252">
        <f>IF(AND(G32&gt;=$W$9,G32&lt;=$W$9+5),$W$10,IF(AND(S31+N32+L32&gt;K31,K31&lt;&gt;0),IF(AND($C$16="Да",$C$8&lt;&gt;"Нет"),$AF$37,$C$24),IF(S31=0,0,S31+N32+L32+L33)))</f>
        <v>14278</v>
      </c>
      <c r="L32" s="252">
        <f t="shared" si="34"/>
        <v>4706.78</v>
      </c>
      <c r="M32" s="252">
        <f t="shared" si="12"/>
        <v>9571.2200000000012</v>
      </c>
      <c r="N32" s="252">
        <f t="shared" si="2"/>
        <v>0</v>
      </c>
      <c r="O32" s="252">
        <v>0</v>
      </c>
      <c r="P32" s="252">
        <f t="shared" si="25"/>
        <v>4706.78</v>
      </c>
      <c r="Q32" s="252">
        <f t="shared" si="36"/>
        <v>0</v>
      </c>
      <c r="R32" s="252">
        <f t="shared" si="14"/>
        <v>0</v>
      </c>
      <c r="S32" s="252">
        <f t="shared" si="15"/>
        <v>444919.04999999993</v>
      </c>
      <c r="T32" s="468"/>
      <c r="U32" s="198">
        <f t="shared" si="29"/>
        <v>37</v>
      </c>
      <c r="V32" s="36">
        <f t="shared" si="16"/>
        <v>37</v>
      </c>
      <c r="W32" s="142">
        <v>2400</v>
      </c>
      <c r="X32" s="142">
        <v>2900</v>
      </c>
      <c r="Y32" s="142">
        <v>3900</v>
      </c>
      <c r="Z32" s="142">
        <v>4900</v>
      </c>
      <c r="AA32" s="142">
        <v>5900</v>
      </c>
      <c r="AC32" s="15" t="e">
        <f>IF(#REF!=W3,W17,IF(#REF!=Y3,Y17,IF(#REF!=Z3,Z17,IF(#REF!=AA3,AA17,IF(#REF!=X3,X17,)))))</f>
        <v>#REF!</v>
      </c>
      <c r="AD32" s="15">
        <v>0</v>
      </c>
      <c r="AE32" s="15"/>
      <c r="AF32" s="2"/>
      <c r="AG32" s="2"/>
      <c r="AH32" s="2"/>
      <c r="AK32" s="2"/>
      <c r="AN32" s="16"/>
      <c r="AO32" s="130">
        <f t="shared" si="17"/>
        <v>1</v>
      </c>
      <c r="AP32" s="261">
        <f t="shared" si="30"/>
        <v>24</v>
      </c>
      <c r="AQ32" s="262">
        <f t="shared" si="3"/>
        <v>45012</v>
      </c>
      <c r="AR32" s="263">
        <f t="shared" si="37"/>
        <v>0.155</v>
      </c>
      <c r="AS32" s="258">
        <f t="shared" si="18"/>
        <v>14930</v>
      </c>
      <c r="AT32" s="258">
        <f t="shared" si="19"/>
        <v>14930</v>
      </c>
      <c r="AU32" s="258">
        <f t="shared" si="20"/>
        <v>4759.8900000000003</v>
      </c>
      <c r="AV32" s="258">
        <f t="shared" si="21"/>
        <v>10170.11</v>
      </c>
      <c r="AW32" s="258">
        <f t="shared" si="5"/>
        <v>0</v>
      </c>
      <c r="AX32" s="258">
        <v>0</v>
      </c>
      <c r="AY32" s="258">
        <f t="shared" si="22"/>
        <v>4759.8900000000003</v>
      </c>
      <c r="AZ32" s="258">
        <f t="shared" si="38"/>
        <v>0</v>
      </c>
      <c r="BA32" s="258">
        <f t="shared" si="35"/>
        <v>0</v>
      </c>
      <c r="BB32" s="258"/>
      <c r="BC32" s="258"/>
      <c r="BD32" s="258"/>
      <c r="BE32" s="258"/>
      <c r="BF32" s="258"/>
      <c r="BG32" s="258">
        <f t="shared" si="24"/>
        <v>390143.57999999996</v>
      </c>
      <c r="BH32" s="108">
        <f t="shared" si="31"/>
        <v>37</v>
      </c>
      <c r="BI32" s="108">
        <f t="shared" si="26"/>
        <v>37</v>
      </c>
      <c r="BJ32" s="22">
        <f t="shared" si="27"/>
        <v>45012</v>
      </c>
      <c r="BK32" s="108">
        <f t="shared" si="7"/>
        <v>14278</v>
      </c>
    </row>
    <row r="33" spans="1:1217" ht="51.75" customHeight="1" x14ac:dyDescent="0.25">
      <c r="A33" s="941" t="s">
        <v>302</v>
      </c>
      <c r="B33" s="941"/>
      <c r="C33" s="211">
        <f>C30+C31</f>
        <v>212804.76999999996</v>
      </c>
      <c r="D33" s="212">
        <f>D30+D31</f>
        <v>243889.36999999991</v>
      </c>
      <c r="E33" s="200">
        <f>C33-D33</f>
        <v>-31084.599999999948</v>
      </c>
      <c r="F33" s="191"/>
      <c r="G33" s="244">
        <f t="shared" si="28"/>
        <v>25</v>
      </c>
      <c r="H33" s="245">
        <f t="shared" si="1"/>
        <v>45043</v>
      </c>
      <c r="I33" s="246">
        <f>IF(AND($C$16="Да",$C$8&lt;&gt;"Нет"),$AG$38,$C$13)</f>
        <v>9.4999999999999973E-2</v>
      </c>
      <c r="J33" s="242">
        <f t="shared" si="9"/>
        <v>13626</v>
      </c>
      <c r="K33" s="242">
        <f>IF(AND(G33&gt;=$W$9,G33&lt;=$W$9+5),$W$10,IF(AND(S32+N33+L33&gt;K32,K32&lt;&gt;0),IF(AND($C$16="Да",$C$8&lt;&gt;"Нет"),$AF$38,$C$24),IF(S32=0,0,S32+N33+L33+L34)))</f>
        <v>13626</v>
      </c>
      <c r="L33" s="242">
        <f t="shared" si="34"/>
        <v>3589.83</v>
      </c>
      <c r="M33" s="242">
        <f t="shared" si="12"/>
        <v>10036.17</v>
      </c>
      <c r="N33" s="242">
        <f t="shared" si="2"/>
        <v>0</v>
      </c>
      <c r="O33" s="242">
        <v>0</v>
      </c>
      <c r="P33" s="242">
        <f t="shared" si="25"/>
        <v>3589.83</v>
      </c>
      <c r="Q33" s="242">
        <f t="shared" si="36"/>
        <v>0</v>
      </c>
      <c r="R33" s="242">
        <f t="shared" si="14"/>
        <v>0</v>
      </c>
      <c r="S33" s="242">
        <f t="shared" si="15"/>
        <v>434882.87999999995</v>
      </c>
      <c r="T33" s="467"/>
      <c r="U33" s="198">
        <f t="shared" si="29"/>
        <v>36</v>
      </c>
      <c r="V33" s="36">
        <f t="shared" si="16"/>
        <v>36</v>
      </c>
      <c r="W33" s="158">
        <v>1400</v>
      </c>
      <c r="X33" s="158">
        <v>1900</v>
      </c>
      <c r="Y33" s="158">
        <v>2900</v>
      </c>
      <c r="Z33" s="158">
        <v>3900</v>
      </c>
      <c r="AA33" s="158">
        <v>4900</v>
      </c>
      <c r="AE33" s="15"/>
      <c r="AF33" s="173">
        <f>$C$24-AG33</f>
        <v>70</v>
      </c>
      <c r="AG33" s="2">
        <f>ROUNDUP(((S20)*AG37/12*(1+AG37/12)^(U21)/((1+AG37/12)^(U21)-1)+S20/10000*IF(U21&lt;11,20,IF(U21&lt;34,0.7,IF(U21&lt;58,0.3,0.1)))*IF(AG37&lt;0.3,AG37/0.2,AG37/0.1))/AG47,0)*AG47</f>
        <v>14860</v>
      </c>
      <c r="AH33" s="16">
        <v>6000000</v>
      </c>
      <c r="AM33" s="16"/>
      <c r="AN33" s="16"/>
      <c r="AO33" s="130">
        <f t="shared" si="17"/>
        <v>1</v>
      </c>
      <c r="AP33" s="261">
        <f t="shared" si="30"/>
        <v>25</v>
      </c>
      <c r="AQ33" s="262">
        <f t="shared" si="3"/>
        <v>45043</v>
      </c>
      <c r="AR33" s="263">
        <f t="shared" ref="AR33:AR44" si="42">IF($D$16="Да",$AM$38,$D$13)</f>
        <v>0.155</v>
      </c>
      <c r="AS33" s="258">
        <f t="shared" si="18"/>
        <v>14930</v>
      </c>
      <c r="AT33" s="258">
        <f t="shared" si="19"/>
        <v>14930</v>
      </c>
      <c r="AU33" s="258">
        <f t="shared" si="20"/>
        <v>5136</v>
      </c>
      <c r="AV33" s="258">
        <f t="shared" si="21"/>
        <v>9794</v>
      </c>
      <c r="AW33" s="258">
        <f t="shared" si="5"/>
        <v>0</v>
      </c>
      <c r="AX33" s="258">
        <v>0</v>
      </c>
      <c r="AY33" s="258">
        <f t="shared" si="22"/>
        <v>5136</v>
      </c>
      <c r="AZ33" s="258">
        <f t="shared" si="38"/>
        <v>0</v>
      </c>
      <c r="BA33" s="258">
        <f t="shared" si="35"/>
        <v>0</v>
      </c>
      <c r="BB33" s="258"/>
      <c r="BC33" s="258"/>
      <c r="BD33" s="258"/>
      <c r="BE33" s="258"/>
      <c r="BF33" s="258"/>
      <c r="BG33" s="258">
        <f t="shared" si="24"/>
        <v>380349.57999999996</v>
      </c>
      <c r="BH33" s="108">
        <f t="shared" si="31"/>
        <v>36</v>
      </c>
      <c r="BI33" s="108">
        <f t="shared" si="26"/>
        <v>36</v>
      </c>
      <c r="BJ33" s="22">
        <f t="shared" si="27"/>
        <v>45043</v>
      </c>
      <c r="BK33" s="108">
        <f t="shared" si="7"/>
        <v>13626</v>
      </c>
      <c r="BN33" s="853"/>
      <c r="BP33" s="131"/>
    </row>
    <row r="34" spans="1:1217" ht="52.5" customHeight="1" x14ac:dyDescent="0.25">
      <c r="A34" s="974" t="s">
        <v>293</v>
      </c>
      <c r="B34" s="974"/>
      <c r="C34" s="978" t="str">
        <f>IF(C8="Нет","Для снижения ставки и активации льготного периода предложи подключить ФЗ",IF(E33&lt;0,CONCATENATE(ROUND(D33-C33,0)," рублей"),"Для экономии по кредиту предложи Клиенту увеличить срок и / или сумму кредита"))</f>
        <v>31085 рублей</v>
      </c>
      <c r="D34" s="978"/>
      <c r="E34" s="978"/>
      <c r="F34" s="191"/>
      <c r="G34" s="244">
        <f t="shared" si="28"/>
        <v>26</v>
      </c>
      <c r="H34" s="245">
        <f t="shared" si="1"/>
        <v>45073</v>
      </c>
      <c r="I34" s="246">
        <f t="shared" ref="I34:I44" si="43">IF(AND($C$16="Да",$C$8&lt;&gt;"Нет"),$AG$38,$C$13)</f>
        <v>9.4999999999999973E-2</v>
      </c>
      <c r="J34" s="242">
        <f t="shared" si="9"/>
        <v>13626</v>
      </c>
      <c r="K34" s="242">
        <f t="shared" ref="K34:K44" si="44">IF(AND(G34&gt;=$W$9,G34&lt;=$W$9+5),$W$10,IF(AND(S33+N34+L34&gt;K33,K33&lt;&gt;0),IF(AND($C$16="Да",$C$8&lt;&gt;"Нет"),$AF$38,$C$24),IF(S33=0,0,S33+N34+L34+L35)))</f>
        <v>13626</v>
      </c>
      <c r="L34" s="242">
        <f t="shared" si="34"/>
        <v>3395.66</v>
      </c>
      <c r="M34" s="242">
        <f t="shared" si="12"/>
        <v>10230.34</v>
      </c>
      <c r="N34" s="242">
        <f t="shared" si="2"/>
        <v>0</v>
      </c>
      <c r="O34" s="242">
        <v>0</v>
      </c>
      <c r="P34" s="242">
        <f t="shared" si="25"/>
        <v>3395.66</v>
      </c>
      <c r="Q34" s="242">
        <f t="shared" si="36"/>
        <v>0</v>
      </c>
      <c r="R34" s="242">
        <f t="shared" si="14"/>
        <v>0</v>
      </c>
      <c r="S34" s="242">
        <f t="shared" si="15"/>
        <v>424652.53999999992</v>
      </c>
      <c r="T34" s="467"/>
      <c r="U34" s="198">
        <f t="shared" si="29"/>
        <v>35</v>
      </c>
      <c r="V34" s="36">
        <f t="shared" si="16"/>
        <v>35</v>
      </c>
      <c r="AB34" s="2">
        <f>IF(C10 &lt;=W31,W33,IF(C10 &lt;=X31,X33,IF(C10 &lt;=Y31,Y33,IF(C10 &lt;=Z31,Z33,AA33))))</f>
        <v>4900</v>
      </c>
      <c r="AE34" s="2"/>
      <c r="AF34" s="16"/>
      <c r="AG34" s="16"/>
      <c r="AH34" s="16"/>
      <c r="AM34" s="16"/>
      <c r="AN34" s="16"/>
      <c r="AO34" s="130">
        <f t="shared" si="17"/>
        <v>1</v>
      </c>
      <c r="AP34" s="261">
        <f t="shared" si="30"/>
        <v>26</v>
      </c>
      <c r="AQ34" s="262">
        <f t="shared" si="3"/>
        <v>45073</v>
      </c>
      <c r="AR34" s="263">
        <f t="shared" si="42"/>
        <v>0.155</v>
      </c>
      <c r="AS34" s="258">
        <f t="shared" si="18"/>
        <v>14930</v>
      </c>
      <c r="AT34" s="258">
        <f t="shared" si="19"/>
        <v>14930</v>
      </c>
      <c r="AU34" s="258">
        <f t="shared" si="20"/>
        <v>4845.55</v>
      </c>
      <c r="AV34" s="258">
        <f t="shared" si="21"/>
        <v>10084.450000000001</v>
      </c>
      <c r="AW34" s="258">
        <f t="shared" si="5"/>
        <v>0</v>
      </c>
      <c r="AX34" s="258">
        <v>0</v>
      </c>
      <c r="AY34" s="258">
        <f t="shared" si="22"/>
        <v>4845.55</v>
      </c>
      <c r="AZ34" s="258">
        <f t="shared" si="38"/>
        <v>0</v>
      </c>
      <c r="BA34" s="258">
        <f t="shared" si="35"/>
        <v>0</v>
      </c>
      <c r="BB34" s="258"/>
      <c r="BC34" s="258"/>
      <c r="BD34" s="258"/>
      <c r="BE34" s="258"/>
      <c r="BF34" s="258"/>
      <c r="BG34" s="258">
        <f t="shared" si="24"/>
        <v>370265.12999999995</v>
      </c>
      <c r="BH34" s="108">
        <f t="shared" si="31"/>
        <v>35</v>
      </c>
      <c r="BI34" s="108">
        <f t="shared" si="26"/>
        <v>35</v>
      </c>
      <c r="BJ34" s="22">
        <f t="shared" si="27"/>
        <v>45073</v>
      </c>
      <c r="BK34" s="108">
        <f t="shared" si="7"/>
        <v>13626</v>
      </c>
      <c r="BN34" s="853"/>
    </row>
    <row r="35" spans="1:1217" ht="18.75" customHeight="1" thickBot="1" x14ac:dyDescent="0.3">
      <c r="A35" s="977" t="s">
        <v>312</v>
      </c>
      <c r="B35" s="977"/>
      <c r="C35" s="977"/>
      <c r="D35" s="977"/>
      <c r="E35" s="977"/>
      <c r="F35" s="191"/>
      <c r="G35" s="244">
        <f t="shared" si="28"/>
        <v>27</v>
      </c>
      <c r="H35" s="245">
        <f t="shared" si="1"/>
        <v>45104</v>
      </c>
      <c r="I35" s="246">
        <f t="shared" si="43"/>
        <v>9.4999999999999973E-2</v>
      </c>
      <c r="J35" s="242">
        <f t="shared" si="9"/>
        <v>13626</v>
      </c>
      <c r="K35" s="242">
        <f t="shared" si="44"/>
        <v>13626</v>
      </c>
      <c r="L35" s="242">
        <f t="shared" si="34"/>
        <v>3426.31</v>
      </c>
      <c r="M35" s="242">
        <f t="shared" si="12"/>
        <v>10199.69</v>
      </c>
      <c r="N35" s="242">
        <f t="shared" si="2"/>
        <v>0</v>
      </c>
      <c r="O35" s="242">
        <v>0</v>
      </c>
      <c r="P35" s="242">
        <f t="shared" si="25"/>
        <v>3426.31</v>
      </c>
      <c r="Q35" s="242">
        <f t="shared" si="36"/>
        <v>0</v>
      </c>
      <c r="R35" s="242">
        <f t="shared" si="14"/>
        <v>0</v>
      </c>
      <c r="S35" s="242">
        <f t="shared" si="15"/>
        <v>414452.84999999992</v>
      </c>
      <c r="T35" s="467"/>
      <c r="U35" s="198">
        <f t="shared" si="29"/>
        <v>34</v>
      </c>
      <c r="V35" s="36">
        <f t="shared" si="16"/>
        <v>34</v>
      </c>
      <c r="AE35" s="15"/>
      <c r="AF35" s="47">
        <f>ROUNDUP(AH35/AH33*C7/1,0)*1</f>
        <v>652</v>
      </c>
      <c r="AG35" s="169">
        <f>IF(C11&gt;=16.9%,4%,IF(C11&gt;=11.9%,3%,0%))</f>
        <v>0.04</v>
      </c>
      <c r="AH35" s="16">
        <f>IF(AG35=3%,INDEX(W40:AE40,MATCH($C$11,$W$39:$AE$39,0)),IF(AG35=4%,INDEX(W37:AE37,MATCH($C$11,$W$36:$AE$36,0)),0))</f>
        <v>7820</v>
      </c>
      <c r="AL35" s="47">
        <f>ROUNDUP(AH35/AH33*C7/1,0)*1</f>
        <v>652</v>
      </c>
      <c r="AM35" s="169">
        <v>0.04</v>
      </c>
      <c r="AN35" s="16"/>
      <c r="AO35" s="130">
        <f t="shared" si="17"/>
        <v>1</v>
      </c>
      <c r="AP35" s="261">
        <f t="shared" si="30"/>
        <v>27</v>
      </c>
      <c r="AQ35" s="262">
        <f t="shared" si="3"/>
        <v>45104</v>
      </c>
      <c r="AR35" s="263">
        <f t="shared" si="42"/>
        <v>0.155</v>
      </c>
      <c r="AS35" s="258">
        <f t="shared" si="18"/>
        <v>14930</v>
      </c>
      <c r="AT35" s="258">
        <f t="shared" si="19"/>
        <v>14930</v>
      </c>
      <c r="AU35" s="258">
        <f t="shared" si="20"/>
        <v>4874.3100000000004</v>
      </c>
      <c r="AV35" s="258">
        <f t="shared" si="21"/>
        <v>10055.689999999999</v>
      </c>
      <c r="AW35" s="258">
        <f t="shared" si="5"/>
        <v>0</v>
      </c>
      <c r="AX35" s="258">
        <v>0</v>
      </c>
      <c r="AY35" s="258">
        <f t="shared" si="22"/>
        <v>4874.3100000000004</v>
      </c>
      <c r="AZ35" s="258">
        <f t="shared" si="38"/>
        <v>0</v>
      </c>
      <c r="BA35" s="258">
        <f t="shared" si="35"/>
        <v>0</v>
      </c>
      <c r="BB35" s="258"/>
      <c r="BC35" s="258"/>
      <c r="BD35" s="258"/>
      <c r="BE35" s="258"/>
      <c r="BF35" s="258"/>
      <c r="BG35" s="258">
        <f t="shared" si="24"/>
        <v>360209.43999999994</v>
      </c>
      <c r="BH35" s="108">
        <f t="shared" si="31"/>
        <v>34</v>
      </c>
      <c r="BI35" s="108">
        <f t="shared" si="26"/>
        <v>34</v>
      </c>
      <c r="BJ35" s="22">
        <f t="shared" si="27"/>
        <v>45104</v>
      </c>
      <c r="BK35" s="108">
        <f t="shared" si="7"/>
        <v>13626</v>
      </c>
      <c r="BN35" s="853"/>
    </row>
    <row r="36" spans="1:1217" ht="16.5" customHeight="1" x14ac:dyDescent="0.3">
      <c r="A36" s="979" t="s">
        <v>294</v>
      </c>
      <c r="B36" s="971"/>
      <c r="C36" s="487" t="s">
        <v>179</v>
      </c>
      <c r="D36" s="991" t="s">
        <v>304</v>
      </c>
      <c r="E36" s="992"/>
      <c r="F36" s="178"/>
      <c r="G36" s="244">
        <f t="shared" si="28"/>
        <v>28</v>
      </c>
      <c r="H36" s="245">
        <f t="shared" si="1"/>
        <v>45134</v>
      </c>
      <c r="I36" s="246">
        <f t="shared" si="43"/>
        <v>9.4999999999999973E-2</v>
      </c>
      <c r="J36" s="242">
        <f t="shared" si="9"/>
        <v>13626</v>
      </c>
      <c r="K36" s="242">
        <f t="shared" si="44"/>
        <v>13626</v>
      </c>
      <c r="L36" s="242">
        <f t="shared" si="34"/>
        <v>3236.14</v>
      </c>
      <c r="M36" s="242">
        <f t="shared" si="12"/>
        <v>10389.86</v>
      </c>
      <c r="N36" s="242">
        <f t="shared" si="2"/>
        <v>0</v>
      </c>
      <c r="O36" s="242">
        <v>0</v>
      </c>
      <c r="P36" s="242">
        <f t="shared" si="25"/>
        <v>3236.14</v>
      </c>
      <c r="Q36" s="242">
        <f t="shared" si="36"/>
        <v>0</v>
      </c>
      <c r="R36" s="242">
        <f t="shared" si="14"/>
        <v>0</v>
      </c>
      <c r="S36" s="242">
        <f t="shared" si="15"/>
        <v>404062.98999999993</v>
      </c>
      <c r="T36" s="467"/>
      <c r="U36" s="198">
        <f t="shared" si="29"/>
        <v>33</v>
      </c>
      <c r="V36" s="36">
        <f t="shared" si="16"/>
        <v>33</v>
      </c>
      <c r="W36" s="15">
        <v>0.11899999999999999</v>
      </c>
      <c r="X36" s="15">
        <v>0.129</v>
      </c>
      <c r="Y36" s="169">
        <v>0.13900000000000001</v>
      </c>
      <c r="Z36" s="15">
        <v>0.14899999999999999</v>
      </c>
      <c r="AA36" s="169">
        <v>0.16900000000000001</v>
      </c>
      <c r="AB36" s="15">
        <v>0.17499999999999999</v>
      </c>
      <c r="AC36" s="169">
        <v>0.17899999999999999</v>
      </c>
      <c r="AD36" s="15">
        <v>0.189</v>
      </c>
      <c r="AE36" s="15">
        <v>0.19900000000000001</v>
      </c>
      <c r="AF36" s="47">
        <f>C24</f>
        <v>14930</v>
      </c>
      <c r="AG36" s="15">
        <f>IF(OR(C$8="Гарантия стандарт",C$8="Гарантия пакет"),AD13,C11)</f>
        <v>0.17499999999999999</v>
      </c>
      <c r="AH36" s="16">
        <f>IF(AG35=3%,INDEX(W41:AE41,MATCH($C$11,$W$39:$AE$39,0)),IF(AG35=4%,INDEX(W38:AE38,MATCH($C$11,$W$36:$AE$36,0)),0))</f>
        <v>150800</v>
      </c>
      <c r="AI36" s="2">
        <f>INDEX(W41:AE41,MATCH($D$11,$W$39:$AE$39,0))</f>
        <v>150800</v>
      </c>
      <c r="AL36" s="47">
        <f>D24</f>
        <v>14930</v>
      </c>
      <c r="AM36" s="15">
        <f>IF(OR(D$8="Гарантия стандарт",D$8="Гарантия пакет"),AD13,D11)</f>
        <v>0.17499999999999999</v>
      </c>
      <c r="AN36" s="16"/>
      <c r="AO36" s="130">
        <f t="shared" si="17"/>
        <v>1</v>
      </c>
      <c r="AP36" s="261">
        <f t="shared" si="30"/>
        <v>28</v>
      </c>
      <c r="AQ36" s="262">
        <f t="shared" si="3"/>
        <v>45134</v>
      </c>
      <c r="AR36" s="263">
        <f t="shared" si="42"/>
        <v>0.155</v>
      </c>
      <c r="AS36" s="258">
        <f t="shared" si="18"/>
        <v>14930</v>
      </c>
      <c r="AT36" s="258">
        <f t="shared" si="19"/>
        <v>14930</v>
      </c>
      <c r="AU36" s="258">
        <f t="shared" si="20"/>
        <v>4588.97</v>
      </c>
      <c r="AV36" s="258">
        <f t="shared" si="21"/>
        <v>10341.029999999999</v>
      </c>
      <c r="AW36" s="258">
        <f t="shared" si="5"/>
        <v>0</v>
      </c>
      <c r="AX36" s="258">
        <v>0</v>
      </c>
      <c r="AY36" s="258">
        <f t="shared" si="22"/>
        <v>4588.97</v>
      </c>
      <c r="AZ36" s="258">
        <f t="shared" si="38"/>
        <v>0</v>
      </c>
      <c r="BA36" s="258">
        <f t="shared" si="35"/>
        <v>0</v>
      </c>
      <c r="BB36" s="258"/>
      <c r="BC36" s="258"/>
      <c r="BD36" s="258"/>
      <c r="BE36" s="258"/>
      <c r="BF36" s="258"/>
      <c r="BG36" s="258">
        <f t="shared" si="24"/>
        <v>349868.40999999992</v>
      </c>
      <c r="BH36" s="108">
        <f t="shared" si="31"/>
        <v>33</v>
      </c>
      <c r="BI36" s="108">
        <f t="shared" si="26"/>
        <v>33</v>
      </c>
      <c r="BJ36" s="22">
        <f t="shared" si="27"/>
        <v>45134</v>
      </c>
      <c r="BK36" s="108">
        <f t="shared" si="7"/>
        <v>13626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  <c r="AMK36" s="16"/>
      <c r="AML36" s="16"/>
      <c r="AMM36" s="16"/>
      <c r="AMN36" s="16"/>
      <c r="AMO36" s="16"/>
      <c r="AMP36" s="16"/>
      <c r="AMQ36" s="16"/>
      <c r="AMR36" s="16"/>
      <c r="AMS36" s="16"/>
      <c r="AMT36" s="16"/>
      <c r="AMU36" s="16"/>
      <c r="AMV36" s="16"/>
      <c r="AMW36" s="16"/>
      <c r="AMX36" s="16"/>
      <c r="AMY36" s="16"/>
      <c r="AMZ36" s="16"/>
      <c r="ANA36" s="16"/>
      <c r="ANB36" s="16"/>
      <c r="ANC36" s="16"/>
      <c r="AND36" s="16"/>
      <c r="ANE36" s="16"/>
      <c r="ANF36" s="16"/>
      <c r="ANG36" s="16"/>
      <c r="ANH36" s="16"/>
      <c r="ANI36" s="16"/>
      <c r="ANJ36" s="16"/>
      <c r="ANK36" s="16"/>
      <c r="ANL36" s="16"/>
      <c r="ANM36" s="16"/>
      <c r="ANN36" s="16"/>
      <c r="ANO36" s="16"/>
      <c r="ANP36" s="16"/>
      <c r="ANQ36" s="16"/>
      <c r="ANR36" s="16"/>
      <c r="ANS36" s="16"/>
      <c r="ANT36" s="16"/>
      <c r="ANU36" s="16"/>
      <c r="ANV36" s="16"/>
      <c r="ANW36" s="16"/>
      <c r="ANX36" s="16"/>
      <c r="ANY36" s="16"/>
      <c r="ANZ36" s="16"/>
      <c r="AOA36" s="16"/>
      <c r="AOB36" s="16"/>
      <c r="AOC36" s="16"/>
      <c r="AOD36" s="16"/>
      <c r="AOE36" s="16"/>
      <c r="AOF36" s="16"/>
      <c r="AOG36" s="16"/>
      <c r="AOH36" s="16"/>
      <c r="AOI36" s="16"/>
      <c r="AOJ36" s="16"/>
      <c r="AOK36" s="16"/>
      <c r="AOL36" s="16"/>
      <c r="AOM36" s="16"/>
      <c r="AON36" s="16"/>
      <c r="AOO36" s="16"/>
      <c r="AOP36" s="16"/>
      <c r="AOQ36" s="16"/>
      <c r="AOR36" s="16"/>
      <c r="AOS36" s="16"/>
      <c r="AOT36" s="16"/>
      <c r="AOU36" s="16"/>
      <c r="AOV36" s="16"/>
      <c r="AOW36" s="16"/>
      <c r="AOX36" s="16"/>
      <c r="AOY36" s="16"/>
      <c r="AOZ36" s="16"/>
      <c r="APA36" s="16"/>
      <c r="APB36" s="16"/>
      <c r="APC36" s="16"/>
      <c r="APD36" s="16"/>
      <c r="APE36" s="16"/>
      <c r="APF36" s="16"/>
      <c r="APG36" s="16"/>
      <c r="APH36" s="16"/>
      <c r="API36" s="16"/>
      <c r="APJ36" s="16"/>
      <c r="APK36" s="16"/>
      <c r="APL36" s="16"/>
      <c r="APM36" s="16"/>
      <c r="APN36" s="16"/>
      <c r="APO36" s="16"/>
      <c r="APP36" s="16"/>
      <c r="APQ36" s="16"/>
      <c r="APR36" s="16"/>
      <c r="APS36" s="16"/>
      <c r="APT36" s="16"/>
      <c r="APU36" s="16"/>
      <c r="APV36" s="16"/>
      <c r="APW36" s="16"/>
      <c r="APX36" s="16"/>
      <c r="APY36" s="16"/>
      <c r="APZ36" s="16"/>
      <c r="AQA36" s="16"/>
      <c r="AQB36" s="16"/>
      <c r="AQC36" s="16"/>
      <c r="AQD36" s="16"/>
      <c r="AQE36" s="16"/>
      <c r="AQF36" s="16"/>
      <c r="AQG36" s="16"/>
      <c r="AQH36" s="16"/>
      <c r="AQI36" s="16"/>
      <c r="AQJ36" s="16"/>
      <c r="AQK36" s="16"/>
      <c r="AQL36" s="16"/>
      <c r="AQM36" s="16"/>
      <c r="AQN36" s="16"/>
      <c r="AQO36" s="16"/>
      <c r="AQP36" s="16"/>
      <c r="AQQ36" s="16"/>
      <c r="AQR36" s="16"/>
      <c r="AQS36" s="16"/>
      <c r="AQT36" s="16"/>
      <c r="AQU36" s="16"/>
      <c r="AQV36" s="16"/>
      <c r="AQW36" s="16"/>
      <c r="AQX36" s="16"/>
      <c r="AQY36" s="16"/>
      <c r="AQZ36" s="16"/>
      <c r="ARA36" s="16"/>
      <c r="ARB36" s="16"/>
      <c r="ARC36" s="16"/>
      <c r="ARD36" s="16"/>
      <c r="ARE36" s="16"/>
      <c r="ARF36" s="16"/>
      <c r="ARG36" s="16"/>
      <c r="ARH36" s="16"/>
      <c r="ARI36" s="16"/>
      <c r="ARJ36" s="16"/>
      <c r="ARK36" s="16"/>
      <c r="ARL36" s="16"/>
      <c r="ARM36" s="16"/>
      <c r="ARN36" s="16"/>
      <c r="ARO36" s="16"/>
      <c r="ARP36" s="16"/>
      <c r="ARQ36" s="16"/>
      <c r="ARR36" s="16"/>
      <c r="ARS36" s="16"/>
      <c r="ART36" s="16"/>
      <c r="ARU36" s="16"/>
      <c r="ARV36" s="16"/>
      <c r="ARW36" s="16"/>
      <c r="ARX36" s="16"/>
      <c r="ARY36" s="16"/>
      <c r="ARZ36" s="16"/>
      <c r="ASA36" s="16"/>
      <c r="ASB36" s="16"/>
      <c r="ASC36" s="16"/>
      <c r="ASD36" s="16"/>
      <c r="ASE36" s="16"/>
      <c r="ASF36" s="16"/>
      <c r="ASG36" s="16"/>
      <c r="ASH36" s="16"/>
      <c r="ASI36" s="16"/>
      <c r="ASJ36" s="16"/>
      <c r="ASK36" s="16"/>
      <c r="ASL36" s="16"/>
      <c r="ASM36" s="16"/>
      <c r="ASN36" s="16"/>
      <c r="ASO36" s="16"/>
      <c r="ASP36" s="16"/>
      <c r="ASQ36" s="16"/>
      <c r="ASR36" s="16"/>
      <c r="ASS36" s="16"/>
      <c r="AST36" s="16"/>
      <c r="ASU36" s="16"/>
      <c r="ASV36" s="16"/>
      <c r="ASW36" s="16"/>
      <c r="ASX36" s="16"/>
      <c r="ASY36" s="16"/>
      <c r="ASZ36" s="16"/>
      <c r="ATA36" s="16"/>
      <c r="ATB36" s="16"/>
      <c r="ATC36" s="16"/>
      <c r="ATD36" s="16"/>
      <c r="ATE36" s="16"/>
      <c r="ATF36" s="16"/>
      <c r="ATG36" s="16"/>
      <c r="ATH36" s="16"/>
      <c r="ATI36" s="16"/>
      <c r="ATJ36" s="16"/>
      <c r="ATK36" s="16"/>
      <c r="ATL36" s="16"/>
      <c r="ATM36" s="16"/>
      <c r="ATN36" s="16"/>
      <c r="ATO36" s="16"/>
      <c r="ATP36" s="16"/>
      <c r="ATQ36" s="16"/>
      <c r="ATR36" s="16"/>
      <c r="ATS36" s="16"/>
      <c r="ATT36" s="16"/>
      <c r="ATU36" s="16"/>
    </row>
    <row r="37" spans="1:1217" s="16" customFormat="1" ht="16.5" customHeight="1" x14ac:dyDescent="0.3">
      <c r="A37" s="979" t="s">
        <v>295</v>
      </c>
      <c r="B37" s="971"/>
      <c r="C37" s="397" t="s">
        <v>47</v>
      </c>
      <c r="D37" s="184"/>
      <c r="E37" s="184"/>
      <c r="F37" s="178"/>
      <c r="G37" s="244">
        <f t="shared" si="28"/>
        <v>29</v>
      </c>
      <c r="H37" s="245">
        <f t="shared" si="1"/>
        <v>45165</v>
      </c>
      <c r="I37" s="246">
        <f t="shared" si="43"/>
        <v>9.4999999999999973E-2</v>
      </c>
      <c r="J37" s="242">
        <f t="shared" si="9"/>
        <v>13626</v>
      </c>
      <c r="K37" s="242">
        <f t="shared" si="44"/>
        <v>13626</v>
      </c>
      <c r="L37" s="242">
        <f t="shared" si="34"/>
        <v>3260.18</v>
      </c>
      <c r="M37" s="242">
        <f t="shared" si="12"/>
        <v>10365.82</v>
      </c>
      <c r="N37" s="242">
        <f t="shared" si="2"/>
        <v>0</v>
      </c>
      <c r="O37" s="242">
        <v>0</v>
      </c>
      <c r="P37" s="242">
        <f t="shared" si="25"/>
        <v>3260.18</v>
      </c>
      <c r="Q37" s="242">
        <f t="shared" si="36"/>
        <v>0</v>
      </c>
      <c r="R37" s="242">
        <f t="shared" si="14"/>
        <v>0</v>
      </c>
      <c r="S37" s="242">
        <f t="shared" si="15"/>
        <v>393697.16999999993</v>
      </c>
      <c r="T37" s="467"/>
      <c r="U37" s="198">
        <f t="shared" si="29"/>
        <v>32</v>
      </c>
      <c r="V37" s="36">
        <f t="shared" si="16"/>
        <v>32</v>
      </c>
      <c r="W37" s="16">
        <f>INDEX('Для Прайм'!G2:I2,MATCH($C$10,'Для Прайм'!$G$1:$I$1,0))</f>
        <v>7633</v>
      </c>
      <c r="X37" s="16">
        <f>INDEX('Для Прайм'!$G4:$I4,MATCH($C$10,'Для Прайм'!$G$1:$I$1,0))</f>
        <v>4600</v>
      </c>
      <c r="Y37" s="16">
        <f>INDEX('Для Прайм'!$G6:$I6,MATCH($C$10,'Для Прайм'!$G$1:$I$1,0))</f>
        <v>7700</v>
      </c>
      <c r="Z37" s="16">
        <f>INDEX('Для Прайм'!$G8:$I8,MATCH($C$10,'Для Прайм'!$G$1:$I$1,0))</f>
        <v>5500</v>
      </c>
      <c r="AA37" s="16">
        <f>INDEX('Для Прайм'!$G12:$I12,MATCH($C$10,'Для Прайм'!$G$1:$I$1,0))</f>
        <v>7800</v>
      </c>
      <c r="AB37" s="16">
        <f>INDEX('Для Прайм'!$G14:$I14,MATCH($C$10,'Для Прайм'!$G$1:$I$1,0))</f>
        <v>7820</v>
      </c>
      <c r="AC37" s="16">
        <f>INDEX('Для Прайм'!$G16:$I16,MATCH($C$10,'Для Прайм'!$G$1:$I$1,0))</f>
        <v>8700</v>
      </c>
      <c r="AD37" s="16">
        <f>INDEX('Для Прайм'!$G18:$I18,MATCH($C$10,'Для Прайм'!$G$1:$I$1,0))</f>
        <v>8300</v>
      </c>
      <c r="AE37" s="16">
        <f>INDEX('Для Прайм'!$G20:$I20,MATCH($C$10,'Для Прайм'!$G$1:$I$1,0))</f>
        <v>7900</v>
      </c>
      <c r="AF37" s="47">
        <f>IF(AG37=AG36,AF36,AF36-$AF$35)</f>
        <v>14278</v>
      </c>
      <c r="AG37" s="169">
        <f>AG36-$AG$35</f>
        <v>0.13499999999999998</v>
      </c>
      <c r="AI37" s="2"/>
      <c r="AJ37" s="2"/>
      <c r="AK37" s="57"/>
      <c r="AL37" s="47">
        <f>AL36-$AL$35</f>
        <v>14278</v>
      </c>
      <c r="AM37" s="169">
        <f>IF(AM36-$AM$35 &gt;= 5.9%, AM36-$AM$35, 5.9%)</f>
        <v>0.13499999999999998</v>
      </c>
      <c r="AO37" s="130">
        <f t="shared" si="17"/>
        <v>1</v>
      </c>
      <c r="AP37" s="261">
        <f t="shared" si="30"/>
        <v>29</v>
      </c>
      <c r="AQ37" s="262">
        <f t="shared" si="3"/>
        <v>45165</v>
      </c>
      <c r="AR37" s="263">
        <f t="shared" si="42"/>
        <v>0.155</v>
      </c>
      <c r="AS37" s="258">
        <f t="shared" si="18"/>
        <v>14930</v>
      </c>
      <c r="AT37" s="258">
        <f t="shared" si="19"/>
        <v>14930</v>
      </c>
      <c r="AU37" s="258">
        <f t="shared" si="20"/>
        <v>4605.8</v>
      </c>
      <c r="AV37" s="258">
        <f t="shared" si="21"/>
        <v>10324.200000000001</v>
      </c>
      <c r="AW37" s="258">
        <f t="shared" si="5"/>
        <v>0</v>
      </c>
      <c r="AX37" s="258">
        <v>0</v>
      </c>
      <c r="AY37" s="258">
        <f t="shared" si="22"/>
        <v>4605.8</v>
      </c>
      <c r="AZ37" s="258">
        <f t="shared" si="38"/>
        <v>0</v>
      </c>
      <c r="BA37" s="258">
        <f t="shared" si="35"/>
        <v>0</v>
      </c>
      <c r="BB37" s="258"/>
      <c r="BC37" s="258"/>
      <c r="BD37" s="258"/>
      <c r="BE37" s="258"/>
      <c r="BF37" s="258"/>
      <c r="BG37" s="258">
        <f t="shared" si="24"/>
        <v>339544.2099999999</v>
      </c>
      <c r="BH37" s="108">
        <f t="shared" si="31"/>
        <v>32</v>
      </c>
      <c r="BI37" s="108">
        <f t="shared" si="26"/>
        <v>32</v>
      </c>
      <c r="BJ37" s="22">
        <f t="shared" si="27"/>
        <v>45165</v>
      </c>
      <c r="BK37" s="108">
        <f t="shared" si="7"/>
        <v>13626</v>
      </c>
    </row>
    <row r="38" spans="1:1217" s="16" customFormat="1" ht="16.5" customHeight="1" x14ac:dyDescent="0.3">
      <c r="A38" s="975" t="s">
        <v>315</v>
      </c>
      <c r="B38" s="347" t="s">
        <v>296</v>
      </c>
      <c r="C38" s="474">
        <v>30000</v>
      </c>
      <c r="D38" s="472">
        <f>IF($C$37="Да",C38*(1%+1%),C38*(1%+0%))</f>
        <v>600</v>
      </c>
      <c r="E38" s="471" t="s">
        <v>300</v>
      </c>
      <c r="F38" s="178"/>
      <c r="G38" s="244">
        <f t="shared" si="28"/>
        <v>30</v>
      </c>
      <c r="H38" s="245">
        <f t="shared" si="1"/>
        <v>45196</v>
      </c>
      <c r="I38" s="246">
        <f t="shared" si="43"/>
        <v>9.4999999999999973E-2</v>
      </c>
      <c r="J38" s="242">
        <f t="shared" si="9"/>
        <v>13626</v>
      </c>
      <c r="K38" s="242">
        <f t="shared" si="44"/>
        <v>13626</v>
      </c>
      <c r="L38" s="242">
        <f t="shared" si="34"/>
        <v>3176.54</v>
      </c>
      <c r="M38" s="242">
        <f t="shared" si="12"/>
        <v>10449.459999999999</v>
      </c>
      <c r="N38" s="242">
        <f t="shared" si="2"/>
        <v>0</v>
      </c>
      <c r="O38" s="242">
        <v>0</v>
      </c>
      <c r="P38" s="242">
        <f t="shared" si="25"/>
        <v>3176.54</v>
      </c>
      <c r="Q38" s="242">
        <f t="shared" si="36"/>
        <v>0</v>
      </c>
      <c r="R38" s="242">
        <f t="shared" si="14"/>
        <v>0</v>
      </c>
      <c r="S38" s="242">
        <f t="shared" si="15"/>
        <v>383247.7099999999</v>
      </c>
      <c r="T38" s="467"/>
      <c r="U38" s="198">
        <f t="shared" si="29"/>
        <v>31</v>
      </c>
      <c r="V38" s="36">
        <f t="shared" si="16"/>
        <v>31</v>
      </c>
      <c r="W38" s="16">
        <f>INDEX('Для Прайм'!G3:I3,MATCH($C$10,'Для Прайм'!$G$1:$I$1,0))</f>
        <v>133200</v>
      </c>
      <c r="X38" s="16">
        <f>INDEX('Для Прайм'!$G5:$I5,MATCH($C$10,'Для Прайм'!$G$1:$I$1,0))</f>
        <v>136300</v>
      </c>
      <c r="Y38" s="16">
        <f>INDEX('Для Прайм'!$G7:$I7,MATCH($C$10,'Для Прайм'!$G$1:$I$1,0))</f>
        <v>139300</v>
      </c>
      <c r="Z38" s="16">
        <f>INDEX('Для Прайм'!$G9:$I9,MATCH($C$10,'Для Прайм'!$G$1:$I$1,0))</f>
        <v>143000</v>
      </c>
      <c r="AA38" s="16">
        <f>INDEX('Для Прайм'!$G13:$I13,MATCH($C$10,'Для Прайм'!$G$1:$I$1,0))</f>
        <v>149000</v>
      </c>
      <c r="AB38" s="16">
        <f>INDEX('Для Прайм'!$G15:$I15,MATCH($C$10,'Для Прайм'!$G$1:$I$1,0))</f>
        <v>150800</v>
      </c>
      <c r="AC38" s="16">
        <f>INDEX('Для Прайм'!$G17:$I17,MATCH($C$10,'Для Прайм'!$G$1:$I$1,0))</f>
        <v>153000</v>
      </c>
      <c r="AD38" s="16">
        <f>INDEX('Для Прайм'!$G19:$I19,MATCH($C$10,'Для Прайм'!$G$1:$I$1,0))</f>
        <v>155400</v>
      </c>
      <c r="AE38" s="16">
        <f>INDEX('Для Прайм'!$G21:$I21,MATCH($C$10,'Для Прайм'!$G$1:$I$1,0))</f>
        <v>159000</v>
      </c>
      <c r="AF38" s="47">
        <f t="shared" ref="AF38:AF40" si="45">IF(AG38=AG37,AF37,AF37-$AF$35)</f>
        <v>13626</v>
      </c>
      <c r="AG38" s="169">
        <f>IF(AG37-$AG$35 &gt;= 5.9%, AG37-$AG$35, 5.9%)</f>
        <v>9.4999999999999973E-2</v>
      </c>
      <c r="AI38" s="2"/>
      <c r="AJ38" s="2"/>
      <c r="AK38" s="57"/>
      <c r="AL38" s="47">
        <f>AL37-$AL$35</f>
        <v>13626</v>
      </c>
      <c r="AM38" s="169">
        <f>IF(AM37-$AM$35 &gt;= 5.9%, AM37-$AM$35, 5.9%)</f>
        <v>9.4999999999999973E-2</v>
      </c>
      <c r="AN38" s="63"/>
      <c r="AO38" s="130">
        <f t="shared" si="17"/>
        <v>1</v>
      </c>
      <c r="AP38" s="261">
        <f t="shared" si="30"/>
        <v>30</v>
      </c>
      <c r="AQ38" s="262">
        <f t="shared" si="3"/>
        <v>45196</v>
      </c>
      <c r="AR38" s="263">
        <f t="shared" si="42"/>
        <v>0.155</v>
      </c>
      <c r="AS38" s="258">
        <f t="shared" si="18"/>
        <v>14930</v>
      </c>
      <c r="AT38" s="258">
        <f t="shared" si="19"/>
        <v>14930</v>
      </c>
      <c r="AU38" s="258">
        <f t="shared" si="20"/>
        <v>4469.8900000000003</v>
      </c>
      <c r="AV38" s="258">
        <f t="shared" si="21"/>
        <v>10460.11</v>
      </c>
      <c r="AW38" s="258">
        <f t="shared" si="5"/>
        <v>0</v>
      </c>
      <c r="AX38" s="258">
        <v>0</v>
      </c>
      <c r="AY38" s="258">
        <f t="shared" si="22"/>
        <v>4469.8900000000003</v>
      </c>
      <c r="AZ38" s="258">
        <f t="shared" si="38"/>
        <v>0</v>
      </c>
      <c r="BA38" s="258">
        <f t="shared" si="35"/>
        <v>0</v>
      </c>
      <c r="BB38" s="258"/>
      <c r="BC38" s="258"/>
      <c r="BD38" s="258"/>
      <c r="BE38" s="258"/>
      <c r="BF38" s="258"/>
      <c r="BG38" s="258">
        <f t="shared" si="24"/>
        <v>329084.09999999992</v>
      </c>
      <c r="BH38" s="108">
        <f t="shared" si="31"/>
        <v>31</v>
      </c>
      <c r="BI38" s="108">
        <f t="shared" si="26"/>
        <v>31</v>
      </c>
      <c r="BJ38" s="22">
        <f t="shared" si="27"/>
        <v>45196</v>
      </c>
      <c r="BK38" s="108">
        <f t="shared" si="7"/>
        <v>13626</v>
      </c>
    </row>
    <row r="39" spans="1:1217" s="16" customFormat="1" ht="12" customHeight="1" x14ac:dyDescent="0.3">
      <c r="A39" s="975"/>
      <c r="B39" s="347" t="s">
        <v>297</v>
      </c>
      <c r="C39" s="474">
        <v>10000</v>
      </c>
      <c r="D39" s="472">
        <f>IF($C$37="Да",C39*(1%+3%),C39*(1%+0%))</f>
        <v>400</v>
      </c>
      <c r="E39" s="471" t="s">
        <v>300</v>
      </c>
      <c r="F39" s="178"/>
      <c r="G39" s="244">
        <f t="shared" si="28"/>
        <v>31</v>
      </c>
      <c r="H39" s="245">
        <f t="shared" si="1"/>
        <v>45226</v>
      </c>
      <c r="I39" s="246">
        <f t="shared" si="43"/>
        <v>9.4999999999999973E-2</v>
      </c>
      <c r="J39" s="242">
        <f t="shared" si="9"/>
        <v>13626</v>
      </c>
      <c r="K39" s="242">
        <f t="shared" si="44"/>
        <v>13626</v>
      </c>
      <c r="L39" s="242">
        <f t="shared" si="34"/>
        <v>2992.48</v>
      </c>
      <c r="M39" s="242">
        <f t="shared" si="12"/>
        <v>10633.52</v>
      </c>
      <c r="N39" s="242">
        <f t="shared" si="2"/>
        <v>0</v>
      </c>
      <c r="O39" s="242">
        <v>0</v>
      </c>
      <c r="P39" s="242">
        <f t="shared" si="25"/>
        <v>2992.48</v>
      </c>
      <c r="Q39" s="242">
        <f t="shared" si="36"/>
        <v>0</v>
      </c>
      <c r="R39" s="242">
        <f t="shared" si="14"/>
        <v>0</v>
      </c>
      <c r="S39" s="242">
        <f t="shared" si="15"/>
        <v>372614.18999999989</v>
      </c>
      <c r="T39" s="467"/>
      <c r="U39" s="198">
        <f t="shared" si="29"/>
        <v>30</v>
      </c>
      <c r="V39" s="36">
        <f t="shared" si="16"/>
        <v>30</v>
      </c>
      <c r="W39" s="15">
        <v>0.11899999999999999</v>
      </c>
      <c r="X39" s="15">
        <v>0.129</v>
      </c>
      <c r="Y39" s="169">
        <v>0.13900000000000001</v>
      </c>
      <c r="Z39" s="15">
        <v>0.14899999999999999</v>
      </c>
      <c r="AA39" s="169">
        <v>0.16900000000000001</v>
      </c>
      <c r="AB39" s="15">
        <v>0.17499999999999999</v>
      </c>
      <c r="AC39" s="169">
        <v>0.17899999999999999</v>
      </c>
      <c r="AD39" s="15">
        <v>0.189</v>
      </c>
      <c r="AE39" s="15">
        <v>0.19900000000000001</v>
      </c>
      <c r="AF39" s="47">
        <f t="shared" si="45"/>
        <v>12974</v>
      </c>
      <c r="AG39" s="169">
        <f>IF(AG38-$AG$35 &gt;= 5.9%, AG38-$AG$35, 5.9%)</f>
        <v>5.9000000000000004E-2</v>
      </c>
      <c r="AI39" s="2"/>
      <c r="AJ39" s="2"/>
      <c r="AK39" s="57"/>
      <c r="AL39" s="47">
        <f>AL38-$AL$35</f>
        <v>12974</v>
      </c>
      <c r="AM39" s="169">
        <f>IF(AM38-$AM$35 &gt;= 5.9%, AM38-$AM$35, 5.9%)</f>
        <v>5.9000000000000004E-2</v>
      </c>
      <c r="AN39" s="15"/>
      <c r="AO39" s="130">
        <f t="shared" si="17"/>
        <v>1</v>
      </c>
      <c r="AP39" s="261">
        <f t="shared" si="30"/>
        <v>31</v>
      </c>
      <c r="AQ39" s="262">
        <f t="shared" si="3"/>
        <v>45226</v>
      </c>
      <c r="AR39" s="263">
        <f t="shared" si="42"/>
        <v>0.155</v>
      </c>
      <c r="AS39" s="258">
        <f t="shared" si="18"/>
        <v>14930</v>
      </c>
      <c r="AT39" s="258">
        <f t="shared" si="19"/>
        <v>14930</v>
      </c>
      <c r="AU39" s="258">
        <f t="shared" si="20"/>
        <v>4192.4399999999996</v>
      </c>
      <c r="AV39" s="258">
        <f t="shared" si="21"/>
        <v>10737.560000000001</v>
      </c>
      <c r="AW39" s="258">
        <f t="shared" si="5"/>
        <v>0</v>
      </c>
      <c r="AX39" s="258">
        <v>0</v>
      </c>
      <c r="AY39" s="258">
        <f t="shared" si="22"/>
        <v>4192.4399999999996</v>
      </c>
      <c r="AZ39" s="258">
        <f t="shared" si="38"/>
        <v>0</v>
      </c>
      <c r="BA39" s="258">
        <f t="shared" si="35"/>
        <v>0</v>
      </c>
      <c r="BB39" s="258"/>
      <c r="BC39" s="258"/>
      <c r="BD39" s="258"/>
      <c r="BE39" s="258"/>
      <c r="BF39" s="258"/>
      <c r="BG39" s="258">
        <f t="shared" si="24"/>
        <v>318346.53999999992</v>
      </c>
      <c r="BH39" s="108">
        <f t="shared" si="31"/>
        <v>30</v>
      </c>
      <c r="BI39" s="108">
        <f t="shared" si="26"/>
        <v>30</v>
      </c>
      <c r="BJ39" s="22">
        <f t="shared" si="27"/>
        <v>45226</v>
      </c>
      <c r="BK39" s="108">
        <f t="shared" si="7"/>
        <v>13626</v>
      </c>
    </row>
    <row r="40" spans="1:1217" s="16" customFormat="1" ht="13.95" customHeight="1" x14ac:dyDescent="0.3">
      <c r="A40" s="975"/>
      <c r="B40" s="347" t="s">
        <v>298</v>
      </c>
      <c r="C40" s="474">
        <v>10000</v>
      </c>
      <c r="D40" s="472">
        <f>IF($C$37="Да",C40*(1%+3%),C40*(1%+0%))</f>
        <v>400</v>
      </c>
      <c r="E40" s="471" t="s">
        <v>300</v>
      </c>
      <c r="F40" s="178"/>
      <c r="G40" s="244">
        <f t="shared" si="28"/>
        <v>32</v>
      </c>
      <c r="H40" s="245">
        <f t="shared" si="1"/>
        <v>45257</v>
      </c>
      <c r="I40" s="246">
        <f t="shared" si="43"/>
        <v>9.4999999999999973E-2</v>
      </c>
      <c r="J40" s="242">
        <f t="shared" si="9"/>
        <v>13626</v>
      </c>
      <c r="K40" s="242">
        <f t="shared" si="44"/>
        <v>13626</v>
      </c>
      <c r="L40" s="242">
        <f t="shared" si="34"/>
        <v>3006.44</v>
      </c>
      <c r="M40" s="242">
        <f t="shared" si="12"/>
        <v>10619.56</v>
      </c>
      <c r="N40" s="242">
        <f t="shared" si="2"/>
        <v>0</v>
      </c>
      <c r="O40" s="242">
        <v>0</v>
      </c>
      <c r="P40" s="242">
        <f t="shared" si="25"/>
        <v>3006.44</v>
      </c>
      <c r="Q40" s="242">
        <f t="shared" si="36"/>
        <v>0</v>
      </c>
      <c r="R40" s="242">
        <f t="shared" si="14"/>
        <v>0</v>
      </c>
      <c r="S40" s="242">
        <f t="shared" si="15"/>
        <v>361994.62999999989</v>
      </c>
      <c r="T40" s="467"/>
      <c r="U40" s="198">
        <f t="shared" si="29"/>
        <v>29</v>
      </c>
      <c r="V40" s="36">
        <f t="shared" si="16"/>
        <v>29</v>
      </c>
      <c r="W40" s="16">
        <f>INDEX('Для Прайм'!B2:D2,MATCH($C$10,'Для Прайм'!$B$1:$D$1,0))</f>
        <v>4571</v>
      </c>
      <c r="X40" s="16">
        <f>INDEX('Для Прайм'!B4:D4,MATCH($C$10,'Для Прайм'!$B$1:$D$1,0))</f>
        <v>5000</v>
      </c>
      <c r="Y40" s="16">
        <f>INDEX('Для Прайм'!B6:D6,MATCH($C$10,'Для Прайм'!$B$1:$D$1,0))</f>
        <v>5429</v>
      </c>
      <c r="Z40" s="16">
        <f>INDEX('Для Прайм'!B8:D8,MATCH($C$10,'Для Прайм'!$B$1:$D$1,0))</f>
        <v>7000</v>
      </c>
      <c r="AA40" s="16">
        <f>INDEX('Для Прайм'!B12:D12,MATCH($C$10,'Для Прайм'!$B$1:$D$1,0))</f>
        <v>6714</v>
      </c>
      <c r="AB40" s="16">
        <f>INDEX('Для Прайм'!B14:D14,MATCH($C$10,'Для Прайм'!$B$1:$D$1,0))</f>
        <v>6971</v>
      </c>
      <c r="AC40" s="16">
        <f>INDEX('Для Прайм'!B16:D16,MATCH($C$10,'Для Прайм'!$B$1:$D$1,0))</f>
        <v>7143</v>
      </c>
      <c r="AD40" s="16">
        <f>INDEX('Для Прайм'!B18:D18,MATCH($C$10,'Для Прайм'!$B$1:$D$1,0))</f>
        <v>7571</v>
      </c>
      <c r="AE40" s="16">
        <f>INDEX('Для Прайм'!B20:D20,MATCH($C$10,'Для Прайм'!$B$1:$D$1,0))</f>
        <v>8000</v>
      </c>
      <c r="AF40" s="47">
        <f t="shared" si="45"/>
        <v>12974</v>
      </c>
      <c r="AG40" s="169">
        <f>IF(AG39-$AG$35 &gt;= 5.9%, AG39-$AG$35, 5.9%)</f>
        <v>5.9000000000000004E-2</v>
      </c>
      <c r="AI40" s="2"/>
      <c r="AJ40" s="2"/>
      <c r="AK40" s="57"/>
      <c r="AL40" s="47">
        <f>IF(AM39-$AM$35&gt;=3.9%,AL39-$AL$35,AL39-$AL$35)</f>
        <v>12322</v>
      </c>
      <c r="AM40" s="169">
        <f>IF(AM39-$AM$35 &gt;= 5.9%, AM39-$AM$35, 5.9%)</f>
        <v>5.9000000000000004E-2</v>
      </c>
      <c r="AN40" s="15"/>
      <c r="AO40" s="130">
        <f t="shared" si="17"/>
        <v>1</v>
      </c>
      <c r="AP40" s="261">
        <f t="shared" si="30"/>
        <v>32</v>
      </c>
      <c r="AQ40" s="262">
        <f t="shared" si="3"/>
        <v>45257</v>
      </c>
      <c r="AR40" s="263">
        <f t="shared" si="42"/>
        <v>0.155</v>
      </c>
      <c r="AS40" s="258">
        <f t="shared" si="18"/>
        <v>14930</v>
      </c>
      <c r="AT40" s="258">
        <f t="shared" si="19"/>
        <v>14930</v>
      </c>
      <c r="AU40" s="258">
        <f t="shared" si="20"/>
        <v>4190.84</v>
      </c>
      <c r="AV40" s="258">
        <f t="shared" si="21"/>
        <v>10739.16</v>
      </c>
      <c r="AW40" s="258">
        <f t="shared" si="5"/>
        <v>0</v>
      </c>
      <c r="AX40" s="258">
        <v>0</v>
      </c>
      <c r="AY40" s="258">
        <f t="shared" si="22"/>
        <v>4190.84</v>
      </c>
      <c r="AZ40" s="258">
        <f t="shared" si="38"/>
        <v>0</v>
      </c>
      <c r="BA40" s="258">
        <f t="shared" si="35"/>
        <v>0</v>
      </c>
      <c r="BB40" s="258"/>
      <c r="BC40" s="258"/>
      <c r="BD40" s="258"/>
      <c r="BE40" s="258"/>
      <c r="BF40" s="258"/>
      <c r="BG40" s="258">
        <f t="shared" si="24"/>
        <v>307607.37999999995</v>
      </c>
      <c r="BH40" s="108">
        <f t="shared" si="31"/>
        <v>29</v>
      </c>
      <c r="BI40" s="108">
        <f t="shared" si="26"/>
        <v>29</v>
      </c>
      <c r="BJ40" s="22">
        <f t="shared" si="27"/>
        <v>45257</v>
      </c>
      <c r="BK40" s="108">
        <f t="shared" si="7"/>
        <v>13626</v>
      </c>
    </row>
    <row r="41" spans="1:1217" s="16" customFormat="1" ht="19.5" customHeight="1" x14ac:dyDescent="0.3">
      <c r="A41" s="975"/>
      <c r="B41" s="347" t="s">
        <v>299</v>
      </c>
      <c r="C41" s="474">
        <v>200000</v>
      </c>
      <c r="D41" s="472">
        <f>IF($C$37="Да",C41*(3%+1%),C41*(3%+0%))</f>
        <v>8000</v>
      </c>
      <c r="E41" s="471" t="s">
        <v>300</v>
      </c>
      <c r="F41" s="178"/>
      <c r="G41" s="244">
        <f t="shared" si="28"/>
        <v>33</v>
      </c>
      <c r="H41" s="245">
        <f t="shared" si="1"/>
        <v>45287</v>
      </c>
      <c r="I41" s="246">
        <f t="shared" si="43"/>
        <v>9.4999999999999973E-2</v>
      </c>
      <c r="J41" s="242">
        <f t="shared" si="9"/>
        <v>13626</v>
      </c>
      <c r="K41" s="242">
        <f t="shared" si="44"/>
        <v>13626</v>
      </c>
      <c r="L41" s="242">
        <f t="shared" si="34"/>
        <v>2826.53</v>
      </c>
      <c r="M41" s="242">
        <f t="shared" si="12"/>
        <v>10799.47</v>
      </c>
      <c r="N41" s="242">
        <f t="shared" ref="N41:N72" si="46">IF(P41-Q41&gt;$C$24,$C$24-L41,IF(V41=0,0,R41)+$AI$51)</f>
        <v>0</v>
      </c>
      <c r="O41" s="242">
        <v>0</v>
      </c>
      <c r="P41" s="242">
        <f t="shared" si="25"/>
        <v>2826.53</v>
      </c>
      <c r="Q41" s="242">
        <f t="shared" si="36"/>
        <v>0</v>
      </c>
      <c r="R41" s="242">
        <f t="shared" si="14"/>
        <v>0</v>
      </c>
      <c r="S41" s="242">
        <f t="shared" si="15"/>
        <v>351195.15999999992</v>
      </c>
      <c r="T41" s="467"/>
      <c r="U41" s="198">
        <f t="shared" si="29"/>
        <v>28</v>
      </c>
      <c r="V41" s="36">
        <f t="shared" si="16"/>
        <v>28</v>
      </c>
      <c r="W41" s="16">
        <f>INDEX('Для Прайм'!B3:D3,MATCH($C$10,'Для Прайм'!$B$1:$D$1,0))</f>
        <v>133200</v>
      </c>
      <c r="X41" s="16">
        <f>INDEX('Для Прайм'!B5:D5,MATCH($C$10,'Для Прайм'!$B$1:$D$1,0))</f>
        <v>136300</v>
      </c>
      <c r="Y41" s="16">
        <f>INDEX('Для Прайм'!B7:D7,MATCH($C$10,'Для Прайм'!$B$1:$D$1,0))</f>
        <v>139300</v>
      </c>
      <c r="Z41" s="16">
        <f>INDEX('Для Прайм'!B9:D9,MATCH($C$10,'Для Прайм'!$B$1:$D$1,0))</f>
        <v>142500</v>
      </c>
      <c r="AA41" s="16">
        <f>INDEX('Для Прайм'!B13:D13,MATCH($C$10,'Для Прайм'!$B$1:$D$1,0))</f>
        <v>148800</v>
      </c>
      <c r="AB41" s="16">
        <f>INDEX('Для Прайм'!B15:D15,MATCH($C$10,'Для Прайм'!$B$1:$D$1,0))</f>
        <v>150800</v>
      </c>
      <c r="AC41" s="16">
        <f>INDEX('Для Прайм'!B17:D17,MATCH($C$10,'Для Прайм'!$B$1:$D$1,0))</f>
        <v>152100</v>
      </c>
      <c r="AD41" s="16">
        <f>INDEX('Для Прайм'!B19:D19,MATCH($C$10,'Для Прайм'!$B$1:$D$1,0))</f>
        <v>155400</v>
      </c>
      <c r="AE41" s="16">
        <f>INDEX('Для Прайм'!B21:D21,MATCH($C$10,'Для Прайм'!$B$1:$D$1,0))</f>
        <v>158700</v>
      </c>
      <c r="AF41" s="3"/>
      <c r="AG41" s="3"/>
      <c r="AH41" s="3"/>
      <c r="AI41" s="2"/>
      <c r="AJ41" s="2"/>
      <c r="AK41" s="57"/>
      <c r="AL41" s="2"/>
      <c r="AM41" s="15"/>
      <c r="AN41" s="15"/>
      <c r="AO41" s="130">
        <f t="shared" si="17"/>
        <v>1</v>
      </c>
      <c r="AP41" s="261">
        <f t="shared" si="30"/>
        <v>33</v>
      </c>
      <c r="AQ41" s="262">
        <f t="shared" si="3"/>
        <v>45287</v>
      </c>
      <c r="AR41" s="263">
        <f t="shared" si="42"/>
        <v>0.155</v>
      </c>
      <c r="AS41" s="258">
        <f t="shared" si="18"/>
        <v>14930</v>
      </c>
      <c r="AT41" s="258">
        <f t="shared" si="19"/>
        <v>14930</v>
      </c>
      <c r="AU41" s="258">
        <f t="shared" si="20"/>
        <v>3918.83</v>
      </c>
      <c r="AV41" s="258">
        <f t="shared" si="21"/>
        <v>11011.17</v>
      </c>
      <c r="AW41" s="258">
        <f t="shared" ref="AW41:AW72" si="47">IF(AY41-AZ41&gt;$D$24,$D$24-AU41,IF(BI41=0,0,BA41)+BX89)</f>
        <v>0</v>
      </c>
      <c r="AX41" s="258">
        <v>0</v>
      </c>
      <c r="AY41" s="258">
        <f t="shared" si="22"/>
        <v>3918.83</v>
      </c>
      <c r="AZ41" s="258">
        <f t="shared" si="38"/>
        <v>0</v>
      </c>
      <c r="BA41" s="258">
        <f t="shared" si="35"/>
        <v>0</v>
      </c>
      <c r="BB41" s="258"/>
      <c r="BC41" s="258"/>
      <c r="BD41" s="258"/>
      <c r="BE41" s="258"/>
      <c r="BF41" s="258"/>
      <c r="BG41" s="258">
        <f t="shared" si="24"/>
        <v>296596.20999999996</v>
      </c>
      <c r="BH41" s="108">
        <f t="shared" si="31"/>
        <v>28</v>
      </c>
      <c r="BI41" s="108">
        <f t="shared" si="26"/>
        <v>28</v>
      </c>
      <c r="BJ41" s="22">
        <f t="shared" si="27"/>
        <v>45287</v>
      </c>
      <c r="BK41" s="108">
        <f t="shared" si="7"/>
        <v>13626</v>
      </c>
    </row>
    <row r="42" spans="1:1217" s="16" customFormat="1" ht="45.75" customHeight="1" x14ac:dyDescent="0.3">
      <c r="A42" s="976" t="s">
        <v>313</v>
      </c>
      <c r="B42" s="848"/>
      <c r="C42" s="982" t="str">
        <f>CONCATENATE(MIN((C38*1%+C39*1%+C40*1%+C41*3%),IF($C$17="Серебряный",10000,IF($C$17="Золотой",15000,IF($C$17="Платиновый",20000,""))))+MIN((C38*1%+C39*3%+C40*3%+C41*1%),5000)," рублей")</f>
        <v>9400 рублей</v>
      </c>
      <c r="D42" s="983"/>
      <c r="E42" s="984"/>
      <c r="F42" s="178"/>
      <c r="G42" s="244">
        <f t="shared" si="28"/>
        <v>34</v>
      </c>
      <c r="H42" s="245">
        <f t="shared" si="1"/>
        <v>45318</v>
      </c>
      <c r="I42" s="246">
        <f t="shared" si="43"/>
        <v>9.4999999999999973E-2</v>
      </c>
      <c r="J42" s="242">
        <f t="shared" si="9"/>
        <v>13626</v>
      </c>
      <c r="K42" s="242">
        <f t="shared" si="44"/>
        <v>13626</v>
      </c>
      <c r="L42" s="242">
        <f t="shared" si="34"/>
        <v>2826.87</v>
      </c>
      <c r="M42" s="242">
        <f t="shared" si="12"/>
        <v>10799.130000000001</v>
      </c>
      <c r="N42" s="242">
        <f t="shared" si="46"/>
        <v>0</v>
      </c>
      <c r="O42" s="242">
        <v>0</v>
      </c>
      <c r="P42" s="242">
        <f t="shared" si="25"/>
        <v>2826.87</v>
      </c>
      <c r="Q42" s="242">
        <f t="shared" si="36"/>
        <v>0</v>
      </c>
      <c r="R42" s="242">
        <f t="shared" si="14"/>
        <v>0</v>
      </c>
      <c r="S42" s="242">
        <f t="shared" si="15"/>
        <v>340396.02999999991</v>
      </c>
      <c r="T42" s="467"/>
      <c r="U42" s="198">
        <f t="shared" si="29"/>
        <v>27</v>
      </c>
      <c r="V42" s="36">
        <f t="shared" si="16"/>
        <v>27</v>
      </c>
      <c r="W42" s="2"/>
      <c r="X42" s="18">
        <f>K8</f>
        <v>-593750</v>
      </c>
      <c r="Y42" s="57">
        <f>H8</f>
        <v>44285</v>
      </c>
      <c r="Z42" s="2"/>
      <c r="AA42" s="2"/>
      <c r="AB42" s="2"/>
      <c r="AF42" s="2"/>
      <c r="AG42" s="2"/>
      <c r="AH42" s="2"/>
      <c r="AI42" s="2"/>
      <c r="AJ42" s="2"/>
      <c r="AK42" s="57"/>
      <c r="AL42" s="2"/>
      <c r="AM42" s="15"/>
      <c r="AN42" s="15"/>
      <c r="AO42" s="130">
        <f t="shared" si="17"/>
        <v>1</v>
      </c>
      <c r="AP42" s="261">
        <f t="shared" si="30"/>
        <v>34</v>
      </c>
      <c r="AQ42" s="262">
        <f t="shared" si="3"/>
        <v>45318</v>
      </c>
      <c r="AR42" s="263">
        <f t="shared" si="42"/>
        <v>0.155</v>
      </c>
      <c r="AS42" s="258">
        <f t="shared" si="18"/>
        <v>14930</v>
      </c>
      <c r="AT42" s="258">
        <f t="shared" si="19"/>
        <v>14930</v>
      </c>
      <c r="AU42" s="258">
        <f t="shared" si="20"/>
        <v>3895.21</v>
      </c>
      <c r="AV42" s="258">
        <f t="shared" si="21"/>
        <v>11034.79</v>
      </c>
      <c r="AW42" s="258">
        <f t="shared" si="47"/>
        <v>0</v>
      </c>
      <c r="AX42" s="258">
        <v>0</v>
      </c>
      <c r="AY42" s="258">
        <f t="shared" si="22"/>
        <v>3895.21</v>
      </c>
      <c r="AZ42" s="258">
        <f t="shared" si="38"/>
        <v>0</v>
      </c>
      <c r="BA42" s="258">
        <f t="shared" si="35"/>
        <v>0</v>
      </c>
      <c r="BB42" s="258"/>
      <c r="BC42" s="258"/>
      <c r="BD42" s="258"/>
      <c r="BE42" s="258"/>
      <c r="BF42" s="258"/>
      <c r="BG42" s="258">
        <f t="shared" si="24"/>
        <v>285561.42</v>
      </c>
      <c r="BH42" s="108">
        <f t="shared" si="31"/>
        <v>27</v>
      </c>
      <c r="BI42" s="108">
        <f t="shared" si="26"/>
        <v>27</v>
      </c>
      <c r="BJ42" s="22">
        <f t="shared" si="27"/>
        <v>45318</v>
      </c>
      <c r="BK42" s="108">
        <f t="shared" si="7"/>
        <v>13626</v>
      </c>
    </row>
    <row r="43" spans="1:1217" s="16" customFormat="1" x14ac:dyDescent="0.3">
      <c r="A43" s="980" t="s">
        <v>316</v>
      </c>
      <c r="B43" s="488" t="s">
        <v>296</v>
      </c>
      <c r="C43" s="474">
        <v>10000</v>
      </c>
      <c r="D43" s="472">
        <f>IF($C$37="Да",C43*(1%+1%),C43*(1%+0%))</f>
        <v>200</v>
      </c>
      <c r="E43" s="471" t="s">
        <v>300</v>
      </c>
      <c r="F43" s="178"/>
      <c r="G43" s="244">
        <f t="shared" si="28"/>
        <v>35</v>
      </c>
      <c r="H43" s="245">
        <f t="shared" si="1"/>
        <v>45349</v>
      </c>
      <c r="I43" s="246">
        <f t="shared" si="43"/>
        <v>9.4999999999999973E-2</v>
      </c>
      <c r="J43" s="242">
        <f t="shared" si="9"/>
        <v>13626</v>
      </c>
      <c r="K43" s="242">
        <f t="shared" si="44"/>
        <v>13626</v>
      </c>
      <c r="L43" s="242">
        <f t="shared" si="34"/>
        <v>2738.98</v>
      </c>
      <c r="M43" s="242">
        <f t="shared" si="12"/>
        <v>10887.02</v>
      </c>
      <c r="N43" s="242">
        <f t="shared" si="46"/>
        <v>0</v>
      </c>
      <c r="O43" s="242">
        <v>0</v>
      </c>
      <c r="P43" s="242">
        <f t="shared" si="25"/>
        <v>2738.98</v>
      </c>
      <c r="Q43" s="242">
        <f t="shared" si="36"/>
        <v>0</v>
      </c>
      <c r="R43" s="242">
        <f t="shared" si="14"/>
        <v>0</v>
      </c>
      <c r="S43" s="242">
        <f t="shared" si="15"/>
        <v>329509.00999999989</v>
      </c>
      <c r="T43" s="467"/>
      <c r="U43" s="198">
        <f t="shared" si="29"/>
        <v>26</v>
      </c>
      <c r="V43" s="36">
        <f t="shared" si="16"/>
        <v>26</v>
      </c>
      <c r="X43" s="34">
        <f>IF(OR(C8="Гарантия стандарт",C8="Гарантия пакет"),AH65*AH79*$C$10,0)</f>
        <v>0</v>
      </c>
      <c r="Y43" s="57">
        <f>H8</f>
        <v>44285</v>
      </c>
      <c r="Z43" s="5" t="s">
        <v>11</v>
      </c>
      <c r="AA43" s="4"/>
      <c r="AB43" s="37"/>
      <c r="AF43" s="2"/>
      <c r="AG43" s="2"/>
      <c r="AH43" s="2"/>
      <c r="AI43" s="2"/>
      <c r="AJ43" s="2"/>
      <c r="AK43" s="57"/>
      <c r="AL43" s="2"/>
      <c r="AM43" s="15"/>
      <c r="AN43" s="15"/>
      <c r="AO43" s="130">
        <f t="shared" si="17"/>
        <v>1</v>
      </c>
      <c r="AP43" s="261">
        <f t="shared" si="30"/>
        <v>35</v>
      </c>
      <c r="AQ43" s="262">
        <f t="shared" si="3"/>
        <v>45349</v>
      </c>
      <c r="AR43" s="263">
        <f t="shared" si="42"/>
        <v>0.155</v>
      </c>
      <c r="AS43" s="258">
        <f t="shared" si="18"/>
        <v>14930</v>
      </c>
      <c r="AT43" s="258">
        <f t="shared" si="19"/>
        <v>14930</v>
      </c>
      <c r="AU43" s="258">
        <f t="shared" si="20"/>
        <v>3748.97</v>
      </c>
      <c r="AV43" s="258">
        <f t="shared" si="21"/>
        <v>11181.03</v>
      </c>
      <c r="AW43" s="258">
        <f t="shared" si="47"/>
        <v>0</v>
      </c>
      <c r="AX43" s="258">
        <v>0</v>
      </c>
      <c r="AY43" s="258">
        <f t="shared" si="22"/>
        <v>3748.97</v>
      </c>
      <c r="AZ43" s="258">
        <f t="shared" si="38"/>
        <v>0</v>
      </c>
      <c r="BA43" s="258">
        <f t="shared" si="35"/>
        <v>0</v>
      </c>
      <c r="BB43" s="258"/>
      <c r="BC43" s="258"/>
      <c r="BD43" s="258"/>
      <c r="BE43" s="258"/>
      <c r="BF43" s="258"/>
      <c r="BG43" s="258">
        <f t="shared" si="24"/>
        <v>274380.38999999996</v>
      </c>
      <c r="BH43" s="108">
        <f t="shared" si="31"/>
        <v>26</v>
      </c>
      <c r="BI43" s="108">
        <f t="shared" si="26"/>
        <v>26</v>
      </c>
      <c r="BJ43" s="22">
        <f t="shared" si="27"/>
        <v>45349</v>
      </c>
      <c r="BK43" s="108">
        <f t="shared" si="7"/>
        <v>13626</v>
      </c>
    </row>
    <row r="44" spans="1:1217" s="16" customFormat="1" ht="15.75" customHeight="1" thickBot="1" x14ac:dyDescent="0.35">
      <c r="A44" s="981"/>
      <c r="B44" s="347" t="s">
        <v>297</v>
      </c>
      <c r="C44" s="474">
        <v>5000</v>
      </c>
      <c r="D44" s="472">
        <f>IF($C$37="Да",C44*(1%+3%),C44*(1%+0%))</f>
        <v>200</v>
      </c>
      <c r="E44" s="471" t="s">
        <v>300</v>
      </c>
      <c r="F44" s="178"/>
      <c r="G44" s="248">
        <f t="shared" si="28"/>
        <v>36</v>
      </c>
      <c r="H44" s="249">
        <f t="shared" si="1"/>
        <v>45378</v>
      </c>
      <c r="I44" s="250">
        <f t="shared" si="43"/>
        <v>9.4999999999999973E-2</v>
      </c>
      <c r="J44" s="252">
        <f t="shared" si="9"/>
        <v>13626</v>
      </c>
      <c r="K44" s="252">
        <f t="shared" si="44"/>
        <v>13626</v>
      </c>
      <c r="L44" s="252">
        <f t="shared" si="34"/>
        <v>2480.3200000000002</v>
      </c>
      <c r="M44" s="252">
        <f t="shared" si="12"/>
        <v>11145.68</v>
      </c>
      <c r="N44" s="252">
        <f t="shared" si="46"/>
        <v>0</v>
      </c>
      <c r="O44" s="252">
        <v>0</v>
      </c>
      <c r="P44" s="252">
        <f t="shared" si="25"/>
        <v>2480.3200000000002</v>
      </c>
      <c r="Q44" s="252">
        <f t="shared" si="36"/>
        <v>0</v>
      </c>
      <c r="R44" s="252">
        <f t="shared" si="14"/>
        <v>0</v>
      </c>
      <c r="S44" s="252">
        <f t="shared" si="15"/>
        <v>318363.3299999999</v>
      </c>
      <c r="T44" s="468"/>
      <c r="U44" s="198">
        <f t="shared" si="29"/>
        <v>25</v>
      </c>
      <c r="V44" s="36">
        <f t="shared" si="16"/>
        <v>25</v>
      </c>
      <c r="W44" s="2">
        <f>IF(AND(G9&gt;=$W$9,G9&lt;=$W$9+5),0,IF($C$9&gt;$AF$51,ROUND(S8*#REF!/(DATEVALUE(CONCATENATE("01/01/",YEAR(H9)+1))-DATEVALUE(CONCATENATE("01/01/",YEAR(H9))))*(H9-H8),2),0))</f>
        <v>0</v>
      </c>
      <c r="X44" s="34">
        <f>K9</f>
        <v>0</v>
      </c>
      <c r="Y44" s="57">
        <f>Y43+365</f>
        <v>44650</v>
      </c>
      <c r="Z44" s="8" t="s">
        <v>10</v>
      </c>
      <c r="AA44" s="8"/>
      <c r="AB44" s="37"/>
      <c r="AF44" s="3"/>
      <c r="AG44" s="3"/>
      <c r="AH44" s="3"/>
      <c r="AI44" s="2"/>
      <c r="AJ44" s="2"/>
      <c r="AK44" s="57"/>
      <c r="AL44" s="2"/>
      <c r="AM44" s="15"/>
      <c r="AN44" s="3"/>
      <c r="AO44" s="130">
        <f t="shared" si="17"/>
        <v>1</v>
      </c>
      <c r="AP44" s="261">
        <f t="shared" si="30"/>
        <v>36</v>
      </c>
      <c r="AQ44" s="262">
        <f t="shared" si="3"/>
        <v>45378</v>
      </c>
      <c r="AR44" s="263">
        <f t="shared" si="42"/>
        <v>0.155</v>
      </c>
      <c r="AS44" s="258">
        <f t="shared" si="18"/>
        <v>14930</v>
      </c>
      <c r="AT44" s="258">
        <f t="shared" si="19"/>
        <v>14930</v>
      </c>
      <c r="AU44" s="258">
        <f t="shared" si="20"/>
        <v>3369.78</v>
      </c>
      <c r="AV44" s="258">
        <f t="shared" si="21"/>
        <v>11560.22</v>
      </c>
      <c r="AW44" s="258">
        <f t="shared" si="47"/>
        <v>0</v>
      </c>
      <c r="AX44" s="258">
        <v>0</v>
      </c>
      <c r="AY44" s="258">
        <f t="shared" si="22"/>
        <v>3369.78</v>
      </c>
      <c r="AZ44" s="258">
        <f t="shared" si="38"/>
        <v>0</v>
      </c>
      <c r="BA44" s="258">
        <f t="shared" si="35"/>
        <v>0</v>
      </c>
      <c r="BB44" s="258"/>
      <c r="BC44" s="258"/>
      <c r="BD44" s="258"/>
      <c r="BE44" s="258"/>
      <c r="BF44" s="258"/>
      <c r="BG44" s="258">
        <f t="shared" si="24"/>
        <v>262820.17</v>
      </c>
      <c r="BH44" s="108">
        <f t="shared" si="31"/>
        <v>25</v>
      </c>
      <c r="BI44" s="108">
        <f t="shared" si="26"/>
        <v>25</v>
      </c>
      <c r="BJ44" s="22">
        <f t="shared" si="27"/>
        <v>45378</v>
      </c>
      <c r="BK44" s="108">
        <f t="shared" si="7"/>
        <v>13626</v>
      </c>
    </row>
    <row r="45" spans="1:1217" s="16" customFormat="1" ht="16.95" customHeight="1" x14ac:dyDescent="0.3">
      <c r="A45" s="981"/>
      <c r="B45" s="347" t="s">
        <v>298</v>
      </c>
      <c r="C45" s="474">
        <v>5000</v>
      </c>
      <c r="D45" s="472">
        <f>IF($C$37="Да",C45*(1%+3%),C45*(1%+0%))</f>
        <v>200</v>
      </c>
      <c r="E45" s="471" t="s">
        <v>300</v>
      </c>
      <c r="F45" s="178"/>
      <c r="G45" s="244">
        <f t="shared" si="28"/>
        <v>37</v>
      </c>
      <c r="H45" s="245">
        <f t="shared" si="1"/>
        <v>45409</v>
      </c>
      <c r="I45" s="246">
        <f>IF(AND($C$16="Да",$C$8&lt;&gt;"Нет"),$AG$39,$C$13)</f>
        <v>5.9000000000000004E-2</v>
      </c>
      <c r="J45" s="242">
        <f t="shared" si="9"/>
        <v>12974</v>
      </c>
      <c r="K45" s="242">
        <f>IF(AND(G45&gt;=$W$9,G45&lt;=$W$9+5),$W$10,IF(AND(S44+N45+L45&gt;K44,K44&lt;&gt;0),IF(AND($C$16="Да",$C$8&lt;&gt;"Нет"),$AF$39,$C$24),IF(S44=0,0,S44+N45+L45+L46)))</f>
        <v>12974</v>
      </c>
      <c r="L45" s="242">
        <f t="shared" si="34"/>
        <v>1590.95</v>
      </c>
      <c r="M45" s="242">
        <f t="shared" si="12"/>
        <v>11383.05</v>
      </c>
      <c r="N45" s="242">
        <f t="shared" si="46"/>
        <v>0</v>
      </c>
      <c r="O45" s="242">
        <v>0</v>
      </c>
      <c r="P45" s="242">
        <f t="shared" si="25"/>
        <v>1590.95</v>
      </c>
      <c r="Q45" s="242">
        <f t="shared" si="36"/>
        <v>0</v>
      </c>
      <c r="R45" s="242">
        <f t="shared" si="14"/>
        <v>0</v>
      </c>
      <c r="S45" s="242">
        <f t="shared" si="15"/>
        <v>306980.27999999991</v>
      </c>
      <c r="T45" s="467"/>
      <c r="U45" s="198">
        <f t="shared" si="29"/>
        <v>24</v>
      </c>
      <c r="V45" s="36">
        <f t="shared" si="16"/>
        <v>24</v>
      </c>
      <c r="W45" s="2">
        <f>IF(AND(G10&gt;=$W$9,G10&lt;=$W$9+5),0,IF($C$9&gt;$AF$51,ROUND(S9*#REF!/(DATEVALUE(CONCATENATE("01/01/",YEAR(H10)+1))-DATEVALUE(CONCATENATE("01/01/",YEAR(H10))))*(H10-H9),2),0))</f>
        <v>0</v>
      </c>
      <c r="X45" s="34">
        <f>IF(K10 &gt; 0, K10, 0)</f>
        <v>0</v>
      </c>
      <c r="Y45" s="57">
        <f t="shared" ref="Y45:Y108" si="48">Y44+365</f>
        <v>45015</v>
      </c>
      <c r="Z45" s="8" t="s">
        <v>8</v>
      </c>
      <c r="AA45" s="8"/>
      <c r="AB45" s="37"/>
      <c r="AF45" s="3"/>
      <c r="AG45" s="3"/>
      <c r="AH45" s="3"/>
      <c r="AI45" s="2"/>
      <c r="AJ45" s="2"/>
      <c r="AK45" s="57"/>
      <c r="AL45" s="2"/>
      <c r="AM45" s="3"/>
      <c r="AO45" s="130">
        <f t="shared" si="17"/>
        <v>1</v>
      </c>
      <c r="AP45" s="261">
        <f t="shared" si="30"/>
        <v>37</v>
      </c>
      <c r="AQ45" s="262">
        <f t="shared" si="3"/>
        <v>45409</v>
      </c>
      <c r="AR45" s="263">
        <f t="shared" ref="AR45:AR56" si="49">IF($D$16="Да",$AM$39,$D$13)</f>
        <v>0.155</v>
      </c>
      <c r="AS45" s="258">
        <f t="shared" si="18"/>
        <v>14930</v>
      </c>
      <c r="AT45" s="258">
        <f t="shared" si="19"/>
        <v>14930</v>
      </c>
      <c r="AU45" s="258">
        <f t="shared" si="20"/>
        <v>3450.41</v>
      </c>
      <c r="AV45" s="258">
        <f t="shared" si="21"/>
        <v>11479.59</v>
      </c>
      <c r="AW45" s="258">
        <f t="shared" si="47"/>
        <v>0</v>
      </c>
      <c r="AX45" s="258">
        <v>0</v>
      </c>
      <c r="AY45" s="258">
        <f t="shared" si="22"/>
        <v>3450.41</v>
      </c>
      <c r="AZ45" s="258">
        <f t="shared" si="38"/>
        <v>0</v>
      </c>
      <c r="BA45" s="258">
        <f t="shared" si="35"/>
        <v>0</v>
      </c>
      <c r="BB45" s="258"/>
      <c r="BC45" s="258"/>
      <c r="BD45" s="258"/>
      <c r="BE45" s="258"/>
      <c r="BF45" s="258"/>
      <c r="BG45" s="258">
        <f t="shared" si="24"/>
        <v>251340.58</v>
      </c>
      <c r="BH45" s="108">
        <f t="shared" si="31"/>
        <v>24</v>
      </c>
      <c r="BI45" s="108">
        <f t="shared" si="26"/>
        <v>24</v>
      </c>
      <c r="BJ45" s="22">
        <f t="shared" si="27"/>
        <v>45409</v>
      </c>
      <c r="BK45" s="108">
        <f t="shared" si="7"/>
        <v>12974</v>
      </c>
    </row>
    <row r="46" spans="1:1217" s="16" customFormat="1" ht="19.5" customHeight="1" x14ac:dyDescent="0.3">
      <c r="A46" s="981"/>
      <c r="B46" s="347" t="s">
        <v>299</v>
      </c>
      <c r="C46" s="474">
        <v>10000</v>
      </c>
      <c r="D46" s="472">
        <f>IF($C$37="Да",C46*(3%+1%),C46*(3%+0%))</f>
        <v>400</v>
      </c>
      <c r="E46" s="471" t="s">
        <v>300</v>
      </c>
      <c r="F46" s="178"/>
      <c r="G46" s="244">
        <f t="shared" si="28"/>
        <v>38</v>
      </c>
      <c r="H46" s="245">
        <f t="shared" si="1"/>
        <v>45439</v>
      </c>
      <c r="I46" s="246">
        <f t="shared" ref="I46:I56" si="50">IF(AND($C$16="Да",$C$8&lt;&gt;"Нет"),$AG$39,$C$13)</f>
        <v>5.9000000000000004E-2</v>
      </c>
      <c r="J46" s="242">
        <f t="shared" si="9"/>
        <v>12974</v>
      </c>
      <c r="K46" s="242">
        <f t="shared" ref="K46:K56" si="51">IF(AND(G46&gt;=$W$9,G46&lt;=$W$9+5),$W$10,IF(AND(S45+N46+L46&gt;K45,K45&lt;&gt;0),IF(AND($C$16="Да",$C$8&lt;&gt;"Нет"),$AF$39,$C$24),IF(S45=0,0,S45+N46+L46+L47)))</f>
        <v>12974</v>
      </c>
      <c r="L46" s="242">
        <f t="shared" si="34"/>
        <v>1484.58</v>
      </c>
      <c r="M46" s="242">
        <f t="shared" si="12"/>
        <v>11489.42</v>
      </c>
      <c r="N46" s="242">
        <f t="shared" si="46"/>
        <v>0</v>
      </c>
      <c r="O46" s="242">
        <v>0</v>
      </c>
      <c r="P46" s="242">
        <f t="shared" si="25"/>
        <v>1484.58</v>
      </c>
      <c r="Q46" s="242">
        <f t="shared" si="36"/>
        <v>0</v>
      </c>
      <c r="R46" s="242">
        <f t="shared" si="14"/>
        <v>0</v>
      </c>
      <c r="S46" s="242">
        <f t="shared" si="15"/>
        <v>295490.85999999993</v>
      </c>
      <c r="T46" s="467"/>
      <c r="U46" s="198">
        <f t="shared" si="29"/>
        <v>23</v>
      </c>
      <c r="V46" s="36">
        <f t="shared" si="16"/>
        <v>23</v>
      </c>
      <c r="W46" s="2">
        <f>IF(AND(G11&gt;=$W$9,G11&lt;=$W$9+5),0,IF($C$9&gt;$AF$51,ROUND(S10*#REF!/(DATEVALUE(CONCATENATE("01/01/",YEAR(H11)+1))-DATEVALUE(CONCATENATE("01/01/",YEAR(H11))))*(H11-H10),2),0))</f>
        <v>0</v>
      </c>
      <c r="X46" s="34">
        <f t="shared" ref="X46:X109" si="52">IF(K11 &gt; 0, K11, 0)</f>
        <v>0</v>
      </c>
      <c r="Y46" s="57">
        <f t="shared" si="48"/>
        <v>45380</v>
      </c>
      <c r="Z46" s="5" t="s">
        <v>1</v>
      </c>
      <c r="AA46" s="8"/>
      <c r="AB46" s="40"/>
      <c r="AC46" s="2"/>
      <c r="AD46" s="2"/>
      <c r="AE46" s="3"/>
      <c r="AF46" s="3"/>
      <c r="AG46" s="3"/>
      <c r="AH46" s="3"/>
      <c r="AI46" s="2"/>
      <c r="AJ46" s="2"/>
      <c r="AK46" s="57"/>
      <c r="AL46" s="2"/>
      <c r="AM46" s="18">
        <f>AT8</f>
        <v>-593750</v>
      </c>
      <c r="AN46" s="57">
        <f>AQ8</f>
        <v>44285</v>
      </c>
      <c r="AO46" s="130">
        <f t="shared" si="17"/>
        <v>1</v>
      </c>
      <c r="AP46" s="261">
        <f t="shared" si="30"/>
        <v>38</v>
      </c>
      <c r="AQ46" s="262">
        <f t="shared" si="3"/>
        <v>45439</v>
      </c>
      <c r="AR46" s="263">
        <f t="shared" si="49"/>
        <v>0.155</v>
      </c>
      <c r="AS46" s="258">
        <f t="shared" si="18"/>
        <v>14930</v>
      </c>
      <c r="AT46" s="258">
        <f t="shared" si="19"/>
        <v>14930</v>
      </c>
      <c r="AU46" s="258">
        <f t="shared" si="20"/>
        <v>3193.26</v>
      </c>
      <c r="AV46" s="258">
        <f t="shared" si="21"/>
        <v>11736.74</v>
      </c>
      <c r="AW46" s="258">
        <f t="shared" si="47"/>
        <v>0</v>
      </c>
      <c r="AX46" s="258">
        <v>0</v>
      </c>
      <c r="AY46" s="258">
        <f t="shared" si="22"/>
        <v>3193.26</v>
      </c>
      <c r="AZ46" s="258">
        <f t="shared" si="38"/>
        <v>0</v>
      </c>
      <c r="BA46" s="258">
        <f t="shared" si="35"/>
        <v>0</v>
      </c>
      <c r="BB46" s="258"/>
      <c r="BC46" s="258"/>
      <c r="BD46" s="258"/>
      <c r="BE46" s="258"/>
      <c r="BF46" s="258"/>
      <c r="BG46" s="258">
        <f t="shared" si="24"/>
        <v>239603.84</v>
      </c>
      <c r="BH46" s="108">
        <f t="shared" si="31"/>
        <v>23</v>
      </c>
      <c r="BI46" s="108">
        <f t="shared" si="26"/>
        <v>23</v>
      </c>
      <c r="BJ46" s="22">
        <f t="shared" si="27"/>
        <v>45439</v>
      </c>
      <c r="BK46" s="108">
        <f t="shared" si="7"/>
        <v>12974</v>
      </c>
    </row>
    <row r="47" spans="1:1217" s="16" customFormat="1" ht="56.25" customHeight="1" x14ac:dyDescent="0.3">
      <c r="A47" s="976" t="s">
        <v>314</v>
      </c>
      <c r="B47" s="848"/>
      <c r="C47" s="982" t="str">
        <f>CONCATENATE(MIN((C43*1%+C44*1%+C45*1%+C46*3%),IF(C17="Серебряный",10000,IF(C17="Золотой",15000,IF(C17="Платиновый",20000,""))))+MIN((C43*1%+C44*3%+C45*3%+C46*1%),5000)," рублей")</f>
        <v>1000 рублей</v>
      </c>
      <c r="D47" s="983"/>
      <c r="E47" s="984"/>
      <c r="F47" s="178"/>
      <c r="G47" s="244">
        <f t="shared" si="28"/>
        <v>39</v>
      </c>
      <c r="H47" s="245">
        <f t="shared" si="1"/>
        <v>45470</v>
      </c>
      <c r="I47" s="246">
        <f t="shared" si="50"/>
        <v>5.9000000000000004E-2</v>
      </c>
      <c r="J47" s="242">
        <f t="shared" si="9"/>
        <v>12974</v>
      </c>
      <c r="K47" s="242">
        <f t="shared" si="51"/>
        <v>12974</v>
      </c>
      <c r="L47" s="242">
        <f t="shared" si="34"/>
        <v>1476.65</v>
      </c>
      <c r="M47" s="242">
        <f t="shared" si="12"/>
        <v>11497.35</v>
      </c>
      <c r="N47" s="242">
        <f t="shared" si="46"/>
        <v>0</v>
      </c>
      <c r="O47" s="242">
        <v>0</v>
      </c>
      <c r="P47" s="242">
        <f t="shared" si="25"/>
        <v>1476.65</v>
      </c>
      <c r="Q47" s="242">
        <f t="shared" si="36"/>
        <v>0</v>
      </c>
      <c r="R47" s="242">
        <f t="shared" si="14"/>
        <v>0</v>
      </c>
      <c r="S47" s="242">
        <f t="shared" si="15"/>
        <v>283993.50999999995</v>
      </c>
      <c r="T47" s="467"/>
      <c r="U47" s="198">
        <f t="shared" si="29"/>
        <v>22</v>
      </c>
      <c r="V47" s="36">
        <f t="shared" si="16"/>
        <v>22</v>
      </c>
      <c r="W47" s="2">
        <f>IF(AND(G12&gt;=$W$9,G12&lt;=$W$9+5),0,IF($C$9&gt;$AF$51,ROUND(S11*#REF!/(DATEVALUE(CONCATENATE("01/01/",YEAR(H12)+1))-DATEVALUE(CONCATENATE("01/01/",YEAR(H12))))*(H12-H11),2),0))</f>
        <v>0</v>
      </c>
      <c r="X47" s="34">
        <f t="shared" si="52"/>
        <v>0</v>
      </c>
      <c r="Y47" s="57">
        <f t="shared" si="48"/>
        <v>45745</v>
      </c>
      <c r="Z47" s="5" t="s">
        <v>42</v>
      </c>
      <c r="AA47" s="8"/>
      <c r="AB47" s="17">
        <f>AC51/C7</f>
        <v>0.67527873999999999</v>
      </c>
      <c r="AC47" s="38">
        <v>0</v>
      </c>
      <c r="AD47" s="1" t="s">
        <v>20</v>
      </c>
      <c r="AE47" s="6" t="s">
        <v>15</v>
      </c>
      <c r="AF47" s="6"/>
      <c r="AG47" s="6">
        <f>IF(S8&gt;=200000,10,1)</f>
        <v>10</v>
      </c>
      <c r="AH47" s="27">
        <v>41274</v>
      </c>
      <c r="AI47" s="2">
        <v>6</v>
      </c>
      <c r="AJ47" s="2"/>
      <c r="AK47" s="2"/>
      <c r="AM47" s="34">
        <f>IF(OR(D8="Гарантия стандарт",D8="Гарантия пакет"),AH65*AH79*$C$10,0)</f>
        <v>0</v>
      </c>
      <c r="AN47" s="57">
        <f>AQ8</f>
        <v>44285</v>
      </c>
      <c r="AO47" s="130">
        <f t="shared" si="17"/>
        <v>1</v>
      </c>
      <c r="AP47" s="261">
        <f t="shared" si="30"/>
        <v>39</v>
      </c>
      <c r="AQ47" s="262">
        <f t="shared" si="3"/>
        <v>45470</v>
      </c>
      <c r="AR47" s="263">
        <f t="shared" si="49"/>
        <v>0.155</v>
      </c>
      <c r="AS47" s="258">
        <f t="shared" si="18"/>
        <v>14930</v>
      </c>
      <c r="AT47" s="258">
        <f t="shared" si="19"/>
        <v>14930</v>
      </c>
      <c r="AU47" s="258">
        <f t="shared" si="20"/>
        <v>3145.62</v>
      </c>
      <c r="AV47" s="258">
        <f t="shared" si="21"/>
        <v>11784.380000000001</v>
      </c>
      <c r="AW47" s="258">
        <f t="shared" si="47"/>
        <v>0</v>
      </c>
      <c r="AX47" s="258">
        <v>0</v>
      </c>
      <c r="AY47" s="258">
        <f t="shared" si="22"/>
        <v>3145.62</v>
      </c>
      <c r="AZ47" s="258">
        <f t="shared" si="38"/>
        <v>0</v>
      </c>
      <c r="BA47" s="258">
        <f t="shared" si="35"/>
        <v>0</v>
      </c>
      <c r="BB47" s="258"/>
      <c r="BC47" s="258"/>
      <c r="BD47" s="258"/>
      <c r="BE47" s="258"/>
      <c r="BF47" s="258"/>
      <c r="BG47" s="258">
        <f t="shared" si="24"/>
        <v>227819.46</v>
      </c>
      <c r="BH47" s="108">
        <f t="shared" si="31"/>
        <v>22</v>
      </c>
      <c r="BI47" s="108">
        <f t="shared" si="26"/>
        <v>22</v>
      </c>
      <c r="BJ47" s="22">
        <f t="shared" si="27"/>
        <v>45470</v>
      </c>
      <c r="BK47" s="108">
        <f t="shared" si="7"/>
        <v>12974</v>
      </c>
    </row>
    <row r="48" spans="1:1217" s="16" customFormat="1" ht="18.75" customHeight="1" x14ac:dyDescent="0.3">
      <c r="A48" s="985" t="s">
        <v>301</v>
      </c>
      <c r="B48" s="985"/>
      <c r="C48" s="985"/>
      <c r="D48" s="985"/>
      <c r="E48" s="985"/>
      <c r="F48" s="178"/>
      <c r="G48" s="244">
        <f t="shared" si="28"/>
        <v>40</v>
      </c>
      <c r="H48" s="245">
        <f t="shared" si="1"/>
        <v>45500</v>
      </c>
      <c r="I48" s="246">
        <f t="shared" si="50"/>
        <v>5.9000000000000004E-2</v>
      </c>
      <c r="J48" s="242">
        <f t="shared" si="9"/>
        <v>12974</v>
      </c>
      <c r="K48" s="242">
        <f t="shared" si="51"/>
        <v>12974</v>
      </c>
      <c r="L48" s="242">
        <f t="shared" si="34"/>
        <v>1373.41</v>
      </c>
      <c r="M48" s="242">
        <f t="shared" si="12"/>
        <v>11600.59</v>
      </c>
      <c r="N48" s="242">
        <f t="shared" si="46"/>
        <v>0</v>
      </c>
      <c r="O48" s="242">
        <v>0</v>
      </c>
      <c r="P48" s="242">
        <f t="shared" si="25"/>
        <v>1373.41</v>
      </c>
      <c r="Q48" s="242">
        <f t="shared" si="36"/>
        <v>0</v>
      </c>
      <c r="R48" s="242">
        <f t="shared" si="14"/>
        <v>0</v>
      </c>
      <c r="S48" s="242">
        <f t="shared" si="15"/>
        <v>272392.91999999993</v>
      </c>
      <c r="T48" s="467"/>
      <c r="U48" s="198">
        <f t="shared" si="29"/>
        <v>21</v>
      </c>
      <c r="V48" s="36">
        <f t="shared" si="16"/>
        <v>21</v>
      </c>
      <c r="W48" s="2">
        <f>IF(AND(G13&gt;=$W$9,G13&lt;=$W$9+5),0,IF($C$9&gt;$AF$51,ROUND(S12*#REF!/(DATEVALUE(CONCATENATE("01/01/",YEAR(H13)+1))-DATEVALUE(CONCATENATE("01/01/",YEAR(H13))))*(H13-H12),2),0))</f>
        <v>0</v>
      </c>
      <c r="X48" s="34">
        <f t="shared" si="52"/>
        <v>0</v>
      </c>
      <c r="Y48" s="57">
        <f t="shared" si="48"/>
        <v>46110</v>
      </c>
      <c r="Z48" s="5"/>
      <c r="AA48" s="8"/>
      <c r="AB48" s="17">
        <f>IF(C8=AC59,AC65,IF(C8=AD59,AD65,IF(C8=AF59,AF65,IF(C8=AG59,AG65,IF(C8=AE59,AE65,IF(C8=AH59,AH65,IF(C8=AI59,AI65,IF(C8=AJ59,AJ65,Y23))))))))</f>
        <v>2.5000000000000001E-3</v>
      </c>
      <c r="AC48" s="39">
        <f>C7*(1-AC47)</f>
        <v>500000</v>
      </c>
      <c r="AD48" s="9" t="s">
        <v>29</v>
      </c>
      <c r="AE48" s="2" t="s">
        <v>17</v>
      </c>
      <c r="AF48" s="2"/>
      <c r="AG48" s="2">
        <v>7.4000000000000003E-3</v>
      </c>
      <c r="AH48" s="59">
        <v>41750</v>
      </c>
      <c r="AI48" s="2">
        <v>72</v>
      </c>
      <c r="AJ48" s="2"/>
      <c r="AK48" s="2"/>
      <c r="AL48" s="2" t="e">
        <f>IF(AND(Y5&gt;=$W$9,Y5&lt;=$W$9+5),0,IF($C$9&gt;$AF$51,ROUND(AI8*#REF!/(DATEVALUE(CONCATENATE("01/01/",YEAR(Z5)+1))-DATEVALUE(CONCATENATE("01/01/",YEAR(Z5))))*(Z5-Z4),2),0))</f>
        <v>#REF!</v>
      </c>
      <c r="AM48" s="34">
        <f>AT9</f>
        <v>14930</v>
      </c>
      <c r="AN48" s="57">
        <f>AN47+365</f>
        <v>44650</v>
      </c>
      <c r="AO48" s="130">
        <f t="shared" si="17"/>
        <v>1</v>
      </c>
      <c r="AP48" s="261">
        <f t="shared" si="30"/>
        <v>40</v>
      </c>
      <c r="AQ48" s="262">
        <f t="shared" si="3"/>
        <v>45500</v>
      </c>
      <c r="AR48" s="263">
        <f t="shared" si="49"/>
        <v>0.155</v>
      </c>
      <c r="AS48" s="258">
        <f t="shared" si="18"/>
        <v>14930</v>
      </c>
      <c r="AT48" s="258">
        <f t="shared" si="19"/>
        <v>14930</v>
      </c>
      <c r="AU48" s="258">
        <f t="shared" si="20"/>
        <v>2894.43</v>
      </c>
      <c r="AV48" s="258">
        <f t="shared" si="21"/>
        <v>12035.57</v>
      </c>
      <c r="AW48" s="258">
        <f t="shared" si="47"/>
        <v>0</v>
      </c>
      <c r="AX48" s="258">
        <v>0</v>
      </c>
      <c r="AY48" s="258">
        <f t="shared" si="22"/>
        <v>2894.43</v>
      </c>
      <c r="AZ48" s="258">
        <f t="shared" si="38"/>
        <v>0</v>
      </c>
      <c r="BA48" s="258">
        <f t="shared" si="35"/>
        <v>0</v>
      </c>
      <c r="BB48" s="258"/>
      <c r="BC48" s="258"/>
      <c r="BD48" s="258"/>
      <c r="BE48" s="258"/>
      <c r="BF48" s="258"/>
      <c r="BG48" s="258">
        <f t="shared" si="24"/>
        <v>215783.88999999998</v>
      </c>
      <c r="BH48" s="108">
        <f t="shared" si="31"/>
        <v>21</v>
      </c>
      <c r="BI48" s="108">
        <f t="shared" si="26"/>
        <v>21</v>
      </c>
      <c r="BJ48" s="22">
        <f t="shared" si="27"/>
        <v>45500</v>
      </c>
      <c r="BK48" s="108">
        <f t="shared" si="7"/>
        <v>12974</v>
      </c>
    </row>
    <row r="49" spans="1:64" s="16" customFormat="1" ht="55.2" customHeight="1" x14ac:dyDescent="0.25">
      <c r="A49" s="986" t="s">
        <v>308</v>
      </c>
      <c r="B49" s="987"/>
      <c r="C49" s="988" t="str">
        <f>CONCATENATE(ROUND(D33-C33,0)+MIN((C38*1%+C39*1%+C40*1%+C41*3%),IF($C$17="Серебряный",10000,IF($C$17="Золотой",15000,IF($C$17="Платиновый",20000,""))))+MIN((C38*1%+C39*3%+C40*3%+C41*1%),5000)+(MIN((C43*1%+C44*1%+C45*1%+C46*3%),IF(C17="Серебряный",10000,IF(C17="Золотой",15000,IF(C17="Платиновый",20000,""))))*13+MIN((C43*1%+C44*3%+C45*3%+C46*1%),5000)*13)," рублей")</f>
        <v>53485 рублей</v>
      </c>
      <c r="D49" s="989"/>
      <c r="E49" s="990"/>
      <c r="F49" s="180"/>
      <c r="G49" s="244">
        <f t="shared" si="28"/>
        <v>41</v>
      </c>
      <c r="H49" s="245">
        <f t="shared" si="1"/>
        <v>45531</v>
      </c>
      <c r="I49" s="246">
        <f t="shared" si="50"/>
        <v>5.9000000000000004E-2</v>
      </c>
      <c r="J49" s="242">
        <f t="shared" si="9"/>
        <v>12974</v>
      </c>
      <c r="K49" s="242">
        <f t="shared" si="51"/>
        <v>12974</v>
      </c>
      <c r="L49" s="242">
        <f t="shared" si="34"/>
        <v>1361.22</v>
      </c>
      <c r="M49" s="242">
        <f t="shared" si="12"/>
        <v>11612.78</v>
      </c>
      <c r="N49" s="242">
        <f t="shared" si="46"/>
        <v>0</v>
      </c>
      <c r="O49" s="242">
        <v>0</v>
      </c>
      <c r="P49" s="242">
        <f t="shared" si="25"/>
        <v>1361.22</v>
      </c>
      <c r="Q49" s="242">
        <f t="shared" si="36"/>
        <v>0</v>
      </c>
      <c r="R49" s="242">
        <f t="shared" si="14"/>
        <v>0</v>
      </c>
      <c r="S49" s="242">
        <f t="shared" si="15"/>
        <v>260780.13999999993</v>
      </c>
      <c r="T49" s="467"/>
      <c r="U49" s="198">
        <f t="shared" si="29"/>
        <v>20</v>
      </c>
      <c r="V49" s="36">
        <f t="shared" si="16"/>
        <v>20</v>
      </c>
      <c r="W49" s="2">
        <f>IF(AND(G14&gt;=$W$9,G14&lt;=$W$9+5),0,IF($C$9&gt;$AF$51,ROUND(S13*#REF!/(DATEVALUE(CONCATENATE("01/01/",YEAR(H14)+1))-DATEVALUE(CONCATENATE("01/01/",YEAR(H14))))*(H14-H13),2),0))</f>
        <v>0</v>
      </c>
      <c r="X49" s="34">
        <f t="shared" si="52"/>
        <v>0</v>
      </c>
      <c r="Y49" s="57">
        <f t="shared" si="48"/>
        <v>46475</v>
      </c>
      <c r="Z49" s="2"/>
      <c r="AA49" s="2"/>
      <c r="AB49" s="15">
        <f>IF(D8=AC59,AC65,IF(D8=AD59,AD65,IF(D8=AF59,AF65,IF(D8=AG59,AG65,IF(D8=AE59,AE65,IF(D8=AH59,AH65,IF(D8=AI59,AI65,Y23)))))))</f>
        <v>2.5000000000000001E-3</v>
      </c>
      <c r="AC49" s="41">
        <f>ROUNDUP(C7*AD49,0)</f>
        <v>0</v>
      </c>
      <c r="AD49" s="12">
        <v>0</v>
      </c>
      <c r="AE49" s="1">
        <v>15000</v>
      </c>
      <c r="AF49" s="53">
        <v>41365</v>
      </c>
      <c r="AG49" s="1">
        <v>500</v>
      </c>
      <c r="AH49" s="2">
        <f>ROUNDUP(($AD$55)/AG47,0)*AG47</f>
        <v>14920</v>
      </c>
      <c r="AI49" s="2"/>
      <c r="AJ49" s="2"/>
      <c r="AK49" s="2"/>
      <c r="AL49" s="2" t="e">
        <f>IF(AND(Y6&gt;=$W$9,Y6&lt;=$W$9+5),0,IF($C$9&gt;$AF$51,ROUND(AI9*#REF!/(DATEVALUE(CONCATENATE("01/01/",YEAR(Z6)+1))-DATEVALUE(CONCATENATE("01/01/",YEAR(Z6))))*(Z6-Z5),2),0))</f>
        <v>#REF!</v>
      </c>
      <c r="AM49" s="34">
        <f>AT10</f>
        <v>14930</v>
      </c>
      <c r="AN49" s="57">
        <f t="shared" ref="AN49:AN112" si="53">AN48+365</f>
        <v>45015</v>
      </c>
      <c r="AO49" s="130">
        <f t="shared" si="17"/>
        <v>1</v>
      </c>
      <c r="AP49" s="261">
        <f t="shared" si="30"/>
        <v>41</v>
      </c>
      <c r="AQ49" s="262">
        <f t="shared" si="3"/>
        <v>45531</v>
      </c>
      <c r="AR49" s="263">
        <f t="shared" si="49"/>
        <v>0.155</v>
      </c>
      <c r="AS49" s="258">
        <f t="shared" si="18"/>
        <v>14930</v>
      </c>
      <c r="AT49" s="258">
        <f t="shared" si="19"/>
        <v>14930</v>
      </c>
      <c r="AU49" s="258">
        <f t="shared" si="20"/>
        <v>2832.9</v>
      </c>
      <c r="AV49" s="258">
        <f t="shared" si="21"/>
        <v>12097.1</v>
      </c>
      <c r="AW49" s="258">
        <f t="shared" si="47"/>
        <v>0</v>
      </c>
      <c r="AX49" s="258">
        <v>0</v>
      </c>
      <c r="AY49" s="258">
        <f t="shared" si="22"/>
        <v>2832.9</v>
      </c>
      <c r="AZ49" s="258">
        <f t="shared" si="38"/>
        <v>0</v>
      </c>
      <c r="BA49" s="258">
        <f t="shared" si="35"/>
        <v>0</v>
      </c>
      <c r="BB49" s="258"/>
      <c r="BC49" s="258"/>
      <c r="BD49" s="258"/>
      <c r="BE49" s="258"/>
      <c r="BF49" s="258"/>
      <c r="BG49" s="258">
        <f t="shared" si="24"/>
        <v>203686.78999999998</v>
      </c>
      <c r="BH49" s="108">
        <f t="shared" si="31"/>
        <v>20</v>
      </c>
      <c r="BI49" s="108">
        <f t="shared" si="26"/>
        <v>20</v>
      </c>
      <c r="BJ49" s="22">
        <f t="shared" si="27"/>
        <v>45531</v>
      </c>
      <c r="BK49" s="108">
        <f t="shared" si="7"/>
        <v>12974</v>
      </c>
    </row>
    <row r="50" spans="1:64" s="16" customFormat="1" ht="55.5" customHeight="1" thickBot="1" x14ac:dyDescent="0.3">
      <c r="A50" s="844" t="s">
        <v>175</v>
      </c>
      <c r="B50" s="844"/>
      <c r="C50" s="844"/>
      <c r="D50" s="844"/>
      <c r="E50" s="844"/>
      <c r="F50" s="180"/>
      <c r="G50" s="244">
        <f t="shared" si="28"/>
        <v>42</v>
      </c>
      <c r="H50" s="245">
        <f t="shared" si="1"/>
        <v>45562</v>
      </c>
      <c r="I50" s="246">
        <f t="shared" si="50"/>
        <v>5.9000000000000004E-2</v>
      </c>
      <c r="J50" s="242">
        <f t="shared" si="9"/>
        <v>12974</v>
      </c>
      <c r="K50" s="242">
        <f t="shared" si="51"/>
        <v>12974</v>
      </c>
      <c r="L50" s="242">
        <f t="shared" si="34"/>
        <v>1303.19</v>
      </c>
      <c r="M50" s="242">
        <f t="shared" si="12"/>
        <v>11670.81</v>
      </c>
      <c r="N50" s="242">
        <f t="shared" si="46"/>
        <v>0</v>
      </c>
      <c r="O50" s="242">
        <v>0</v>
      </c>
      <c r="P50" s="242">
        <f t="shared" si="25"/>
        <v>1303.19</v>
      </c>
      <c r="Q50" s="242">
        <f t="shared" si="36"/>
        <v>0</v>
      </c>
      <c r="R50" s="242">
        <f t="shared" si="14"/>
        <v>0</v>
      </c>
      <c r="S50" s="242">
        <f t="shared" si="15"/>
        <v>249109.32999999993</v>
      </c>
      <c r="T50" s="467"/>
      <c r="U50" s="198">
        <f t="shared" si="29"/>
        <v>19</v>
      </c>
      <c r="V50" s="36">
        <f t="shared" si="16"/>
        <v>19</v>
      </c>
      <c r="W50" s="2" t="e">
        <f>IF(AND(G15&gt;=$W$9,G15&lt;=$W$9+5),0,IF($C$9&gt;$AF$51,ROUND(S14*#REF!/(DATEVALUE(CONCATENATE("01/01/",YEAR(H15)+1))-DATEVALUE(CONCATENATE("01/01/",YEAR(H15))))*(H15-H14),2),0))</f>
        <v>#REF!</v>
      </c>
      <c r="X50" s="34">
        <f t="shared" si="52"/>
        <v>14930</v>
      </c>
      <c r="Y50" s="57">
        <f t="shared" si="48"/>
        <v>46840</v>
      </c>
      <c r="Z50" s="6" t="s">
        <v>0</v>
      </c>
      <c r="AA50" s="6"/>
      <c r="AB50" s="6"/>
      <c r="AC50" s="42">
        <v>24</v>
      </c>
      <c r="AD50" s="14"/>
      <c r="AE50" s="1">
        <f>IF(C9&lt;AF49,300000,1000000)</f>
        <v>1000000</v>
      </c>
      <c r="AF50" s="53">
        <v>41501</v>
      </c>
      <c r="AG50" s="53">
        <v>41882</v>
      </c>
      <c r="AH50" s="2" t="e">
        <f>IF(C9&gt;AG50,XIRR(X43:X122,Y43:Y122)*12,XIRR(X43:X121,H8:H86))</f>
        <v>#NUM!</v>
      </c>
      <c r="AI50" s="2"/>
      <c r="AJ50" s="2"/>
      <c r="AK50" s="2"/>
      <c r="AL50" s="2" t="e">
        <f>IF(AND(#REF!&gt;=$W$9,#REF!&lt;=$W$9+5),0,IF($C$9&gt;$AF$51,ROUND(AI10*#REF!/(DATEVALUE(CONCATENATE("01/01/",YEAR(#REF!)+1))-DATEVALUE(CONCATENATE("01/01/",YEAR(#REF!))))*(#REF!-Z6),2),0))</f>
        <v>#REF!</v>
      </c>
      <c r="AM50" s="34">
        <f t="shared" ref="AM50:AM113" si="54">AT11</f>
        <v>14930</v>
      </c>
      <c r="AN50" s="57">
        <f t="shared" si="53"/>
        <v>45380</v>
      </c>
      <c r="AO50" s="130">
        <f t="shared" si="17"/>
        <v>1</v>
      </c>
      <c r="AP50" s="261">
        <f t="shared" si="30"/>
        <v>42</v>
      </c>
      <c r="AQ50" s="262">
        <f t="shared" si="3"/>
        <v>45562</v>
      </c>
      <c r="AR50" s="263">
        <f t="shared" si="49"/>
        <v>0.155</v>
      </c>
      <c r="AS50" s="258">
        <f t="shared" si="18"/>
        <v>14930</v>
      </c>
      <c r="AT50" s="258">
        <f t="shared" si="19"/>
        <v>14930</v>
      </c>
      <c r="AU50" s="258">
        <f t="shared" si="20"/>
        <v>2674.08</v>
      </c>
      <c r="AV50" s="258">
        <f t="shared" si="21"/>
        <v>12255.92</v>
      </c>
      <c r="AW50" s="258">
        <f t="shared" si="47"/>
        <v>0</v>
      </c>
      <c r="AX50" s="258">
        <v>0</v>
      </c>
      <c r="AY50" s="258">
        <f t="shared" si="22"/>
        <v>2674.08</v>
      </c>
      <c r="AZ50" s="258">
        <f t="shared" si="38"/>
        <v>0</v>
      </c>
      <c r="BA50" s="258">
        <f t="shared" si="35"/>
        <v>0</v>
      </c>
      <c r="BB50" s="258"/>
      <c r="BC50" s="258"/>
      <c r="BD50" s="258"/>
      <c r="BE50" s="258"/>
      <c r="BF50" s="258"/>
      <c r="BG50" s="258">
        <f t="shared" si="24"/>
        <v>191430.86999999997</v>
      </c>
      <c r="BH50" s="108">
        <f t="shared" si="31"/>
        <v>19</v>
      </c>
      <c r="BI50" s="108">
        <f t="shared" si="26"/>
        <v>19</v>
      </c>
      <c r="BJ50" s="22">
        <f t="shared" si="27"/>
        <v>45562</v>
      </c>
      <c r="BK50" s="108">
        <f t="shared" si="7"/>
        <v>12974</v>
      </c>
    </row>
    <row r="51" spans="1:64" s="16" customFormat="1" ht="19.5" customHeight="1" x14ac:dyDescent="0.3">
      <c r="A51" s="847" t="s">
        <v>186</v>
      </c>
      <c r="B51" s="213" t="s">
        <v>180</v>
      </c>
      <c r="C51" s="191">
        <f>C33/($C$10/12)</f>
        <v>42560.953999999991</v>
      </c>
      <c r="D51" s="191">
        <f>D33/($C$10/12)</f>
        <v>48777.873999999982</v>
      </c>
      <c r="E51" s="191">
        <f>C51-D51</f>
        <v>-6216.919999999991</v>
      </c>
      <c r="F51" s="178"/>
      <c r="G51" s="244">
        <f t="shared" si="28"/>
        <v>43</v>
      </c>
      <c r="H51" s="245">
        <f t="shared" si="1"/>
        <v>45592</v>
      </c>
      <c r="I51" s="246">
        <f t="shared" si="50"/>
        <v>5.9000000000000004E-2</v>
      </c>
      <c r="J51" s="242">
        <f t="shared" si="9"/>
        <v>12974</v>
      </c>
      <c r="K51" s="242">
        <f t="shared" si="51"/>
        <v>12974</v>
      </c>
      <c r="L51" s="242">
        <f t="shared" si="34"/>
        <v>1204.71</v>
      </c>
      <c r="M51" s="242">
        <f t="shared" si="12"/>
        <v>11769.29</v>
      </c>
      <c r="N51" s="242">
        <f t="shared" si="46"/>
        <v>0</v>
      </c>
      <c r="O51" s="242">
        <v>0</v>
      </c>
      <c r="P51" s="242">
        <f t="shared" si="25"/>
        <v>1204.71</v>
      </c>
      <c r="Q51" s="242">
        <f t="shared" si="36"/>
        <v>0</v>
      </c>
      <c r="R51" s="242">
        <f t="shared" si="14"/>
        <v>0</v>
      </c>
      <c r="S51" s="242">
        <f t="shared" si="15"/>
        <v>237340.03999999992</v>
      </c>
      <c r="T51" s="467"/>
      <c r="U51" s="198">
        <f t="shared" si="29"/>
        <v>18</v>
      </c>
      <c r="V51" s="36">
        <f t="shared" si="16"/>
        <v>18</v>
      </c>
      <c r="W51" s="2" t="e">
        <f>IF(AND(G16&gt;=$W$9,G16&lt;=$W$9+5),0,IF($C$9&gt;$AF$51,ROUND(S15*#REF!/(DATEVALUE(CONCATENATE("01/01/",YEAR(H16)+1))-DATEVALUE(CONCATENATE("01/01/",YEAR(H16))))*(H16-H15),2),0))</f>
        <v>#REF!</v>
      </c>
      <c r="X51" s="34">
        <f t="shared" si="52"/>
        <v>14930</v>
      </c>
      <c r="Y51" s="57">
        <f t="shared" si="48"/>
        <v>47205</v>
      </c>
      <c r="Z51" s="11" t="s">
        <v>18</v>
      </c>
      <c r="AA51" s="11"/>
      <c r="AB51" s="11"/>
      <c r="AC51" s="42">
        <f>(D32-C7)</f>
        <v>337639.37</v>
      </c>
      <c r="AD51" s="58"/>
      <c r="AE51" s="53">
        <v>41632</v>
      </c>
      <c r="AF51" s="53">
        <v>41820</v>
      </c>
      <c r="AG51" s="53">
        <v>41857</v>
      </c>
      <c r="AH51" s="46">
        <v>41991</v>
      </c>
      <c r="AI51" s="18">
        <v>0</v>
      </c>
      <c r="AJ51" s="3"/>
      <c r="AK51" s="3"/>
      <c r="AL51" s="2" t="e">
        <f>IF(AND(Y7&gt;=$W$9,Y7&lt;=$W$9+5),0,IF($C$9&gt;$AF$51,ROUND(AI11*#REF!/(DATEVALUE(CONCATENATE("01/01/",YEAR(Z7)+1))-DATEVALUE(CONCATENATE("01/01/",YEAR(Z7))))*(Z7-#REF!),2),0))</f>
        <v>#REF!</v>
      </c>
      <c r="AM51" s="34">
        <f t="shared" si="54"/>
        <v>14930</v>
      </c>
      <c r="AN51" s="57">
        <f t="shared" si="53"/>
        <v>45745</v>
      </c>
      <c r="AO51" s="130">
        <f t="shared" si="17"/>
        <v>1</v>
      </c>
      <c r="AP51" s="261">
        <f t="shared" si="30"/>
        <v>43</v>
      </c>
      <c r="AQ51" s="262">
        <f t="shared" si="3"/>
        <v>45592</v>
      </c>
      <c r="AR51" s="263">
        <f t="shared" si="49"/>
        <v>0.155</v>
      </c>
      <c r="AS51" s="258">
        <f t="shared" si="18"/>
        <v>14930</v>
      </c>
      <c r="AT51" s="258">
        <f t="shared" si="19"/>
        <v>14930</v>
      </c>
      <c r="AU51" s="258">
        <f t="shared" si="20"/>
        <v>2432.11</v>
      </c>
      <c r="AV51" s="258">
        <f t="shared" si="21"/>
        <v>12497.89</v>
      </c>
      <c r="AW51" s="258">
        <f t="shared" si="47"/>
        <v>0</v>
      </c>
      <c r="AX51" s="258">
        <v>0</v>
      </c>
      <c r="AY51" s="258">
        <f t="shared" si="22"/>
        <v>2432.11</v>
      </c>
      <c r="AZ51" s="258">
        <f t="shared" si="38"/>
        <v>0</v>
      </c>
      <c r="BA51" s="258">
        <f t="shared" si="35"/>
        <v>0</v>
      </c>
      <c r="BB51" s="258"/>
      <c r="BC51" s="258"/>
      <c r="BD51" s="258"/>
      <c r="BE51" s="258"/>
      <c r="BF51" s="258"/>
      <c r="BG51" s="258">
        <f t="shared" si="24"/>
        <v>178932.97999999998</v>
      </c>
      <c r="BH51" s="108">
        <f t="shared" si="31"/>
        <v>18</v>
      </c>
      <c r="BI51" s="108">
        <f t="shared" si="26"/>
        <v>18</v>
      </c>
      <c r="BJ51" s="22">
        <f t="shared" si="27"/>
        <v>45592</v>
      </c>
      <c r="BK51" s="108">
        <f t="shared" si="7"/>
        <v>12974</v>
      </c>
    </row>
    <row r="52" spans="1:64" s="16" customFormat="1" ht="24" customHeight="1" x14ac:dyDescent="0.3">
      <c r="A52" s="847"/>
      <c r="B52" s="213" t="s">
        <v>181</v>
      </c>
      <c r="C52" s="201">
        <f>C51/C23</f>
        <v>7.1681606736842096E-2</v>
      </c>
      <c r="D52" s="201">
        <f>D51/D23</f>
        <v>8.2152208842105237E-2</v>
      </c>
      <c r="E52" s="191"/>
      <c r="F52" s="178"/>
      <c r="G52" s="244">
        <f t="shared" si="28"/>
        <v>44</v>
      </c>
      <c r="H52" s="245">
        <f t="shared" si="1"/>
        <v>45623</v>
      </c>
      <c r="I52" s="246">
        <f t="shared" si="50"/>
        <v>5.9000000000000004E-2</v>
      </c>
      <c r="J52" s="242">
        <f t="shared" si="9"/>
        <v>12974</v>
      </c>
      <c r="K52" s="242">
        <f t="shared" si="51"/>
        <v>12974</v>
      </c>
      <c r="L52" s="242">
        <f t="shared" si="34"/>
        <v>1186.05</v>
      </c>
      <c r="M52" s="242">
        <f t="shared" si="12"/>
        <v>11787.95</v>
      </c>
      <c r="N52" s="242">
        <f t="shared" si="46"/>
        <v>0</v>
      </c>
      <c r="O52" s="242">
        <v>0</v>
      </c>
      <c r="P52" s="242">
        <f t="shared" si="25"/>
        <v>1186.05</v>
      </c>
      <c r="Q52" s="242">
        <f t="shared" si="36"/>
        <v>0</v>
      </c>
      <c r="R52" s="242">
        <f t="shared" si="14"/>
        <v>0</v>
      </c>
      <c r="S52" s="242">
        <f t="shared" si="15"/>
        <v>225552.08999999991</v>
      </c>
      <c r="T52" s="467"/>
      <c r="U52" s="198">
        <f t="shared" si="29"/>
        <v>17</v>
      </c>
      <c r="V52" s="36">
        <f t="shared" si="16"/>
        <v>17</v>
      </c>
      <c r="W52" s="2" t="e">
        <f>IF(AND(G17&gt;=$W$9,G17&lt;=$W$9+5),0,IF($C$9&gt;$AF$51,ROUND(S16*#REF!/(DATEVALUE(CONCATENATE("01/01/",YEAR(H17)+1))-DATEVALUE(CONCATENATE("01/01/",YEAR(H17))))*(H17-H16),2),0))</f>
        <v>#REF!</v>
      </c>
      <c r="X52" s="34">
        <f t="shared" si="52"/>
        <v>14930</v>
      </c>
      <c r="Y52" s="57">
        <f t="shared" si="48"/>
        <v>47570</v>
      </c>
      <c r="Z52" s="3" t="s">
        <v>22</v>
      </c>
      <c r="AA52" s="3"/>
      <c r="AB52" s="3"/>
      <c r="AC52" s="42"/>
      <c r="AD52" s="58"/>
      <c r="AE52" s="53">
        <v>42124</v>
      </c>
      <c r="AF52" s="53"/>
      <c r="AG52" s="53"/>
      <c r="AH52" s="46"/>
      <c r="AI52" s="2"/>
      <c r="AJ52" s="3"/>
      <c r="AK52" s="3"/>
      <c r="AL52" s="2" t="e">
        <f>IF(AND(Y8&gt;=$W$9,Y8&lt;=$W$9+5),0,IF($C$9&gt;$AF$51,ROUND(AI12*#REF!/(DATEVALUE(CONCATENATE("01/01/",YEAR(Z8)+1))-DATEVALUE(CONCATENATE("01/01/",YEAR(Z8))))*(Z8-Z7),2),0))</f>
        <v>#REF!</v>
      </c>
      <c r="AM52" s="34">
        <f t="shared" si="54"/>
        <v>14930</v>
      </c>
      <c r="AN52" s="57">
        <f t="shared" si="53"/>
        <v>46110</v>
      </c>
      <c r="AO52" s="130">
        <f t="shared" si="17"/>
        <v>1</v>
      </c>
      <c r="AP52" s="261">
        <f t="shared" si="30"/>
        <v>44</v>
      </c>
      <c r="AQ52" s="262">
        <f t="shared" si="3"/>
        <v>45623</v>
      </c>
      <c r="AR52" s="263">
        <f t="shared" si="49"/>
        <v>0.155</v>
      </c>
      <c r="AS52" s="258">
        <f t="shared" si="18"/>
        <v>14930</v>
      </c>
      <c r="AT52" s="258">
        <f t="shared" si="19"/>
        <v>14930</v>
      </c>
      <c r="AU52" s="258">
        <f t="shared" si="20"/>
        <v>2349.11</v>
      </c>
      <c r="AV52" s="258">
        <f t="shared" si="21"/>
        <v>12580.89</v>
      </c>
      <c r="AW52" s="258">
        <f t="shared" si="47"/>
        <v>0</v>
      </c>
      <c r="AX52" s="258">
        <v>0</v>
      </c>
      <c r="AY52" s="258">
        <f t="shared" si="22"/>
        <v>2349.11</v>
      </c>
      <c r="AZ52" s="258">
        <f t="shared" si="38"/>
        <v>0</v>
      </c>
      <c r="BA52" s="258">
        <f t="shared" si="35"/>
        <v>0</v>
      </c>
      <c r="BB52" s="258"/>
      <c r="BC52" s="258"/>
      <c r="BD52" s="258"/>
      <c r="BE52" s="258"/>
      <c r="BF52" s="258"/>
      <c r="BG52" s="258">
        <f t="shared" si="24"/>
        <v>166352.08999999997</v>
      </c>
      <c r="BH52" s="108">
        <f t="shared" si="31"/>
        <v>17</v>
      </c>
      <c r="BI52" s="108">
        <f t="shared" si="26"/>
        <v>17</v>
      </c>
      <c r="BJ52" s="22">
        <f t="shared" si="27"/>
        <v>45623</v>
      </c>
      <c r="BK52" s="108">
        <f t="shared" si="7"/>
        <v>12974</v>
      </c>
    </row>
    <row r="53" spans="1:64" s="16" customFormat="1" ht="24" customHeight="1" x14ac:dyDescent="0.3">
      <c r="A53" s="846" t="s">
        <v>177</v>
      </c>
      <c r="B53" s="846"/>
      <c r="C53" s="190">
        <f>C51/12</f>
        <v>3546.7461666666659</v>
      </c>
      <c r="D53" s="191">
        <f>D51/12</f>
        <v>4064.8228333333318</v>
      </c>
      <c r="E53" s="191">
        <f>C53-D53</f>
        <v>-518.07666666666591</v>
      </c>
      <c r="F53" s="178"/>
      <c r="G53" s="244">
        <f t="shared" si="28"/>
        <v>45</v>
      </c>
      <c r="H53" s="245">
        <f t="shared" si="1"/>
        <v>45653</v>
      </c>
      <c r="I53" s="246">
        <f t="shared" si="50"/>
        <v>5.9000000000000004E-2</v>
      </c>
      <c r="J53" s="242">
        <f t="shared" si="9"/>
        <v>12974</v>
      </c>
      <c r="K53" s="242">
        <f t="shared" si="51"/>
        <v>12974</v>
      </c>
      <c r="L53" s="242">
        <f t="shared" si="34"/>
        <v>1090.78</v>
      </c>
      <c r="M53" s="242">
        <f t="shared" si="12"/>
        <v>11883.22</v>
      </c>
      <c r="N53" s="242">
        <f t="shared" si="46"/>
        <v>0</v>
      </c>
      <c r="O53" s="242">
        <v>0</v>
      </c>
      <c r="P53" s="242">
        <f t="shared" si="25"/>
        <v>1090.78</v>
      </c>
      <c r="Q53" s="242">
        <f t="shared" si="36"/>
        <v>0</v>
      </c>
      <c r="R53" s="242">
        <f t="shared" si="14"/>
        <v>0</v>
      </c>
      <c r="S53" s="242">
        <f t="shared" si="15"/>
        <v>213668.86999999991</v>
      </c>
      <c r="T53" s="467"/>
      <c r="U53" s="198">
        <f t="shared" si="29"/>
        <v>16</v>
      </c>
      <c r="V53" s="36">
        <f t="shared" si="16"/>
        <v>16</v>
      </c>
      <c r="W53" s="2" t="e">
        <f>IF(AND(G18&gt;=$W$9,G18&lt;=$W$9+5),0,IF($C$9&gt;$AF$51,ROUND(S17*#REF!/(DATEVALUE(CONCATENATE("01/01/",YEAR(H18)+1))-DATEVALUE(CONCATENATE("01/01/",YEAR(H18))))*(H18-H17),2),0))</f>
        <v>#REF!</v>
      </c>
      <c r="X53" s="34">
        <f t="shared" si="52"/>
        <v>14930</v>
      </c>
      <c r="Y53" s="57">
        <f t="shared" si="48"/>
        <v>47935</v>
      </c>
      <c r="Z53" s="3"/>
      <c r="AA53" s="3"/>
      <c r="AB53" s="3"/>
      <c r="AC53" s="2"/>
      <c r="AD53" s="2"/>
      <c r="AE53" s="2"/>
      <c r="AF53" s="2"/>
      <c r="AG53" s="2"/>
      <c r="AH53" s="2"/>
      <c r="AI53" s="2"/>
      <c r="AJ53" s="2"/>
      <c r="AK53" s="2"/>
      <c r="AL53" s="2" t="e">
        <f>IF(AND(Y9&gt;=$W$9,Y9&lt;=$W$9+5),0,IF($C$9&gt;$AF$51,ROUND(AI13*#REF!/(DATEVALUE(CONCATENATE("01/01/",YEAR(Z9)+1))-DATEVALUE(CONCATENATE("01/01/",YEAR(Z9))))*(Z9-Z8),2),0))</f>
        <v>#REF!</v>
      </c>
      <c r="AM53" s="34">
        <f t="shared" si="54"/>
        <v>14930</v>
      </c>
      <c r="AN53" s="57">
        <f t="shared" si="53"/>
        <v>46475</v>
      </c>
      <c r="AO53" s="130">
        <f t="shared" si="17"/>
        <v>1</v>
      </c>
      <c r="AP53" s="261">
        <f t="shared" si="30"/>
        <v>45</v>
      </c>
      <c r="AQ53" s="262">
        <f t="shared" si="3"/>
        <v>45653</v>
      </c>
      <c r="AR53" s="263">
        <f t="shared" si="49"/>
        <v>0.155</v>
      </c>
      <c r="AS53" s="258">
        <f t="shared" si="18"/>
        <v>14930</v>
      </c>
      <c r="AT53" s="258">
        <f t="shared" si="19"/>
        <v>14930</v>
      </c>
      <c r="AU53" s="258">
        <f t="shared" si="20"/>
        <v>2113.4899999999998</v>
      </c>
      <c r="AV53" s="258">
        <f t="shared" si="21"/>
        <v>12816.51</v>
      </c>
      <c r="AW53" s="258">
        <f t="shared" si="47"/>
        <v>0</v>
      </c>
      <c r="AX53" s="258">
        <v>0</v>
      </c>
      <c r="AY53" s="258">
        <f t="shared" si="22"/>
        <v>2113.4899999999998</v>
      </c>
      <c r="AZ53" s="258">
        <f t="shared" si="38"/>
        <v>0</v>
      </c>
      <c r="BA53" s="258">
        <f t="shared" si="35"/>
        <v>0</v>
      </c>
      <c r="BB53" s="258"/>
      <c r="BC53" s="258"/>
      <c r="BD53" s="258"/>
      <c r="BE53" s="258"/>
      <c r="BF53" s="258"/>
      <c r="BG53" s="258">
        <f t="shared" si="24"/>
        <v>153535.57999999996</v>
      </c>
      <c r="BH53" s="108">
        <f t="shared" si="31"/>
        <v>16</v>
      </c>
      <c r="BI53" s="108">
        <f t="shared" si="26"/>
        <v>16</v>
      </c>
      <c r="BJ53" s="22">
        <f t="shared" si="27"/>
        <v>45653</v>
      </c>
      <c r="BK53" s="108">
        <f t="shared" si="7"/>
        <v>12974</v>
      </c>
    </row>
    <row r="54" spans="1:64" s="16" customFormat="1" ht="24" customHeight="1" thickBot="1" x14ac:dyDescent="0.35">
      <c r="A54" s="843" t="s">
        <v>176</v>
      </c>
      <c r="B54" s="843"/>
      <c r="C54" s="203">
        <f>C53/30</f>
        <v>118.2248722222222</v>
      </c>
      <c r="D54" s="202">
        <f>D53/30</f>
        <v>135.49409444444439</v>
      </c>
      <c r="E54" s="202">
        <f>C54-D54</f>
        <v>-17.269222222222183</v>
      </c>
      <c r="F54" s="178"/>
      <c r="G54" s="244">
        <f t="shared" si="28"/>
        <v>46</v>
      </c>
      <c r="H54" s="245">
        <f t="shared" si="1"/>
        <v>45684</v>
      </c>
      <c r="I54" s="246">
        <f t="shared" si="50"/>
        <v>5.9000000000000004E-2</v>
      </c>
      <c r="J54" s="242">
        <f t="shared" si="9"/>
        <v>12974</v>
      </c>
      <c r="K54" s="242">
        <f t="shared" si="51"/>
        <v>12974</v>
      </c>
      <c r="L54" s="242">
        <f t="shared" si="34"/>
        <v>1070.31</v>
      </c>
      <c r="M54" s="242">
        <f t="shared" si="12"/>
        <v>11903.69</v>
      </c>
      <c r="N54" s="242">
        <f t="shared" si="46"/>
        <v>0</v>
      </c>
      <c r="O54" s="242">
        <v>0</v>
      </c>
      <c r="P54" s="242">
        <f t="shared" si="25"/>
        <v>1070.31</v>
      </c>
      <c r="Q54" s="242">
        <f t="shared" si="36"/>
        <v>0</v>
      </c>
      <c r="R54" s="242">
        <f t="shared" si="14"/>
        <v>0</v>
      </c>
      <c r="S54" s="242">
        <f t="shared" si="15"/>
        <v>201765.17999999991</v>
      </c>
      <c r="T54" s="467"/>
      <c r="U54" s="198">
        <f t="shared" si="29"/>
        <v>15</v>
      </c>
      <c r="V54" s="36">
        <f t="shared" si="16"/>
        <v>15</v>
      </c>
      <c r="W54" s="2" t="e">
        <f>IF(AND(G19&gt;=$W$9,G19&lt;=$W$9+5),0,IF($C$9&gt;$AF$51,ROUND(S18*#REF!/(DATEVALUE(CONCATENATE("01/01/",YEAR(H19)+1))-DATEVALUE(CONCATENATE("01/01/",YEAR(H19))))*(H19-H18),2),0))</f>
        <v>#REF!</v>
      </c>
      <c r="X54" s="34">
        <f t="shared" si="52"/>
        <v>14930</v>
      </c>
      <c r="Y54" s="57">
        <f t="shared" si="48"/>
        <v>48300</v>
      </c>
      <c r="Z54" s="2"/>
      <c r="AA54" s="2"/>
      <c r="AB54" s="2"/>
      <c r="AC54" s="1"/>
      <c r="AD54" s="7">
        <f>H8</f>
        <v>44285</v>
      </c>
      <c r="AE54" s="47">
        <f>(C23+AI51)*AG36/12*(1+AG36/12)^(C10)/((1+AG36/12)^(C10)-1)+C23/10000*IF(C10&lt;11,20,IF(C10&lt;20,2.5,IF(C10&lt;37,1.5,IF(C10&lt;60,0.7,0.5))))*IF(AG36&lt;0.3,AG36/0.2,AG36/0.1)</f>
        <v>14942.290962815445</v>
      </c>
      <c r="AF54" s="2"/>
      <c r="AG54" s="47">
        <f>(D23+AI51)*AE14/12*(1+AE14/12)^(C10)/((1+AE14/12)^(C10)-1)+D23/10000*IF(C10&lt;11,20,IF(C10&lt;20,2.5,IF(C10&lt;37,1.5,IF(C10&lt;60,0.7,0.5))))*IF(AE14&lt;0.3,AE14/0.2,AE14/0.1)</f>
        <v>14304.59001607666</v>
      </c>
      <c r="AH54" s="2"/>
      <c r="AI54" s="2"/>
      <c r="AJ54" s="2"/>
      <c r="AK54" s="2"/>
      <c r="AL54" s="2" t="e">
        <f>IF(AND(Y10&gt;=$W$9,Y10&lt;=$W$9+5),0,IF($C$9&gt;$AF$51,ROUND(AI14*#REF!/(DATEVALUE(CONCATENATE("01/01/",YEAR(Z10)+1))-DATEVALUE(CONCATENATE("01/01/",YEAR(Z10))))*(Z10-Z9),2),0))</f>
        <v>#REF!</v>
      </c>
      <c r="AM54" s="34">
        <f t="shared" si="54"/>
        <v>14930</v>
      </c>
      <c r="AN54" s="57">
        <f t="shared" si="53"/>
        <v>46840</v>
      </c>
      <c r="AO54" s="130">
        <f t="shared" si="17"/>
        <v>1</v>
      </c>
      <c r="AP54" s="261">
        <f t="shared" si="30"/>
        <v>46</v>
      </c>
      <c r="AQ54" s="262">
        <f t="shared" si="3"/>
        <v>45684</v>
      </c>
      <c r="AR54" s="263">
        <f t="shared" si="49"/>
        <v>0.155</v>
      </c>
      <c r="AS54" s="258">
        <f t="shared" si="18"/>
        <v>14930</v>
      </c>
      <c r="AT54" s="258">
        <f t="shared" si="19"/>
        <v>14930</v>
      </c>
      <c r="AU54" s="258">
        <f t="shared" si="20"/>
        <v>2020.49</v>
      </c>
      <c r="AV54" s="258">
        <f t="shared" si="21"/>
        <v>12909.51</v>
      </c>
      <c r="AW54" s="258">
        <f t="shared" si="47"/>
        <v>0</v>
      </c>
      <c r="AX54" s="258">
        <v>0</v>
      </c>
      <c r="AY54" s="258">
        <f t="shared" si="22"/>
        <v>2020.49</v>
      </c>
      <c r="AZ54" s="258">
        <f t="shared" si="38"/>
        <v>0</v>
      </c>
      <c r="BA54" s="258">
        <f t="shared" si="35"/>
        <v>0</v>
      </c>
      <c r="BB54" s="258"/>
      <c r="BC54" s="258"/>
      <c r="BD54" s="258"/>
      <c r="BE54" s="258"/>
      <c r="BF54" s="258"/>
      <c r="BG54" s="258">
        <f t="shared" si="24"/>
        <v>140626.06999999995</v>
      </c>
      <c r="BH54" s="108">
        <f t="shared" si="31"/>
        <v>15</v>
      </c>
      <c r="BI54" s="108">
        <f t="shared" si="26"/>
        <v>15</v>
      </c>
      <c r="BJ54" s="22">
        <f t="shared" si="27"/>
        <v>45684</v>
      </c>
      <c r="BK54" s="108">
        <f t="shared" si="7"/>
        <v>12974</v>
      </c>
      <c r="BL54" s="2">
        <f>IF(AND(G9&gt;=$W$9,G9&lt;=$W$9+5),0,IF($C$9&gt;$AF$51,ROUND(BG8*IF(#REF!="",0,#REF!)/(DATEVALUE(CONCATENATE("01/01/",YEAR(AQ9)+1))-DATEVALUE(CONCATENATE("01/01/",YEAR(AQ9))))*(AQ9-AQ8),2),0))</f>
        <v>0</v>
      </c>
    </row>
    <row r="55" spans="1:64" s="16" customFormat="1" x14ac:dyDescent="0.3">
      <c r="A55" s="178"/>
      <c r="B55" s="178"/>
      <c r="C55" s="178"/>
      <c r="D55" s="178"/>
      <c r="E55" s="178"/>
      <c r="F55" s="178"/>
      <c r="G55" s="244">
        <f t="shared" si="28"/>
        <v>47</v>
      </c>
      <c r="H55" s="245">
        <f t="shared" si="1"/>
        <v>45715</v>
      </c>
      <c r="I55" s="246">
        <f t="shared" si="50"/>
        <v>5.9000000000000004E-2</v>
      </c>
      <c r="J55" s="242">
        <f t="shared" si="9"/>
        <v>12974</v>
      </c>
      <c r="K55" s="242">
        <f t="shared" si="51"/>
        <v>12974</v>
      </c>
      <c r="L55" s="242">
        <f t="shared" si="34"/>
        <v>1011.04</v>
      </c>
      <c r="M55" s="242">
        <f t="shared" si="12"/>
        <v>11962.96</v>
      </c>
      <c r="N55" s="242">
        <f t="shared" si="46"/>
        <v>0</v>
      </c>
      <c r="O55" s="242">
        <v>0</v>
      </c>
      <c r="P55" s="242">
        <f t="shared" si="25"/>
        <v>1011.04</v>
      </c>
      <c r="Q55" s="242">
        <f t="shared" si="36"/>
        <v>0</v>
      </c>
      <c r="R55" s="242">
        <f t="shared" si="14"/>
        <v>0</v>
      </c>
      <c r="S55" s="242">
        <f t="shared" si="15"/>
        <v>189802.21999999991</v>
      </c>
      <c r="T55" s="467"/>
      <c r="U55" s="198">
        <f t="shared" si="29"/>
        <v>14</v>
      </c>
      <c r="V55" s="36">
        <f t="shared" si="16"/>
        <v>14</v>
      </c>
      <c r="W55" s="2" t="e">
        <f>IF(AND(G20&gt;=$W$9,G20&lt;=$W$9+5),0,IF($C$9&gt;$AF$51,ROUND(S19*#REF!/(DATEVALUE(CONCATENATE("01/01/",YEAR(H20)+1))-DATEVALUE(CONCATENATE("01/01/",YEAR(H20))))*(H20-H19),2),0))</f>
        <v>#REF!</v>
      </c>
      <c r="X55" s="34">
        <f t="shared" si="52"/>
        <v>14930</v>
      </c>
      <c r="Y55" s="57">
        <f t="shared" si="48"/>
        <v>48665</v>
      </c>
      <c r="AA55" s="170" t="s">
        <v>134</v>
      </c>
      <c r="AD55" s="47">
        <f>IF(DAY(C9)&lt;4,AE54,IF(DAY(C9)&gt;28,AE56,AE55))</f>
        <v>14916.314400315445</v>
      </c>
      <c r="AE55" s="47">
        <f>(C23+AI51)*AG36/12*(1+AG36/12)^(C10)/((1+AG36/12)^(C10)-1)+C23/10000*IF(C10&lt;11,20,IF(C10&lt;34,0.7,IF(C10&lt;58,0.3,0.1)))*IF(AG36&lt;0.3,AG36/0.2,AG36/0.1)</f>
        <v>14921.509712815445</v>
      </c>
      <c r="AF55" s="13">
        <f>IF(DAY(C9)&lt;4,AG54,IF(DAY(C9)&gt;28,AG56,AG55))</f>
        <v>14281.58220357666</v>
      </c>
      <c r="AG55" s="156">
        <f>(D23+AI51)*AE14/12*(1+AE14/12)^(C10)/((1+AE14/12)^(C10)-1)+D23/10000*IF(C10&lt;11,20,IF(C10&lt;34,0.7,IF(C10&lt;58,0.3,0.1)))*IF(AE14&lt;0.3,AE14/0.2,AE14/0.1)</f>
        <v>14286.18376607666</v>
      </c>
      <c r="AH55" s="2"/>
      <c r="AI55" s="2"/>
      <c r="AJ55" s="2"/>
      <c r="AK55" s="2"/>
      <c r="AL55" s="2" t="e">
        <f>IF(AND(Y11&gt;=$W$9,Y11&lt;=$W$9+5),0,IF($C$9&gt;$AF$51,ROUND(AI15*#REF!/(DATEVALUE(CONCATENATE("01/01/",YEAR(Z11)+1))-DATEVALUE(CONCATENATE("01/01/",YEAR(Z11))))*(Z11-Z10),2),0))</f>
        <v>#REF!</v>
      </c>
      <c r="AM55" s="34">
        <f t="shared" si="54"/>
        <v>14930</v>
      </c>
      <c r="AN55" s="57">
        <f t="shared" si="53"/>
        <v>47205</v>
      </c>
      <c r="AO55" s="130">
        <f t="shared" si="17"/>
        <v>1</v>
      </c>
      <c r="AP55" s="261">
        <f t="shared" si="30"/>
        <v>47</v>
      </c>
      <c r="AQ55" s="262">
        <f t="shared" si="3"/>
        <v>45715</v>
      </c>
      <c r="AR55" s="263">
        <f t="shared" si="49"/>
        <v>0.155</v>
      </c>
      <c r="AS55" s="258">
        <f t="shared" si="18"/>
        <v>14930</v>
      </c>
      <c r="AT55" s="258">
        <f t="shared" si="19"/>
        <v>14930</v>
      </c>
      <c r="AU55" s="258">
        <f t="shared" si="20"/>
        <v>1851.26</v>
      </c>
      <c r="AV55" s="258">
        <f t="shared" si="21"/>
        <v>13078.74</v>
      </c>
      <c r="AW55" s="258">
        <f t="shared" si="47"/>
        <v>0</v>
      </c>
      <c r="AX55" s="258">
        <v>0</v>
      </c>
      <c r="AY55" s="258">
        <f t="shared" si="22"/>
        <v>1851.26</v>
      </c>
      <c r="AZ55" s="258">
        <f t="shared" si="38"/>
        <v>0</v>
      </c>
      <c r="BA55" s="258">
        <f t="shared" si="35"/>
        <v>0</v>
      </c>
      <c r="BB55" s="258"/>
      <c r="BC55" s="258"/>
      <c r="BD55" s="258"/>
      <c r="BE55" s="258"/>
      <c r="BF55" s="258"/>
      <c r="BG55" s="258">
        <f t="shared" si="24"/>
        <v>127547.32999999994</v>
      </c>
      <c r="BH55" s="108">
        <f t="shared" si="31"/>
        <v>14</v>
      </c>
      <c r="BI55" s="108">
        <f t="shared" si="26"/>
        <v>14</v>
      </c>
      <c r="BJ55" s="22">
        <f t="shared" si="27"/>
        <v>45715</v>
      </c>
      <c r="BK55" s="108">
        <f t="shared" si="7"/>
        <v>12974</v>
      </c>
      <c r="BL55" s="2">
        <f>IF(AND(G10&gt;=$W$9,G10&lt;=$W$9+5),0,IF($C$9&gt;$AF$51,ROUND(BG9*IF(#REF!="",0,#REF!)/(DATEVALUE(CONCATENATE("01/01/",YEAR(AQ10)+1))-DATEVALUE(CONCATENATE("01/01/",YEAR(AQ10))))*(AQ10-AQ9),2),0))</f>
        <v>0</v>
      </c>
    </row>
    <row r="56" spans="1:64" s="16" customFormat="1" ht="13.8" thickBot="1" x14ac:dyDescent="0.35">
      <c r="A56" s="178"/>
      <c r="B56" s="179"/>
      <c r="C56" s="180"/>
      <c r="D56" s="179"/>
      <c r="E56" s="178"/>
      <c r="F56" s="178"/>
      <c r="G56" s="248">
        <f t="shared" si="28"/>
        <v>48</v>
      </c>
      <c r="H56" s="249">
        <f t="shared" si="1"/>
        <v>45743</v>
      </c>
      <c r="I56" s="250">
        <f t="shared" si="50"/>
        <v>5.9000000000000004E-2</v>
      </c>
      <c r="J56" s="252">
        <f t="shared" si="9"/>
        <v>12974</v>
      </c>
      <c r="K56" s="252">
        <f t="shared" si="51"/>
        <v>12974</v>
      </c>
      <c r="L56" s="252">
        <f t="shared" si="34"/>
        <v>859.05</v>
      </c>
      <c r="M56" s="252">
        <f t="shared" si="12"/>
        <v>12114.95</v>
      </c>
      <c r="N56" s="252">
        <f t="shared" si="46"/>
        <v>0</v>
      </c>
      <c r="O56" s="252">
        <v>0</v>
      </c>
      <c r="P56" s="252">
        <f t="shared" si="25"/>
        <v>859.05</v>
      </c>
      <c r="Q56" s="252">
        <f t="shared" si="36"/>
        <v>0</v>
      </c>
      <c r="R56" s="252">
        <f t="shared" si="14"/>
        <v>0</v>
      </c>
      <c r="S56" s="252">
        <f t="shared" si="15"/>
        <v>177687.2699999999</v>
      </c>
      <c r="T56" s="468"/>
      <c r="U56" s="198">
        <f t="shared" si="29"/>
        <v>13</v>
      </c>
      <c r="V56" s="36">
        <f t="shared" si="16"/>
        <v>13</v>
      </c>
      <c r="W56" s="2" t="e">
        <f>IF(AND(G21&gt;=$W$9,G21&lt;=$W$9+5),0,IF($C$9&gt;$AF$51,ROUND(S20*#REF!/(DATEVALUE(CONCATENATE("01/01/",YEAR(H21)+1))-DATEVALUE(CONCATENATE("01/01/",YEAR(H21))))*(H21-H20),2),0))</f>
        <v>#REF!</v>
      </c>
      <c r="X56" s="34">
        <f t="shared" si="52"/>
        <v>14278</v>
      </c>
      <c r="Y56" s="57">
        <f t="shared" si="48"/>
        <v>49030</v>
      </c>
      <c r="AA56" s="171">
        <v>20000</v>
      </c>
      <c r="AB56" s="133" t="s">
        <v>135</v>
      </c>
      <c r="AC56" s="118">
        <f>ROUNDUP(AD56/AG47,0)*AG47</f>
        <v>11590</v>
      </c>
      <c r="AD56" s="13">
        <f>(C23+AI51)*AC57/12*(1+AC57/12)^(C10+AD57)/((1+AC57/12)^(C10+AD57)-1)+10*C23/100000*IF(C10+AD57&lt;24,4,IF(C10+AD57&lt;36,3,IF(C10+AD57&lt;48,2,IF(C10+AD57&lt;60,1.5,1))))*AC57/0.2</f>
        <v>11583.296590213118</v>
      </c>
      <c r="AE56" s="47">
        <f>(C23+AI51)*AG36/12*(1+AG36/12)^(C10)/((1+AG36/12)^(C10)-1)+C23/10000*IF(C10&lt;11,20,IF(C10&lt;34,0.7,IF(C10&lt;48,0.3,0)))*IF(AG36&lt;0.3,AG36/0.2,AG36/0.1)</f>
        <v>14916.314400315445</v>
      </c>
      <c r="AF56" s="13">
        <f>(D23+AI51)*AF57/12*(1+AF57/12)^(C10+AD57)/((1+AF57/12)^(C10+AD57)-1)+10*D23/100000*IF(C10+AD57&lt;24,4,IF(C10+AD57&lt;36,3,IF(C10+AD57&lt;48,2,IF(C10+AD57&lt;60,1.5,1))))*AF57/0.2</f>
        <v>10873.594760093758</v>
      </c>
      <c r="AG56" s="157">
        <f>(D23+AI51)*AE14/12*(1+AE14/12)^(C10)/((1+AE14/12)^(C10)-1)+D23/10000*IF(C10&lt;11,20,IF(C10&lt;34,0.7,IF(C10&lt;48,0.3,0)))*IF(AE14&lt;0.3,AE14/0.2,AE14/0.1)</f>
        <v>14281.58220357666</v>
      </c>
      <c r="AH56" s="2"/>
      <c r="AI56" s="2"/>
      <c r="AJ56" s="2"/>
      <c r="AK56" s="2"/>
      <c r="AL56" s="2" t="e">
        <f>IF(AND(Y12&gt;=$W$9,Y12&lt;=$W$9+5),0,IF($C$9&gt;$AF$51,ROUND(AI16*#REF!/(DATEVALUE(CONCATENATE("01/01/",YEAR(Z12)+1))-DATEVALUE(CONCATENATE("01/01/",YEAR(Z12))))*(Z12-Z11),2),0))</f>
        <v>#REF!</v>
      </c>
      <c r="AM56" s="34">
        <f t="shared" si="54"/>
        <v>14930</v>
      </c>
      <c r="AN56" s="57">
        <f t="shared" si="53"/>
        <v>47570</v>
      </c>
      <c r="AO56" s="130">
        <f t="shared" si="17"/>
        <v>1</v>
      </c>
      <c r="AP56" s="261">
        <f t="shared" si="30"/>
        <v>48</v>
      </c>
      <c r="AQ56" s="262">
        <f t="shared" si="3"/>
        <v>45743</v>
      </c>
      <c r="AR56" s="263">
        <f t="shared" si="49"/>
        <v>0.155</v>
      </c>
      <c r="AS56" s="258">
        <f t="shared" si="18"/>
        <v>14930</v>
      </c>
      <c r="AT56" s="258">
        <f t="shared" si="19"/>
        <v>14930</v>
      </c>
      <c r="AU56" s="258">
        <f t="shared" si="20"/>
        <v>1516.59</v>
      </c>
      <c r="AV56" s="258">
        <f t="shared" si="21"/>
        <v>13413.41</v>
      </c>
      <c r="AW56" s="258">
        <f t="shared" si="47"/>
        <v>0</v>
      </c>
      <c r="AX56" s="258">
        <v>0</v>
      </c>
      <c r="AY56" s="258">
        <f t="shared" si="22"/>
        <v>1516.59</v>
      </c>
      <c r="AZ56" s="258">
        <f t="shared" si="38"/>
        <v>0</v>
      </c>
      <c r="BA56" s="258">
        <f t="shared" si="35"/>
        <v>0</v>
      </c>
      <c r="BB56" s="258"/>
      <c r="BC56" s="258"/>
      <c r="BD56" s="258"/>
      <c r="BE56" s="258"/>
      <c r="BF56" s="258"/>
      <c r="BG56" s="258">
        <f t="shared" si="24"/>
        <v>114133.91999999994</v>
      </c>
      <c r="BH56" s="108">
        <f t="shared" si="31"/>
        <v>13</v>
      </c>
      <c r="BI56" s="108">
        <f t="shared" si="26"/>
        <v>13</v>
      </c>
      <c r="BJ56" s="22">
        <f t="shared" si="27"/>
        <v>45743</v>
      </c>
      <c r="BK56" s="108">
        <f t="shared" si="7"/>
        <v>12974</v>
      </c>
      <c r="BL56" s="2">
        <f>IF(AND(G11&gt;=$W$9,G11&lt;=$W$9+5),0,IF($C$9&gt;$AF$51,ROUND(BG10*IF(#REF!="",0,#REF!)/(DATEVALUE(CONCATENATE("01/01/",YEAR(AQ11)+1))-DATEVALUE(CONCATENATE("01/01/",YEAR(AQ11))))*(AQ11-AQ10),2),0))</f>
        <v>0</v>
      </c>
    </row>
    <row r="57" spans="1:64" s="16" customFormat="1" ht="13.8" x14ac:dyDescent="0.3">
      <c r="A57" s="180"/>
      <c r="B57" s="180"/>
      <c r="C57" s="180"/>
      <c r="D57" s="254"/>
      <c r="E57" s="178"/>
      <c r="F57" s="178"/>
      <c r="G57" s="244">
        <f t="shared" si="28"/>
        <v>49</v>
      </c>
      <c r="H57" s="245">
        <f t="shared" si="1"/>
        <v>45774</v>
      </c>
      <c r="I57" s="246">
        <f>IF(AND($C$16="Да",$C$8&lt;&gt;"Нет"),$AG$40,$C$13)</f>
        <v>5.9000000000000004E-2</v>
      </c>
      <c r="J57" s="242">
        <f t="shared" si="9"/>
        <v>12974</v>
      </c>
      <c r="K57" s="242">
        <f>IF(AND(G57&gt;=$W$9,G57&lt;=$W$9+5),$W$10,IF(AND(S56+N57+L57&gt;K56,K56&lt;&gt;0),IF(AND($C$16="Да",$C$8&lt;&gt;"Нет"),$AF$40,$C$24),IF(S56=0,0,S56+N57+L57+L58)))</f>
        <v>12974</v>
      </c>
      <c r="L57" s="242">
        <f t="shared" si="34"/>
        <v>890.38</v>
      </c>
      <c r="M57" s="242">
        <f t="shared" si="12"/>
        <v>12083.62</v>
      </c>
      <c r="N57" s="242">
        <f t="shared" si="46"/>
        <v>0</v>
      </c>
      <c r="O57" s="242">
        <v>0</v>
      </c>
      <c r="P57" s="242">
        <f t="shared" si="25"/>
        <v>890.38</v>
      </c>
      <c r="Q57" s="242">
        <f t="shared" si="36"/>
        <v>0</v>
      </c>
      <c r="R57" s="242">
        <f t="shared" si="14"/>
        <v>0</v>
      </c>
      <c r="S57" s="242">
        <f t="shared" si="15"/>
        <v>165603.64999999991</v>
      </c>
      <c r="T57" s="467"/>
      <c r="U57" s="198">
        <f t="shared" si="29"/>
        <v>12</v>
      </c>
      <c r="V57" s="36">
        <f t="shared" si="16"/>
        <v>12</v>
      </c>
      <c r="W57" s="2" t="e">
        <f>IF(AND(G22&gt;=$W$9,G22&lt;=$W$9+5),0,IF($C$9&gt;$AF$51,ROUND(S21*#REF!/(DATEVALUE(CONCATENATE("01/01/",YEAR(H22)+1))-DATEVALUE(CONCATENATE("01/01/",YEAR(H22))))*(H22-H21),2),0))</f>
        <v>#REF!</v>
      </c>
      <c r="X57" s="34">
        <f t="shared" si="52"/>
        <v>14278</v>
      </c>
      <c r="Y57" s="57">
        <f t="shared" si="48"/>
        <v>49395</v>
      </c>
      <c r="AA57" s="171">
        <v>200000</v>
      </c>
      <c r="AB57" s="171">
        <v>200000</v>
      </c>
      <c r="AC57" s="15">
        <f>IF(C9&gt;AH48,C11,C11+0.05)</f>
        <v>0.17499999999999999</v>
      </c>
      <c r="AD57" s="2">
        <f xml:space="preserve"> IF(C9&gt;AH48,36,24)</f>
        <v>36</v>
      </c>
      <c r="AE57" s="44">
        <f>(C23+AI51)*AG36/12*(1+AG36/12)^(C10)/((1+AG36/12)^(C10)-1)</f>
        <v>14916.314400315445</v>
      </c>
      <c r="AF57" s="15">
        <f>IF(C9&gt;AH48,D13,D13+0.05)</f>
        <v>0.155</v>
      </c>
      <c r="AG57" s="118">
        <f>(D23+AI51)*AE14/12*(1+AE14/12)^(C10)/((1+AE14/12)^(C10)-1)</f>
        <v>14281.58220357666</v>
      </c>
      <c r="AH57" s="2"/>
      <c r="AI57" s="2"/>
      <c r="AJ57" s="2"/>
      <c r="AK57" s="2"/>
      <c r="AL57" s="2" t="e">
        <f>IF(AND(Y13&gt;=$W$9,Y13&lt;=$W$9+5),0,IF($C$9&gt;$AF$51,ROUND(AI17*#REF!/(DATEVALUE(CONCATENATE("01/01/",YEAR(Z13)+1))-DATEVALUE(CONCATENATE("01/01/",YEAR(Z13))))*(Z13-Z12),2),0))</f>
        <v>#REF!</v>
      </c>
      <c r="AM57" s="34">
        <f t="shared" si="54"/>
        <v>14930</v>
      </c>
      <c r="AN57" s="57">
        <f t="shared" si="53"/>
        <v>47935</v>
      </c>
      <c r="AO57" s="130">
        <f t="shared" si="17"/>
        <v>1</v>
      </c>
      <c r="AP57" s="261">
        <f t="shared" si="30"/>
        <v>49</v>
      </c>
      <c r="AQ57" s="262">
        <f t="shared" si="3"/>
        <v>45774</v>
      </c>
      <c r="AR57" s="263">
        <f t="shared" ref="AR57:AR108" si="55">IF($D$16="Да",$AM$40,$D$13)</f>
        <v>0.155</v>
      </c>
      <c r="AS57" s="258">
        <f t="shared" si="18"/>
        <v>14930</v>
      </c>
      <c r="AT57" s="258">
        <f t="shared" si="19"/>
        <v>14930</v>
      </c>
      <c r="AU57" s="258">
        <f t="shared" si="20"/>
        <v>1502.5</v>
      </c>
      <c r="AV57" s="258">
        <f t="shared" si="21"/>
        <v>13427.5</v>
      </c>
      <c r="AW57" s="258">
        <f t="shared" si="47"/>
        <v>0</v>
      </c>
      <c r="AX57" s="258">
        <v>0</v>
      </c>
      <c r="AY57" s="258">
        <f t="shared" si="22"/>
        <v>1502.5</v>
      </c>
      <c r="AZ57" s="258">
        <f t="shared" si="38"/>
        <v>0</v>
      </c>
      <c r="BA57" s="258">
        <f t="shared" si="35"/>
        <v>0</v>
      </c>
      <c r="BB57" s="258"/>
      <c r="BC57" s="258"/>
      <c r="BD57" s="258"/>
      <c r="BE57" s="258"/>
      <c r="BF57" s="258"/>
      <c r="BG57" s="258">
        <f t="shared" si="24"/>
        <v>100706.41999999994</v>
      </c>
      <c r="BH57" s="108">
        <f t="shared" si="31"/>
        <v>12</v>
      </c>
      <c r="BI57" s="108">
        <f t="shared" si="26"/>
        <v>12</v>
      </c>
      <c r="BJ57" s="22">
        <f t="shared" si="27"/>
        <v>45774</v>
      </c>
      <c r="BK57" s="108">
        <f t="shared" si="7"/>
        <v>12974</v>
      </c>
      <c r="BL57" s="2">
        <f>IF(AND(G12&gt;=$W$9,G12&lt;=$W$9+5),0,IF($C$9&gt;$AF$51,ROUND(BG11*IF(#REF!="",0,#REF!)/(DATEVALUE(CONCATENATE("01/01/",YEAR(AQ12)+1))-DATEVALUE(CONCATENATE("01/01/",YEAR(AQ12))))*(AQ12-AQ11),2),0))</f>
        <v>0</v>
      </c>
    </row>
    <row r="58" spans="1:64" s="16" customFormat="1" ht="15.75" customHeight="1" x14ac:dyDescent="0.3">
      <c r="A58" s="180"/>
      <c r="B58" s="180"/>
      <c r="C58" s="180"/>
      <c r="D58" s="254"/>
      <c r="E58" s="178"/>
      <c r="F58" s="178"/>
      <c r="G58" s="244">
        <f t="shared" si="28"/>
        <v>50</v>
      </c>
      <c r="H58" s="245">
        <f t="shared" si="1"/>
        <v>45804</v>
      </c>
      <c r="I58" s="246">
        <f t="shared" ref="I58:I74" si="56">IF(AND($C$16="Да",$C$8&lt;&gt;"Нет"),$AG$40,$C$13)</f>
        <v>5.9000000000000004E-2</v>
      </c>
      <c r="J58" s="242">
        <f t="shared" si="9"/>
        <v>12974</v>
      </c>
      <c r="K58" s="242">
        <f t="shared" ref="K58:K68" si="57">IF(AND(G58&gt;=$W$9,G58&lt;=$W$9+5),$W$10,IF(AND(S57+N58+L58&gt;K57,K57&lt;&gt;0),IF(AND($C$16="Да",$C$8&lt;&gt;"Нет"),$AF$40,$C$24),IF(S57=0,0,S57+N58+L58+L59)))</f>
        <v>12974</v>
      </c>
      <c r="L58" s="242">
        <f t="shared" si="34"/>
        <v>803.06</v>
      </c>
      <c r="M58" s="242">
        <f t="shared" si="12"/>
        <v>12170.94</v>
      </c>
      <c r="N58" s="242">
        <f t="shared" si="46"/>
        <v>0</v>
      </c>
      <c r="O58" s="242">
        <v>0</v>
      </c>
      <c r="P58" s="242">
        <f t="shared" si="25"/>
        <v>803.06</v>
      </c>
      <c r="Q58" s="242">
        <f t="shared" si="36"/>
        <v>0</v>
      </c>
      <c r="R58" s="242">
        <f t="shared" si="14"/>
        <v>0</v>
      </c>
      <c r="S58" s="242">
        <f t="shared" si="15"/>
        <v>153432.7099999999</v>
      </c>
      <c r="T58" s="467"/>
      <c r="U58" s="198">
        <f t="shared" si="29"/>
        <v>11</v>
      </c>
      <c r="V58" s="36">
        <f t="shared" si="16"/>
        <v>11</v>
      </c>
      <c r="W58" s="2" t="e">
        <f>IF(AND(G23&gt;=$W$9,G23&lt;=$W$9+5),0,IF($C$9&gt;$AF$51,ROUND(S22*#REF!/(DATEVALUE(CONCATENATE("01/01/",YEAR(H23)+1))-DATEVALUE(CONCATENATE("01/01/",YEAR(H23))))*(H23-H22),2),0))</f>
        <v>#REF!</v>
      </c>
      <c r="X58" s="34">
        <f t="shared" si="52"/>
        <v>14278</v>
      </c>
      <c r="Y58" s="57">
        <f t="shared" si="48"/>
        <v>49760</v>
      </c>
      <c r="AA58" s="170">
        <v>600000</v>
      </c>
      <c r="AB58" s="171">
        <v>600000</v>
      </c>
      <c r="AC58" s="2"/>
      <c r="AD58" s="2"/>
      <c r="AE58" s="2"/>
      <c r="AF58" s="2"/>
      <c r="AG58" s="2"/>
      <c r="AH58" s="2"/>
      <c r="AI58" s="2"/>
      <c r="AJ58" s="2"/>
      <c r="AK58" s="2"/>
      <c r="AL58" s="2" t="e">
        <f>IF(AND(Y14&gt;=$W$9,Y14&lt;=$W$9+5),0,IF($C$9&gt;$AF$51,ROUND(AI18*#REF!/(DATEVALUE(CONCATENATE("01/01/",YEAR(Z14)+1))-DATEVALUE(CONCATENATE("01/01/",YEAR(Z14))))*(Z14-Z13),2),0))</f>
        <v>#REF!</v>
      </c>
      <c r="AM58" s="34">
        <f t="shared" si="54"/>
        <v>14930</v>
      </c>
      <c r="AN58" s="57">
        <f t="shared" si="53"/>
        <v>48300</v>
      </c>
      <c r="AO58" s="130">
        <f t="shared" si="17"/>
        <v>1</v>
      </c>
      <c r="AP58" s="261">
        <f t="shared" si="30"/>
        <v>50</v>
      </c>
      <c r="AQ58" s="262">
        <f t="shared" si="3"/>
        <v>45804</v>
      </c>
      <c r="AR58" s="263">
        <f t="shared" si="55"/>
        <v>0.155</v>
      </c>
      <c r="AS58" s="258">
        <f t="shared" si="18"/>
        <v>14930</v>
      </c>
      <c r="AT58" s="258">
        <f t="shared" si="19"/>
        <v>14930</v>
      </c>
      <c r="AU58" s="258">
        <f t="shared" si="20"/>
        <v>1282.97</v>
      </c>
      <c r="AV58" s="258">
        <f t="shared" si="21"/>
        <v>13647.03</v>
      </c>
      <c r="AW58" s="258">
        <f t="shared" si="47"/>
        <v>0</v>
      </c>
      <c r="AX58" s="258">
        <v>0</v>
      </c>
      <c r="AY58" s="258">
        <f t="shared" si="22"/>
        <v>1282.97</v>
      </c>
      <c r="AZ58" s="258">
        <f t="shared" si="38"/>
        <v>0</v>
      </c>
      <c r="BA58" s="258">
        <f t="shared" si="35"/>
        <v>0</v>
      </c>
      <c r="BB58" s="258"/>
      <c r="BC58" s="258"/>
      <c r="BD58" s="258"/>
      <c r="BE58" s="258"/>
      <c r="BF58" s="258"/>
      <c r="BG58" s="258">
        <f t="shared" si="24"/>
        <v>87059.389999999941</v>
      </c>
      <c r="BH58" s="108">
        <f t="shared" si="31"/>
        <v>11</v>
      </c>
      <c r="BI58" s="108">
        <f t="shared" si="26"/>
        <v>11</v>
      </c>
      <c r="BJ58" s="22">
        <f t="shared" si="27"/>
        <v>45804</v>
      </c>
      <c r="BK58" s="108">
        <f t="shared" si="7"/>
        <v>12974</v>
      </c>
      <c r="BL58" s="2">
        <f>IF(AND(G13&gt;=$W$9,G13&lt;=$W$9+5),0,IF($C$9&gt;$AF$51,ROUND(BG12*IF(#REF!="",0,#REF!)/(DATEVALUE(CONCATENATE("01/01/",YEAR(AQ13)+1))-DATEVALUE(CONCATENATE("01/01/",YEAR(AQ13))))*(AQ13-AQ12),2),0))</f>
        <v>0</v>
      </c>
    </row>
    <row r="59" spans="1:64" s="16" customFormat="1" ht="13.8" x14ac:dyDescent="0.3">
      <c r="A59" s="180"/>
      <c r="B59" s="180"/>
      <c r="C59" s="180"/>
      <c r="D59" s="254"/>
      <c r="E59" s="178"/>
      <c r="F59" s="178"/>
      <c r="G59" s="244">
        <f t="shared" si="28"/>
        <v>51</v>
      </c>
      <c r="H59" s="245">
        <f t="shared" si="1"/>
        <v>45835</v>
      </c>
      <c r="I59" s="246">
        <f t="shared" si="56"/>
        <v>5.9000000000000004E-2</v>
      </c>
      <c r="J59" s="242">
        <f t="shared" si="9"/>
        <v>12974</v>
      </c>
      <c r="K59" s="242">
        <f t="shared" si="57"/>
        <v>12974</v>
      </c>
      <c r="L59" s="242">
        <f t="shared" si="34"/>
        <v>768.85</v>
      </c>
      <c r="M59" s="242">
        <f t="shared" si="12"/>
        <v>12205.15</v>
      </c>
      <c r="N59" s="242">
        <f t="shared" si="46"/>
        <v>0</v>
      </c>
      <c r="O59" s="242">
        <v>0</v>
      </c>
      <c r="P59" s="242">
        <f t="shared" si="25"/>
        <v>768.85</v>
      </c>
      <c r="Q59" s="242">
        <f t="shared" si="36"/>
        <v>0</v>
      </c>
      <c r="R59" s="242">
        <f t="shared" si="14"/>
        <v>0</v>
      </c>
      <c r="S59" s="242">
        <f t="shared" si="15"/>
        <v>141227.55999999991</v>
      </c>
      <c r="T59" s="467"/>
      <c r="U59" s="198">
        <f t="shared" si="29"/>
        <v>10</v>
      </c>
      <c r="V59" s="36">
        <f t="shared" si="16"/>
        <v>10</v>
      </c>
      <c r="W59" s="2" t="e">
        <f>IF(AND(G24&gt;=$W$9,G24&lt;=$W$9+5),0,IF($C$9&gt;$AF$51,ROUND(S23*#REF!/(DATEVALUE(CONCATENATE("01/01/",YEAR(H24)+1))-DATEVALUE(CONCATENATE("01/01/",YEAR(H24))))*(H24-H23),2),0))</f>
        <v>#REF!</v>
      </c>
      <c r="X59" s="34">
        <f t="shared" si="52"/>
        <v>14278</v>
      </c>
      <c r="Y59" s="57">
        <f t="shared" si="48"/>
        <v>50125</v>
      </c>
      <c r="AA59" s="171">
        <v>1000000</v>
      </c>
      <c r="AB59" s="171">
        <v>1000000</v>
      </c>
      <c r="AC59" s="144" t="s">
        <v>330</v>
      </c>
      <c r="AD59" s="144" t="s">
        <v>111</v>
      </c>
      <c r="AE59" s="145" t="s">
        <v>114</v>
      </c>
      <c r="AF59" s="144" t="s">
        <v>115</v>
      </c>
      <c r="AG59" s="2" t="s">
        <v>35</v>
      </c>
      <c r="AH59" s="144" t="s">
        <v>118</v>
      </c>
      <c r="AI59" s="144" t="s">
        <v>119</v>
      </c>
      <c r="AJ59" s="145" t="s">
        <v>120</v>
      </c>
      <c r="AK59" s="2" t="s">
        <v>35</v>
      </c>
      <c r="AL59" s="2" t="e">
        <f>IF(AND(Y15&gt;=$W$9,Y15&lt;=$W$9+5),0,IF($C$9&gt;$AF$51,ROUND(AI19*#REF!/(DATEVALUE(CONCATENATE("01/01/",YEAR(Z15)+1))-DATEVALUE(CONCATENATE("01/01/",YEAR(Z15))))*(Z15-Z14),2),0))</f>
        <v>#REF!</v>
      </c>
      <c r="AM59" s="34">
        <f t="shared" si="54"/>
        <v>14930</v>
      </c>
      <c r="AN59" s="57">
        <f t="shared" si="53"/>
        <v>48665</v>
      </c>
      <c r="AO59" s="130">
        <f t="shared" si="17"/>
        <v>1</v>
      </c>
      <c r="AP59" s="261">
        <f t="shared" si="30"/>
        <v>51</v>
      </c>
      <c r="AQ59" s="262">
        <f t="shared" si="3"/>
        <v>45835</v>
      </c>
      <c r="AR59" s="263">
        <f t="shared" si="55"/>
        <v>0.155</v>
      </c>
      <c r="AS59" s="258">
        <f t="shared" si="18"/>
        <v>14930</v>
      </c>
      <c r="AT59" s="258">
        <f t="shared" si="19"/>
        <v>14930</v>
      </c>
      <c r="AU59" s="258">
        <f t="shared" si="20"/>
        <v>1146.08</v>
      </c>
      <c r="AV59" s="258">
        <f t="shared" si="21"/>
        <v>13783.92</v>
      </c>
      <c r="AW59" s="258">
        <f t="shared" si="47"/>
        <v>0</v>
      </c>
      <c r="AX59" s="258">
        <v>0</v>
      </c>
      <c r="AY59" s="258">
        <f t="shared" si="22"/>
        <v>1146.08</v>
      </c>
      <c r="AZ59" s="258">
        <f t="shared" si="38"/>
        <v>0</v>
      </c>
      <c r="BA59" s="258">
        <f t="shared" si="35"/>
        <v>0</v>
      </c>
      <c r="BB59" s="258"/>
      <c r="BC59" s="258"/>
      <c r="BD59" s="258"/>
      <c r="BE59" s="258"/>
      <c r="BF59" s="258"/>
      <c r="BG59" s="258">
        <f t="shared" si="24"/>
        <v>73275.469999999943</v>
      </c>
      <c r="BH59" s="108">
        <f t="shared" si="31"/>
        <v>10</v>
      </c>
      <c r="BI59" s="108">
        <f t="shared" si="26"/>
        <v>10</v>
      </c>
      <c r="BJ59" s="22">
        <f t="shared" si="27"/>
        <v>45835</v>
      </c>
      <c r="BK59" s="108">
        <f t="shared" si="7"/>
        <v>12974</v>
      </c>
      <c r="BL59" s="2">
        <f>IF(AND(G14&gt;=$W$9,G14&lt;=$W$9+5),0,IF($C$9&gt;$AF$51,ROUND(BG13*IF(#REF!="",0,#REF!)/(DATEVALUE(CONCATENATE("01/01/",YEAR(AQ14)+1))-DATEVALUE(CONCATENATE("01/01/",YEAR(AQ14))))*(AQ14-AQ13),2),0))</f>
        <v>0</v>
      </c>
    </row>
    <row r="60" spans="1:64" s="16" customFormat="1" ht="13.8" x14ac:dyDescent="0.3">
      <c r="A60" s="180"/>
      <c r="B60" s="180"/>
      <c r="C60" s="180"/>
      <c r="D60" s="254"/>
      <c r="E60" s="178"/>
      <c r="F60" s="178"/>
      <c r="G60" s="244">
        <f t="shared" si="28"/>
        <v>52</v>
      </c>
      <c r="H60" s="245">
        <f t="shared" si="1"/>
        <v>45865</v>
      </c>
      <c r="I60" s="246">
        <f t="shared" si="56"/>
        <v>5.9000000000000004E-2</v>
      </c>
      <c r="J60" s="242">
        <f t="shared" si="9"/>
        <v>12974</v>
      </c>
      <c r="K60" s="242">
        <f t="shared" si="57"/>
        <v>12974</v>
      </c>
      <c r="L60" s="242">
        <f t="shared" si="34"/>
        <v>684.86</v>
      </c>
      <c r="M60" s="242">
        <f t="shared" si="12"/>
        <v>12289.14</v>
      </c>
      <c r="N60" s="242">
        <f t="shared" si="46"/>
        <v>0</v>
      </c>
      <c r="O60" s="242">
        <v>0</v>
      </c>
      <c r="P60" s="242">
        <f t="shared" si="25"/>
        <v>684.86</v>
      </c>
      <c r="Q60" s="242">
        <f t="shared" si="36"/>
        <v>0</v>
      </c>
      <c r="R60" s="242">
        <f t="shared" si="14"/>
        <v>0</v>
      </c>
      <c r="S60" s="242">
        <f t="shared" si="15"/>
        <v>128938.41999999991</v>
      </c>
      <c r="T60" s="467"/>
      <c r="U60" s="198">
        <f t="shared" si="29"/>
        <v>9</v>
      </c>
      <c r="V60" s="36">
        <f t="shared" si="16"/>
        <v>9</v>
      </c>
      <c r="W60" s="2" t="e">
        <f>IF(AND(G25&gt;=$W$9,G25&lt;=$W$9+5),0,IF($C$9&gt;$AF$51,ROUND(S24*#REF!/(DATEVALUE(CONCATENATE("01/01/",YEAR(H25)+1))-DATEVALUE(CONCATENATE("01/01/",YEAR(H25))))*(H25-H24),2),0))</f>
        <v>#REF!</v>
      </c>
      <c r="X60" s="34">
        <f t="shared" si="52"/>
        <v>14278</v>
      </c>
      <c r="Y60" s="57">
        <f t="shared" si="48"/>
        <v>50490</v>
      </c>
      <c r="AA60" s="171"/>
      <c r="AB60" s="171">
        <v>3000000</v>
      </c>
      <c r="AC60" s="133" t="s">
        <v>125</v>
      </c>
      <c r="AD60" s="155"/>
      <c r="AE60" s="155"/>
      <c r="AF60" s="155"/>
      <c r="AG60" s="155"/>
      <c r="AH60" s="155"/>
      <c r="AI60" s="155"/>
      <c r="AJ60" s="155"/>
      <c r="AK60" s="2"/>
      <c r="AL60" s="2" t="e">
        <f>IF(AND(Y16&gt;=$W$9,Y16&lt;=$W$9+5),0,IF($C$9&gt;$AF$51,ROUND(AI20*#REF!/(DATEVALUE(CONCATENATE("01/01/",YEAR(Z16)+1))-DATEVALUE(CONCATENATE("01/01/",YEAR(Z16))))*(Z16-Z15),2),0))</f>
        <v>#REF!</v>
      </c>
      <c r="AM60" s="34">
        <f t="shared" si="54"/>
        <v>14930</v>
      </c>
      <c r="AN60" s="57">
        <f t="shared" si="53"/>
        <v>49030</v>
      </c>
      <c r="AO60" s="130">
        <f t="shared" si="17"/>
        <v>1</v>
      </c>
      <c r="AP60" s="261">
        <f t="shared" si="30"/>
        <v>52</v>
      </c>
      <c r="AQ60" s="262">
        <f t="shared" si="3"/>
        <v>45865</v>
      </c>
      <c r="AR60" s="263">
        <f t="shared" si="55"/>
        <v>0.155</v>
      </c>
      <c r="AS60" s="258">
        <f t="shared" si="18"/>
        <v>14930</v>
      </c>
      <c r="AT60" s="258">
        <f t="shared" si="19"/>
        <v>14930</v>
      </c>
      <c r="AU60" s="258">
        <f t="shared" si="20"/>
        <v>933.51</v>
      </c>
      <c r="AV60" s="258">
        <f t="shared" si="21"/>
        <v>13996.49</v>
      </c>
      <c r="AW60" s="258">
        <f t="shared" si="47"/>
        <v>0</v>
      </c>
      <c r="AX60" s="258">
        <v>0</v>
      </c>
      <c r="AY60" s="258">
        <f t="shared" si="22"/>
        <v>933.51</v>
      </c>
      <c r="AZ60" s="258">
        <f t="shared" si="38"/>
        <v>0</v>
      </c>
      <c r="BA60" s="258">
        <f t="shared" si="35"/>
        <v>0</v>
      </c>
      <c r="BB60" s="258"/>
      <c r="BC60" s="258"/>
      <c r="BD60" s="258"/>
      <c r="BE60" s="258"/>
      <c r="BF60" s="258"/>
      <c r="BG60" s="258">
        <f t="shared" si="24"/>
        <v>59278.979999999945</v>
      </c>
      <c r="BH60" s="108">
        <f t="shared" si="31"/>
        <v>9</v>
      </c>
      <c r="BI60" s="108">
        <f t="shared" si="26"/>
        <v>9</v>
      </c>
      <c r="BJ60" s="22">
        <f t="shared" si="27"/>
        <v>45865</v>
      </c>
      <c r="BK60" s="108">
        <f t="shared" si="7"/>
        <v>12974</v>
      </c>
      <c r="BL60" s="2" t="e">
        <f>IF(AND(G15&gt;=$W$9,G15&lt;=$W$9+5),0,IF($C$9&gt;$AF$51,ROUND(BG14*IF(#REF!="",0,#REF!)/(DATEVALUE(CONCATENATE("01/01/",YEAR(AQ15)+1))-DATEVALUE(CONCATENATE("01/01/",YEAR(AQ15))))*(AQ15-AQ14),2),0))</f>
        <v>#REF!</v>
      </c>
    </row>
    <row r="61" spans="1:64" s="16" customFormat="1" ht="15.75" customHeight="1" x14ac:dyDescent="0.3">
      <c r="A61" s="180"/>
      <c r="B61" s="180"/>
      <c r="C61" s="180"/>
      <c r="D61" s="254"/>
      <c r="E61" s="178"/>
      <c r="F61" s="178"/>
      <c r="G61" s="244">
        <f t="shared" si="28"/>
        <v>53</v>
      </c>
      <c r="H61" s="245">
        <f t="shared" si="1"/>
        <v>45896</v>
      </c>
      <c r="I61" s="246">
        <f t="shared" si="56"/>
        <v>5.9000000000000004E-2</v>
      </c>
      <c r="J61" s="242">
        <f t="shared" si="9"/>
        <v>12974</v>
      </c>
      <c r="K61" s="242">
        <f t="shared" si="57"/>
        <v>12974</v>
      </c>
      <c r="L61" s="242">
        <f t="shared" si="34"/>
        <v>646.11</v>
      </c>
      <c r="M61" s="242">
        <f t="shared" si="12"/>
        <v>12327.89</v>
      </c>
      <c r="N61" s="242">
        <f t="shared" si="46"/>
        <v>0</v>
      </c>
      <c r="O61" s="242">
        <v>0</v>
      </c>
      <c r="P61" s="242">
        <f t="shared" si="25"/>
        <v>646.11</v>
      </c>
      <c r="Q61" s="242">
        <f t="shared" si="36"/>
        <v>0</v>
      </c>
      <c r="R61" s="242">
        <f t="shared" si="14"/>
        <v>0</v>
      </c>
      <c r="S61" s="242">
        <f t="shared" si="15"/>
        <v>116610.52999999991</v>
      </c>
      <c r="T61" s="467"/>
      <c r="U61" s="198">
        <f t="shared" si="29"/>
        <v>8</v>
      </c>
      <c r="V61" s="36">
        <f t="shared" si="16"/>
        <v>8</v>
      </c>
      <c r="W61" s="2" t="e">
        <f>IF(AND(G26&gt;=$W$9,G26&lt;=$W$9+5),0,IF($C$9&gt;$AF$51,ROUND(S25*#REF!/(DATEVALUE(CONCATENATE("01/01/",YEAR(H26)+1))-DATEVALUE(CONCATENATE("01/01/",YEAR(H26))))*(H26-H25),2),0))</f>
        <v>#REF!</v>
      </c>
      <c r="X61" s="34">
        <f t="shared" si="52"/>
        <v>14278</v>
      </c>
      <c r="Y61" s="57">
        <f t="shared" si="48"/>
        <v>50855</v>
      </c>
      <c r="AB61" s="172"/>
      <c r="AC61" s="133">
        <v>3.5000000000000001E-3</v>
      </c>
      <c r="AD61" s="133">
        <v>3.5000000000000001E-3</v>
      </c>
      <c r="AE61" s="133">
        <v>2.5000000000000001E-3</v>
      </c>
      <c r="AF61" s="133">
        <v>3.0000000000000001E-3</v>
      </c>
      <c r="AG61" s="133">
        <v>0</v>
      </c>
      <c r="AH61" s="133">
        <v>1E-3</v>
      </c>
      <c r="AI61" s="133">
        <v>4.0000000000000001E-3</v>
      </c>
      <c r="AJ61" s="133">
        <v>0</v>
      </c>
      <c r="AK61" s="2"/>
      <c r="AL61" s="2" t="e">
        <f>IF(AND(Y17&gt;=$W$9,Y17&lt;=$W$9+5),0,IF($C$9&gt;$AF$51,ROUND(AI21*#REF!/(DATEVALUE(CONCATENATE("01/01/",YEAR(Z17)+1))-DATEVALUE(CONCATENATE("01/01/",YEAR(Z17))))*(Z17-Z16),2),0))</f>
        <v>#REF!</v>
      </c>
      <c r="AM61" s="34">
        <f t="shared" si="54"/>
        <v>14930</v>
      </c>
      <c r="AN61" s="57">
        <f t="shared" si="53"/>
        <v>49395</v>
      </c>
      <c r="AO61" s="130">
        <f t="shared" si="17"/>
        <v>1</v>
      </c>
      <c r="AP61" s="261">
        <f t="shared" si="30"/>
        <v>53</v>
      </c>
      <c r="AQ61" s="262">
        <f t="shared" si="3"/>
        <v>45896</v>
      </c>
      <c r="AR61" s="263">
        <f t="shared" si="55"/>
        <v>0.155</v>
      </c>
      <c r="AS61" s="258">
        <f t="shared" si="18"/>
        <v>14930</v>
      </c>
      <c r="AT61" s="258">
        <f t="shared" si="19"/>
        <v>14930</v>
      </c>
      <c r="AU61" s="258">
        <f t="shared" si="20"/>
        <v>780.37</v>
      </c>
      <c r="AV61" s="258">
        <f t="shared" si="21"/>
        <v>14149.63</v>
      </c>
      <c r="AW61" s="258">
        <f t="shared" si="47"/>
        <v>0</v>
      </c>
      <c r="AX61" s="258">
        <v>0</v>
      </c>
      <c r="AY61" s="258">
        <f t="shared" si="22"/>
        <v>780.37</v>
      </c>
      <c r="AZ61" s="258">
        <f t="shared" si="38"/>
        <v>0</v>
      </c>
      <c r="BA61" s="258">
        <f t="shared" si="35"/>
        <v>0</v>
      </c>
      <c r="BB61" s="258"/>
      <c r="BC61" s="258"/>
      <c r="BD61" s="258"/>
      <c r="BE61" s="258"/>
      <c r="BF61" s="258"/>
      <c r="BG61" s="258">
        <f t="shared" si="24"/>
        <v>45129.349999999948</v>
      </c>
      <c r="BH61" s="108">
        <f t="shared" si="31"/>
        <v>8</v>
      </c>
      <c r="BI61" s="108">
        <f t="shared" si="26"/>
        <v>8</v>
      </c>
      <c r="BJ61" s="22">
        <f t="shared" si="27"/>
        <v>45896</v>
      </c>
      <c r="BK61" s="108">
        <f t="shared" si="7"/>
        <v>12974</v>
      </c>
      <c r="BL61" s="2" t="e">
        <f>IF(AND(G16&gt;=$W$9,G16&lt;=$W$9+5),0,IF($C$9&gt;$AF$51,ROUND(BG15*IF(#REF!="",0,#REF!)/(DATEVALUE(CONCATENATE("01/01/",YEAR(AQ16)+1))-DATEVALUE(CONCATENATE("01/01/",YEAR(AQ16))))*(AQ16-AQ15),2),0))</f>
        <v>#REF!</v>
      </c>
    </row>
    <row r="62" spans="1:64" s="16" customFormat="1" ht="13.8" x14ac:dyDescent="0.3">
      <c r="A62" s="180"/>
      <c r="B62" s="180"/>
      <c r="C62" s="180"/>
      <c r="D62" s="254"/>
      <c r="E62" s="178"/>
      <c r="F62" s="178"/>
      <c r="G62" s="244">
        <f t="shared" si="28"/>
        <v>54</v>
      </c>
      <c r="H62" s="245">
        <f t="shared" si="1"/>
        <v>45927</v>
      </c>
      <c r="I62" s="246">
        <f t="shared" si="56"/>
        <v>5.9000000000000004E-2</v>
      </c>
      <c r="J62" s="242">
        <f t="shared" si="9"/>
        <v>12974</v>
      </c>
      <c r="K62" s="242">
        <f t="shared" si="57"/>
        <v>12974</v>
      </c>
      <c r="L62" s="242">
        <f t="shared" si="34"/>
        <v>584.33000000000004</v>
      </c>
      <c r="M62" s="242">
        <f t="shared" si="12"/>
        <v>12389.67</v>
      </c>
      <c r="N62" s="242">
        <f t="shared" si="46"/>
        <v>0</v>
      </c>
      <c r="O62" s="242">
        <v>0</v>
      </c>
      <c r="P62" s="242">
        <f t="shared" si="25"/>
        <v>584.33000000000004</v>
      </c>
      <c r="Q62" s="242">
        <f t="shared" si="36"/>
        <v>0</v>
      </c>
      <c r="R62" s="242">
        <f t="shared" si="14"/>
        <v>0</v>
      </c>
      <c r="S62" s="242">
        <f t="shared" si="15"/>
        <v>104220.85999999991</v>
      </c>
      <c r="T62" s="467"/>
      <c r="U62" s="198">
        <f t="shared" si="29"/>
        <v>7</v>
      </c>
      <c r="V62" s="36">
        <f t="shared" si="16"/>
        <v>7</v>
      </c>
      <c r="W62" s="2" t="e">
        <f>IF(AND(G27&gt;=$W$9,G27&lt;=$W$9+5),0,IF($C$9&gt;$AF$51,ROUND(S26*#REF!/(DATEVALUE(CONCATENATE("01/01/",YEAR(H27)+1))-DATEVALUE(CONCATENATE("01/01/",YEAR(H27))))*(H27-H26),2),0))</f>
        <v>#REF!</v>
      </c>
      <c r="X62" s="34">
        <f t="shared" si="52"/>
        <v>14278</v>
      </c>
      <c r="Y62" s="57">
        <f t="shared" si="48"/>
        <v>51220</v>
      </c>
      <c r="AC62" s="133">
        <v>3.0000000000000001E-3</v>
      </c>
      <c r="AD62" s="133">
        <v>3.0000000000000001E-3</v>
      </c>
      <c r="AE62" s="133">
        <v>2.5000000000000001E-3</v>
      </c>
      <c r="AF62" s="133">
        <v>3.0000000000000001E-3</v>
      </c>
      <c r="AG62" s="133">
        <v>0</v>
      </c>
      <c r="AH62" s="133">
        <v>1E-3</v>
      </c>
      <c r="AI62" s="133">
        <v>4.0000000000000001E-3</v>
      </c>
      <c r="AJ62" s="133">
        <v>0</v>
      </c>
      <c r="AK62" s="2"/>
      <c r="AL62" s="2" t="e">
        <f>IF(AND(Y18&gt;=$W$9,Y18&lt;=$W$9+5),0,IF($C$9&gt;$AF$51,ROUND(AI22*#REF!/(DATEVALUE(CONCATENATE("01/01/",YEAR(Z18)+1))-DATEVALUE(CONCATENATE("01/01/",YEAR(Z18))))*(Z18-Z17),2),0))</f>
        <v>#REF!</v>
      </c>
      <c r="AM62" s="34">
        <f t="shared" si="54"/>
        <v>14930</v>
      </c>
      <c r="AN62" s="57">
        <f t="shared" si="53"/>
        <v>49760</v>
      </c>
      <c r="AO62" s="130">
        <f t="shared" si="17"/>
        <v>1</v>
      </c>
      <c r="AP62" s="261">
        <f t="shared" si="30"/>
        <v>54</v>
      </c>
      <c r="AQ62" s="262">
        <f t="shared" si="3"/>
        <v>45927</v>
      </c>
      <c r="AR62" s="263">
        <f t="shared" si="55"/>
        <v>0.155</v>
      </c>
      <c r="AS62" s="258">
        <f t="shared" si="18"/>
        <v>14930</v>
      </c>
      <c r="AT62" s="258">
        <f t="shared" si="19"/>
        <v>14930</v>
      </c>
      <c r="AU62" s="258">
        <f t="shared" si="20"/>
        <v>594.1</v>
      </c>
      <c r="AV62" s="258">
        <f t="shared" si="21"/>
        <v>14335.9</v>
      </c>
      <c r="AW62" s="258">
        <f t="shared" si="47"/>
        <v>0</v>
      </c>
      <c r="AX62" s="258">
        <v>0</v>
      </c>
      <c r="AY62" s="258">
        <f t="shared" si="22"/>
        <v>594.1</v>
      </c>
      <c r="AZ62" s="258">
        <f t="shared" si="38"/>
        <v>0</v>
      </c>
      <c r="BA62" s="258">
        <f t="shared" si="35"/>
        <v>0</v>
      </c>
      <c r="BB62" s="258"/>
      <c r="BC62" s="258"/>
      <c r="BD62" s="258"/>
      <c r="BE62" s="258"/>
      <c r="BF62" s="258"/>
      <c r="BG62" s="258">
        <f t="shared" si="24"/>
        <v>30793.449999999946</v>
      </c>
      <c r="BH62" s="108">
        <f t="shared" si="31"/>
        <v>7</v>
      </c>
      <c r="BI62" s="108">
        <f t="shared" si="26"/>
        <v>7</v>
      </c>
      <c r="BJ62" s="22">
        <f t="shared" si="27"/>
        <v>45927</v>
      </c>
      <c r="BK62" s="108">
        <f t="shared" si="7"/>
        <v>12974</v>
      </c>
      <c r="BL62" s="2" t="e">
        <f>IF(AND(G17&gt;=$W$9,G17&lt;=$W$9+5),0,IF($C$9&gt;$AF$51,ROUND(BG16*IF(#REF!="",0,#REF!)/(DATEVALUE(CONCATENATE("01/01/",YEAR(AQ17)+1))-DATEVALUE(CONCATENATE("01/01/",YEAR(AQ17))))*(AQ17-AQ16),2),0))</f>
        <v>#REF!</v>
      </c>
    </row>
    <row r="63" spans="1:64" s="16" customFormat="1" x14ac:dyDescent="0.3">
      <c r="A63" s="180"/>
      <c r="B63" s="180"/>
      <c r="C63" s="180"/>
      <c r="D63" s="178"/>
      <c r="E63" s="178"/>
      <c r="F63" s="178"/>
      <c r="G63" s="244">
        <f t="shared" si="28"/>
        <v>55</v>
      </c>
      <c r="H63" s="245">
        <f t="shared" si="1"/>
        <v>45957</v>
      </c>
      <c r="I63" s="246">
        <f t="shared" si="56"/>
        <v>5.9000000000000004E-2</v>
      </c>
      <c r="J63" s="242">
        <f t="shared" si="9"/>
        <v>12974</v>
      </c>
      <c r="K63" s="242">
        <f t="shared" si="57"/>
        <v>12974</v>
      </c>
      <c r="L63" s="242">
        <f t="shared" si="34"/>
        <v>505.4</v>
      </c>
      <c r="M63" s="242">
        <f t="shared" si="12"/>
        <v>12468.6</v>
      </c>
      <c r="N63" s="242">
        <f t="shared" si="46"/>
        <v>0</v>
      </c>
      <c r="O63" s="242">
        <v>0</v>
      </c>
      <c r="P63" s="242">
        <f t="shared" si="25"/>
        <v>505.4</v>
      </c>
      <c r="Q63" s="242">
        <f t="shared" si="36"/>
        <v>0</v>
      </c>
      <c r="R63" s="242">
        <f t="shared" si="14"/>
        <v>0</v>
      </c>
      <c r="S63" s="242">
        <f t="shared" si="15"/>
        <v>91752.259999999907</v>
      </c>
      <c r="T63" s="467"/>
      <c r="U63" s="198">
        <f t="shared" si="29"/>
        <v>6</v>
      </c>
      <c r="V63" s="36">
        <f t="shared" si="16"/>
        <v>6</v>
      </c>
      <c r="W63" s="2" t="e">
        <f>IF(AND(G28&gt;=$W$9,G28&lt;=$W$9+5),0,IF($C$9&gt;$AF$51,ROUND(S27*#REF!/(DATEVALUE(CONCATENATE("01/01/",YEAR(H28)+1))-DATEVALUE(CONCATENATE("01/01/",YEAR(H28))))*(H28-H27),2),0))</f>
        <v>#REF!</v>
      </c>
      <c r="X63" s="34">
        <f t="shared" si="52"/>
        <v>14278</v>
      </c>
      <c r="Y63" s="57">
        <f t="shared" si="48"/>
        <v>51585</v>
      </c>
      <c r="AC63" s="133">
        <v>2.5000000000000001E-3</v>
      </c>
      <c r="AD63" s="133">
        <v>2.5000000000000001E-3</v>
      </c>
      <c r="AE63" s="133">
        <v>2.5000000000000001E-3</v>
      </c>
      <c r="AF63" s="133">
        <v>3.0000000000000001E-3</v>
      </c>
      <c r="AG63" s="133">
        <v>0</v>
      </c>
      <c r="AH63" s="133">
        <v>1E-3</v>
      </c>
      <c r="AI63" s="133">
        <v>3.2000000000000002E-3</v>
      </c>
      <c r="AJ63" s="133">
        <v>0</v>
      </c>
      <c r="AL63" s="2" t="e">
        <f>IF(AND(Y19&gt;=$W$9,Y19&lt;=$W$9+5),0,IF($C$9&gt;$AF$51,ROUND(AI23*#REF!/(DATEVALUE(CONCATENATE("01/01/",YEAR(Z19)+1))-DATEVALUE(CONCATENATE("01/01/",YEAR(Z19))))*(Z19-Z18),2),0))</f>
        <v>#REF!</v>
      </c>
      <c r="AM63" s="34">
        <f t="shared" si="54"/>
        <v>14930</v>
      </c>
      <c r="AN63" s="57">
        <f t="shared" si="53"/>
        <v>50125</v>
      </c>
      <c r="AO63" s="130">
        <f t="shared" si="17"/>
        <v>1</v>
      </c>
      <c r="AP63" s="261">
        <f t="shared" si="30"/>
        <v>55</v>
      </c>
      <c r="AQ63" s="262">
        <f t="shared" si="3"/>
        <v>45957</v>
      </c>
      <c r="AR63" s="263">
        <f>IF($D$16="Да",$AM$40,$D$13)</f>
        <v>0.155</v>
      </c>
      <c r="AS63" s="258">
        <f t="shared" si="18"/>
        <v>14930</v>
      </c>
      <c r="AT63" s="258">
        <f t="shared" si="19"/>
        <v>14930</v>
      </c>
      <c r="AU63" s="258">
        <f t="shared" si="20"/>
        <v>392.3</v>
      </c>
      <c r="AV63" s="258">
        <f t="shared" si="21"/>
        <v>14537.7</v>
      </c>
      <c r="AW63" s="258">
        <f t="shared" si="47"/>
        <v>0</v>
      </c>
      <c r="AX63" s="258">
        <v>0</v>
      </c>
      <c r="AY63" s="258">
        <f t="shared" si="22"/>
        <v>392.3</v>
      </c>
      <c r="AZ63" s="258">
        <f t="shared" si="38"/>
        <v>0</v>
      </c>
      <c r="BA63" s="258">
        <f t="shared" si="35"/>
        <v>0</v>
      </c>
      <c r="BB63" s="258"/>
      <c r="BC63" s="258"/>
      <c r="BD63" s="258"/>
      <c r="BE63" s="258"/>
      <c r="BF63" s="258"/>
      <c r="BG63" s="258">
        <f t="shared" si="24"/>
        <v>16255.749999999945</v>
      </c>
      <c r="BH63" s="108">
        <f t="shared" si="31"/>
        <v>6</v>
      </c>
      <c r="BI63" s="108">
        <f t="shared" si="26"/>
        <v>6</v>
      </c>
      <c r="BJ63" s="22">
        <f t="shared" si="27"/>
        <v>45957</v>
      </c>
      <c r="BK63" s="108">
        <f t="shared" si="7"/>
        <v>12974</v>
      </c>
      <c r="BL63" s="2" t="e">
        <f>IF(AND(G18&gt;=$W$9,G18&lt;=$W$9+5),0,IF($C$9&gt;$AF$51,ROUND(BG17*IF(#REF!="",0,#REF!)/(DATEVALUE(CONCATENATE("01/01/",YEAR(AQ18)+1))-DATEVALUE(CONCATENATE("01/01/",YEAR(AQ18))))*(AQ18-AQ17),2),0))</f>
        <v>#REF!</v>
      </c>
    </row>
    <row r="64" spans="1:64" s="16" customFormat="1" x14ac:dyDescent="0.3">
      <c r="A64" s="180"/>
      <c r="B64" s="180"/>
      <c r="C64" s="180"/>
      <c r="D64" s="178"/>
      <c r="E64" s="178"/>
      <c r="F64" s="178"/>
      <c r="G64" s="244">
        <f t="shared" si="28"/>
        <v>56</v>
      </c>
      <c r="H64" s="245">
        <f t="shared" si="1"/>
        <v>45988</v>
      </c>
      <c r="I64" s="246">
        <f t="shared" si="56"/>
        <v>5.9000000000000004E-2</v>
      </c>
      <c r="J64" s="242">
        <f t="shared" si="9"/>
        <v>12974</v>
      </c>
      <c r="K64" s="242">
        <f t="shared" si="57"/>
        <v>12974</v>
      </c>
      <c r="L64" s="242">
        <f t="shared" si="34"/>
        <v>459.77</v>
      </c>
      <c r="M64" s="242">
        <f t="shared" si="12"/>
        <v>12514.23</v>
      </c>
      <c r="N64" s="242">
        <f t="shared" si="46"/>
        <v>0</v>
      </c>
      <c r="O64" s="242">
        <v>0</v>
      </c>
      <c r="P64" s="242">
        <f t="shared" si="25"/>
        <v>459.77</v>
      </c>
      <c r="Q64" s="242">
        <f t="shared" si="36"/>
        <v>0</v>
      </c>
      <c r="R64" s="242">
        <f t="shared" si="14"/>
        <v>0</v>
      </c>
      <c r="S64" s="242">
        <f t="shared" si="15"/>
        <v>79238.029999999912</v>
      </c>
      <c r="T64" s="467"/>
      <c r="U64" s="198">
        <f t="shared" si="29"/>
        <v>5</v>
      </c>
      <c r="V64" s="36">
        <f t="shared" si="16"/>
        <v>5</v>
      </c>
      <c r="W64" s="2" t="e">
        <f>IF(AND(G29&gt;=$W$9,G29&lt;=$W$9+5),0,IF($C$9&gt;$AF$51,ROUND(S28*#REF!/(DATEVALUE(CONCATENATE("01/01/",YEAR(H29)+1))-DATEVALUE(CONCATENATE("01/01/",YEAR(H29))))*(H29-H28),2),0))</f>
        <v>#REF!</v>
      </c>
      <c r="X64" s="34">
        <f t="shared" si="52"/>
        <v>14278</v>
      </c>
      <c r="Y64" s="57">
        <f t="shared" si="48"/>
        <v>51950</v>
      </c>
      <c r="AC64" s="133">
        <v>2E-3</v>
      </c>
      <c r="AD64" s="133">
        <v>2E-3</v>
      </c>
      <c r="AE64" s="155"/>
      <c r="AF64" s="155"/>
      <c r="AG64" s="133">
        <v>0</v>
      </c>
      <c r="AH64" s="133">
        <v>1E-3</v>
      </c>
      <c r="AI64" s="133">
        <v>2E-3</v>
      </c>
      <c r="AJ64" s="133">
        <v>0</v>
      </c>
      <c r="AL64" s="2" t="e">
        <f>IF(AND(Y20&gt;=$W$9,Y20&lt;=$W$9+5),0,IF($C$9&gt;$AF$51,ROUND(AI24*#REF!/(DATEVALUE(CONCATENATE("01/01/",YEAR(Z20)+1))-DATEVALUE(CONCATENATE("01/01/",YEAR(Z20))))*(Z20-Z19),2),0))</f>
        <v>#REF!</v>
      </c>
      <c r="AM64" s="34">
        <f t="shared" si="54"/>
        <v>14930</v>
      </c>
      <c r="AN64" s="57">
        <f t="shared" si="53"/>
        <v>50490</v>
      </c>
      <c r="AO64" s="130">
        <f t="shared" si="17"/>
        <v>1</v>
      </c>
      <c r="AP64" s="261">
        <f t="shared" si="30"/>
        <v>56</v>
      </c>
      <c r="AQ64" s="262">
        <f t="shared" si="3"/>
        <v>45988</v>
      </c>
      <c r="AR64" s="263">
        <f t="shared" si="55"/>
        <v>0.155</v>
      </c>
      <c r="AS64" s="258">
        <f t="shared" si="18"/>
        <v>14930</v>
      </c>
      <c r="AT64" s="258">
        <f t="shared" si="19"/>
        <v>14930</v>
      </c>
      <c r="AU64" s="258">
        <f t="shared" si="20"/>
        <v>214</v>
      </c>
      <c r="AV64" s="258">
        <f t="shared" si="21"/>
        <v>14716</v>
      </c>
      <c r="AW64" s="258">
        <f t="shared" si="47"/>
        <v>0</v>
      </c>
      <c r="AX64" s="258">
        <v>0</v>
      </c>
      <c r="AY64" s="258">
        <f t="shared" si="22"/>
        <v>214</v>
      </c>
      <c r="AZ64" s="258">
        <f t="shared" si="38"/>
        <v>0</v>
      </c>
      <c r="BA64" s="258">
        <f t="shared" si="35"/>
        <v>0</v>
      </c>
      <c r="BB64" s="258"/>
      <c r="BC64" s="258"/>
      <c r="BD64" s="258"/>
      <c r="BE64" s="258"/>
      <c r="BF64" s="258"/>
      <c r="BG64" s="258">
        <f t="shared" si="24"/>
        <v>1539.7499999999454</v>
      </c>
      <c r="BH64" s="108">
        <f t="shared" si="31"/>
        <v>5</v>
      </c>
      <c r="BI64" s="108">
        <f t="shared" si="26"/>
        <v>5</v>
      </c>
      <c r="BJ64" s="22">
        <f t="shared" si="27"/>
        <v>45988</v>
      </c>
      <c r="BK64" s="108">
        <f t="shared" si="7"/>
        <v>12974</v>
      </c>
      <c r="BL64" s="2" t="e">
        <f>IF(AND(G19&gt;=$W$9,G19&lt;=$W$9+5),0,IF($C$9&gt;$AF$51,ROUND(BG18*IF(#REF!="",0,#REF!)/(DATEVALUE(CONCATENATE("01/01/",YEAR(AQ19)+1))-DATEVALUE(CONCATENATE("01/01/",YEAR(AQ19))))*(AQ19-AQ18),2),0))</f>
        <v>#REF!</v>
      </c>
    </row>
    <row r="65" spans="1:64" s="16" customFormat="1" x14ac:dyDescent="0.3">
      <c r="A65" s="178"/>
      <c r="B65" s="178"/>
      <c r="C65" s="178"/>
      <c r="D65" s="181"/>
      <c r="E65" s="178"/>
      <c r="F65" s="178"/>
      <c r="G65" s="244">
        <f t="shared" si="28"/>
        <v>57</v>
      </c>
      <c r="H65" s="245">
        <f t="shared" si="1"/>
        <v>46018</v>
      </c>
      <c r="I65" s="246">
        <f t="shared" si="56"/>
        <v>5.9000000000000004E-2</v>
      </c>
      <c r="J65" s="242">
        <f t="shared" si="9"/>
        <v>12974</v>
      </c>
      <c r="K65" s="242">
        <f t="shared" si="57"/>
        <v>12974</v>
      </c>
      <c r="L65" s="242">
        <f t="shared" si="34"/>
        <v>384.25</v>
      </c>
      <c r="M65" s="242">
        <f t="shared" si="12"/>
        <v>12589.75</v>
      </c>
      <c r="N65" s="242">
        <f t="shared" si="46"/>
        <v>0</v>
      </c>
      <c r="O65" s="242">
        <v>0</v>
      </c>
      <c r="P65" s="242">
        <f t="shared" si="25"/>
        <v>384.25</v>
      </c>
      <c r="Q65" s="242">
        <f t="shared" si="36"/>
        <v>0</v>
      </c>
      <c r="R65" s="242">
        <f t="shared" si="14"/>
        <v>0</v>
      </c>
      <c r="S65" s="242">
        <f t="shared" si="15"/>
        <v>66648.279999999912</v>
      </c>
      <c r="T65" s="467"/>
      <c r="U65" s="198">
        <f t="shared" si="29"/>
        <v>4</v>
      </c>
      <c r="V65" s="36">
        <f t="shared" si="16"/>
        <v>4</v>
      </c>
      <c r="W65" s="2" t="e">
        <f>IF(AND(G30&gt;=$W$9,G30&lt;=$W$9+5),0,IF($C$9&gt;$AF$51,ROUND(S29*#REF!/(DATEVALUE(CONCATENATE("01/01/",YEAR(H30)+1))-DATEVALUE(CONCATENATE("01/01/",YEAR(H30))))*(H30-H29),2),0))</f>
        <v>#REF!</v>
      </c>
      <c r="X65" s="34">
        <f t="shared" si="52"/>
        <v>14278</v>
      </c>
      <c r="Y65" s="57">
        <f t="shared" si="48"/>
        <v>52315</v>
      </c>
      <c r="AB65" s="2"/>
      <c r="AC65" s="66">
        <f t="shared" ref="AC65" si="58">IF(AC79&gt;$AA$59,AC64,IF(AC79&gt;$AA$58,AC63,IF(AC79&gt;$AA$57,AC62,AC61)))</f>
        <v>3.0000000000000001E-3</v>
      </c>
      <c r="AD65" s="66">
        <f t="shared" ref="AD65:AI65" si="59">IF(AD79&gt;$AA$59,AD64,IF(AD79&gt;$AA$58,AD63,IF(AD79&gt;$AA$57,AD62,AD61)))</f>
        <v>2.5000000000000001E-3</v>
      </c>
      <c r="AE65" s="66">
        <f t="shared" si="59"/>
        <v>2.5000000000000001E-3</v>
      </c>
      <c r="AF65" s="66">
        <f t="shared" si="59"/>
        <v>3.0000000000000001E-3</v>
      </c>
      <c r="AG65" s="66">
        <f t="shared" si="59"/>
        <v>0</v>
      </c>
      <c r="AH65" s="66">
        <f t="shared" si="59"/>
        <v>1E-3</v>
      </c>
      <c r="AI65" s="66">
        <f t="shared" si="59"/>
        <v>3.2000000000000002E-3</v>
      </c>
      <c r="AJ65" s="15" t="s">
        <v>126</v>
      </c>
      <c r="AL65" s="2" t="e">
        <f>IF(AND(Y21&gt;=$W$9,Y21&lt;=$W$9+5),0,IF($C$9&gt;$AF$51,ROUND(AI25*#REF!/(DATEVALUE(CONCATENATE("01/01/",YEAR(Z21)+1))-DATEVALUE(CONCATENATE("01/01/",YEAR(Z21))))*(Z21-Z20),2),0))</f>
        <v>#REF!</v>
      </c>
      <c r="AM65" s="34">
        <f t="shared" si="54"/>
        <v>14930</v>
      </c>
      <c r="AN65" s="57">
        <f t="shared" si="53"/>
        <v>50855</v>
      </c>
      <c r="AO65" s="130">
        <f t="shared" si="17"/>
        <v>1</v>
      </c>
      <c r="AP65" s="261">
        <f t="shared" si="30"/>
        <v>57</v>
      </c>
      <c r="AQ65" s="262">
        <f t="shared" si="3"/>
        <v>46018</v>
      </c>
      <c r="AR65" s="263">
        <f t="shared" si="55"/>
        <v>0.155</v>
      </c>
      <c r="AS65" s="258">
        <f t="shared" si="18"/>
        <v>1559.3699999999453</v>
      </c>
      <c r="AT65" s="258">
        <f t="shared" si="19"/>
        <v>1559.3699999999453</v>
      </c>
      <c r="AU65" s="258">
        <f t="shared" si="20"/>
        <v>19.62</v>
      </c>
      <c r="AV65" s="258">
        <f t="shared" si="21"/>
        <v>1539.7499999999454</v>
      </c>
      <c r="AW65" s="258">
        <f t="shared" si="47"/>
        <v>0</v>
      </c>
      <c r="AX65" s="258">
        <v>0</v>
      </c>
      <c r="AY65" s="258">
        <f t="shared" si="22"/>
        <v>19.62</v>
      </c>
      <c r="AZ65" s="258">
        <f t="shared" si="38"/>
        <v>0</v>
      </c>
      <c r="BA65" s="258">
        <f t="shared" si="35"/>
        <v>0</v>
      </c>
      <c r="BB65" s="258"/>
      <c r="BC65" s="258"/>
      <c r="BD65" s="258"/>
      <c r="BE65" s="258"/>
      <c r="BF65" s="258"/>
      <c r="BG65" s="258">
        <f t="shared" si="24"/>
        <v>0</v>
      </c>
      <c r="BH65" s="108">
        <f t="shared" si="31"/>
        <v>4</v>
      </c>
      <c r="BI65" s="108">
        <f t="shared" si="26"/>
        <v>4</v>
      </c>
      <c r="BJ65" s="22">
        <f t="shared" si="27"/>
        <v>46018</v>
      </c>
      <c r="BK65" s="108">
        <f t="shared" si="7"/>
        <v>12974</v>
      </c>
      <c r="BL65" s="2" t="e">
        <f>IF(AND(G20&gt;=$W$9,G20&lt;=$W$9+5),0,IF($C$9&gt;$AF$51,ROUND(BG19*IF(#REF!="",0,#REF!)/(DATEVALUE(CONCATENATE("01/01/",YEAR(AQ20)+1))-DATEVALUE(CONCATENATE("01/01/",YEAR(AQ20))))*(AQ20-AQ19),2),0))</f>
        <v>#REF!</v>
      </c>
    </row>
    <row r="66" spans="1:64" s="16" customFormat="1" x14ac:dyDescent="0.3">
      <c r="A66" s="178"/>
      <c r="B66" s="178"/>
      <c r="C66" s="180"/>
      <c r="D66" s="182"/>
      <c r="E66" s="178"/>
      <c r="F66" s="178"/>
      <c r="G66" s="244">
        <f t="shared" si="28"/>
        <v>58</v>
      </c>
      <c r="H66" s="245">
        <f t="shared" si="1"/>
        <v>46049</v>
      </c>
      <c r="I66" s="246">
        <f t="shared" si="56"/>
        <v>5.9000000000000004E-2</v>
      </c>
      <c r="J66" s="242">
        <f t="shared" si="9"/>
        <v>12974</v>
      </c>
      <c r="K66" s="242">
        <f t="shared" si="57"/>
        <v>12974</v>
      </c>
      <c r="L66" s="242">
        <f t="shared" si="34"/>
        <v>333.97</v>
      </c>
      <c r="M66" s="242">
        <f t="shared" si="12"/>
        <v>12640.03</v>
      </c>
      <c r="N66" s="242">
        <f t="shared" si="46"/>
        <v>0</v>
      </c>
      <c r="O66" s="242">
        <v>0</v>
      </c>
      <c r="P66" s="242">
        <f t="shared" si="25"/>
        <v>333.97</v>
      </c>
      <c r="Q66" s="242">
        <f t="shared" si="36"/>
        <v>0</v>
      </c>
      <c r="R66" s="242">
        <f t="shared" si="14"/>
        <v>0</v>
      </c>
      <c r="S66" s="242">
        <f t="shared" si="15"/>
        <v>54008.249999999913</v>
      </c>
      <c r="T66" s="467"/>
      <c r="U66" s="198">
        <f t="shared" si="29"/>
        <v>3</v>
      </c>
      <c r="V66" s="36">
        <f t="shared" si="16"/>
        <v>3</v>
      </c>
      <c r="W66" s="2" t="e">
        <f>IF(AND(G31&gt;=$W$9,G31&lt;=$W$9+5),0,IF($C$9&gt;$AF$51,ROUND(S30*#REF!/(DATEVALUE(CONCATENATE("01/01/",YEAR(H31)+1))-DATEVALUE(CONCATENATE("01/01/",YEAR(H31))))*(H31-H30),2),0))</f>
        <v>#REF!</v>
      </c>
      <c r="X66" s="34">
        <f t="shared" si="52"/>
        <v>14278</v>
      </c>
      <c r="Y66" s="57">
        <f t="shared" si="48"/>
        <v>52680</v>
      </c>
      <c r="AA66" s="133" t="s">
        <v>96</v>
      </c>
      <c r="AB66" s="15"/>
      <c r="AC66" s="143">
        <f>AC65*AC79*IF($C$10&gt;60,60,$C$10)</f>
        <v>108000</v>
      </c>
      <c r="AD66" s="143">
        <f>AD65*AD79*IF($C$10&gt;60,60,$C$10)</f>
        <v>93750</v>
      </c>
      <c r="AE66" s="143">
        <f>AE65*AE79*IF($C$10&gt;60,60,$C$10)</f>
        <v>112500</v>
      </c>
      <c r="AF66" s="143">
        <f>AF65*AF79*IF($C$10&gt;60,60,$C$10)</f>
        <v>117000</v>
      </c>
      <c r="AG66" s="143">
        <f t="shared" ref="AG66:AH66" si="60">AG65*AG79*$C$10</f>
        <v>0</v>
      </c>
      <c r="AH66" s="143">
        <f t="shared" si="60"/>
        <v>30000</v>
      </c>
      <c r="AI66" s="143">
        <f>AI65*AI79*$C$10</f>
        <v>192000</v>
      </c>
      <c r="AJ66" s="143">
        <f>AI66+AH66</f>
        <v>222000</v>
      </c>
      <c r="AL66" s="2" t="e">
        <f>IF(AND(Y22&gt;=$W$9,Y22&lt;=$W$9+5),0,IF($C$9&gt;$AF$51,ROUND(AI26*#REF!/(DATEVALUE(CONCATENATE("01/01/",YEAR(Z22)+1))-DATEVALUE(CONCATENATE("01/01/",YEAR(Z22))))*(Z22-Z21),2),0))</f>
        <v>#REF!</v>
      </c>
      <c r="AM66" s="34">
        <f t="shared" si="54"/>
        <v>14930</v>
      </c>
      <c r="AN66" s="57">
        <f t="shared" si="53"/>
        <v>51220</v>
      </c>
      <c r="AO66" s="130">
        <f t="shared" si="17"/>
        <v>0</v>
      </c>
      <c r="AP66" s="261">
        <f t="shared" si="30"/>
        <v>58</v>
      </c>
      <c r="AQ66" s="262">
        <f t="shared" si="3"/>
        <v>46049</v>
      </c>
      <c r="AR66" s="263">
        <f t="shared" si="55"/>
        <v>0.155</v>
      </c>
      <c r="AS66" s="258">
        <f t="shared" si="18"/>
        <v>0</v>
      </c>
      <c r="AT66" s="258">
        <f t="shared" si="19"/>
        <v>0</v>
      </c>
      <c r="AU66" s="258">
        <f t="shared" si="20"/>
        <v>0</v>
      </c>
      <c r="AV66" s="258">
        <f t="shared" si="21"/>
        <v>0</v>
      </c>
      <c r="AW66" s="258">
        <f t="shared" si="47"/>
        <v>0</v>
      </c>
      <c r="AX66" s="258">
        <v>0</v>
      </c>
      <c r="AY66" s="258">
        <f t="shared" si="22"/>
        <v>0</v>
      </c>
      <c r="AZ66" s="258">
        <f t="shared" si="38"/>
        <v>0</v>
      </c>
      <c r="BA66" s="258">
        <f t="shared" si="35"/>
        <v>0</v>
      </c>
      <c r="BB66" s="258"/>
      <c r="BC66" s="258"/>
      <c r="BD66" s="258"/>
      <c r="BE66" s="258"/>
      <c r="BF66" s="258"/>
      <c r="BG66" s="258">
        <f t="shared" si="24"/>
        <v>0</v>
      </c>
      <c r="BH66" s="108">
        <f t="shared" si="31"/>
        <v>3</v>
      </c>
      <c r="BI66" s="108">
        <f t="shared" si="26"/>
        <v>3</v>
      </c>
      <c r="BJ66" s="22">
        <f t="shared" si="27"/>
        <v>46049</v>
      </c>
      <c r="BK66" s="108">
        <f t="shared" si="7"/>
        <v>12974</v>
      </c>
      <c r="BL66" s="2" t="e">
        <f>IF(AND(G21&gt;=$W$9,G21&lt;=$W$9+5),0,IF($C$9&gt;$AF$51,ROUND(BG20*IF(#REF!="",0,#REF!)/(DATEVALUE(CONCATENATE("01/01/",YEAR(AQ21)+1))-DATEVALUE(CONCATENATE("01/01/",YEAR(AQ21))))*(AQ21-AQ20),2),0))</f>
        <v>#REF!</v>
      </c>
    </row>
    <row r="67" spans="1:64" s="16" customFormat="1" x14ac:dyDescent="0.3">
      <c r="A67" s="178"/>
      <c r="B67" s="178"/>
      <c r="C67" s="180"/>
      <c r="D67" s="182"/>
      <c r="E67" s="180"/>
      <c r="F67" s="178"/>
      <c r="G67" s="244">
        <f t="shared" si="28"/>
        <v>59</v>
      </c>
      <c r="H67" s="245">
        <f t="shared" si="1"/>
        <v>46080</v>
      </c>
      <c r="I67" s="246">
        <f t="shared" si="56"/>
        <v>5.9000000000000004E-2</v>
      </c>
      <c r="J67" s="242">
        <f t="shared" si="9"/>
        <v>12974</v>
      </c>
      <c r="K67" s="242">
        <f t="shared" si="57"/>
        <v>12974</v>
      </c>
      <c r="L67" s="242">
        <f t="shared" si="34"/>
        <v>270.63</v>
      </c>
      <c r="M67" s="242">
        <f t="shared" si="12"/>
        <v>12703.37</v>
      </c>
      <c r="N67" s="242">
        <f t="shared" si="46"/>
        <v>0</v>
      </c>
      <c r="O67" s="242">
        <v>0</v>
      </c>
      <c r="P67" s="242">
        <f t="shared" si="25"/>
        <v>270.63</v>
      </c>
      <c r="Q67" s="242">
        <f t="shared" si="36"/>
        <v>0</v>
      </c>
      <c r="R67" s="242">
        <f t="shared" si="14"/>
        <v>0</v>
      </c>
      <c r="S67" s="242">
        <f t="shared" si="15"/>
        <v>41304.87999999991</v>
      </c>
      <c r="T67" s="467"/>
      <c r="U67" s="198">
        <f t="shared" si="29"/>
        <v>2</v>
      </c>
      <c r="V67" s="36">
        <f t="shared" si="16"/>
        <v>2</v>
      </c>
      <c r="W67" s="2" t="e">
        <f>IF(AND(G32&gt;=$W$9,G32&lt;=$W$9+5),0,IF($C$9&gt;$AF$51,ROUND(S31*#REF!/(DATEVALUE(CONCATENATE("01/01/",YEAR(H32)+1))-DATEVALUE(CONCATENATE("01/01/",YEAR(H32))))*(H32-H31),2),0))</f>
        <v>#REF!</v>
      </c>
      <c r="X67" s="34">
        <f t="shared" si="52"/>
        <v>14278</v>
      </c>
      <c r="Y67" s="57">
        <f t="shared" si="48"/>
        <v>53045</v>
      </c>
      <c r="AA67" s="170">
        <v>20000</v>
      </c>
      <c r="AB67" s="133" t="s">
        <v>323</v>
      </c>
      <c r="AL67" s="2">
        <f>IF(AND(Y23&gt;=$W$9,Y23&lt;=$W$9+5),0,IF($C$9&gt;$AF$51,ROUND(AI27*#REF!/(DATEVALUE(CONCATENATE("01/01/",YEAR(Z23)+1))-DATEVALUE(CONCATENATE("01/01/",YEAR(Z23))))*(Z23-Z22),2),0))</f>
        <v>0</v>
      </c>
      <c r="AM67" s="34">
        <f t="shared" si="54"/>
        <v>14930</v>
      </c>
      <c r="AN67" s="57">
        <f t="shared" si="53"/>
        <v>51585</v>
      </c>
      <c r="AO67" s="130">
        <f t="shared" si="17"/>
        <v>0</v>
      </c>
      <c r="AP67" s="261">
        <f t="shared" si="30"/>
        <v>59</v>
      </c>
      <c r="AQ67" s="262">
        <f t="shared" si="3"/>
        <v>46080</v>
      </c>
      <c r="AR67" s="263">
        <f t="shared" si="55"/>
        <v>0.155</v>
      </c>
      <c r="AS67" s="258">
        <f t="shared" si="18"/>
        <v>0</v>
      </c>
      <c r="AT67" s="258">
        <f t="shared" si="19"/>
        <v>0</v>
      </c>
      <c r="AU67" s="258">
        <f t="shared" si="20"/>
        <v>0</v>
      </c>
      <c r="AV67" s="258">
        <f t="shared" si="21"/>
        <v>0</v>
      </c>
      <c r="AW67" s="258">
        <f t="shared" si="47"/>
        <v>0</v>
      </c>
      <c r="AX67" s="258">
        <v>0</v>
      </c>
      <c r="AY67" s="258">
        <f t="shared" si="22"/>
        <v>0</v>
      </c>
      <c r="AZ67" s="258">
        <f t="shared" si="38"/>
        <v>0</v>
      </c>
      <c r="BA67" s="258">
        <f t="shared" si="35"/>
        <v>0</v>
      </c>
      <c r="BB67" s="258"/>
      <c r="BC67" s="258"/>
      <c r="BD67" s="258"/>
      <c r="BE67" s="258"/>
      <c r="BF67" s="258"/>
      <c r="BG67" s="258">
        <f t="shared" si="24"/>
        <v>0</v>
      </c>
      <c r="BH67" s="108">
        <f t="shared" si="31"/>
        <v>2</v>
      </c>
      <c r="BI67" s="108">
        <f t="shared" si="26"/>
        <v>2</v>
      </c>
      <c r="BJ67" s="22">
        <f t="shared" si="27"/>
        <v>46080</v>
      </c>
      <c r="BK67" s="108">
        <f t="shared" si="7"/>
        <v>12974</v>
      </c>
      <c r="BL67" s="2" t="e">
        <f>IF(AND(G22&gt;=$W$9,G22&lt;=$W$9+5),0,IF($C$9&gt;$AF$51,ROUND(BG21*IF(#REF!="",0,#REF!)/(DATEVALUE(CONCATENATE("01/01/",YEAR(AQ22)+1))-DATEVALUE(CONCATENATE("01/01/",YEAR(AQ22))))*(AQ22-AQ21),2),0))</f>
        <v>#REF!</v>
      </c>
    </row>
    <row r="68" spans="1:64" s="16" customFormat="1" x14ac:dyDescent="0.3">
      <c r="A68" s="178"/>
      <c r="B68" s="178"/>
      <c r="C68" s="180"/>
      <c r="D68" s="182"/>
      <c r="E68" s="180"/>
      <c r="F68" s="178"/>
      <c r="G68" s="244">
        <f t="shared" si="28"/>
        <v>60</v>
      </c>
      <c r="H68" s="245">
        <f t="shared" si="1"/>
        <v>46108</v>
      </c>
      <c r="I68" s="246">
        <f t="shared" si="56"/>
        <v>5.9000000000000004E-2</v>
      </c>
      <c r="J68" s="242">
        <f t="shared" si="9"/>
        <v>12974</v>
      </c>
      <c r="K68" s="242">
        <f t="shared" si="57"/>
        <v>12974</v>
      </c>
      <c r="L68" s="242">
        <f t="shared" si="34"/>
        <v>186.95</v>
      </c>
      <c r="M68" s="242">
        <f t="shared" si="12"/>
        <v>12787.05</v>
      </c>
      <c r="N68" s="242">
        <f t="shared" si="46"/>
        <v>0</v>
      </c>
      <c r="O68" s="242">
        <v>0</v>
      </c>
      <c r="P68" s="242">
        <f t="shared" si="25"/>
        <v>186.95</v>
      </c>
      <c r="Q68" s="242">
        <f t="shared" si="36"/>
        <v>0</v>
      </c>
      <c r="R68" s="242">
        <f t="shared" si="14"/>
        <v>0</v>
      </c>
      <c r="S68" s="242">
        <f t="shared" si="15"/>
        <v>28517.829999999911</v>
      </c>
      <c r="T68" s="467"/>
      <c r="U68" s="198">
        <f t="shared" si="29"/>
        <v>1</v>
      </c>
      <c r="V68" s="36">
        <f t="shared" si="16"/>
        <v>1</v>
      </c>
      <c r="W68" s="2" t="e">
        <f>IF(AND(G33&gt;=$W$9,G33&lt;=$W$9+5),0,IF($C$9&gt;$AF$51,ROUND(S32*#REF!/(DATEVALUE(CONCATENATE("01/01/",YEAR(H33)+1))-DATEVALUE(CONCATENATE("01/01/",YEAR(H33))))*(H33-H32),2),0))</f>
        <v>#REF!</v>
      </c>
      <c r="X68" s="34">
        <f t="shared" si="52"/>
        <v>13626</v>
      </c>
      <c r="Y68" s="57">
        <f t="shared" si="48"/>
        <v>53410</v>
      </c>
      <c r="AA68" s="170">
        <v>300001</v>
      </c>
      <c r="AB68" s="135">
        <v>160000</v>
      </c>
      <c r="AL68" s="2" t="e">
        <f>IF(AND(Y24&gt;=$W$9,Y24&lt;=$W$9+5),0,IF($C$9&gt;$AF$51,ROUND(AI28*#REF!/(DATEVALUE(CONCATENATE("01/01/",YEAR(Z24)+1))-DATEVALUE(CONCATENATE("01/01/",YEAR(Z24))))*(Z24-Z23),2),0))</f>
        <v>#REF!</v>
      </c>
      <c r="AM68" s="34">
        <f t="shared" si="54"/>
        <v>14930</v>
      </c>
      <c r="AN68" s="57">
        <f t="shared" si="53"/>
        <v>51950</v>
      </c>
      <c r="AO68" s="130">
        <f t="shared" si="17"/>
        <v>0</v>
      </c>
      <c r="AP68" s="261">
        <f t="shared" si="30"/>
        <v>60</v>
      </c>
      <c r="AQ68" s="262">
        <f t="shared" si="3"/>
        <v>46108</v>
      </c>
      <c r="AR68" s="263">
        <f t="shared" si="55"/>
        <v>0.155</v>
      </c>
      <c r="AS68" s="258">
        <f t="shared" si="18"/>
        <v>0</v>
      </c>
      <c r="AT68" s="258">
        <f t="shared" si="19"/>
        <v>0</v>
      </c>
      <c r="AU68" s="258">
        <f t="shared" si="20"/>
        <v>0</v>
      </c>
      <c r="AV68" s="258">
        <f t="shared" si="21"/>
        <v>0</v>
      </c>
      <c r="AW68" s="258">
        <f t="shared" si="47"/>
        <v>0</v>
      </c>
      <c r="AX68" s="258">
        <v>0</v>
      </c>
      <c r="AY68" s="258">
        <f t="shared" si="22"/>
        <v>0</v>
      </c>
      <c r="AZ68" s="258">
        <f t="shared" si="38"/>
        <v>0</v>
      </c>
      <c r="BA68" s="258">
        <f t="shared" si="35"/>
        <v>0</v>
      </c>
      <c r="BB68" s="258"/>
      <c r="BC68" s="258"/>
      <c r="BD68" s="258"/>
      <c r="BE68" s="258"/>
      <c r="BF68" s="258"/>
      <c r="BG68" s="258">
        <f t="shared" si="24"/>
        <v>0</v>
      </c>
      <c r="BH68" s="108">
        <f t="shared" si="31"/>
        <v>1</v>
      </c>
      <c r="BI68" s="108">
        <f t="shared" si="26"/>
        <v>1</v>
      </c>
      <c r="BJ68" s="22">
        <f t="shared" si="27"/>
        <v>46108</v>
      </c>
      <c r="BK68" s="108">
        <f t="shared" si="7"/>
        <v>12974</v>
      </c>
      <c r="BL68" s="2" t="e">
        <f>IF(AND(G23&gt;=$W$9,G23&lt;=$W$9+5),0,IF($C$9&gt;$AF$51,ROUND(BG22*IF(#REF!="",0,#REF!)/(DATEVALUE(CONCATENATE("01/01/",YEAR(AQ23)+1))-DATEVALUE(CONCATENATE("01/01/",YEAR(AQ23))))*(AQ23-AQ22),2),0))</f>
        <v>#REF!</v>
      </c>
    </row>
    <row r="69" spans="1:64" s="16" customFormat="1" x14ac:dyDescent="0.3">
      <c r="A69" s="178"/>
      <c r="B69" s="178"/>
      <c r="C69" s="180"/>
      <c r="D69" s="182"/>
      <c r="E69" s="178"/>
      <c r="F69" s="178"/>
      <c r="G69" s="244">
        <f t="shared" si="28"/>
        <v>61</v>
      </c>
      <c r="H69" s="245">
        <f t="shared" si="1"/>
        <v>46139</v>
      </c>
      <c r="I69" s="246">
        <f t="shared" si="56"/>
        <v>5.9000000000000004E-2</v>
      </c>
      <c r="J69" s="242">
        <f t="shared" si="9"/>
        <v>12974</v>
      </c>
      <c r="K69" s="242">
        <f t="shared" ref="K69:K108" si="61">IF(AND(G69&gt;=$W$9,G69&lt;=$W$9+5),$W$10,IF(AND(S68+N69+L69&gt;K68,K68&lt;&gt;0),IF($C$16="Да",$AF$40,$C$24),IF(S68=0,0,S68+N69+L69+L70)))</f>
        <v>12974</v>
      </c>
      <c r="L69" s="242">
        <f t="shared" si="34"/>
        <v>142.9</v>
      </c>
      <c r="M69" s="242">
        <f t="shared" si="12"/>
        <v>12831.1</v>
      </c>
      <c r="N69" s="242">
        <f t="shared" si="46"/>
        <v>0</v>
      </c>
      <c r="O69" s="242">
        <v>0</v>
      </c>
      <c r="P69" s="242">
        <f t="shared" si="25"/>
        <v>142.9</v>
      </c>
      <c r="Q69" s="242">
        <f t="shared" si="36"/>
        <v>0</v>
      </c>
      <c r="R69" s="242">
        <f t="shared" si="14"/>
        <v>0</v>
      </c>
      <c r="S69" s="242">
        <f t="shared" si="15"/>
        <v>15686.72999999991</v>
      </c>
      <c r="T69" s="467"/>
      <c r="U69" s="36">
        <f t="shared" si="29"/>
        <v>0</v>
      </c>
      <c r="V69" s="36">
        <f t="shared" si="16"/>
        <v>0</v>
      </c>
      <c r="W69" s="2" t="e">
        <f>IF(AND(G34&gt;=$W$9,G34&lt;=$W$9+5),0,IF($C$9&gt;$AF$51,ROUND(S33*#REF!/(DATEVALUE(CONCATENATE("01/01/",YEAR(H34)+1))-DATEVALUE(CONCATENATE("01/01/",YEAR(H34))))*(H34-H33),2),0))</f>
        <v>#REF!</v>
      </c>
      <c r="X69" s="34">
        <f t="shared" si="52"/>
        <v>13626</v>
      </c>
      <c r="Y69" s="57">
        <f t="shared" si="48"/>
        <v>53775</v>
      </c>
      <c r="AA69" s="170">
        <v>500001</v>
      </c>
      <c r="AB69" s="135">
        <v>400000</v>
      </c>
      <c r="AD69" s="2"/>
      <c r="AE69" s="2"/>
      <c r="AF69" s="2"/>
      <c r="AG69" s="2"/>
      <c r="AH69" s="2"/>
      <c r="AI69" s="63"/>
      <c r="AJ69" s="63"/>
      <c r="AK69" s="63"/>
      <c r="AL69" s="2">
        <f>IF(AND(Y25&gt;=$W$9,Y25&lt;=$W$9+5),0,IF($C$9&gt;$AF$51,ROUND(AI29*#REF!/(DATEVALUE(CONCATENATE("01/01/",YEAR(Z25)+1))-DATEVALUE(CONCATENATE("01/01/",YEAR(Z25))))*(Z25-Z24),2),0))</f>
        <v>0</v>
      </c>
      <c r="AM69" s="34">
        <f t="shared" si="54"/>
        <v>14930</v>
      </c>
      <c r="AN69" s="57">
        <f t="shared" si="53"/>
        <v>52315</v>
      </c>
      <c r="AO69" s="130">
        <f t="shared" si="17"/>
        <v>0</v>
      </c>
      <c r="AP69" s="261">
        <f t="shared" si="30"/>
        <v>61</v>
      </c>
      <c r="AQ69" s="262">
        <f t="shared" si="3"/>
        <v>46139</v>
      </c>
      <c r="AR69" s="263">
        <f t="shared" si="55"/>
        <v>0.155</v>
      </c>
      <c r="AS69" s="258">
        <f t="shared" si="18"/>
        <v>0</v>
      </c>
      <c r="AT69" s="258">
        <f t="shared" si="19"/>
        <v>0</v>
      </c>
      <c r="AU69" s="258">
        <f t="shared" si="20"/>
        <v>0</v>
      </c>
      <c r="AV69" s="258">
        <f t="shared" si="21"/>
        <v>0</v>
      </c>
      <c r="AW69" s="258">
        <f t="shared" si="47"/>
        <v>0</v>
      </c>
      <c r="AX69" s="258">
        <v>0</v>
      </c>
      <c r="AY69" s="258">
        <f t="shared" si="22"/>
        <v>0</v>
      </c>
      <c r="AZ69" s="258">
        <f t="shared" si="38"/>
        <v>0</v>
      </c>
      <c r="BA69" s="258">
        <f t="shared" si="35"/>
        <v>0</v>
      </c>
      <c r="BB69" s="258"/>
      <c r="BC69" s="258"/>
      <c r="BD69" s="258"/>
      <c r="BE69" s="258"/>
      <c r="BF69" s="258"/>
      <c r="BG69" s="258">
        <f t="shared" si="24"/>
        <v>0</v>
      </c>
      <c r="BH69" s="108">
        <f t="shared" si="31"/>
        <v>0</v>
      </c>
      <c r="BI69" s="108">
        <f t="shared" si="26"/>
        <v>0</v>
      </c>
      <c r="BJ69" s="22">
        <f t="shared" si="27"/>
        <v>46139</v>
      </c>
      <c r="BK69" s="108">
        <f t="shared" si="7"/>
        <v>12974</v>
      </c>
      <c r="BL69" s="2" t="e">
        <f>IF(AND(G24&gt;=$W$9,G24&lt;=$W$9+5),0,IF($C$9&gt;$AF$51,ROUND(BG23*IF(#REF!="",0,#REF!)/(DATEVALUE(CONCATENATE("01/01/",YEAR(AQ24)+1))-DATEVALUE(CONCATENATE("01/01/",YEAR(AQ24))))*(AQ24-AQ23),2),0))</f>
        <v>#REF!</v>
      </c>
    </row>
    <row r="70" spans="1:64" s="16" customFormat="1" x14ac:dyDescent="0.3">
      <c r="A70" s="178"/>
      <c r="B70" s="178"/>
      <c r="C70" s="180"/>
      <c r="D70" s="178"/>
      <c r="E70" s="178"/>
      <c r="F70" s="178"/>
      <c r="G70" s="244">
        <f t="shared" si="28"/>
        <v>62</v>
      </c>
      <c r="H70" s="245">
        <f t="shared" si="1"/>
        <v>46169</v>
      </c>
      <c r="I70" s="246">
        <f t="shared" si="56"/>
        <v>5.9000000000000004E-2</v>
      </c>
      <c r="J70" s="242">
        <f t="shared" si="9"/>
        <v>12974</v>
      </c>
      <c r="K70" s="242">
        <f t="shared" si="61"/>
        <v>12974</v>
      </c>
      <c r="L70" s="242">
        <f t="shared" si="34"/>
        <v>76.069999999999993</v>
      </c>
      <c r="M70" s="242">
        <f t="shared" si="12"/>
        <v>12897.93</v>
      </c>
      <c r="N70" s="242">
        <f t="shared" si="46"/>
        <v>0</v>
      </c>
      <c r="O70" s="242">
        <v>0</v>
      </c>
      <c r="P70" s="242">
        <f t="shared" si="25"/>
        <v>76.069999999999993</v>
      </c>
      <c r="Q70" s="242">
        <f t="shared" si="36"/>
        <v>0</v>
      </c>
      <c r="R70" s="242">
        <f t="shared" si="14"/>
        <v>0</v>
      </c>
      <c r="S70" s="242">
        <f t="shared" si="15"/>
        <v>2788.7999999999101</v>
      </c>
      <c r="T70" s="467"/>
      <c r="U70" s="36">
        <f t="shared" si="29"/>
        <v>0</v>
      </c>
      <c r="V70" s="36">
        <f t="shared" si="16"/>
        <v>0</v>
      </c>
      <c r="W70" s="2" t="e">
        <f>IF(AND(G35&gt;=$W$9,G35&lt;=$W$9+5),0,IF($C$9&gt;$AF$51,ROUND(S34*#REF!/(DATEVALUE(CONCATENATE("01/01/",YEAR(H35)+1))-DATEVALUE(CONCATENATE("01/01/",YEAR(H35))))*(H35-H34),2),0))</f>
        <v>#REF!</v>
      </c>
      <c r="X70" s="34">
        <f t="shared" si="52"/>
        <v>13626</v>
      </c>
      <c r="Y70" s="57">
        <f t="shared" si="48"/>
        <v>54140</v>
      </c>
      <c r="AA70" s="171">
        <v>600001</v>
      </c>
      <c r="AB70" s="135">
        <v>500000</v>
      </c>
      <c r="AC70" s="145" t="s">
        <v>330</v>
      </c>
      <c r="AD70" s="145" t="s">
        <v>111</v>
      </c>
      <c r="AE70" s="145" t="s">
        <v>114</v>
      </c>
      <c r="AF70" s="144" t="s">
        <v>115</v>
      </c>
      <c r="AG70" s="2" t="s">
        <v>35</v>
      </c>
      <c r="AH70" s="144" t="s">
        <v>118</v>
      </c>
      <c r="AI70" s="144" t="s">
        <v>119</v>
      </c>
      <c r="AJ70" s="145" t="s">
        <v>120</v>
      </c>
      <c r="AK70" s="15"/>
      <c r="AL70" s="2" t="e">
        <f>IF(AND(Y26&gt;=$W$9,Y26&lt;=$W$9+5),0,IF($C$9&gt;$AF$51,ROUND(AI30*#REF!/(DATEVALUE(CONCATENATE("01/01/",YEAR(Z26)+1))-DATEVALUE(CONCATENATE("01/01/",YEAR(Z26))))*(Z26-Z25),2),0))</f>
        <v>#REF!</v>
      </c>
      <c r="AM70" s="34">
        <f t="shared" si="54"/>
        <v>14930</v>
      </c>
      <c r="AN70" s="57">
        <f t="shared" si="53"/>
        <v>52680</v>
      </c>
      <c r="AO70" s="130">
        <f t="shared" si="17"/>
        <v>0</v>
      </c>
      <c r="AP70" s="261">
        <f t="shared" si="30"/>
        <v>62</v>
      </c>
      <c r="AQ70" s="262">
        <f t="shared" si="3"/>
        <v>46169</v>
      </c>
      <c r="AR70" s="263">
        <f t="shared" si="55"/>
        <v>0.155</v>
      </c>
      <c r="AS70" s="258">
        <f t="shared" si="18"/>
        <v>0</v>
      </c>
      <c r="AT70" s="258">
        <f t="shared" si="19"/>
        <v>0</v>
      </c>
      <c r="AU70" s="258">
        <f t="shared" si="20"/>
        <v>0</v>
      </c>
      <c r="AV70" s="258">
        <f t="shared" si="21"/>
        <v>0</v>
      </c>
      <c r="AW70" s="258">
        <f t="shared" si="47"/>
        <v>0</v>
      </c>
      <c r="AX70" s="258">
        <v>0</v>
      </c>
      <c r="AY70" s="258">
        <f t="shared" si="22"/>
        <v>0</v>
      </c>
      <c r="AZ70" s="258">
        <f t="shared" si="38"/>
        <v>0</v>
      </c>
      <c r="BA70" s="258">
        <f t="shared" si="35"/>
        <v>0</v>
      </c>
      <c r="BB70" s="258"/>
      <c r="BC70" s="258"/>
      <c r="BD70" s="258"/>
      <c r="BE70" s="258"/>
      <c r="BF70" s="258"/>
      <c r="BG70" s="258">
        <f t="shared" si="24"/>
        <v>0</v>
      </c>
      <c r="BH70" s="108">
        <f t="shared" si="31"/>
        <v>0</v>
      </c>
      <c r="BI70" s="108">
        <f t="shared" si="26"/>
        <v>0</v>
      </c>
      <c r="BJ70" s="22">
        <f t="shared" si="27"/>
        <v>46169</v>
      </c>
      <c r="BK70" s="108">
        <f t="shared" si="7"/>
        <v>12974</v>
      </c>
      <c r="BL70" s="2" t="e">
        <f>IF(AND(G25&gt;=$W$9,G25&lt;=$W$9+5),0,IF($C$9&gt;$AF$51,ROUND(BG24*IF(#REF!="",0,#REF!)/(DATEVALUE(CONCATENATE("01/01/",YEAR(AQ25)+1))-DATEVALUE(CONCATENATE("01/01/",YEAR(AQ25))))*(AQ25-AQ24),2),0))</f>
        <v>#REF!</v>
      </c>
    </row>
    <row r="71" spans="1:64" s="16" customFormat="1" x14ac:dyDescent="0.3">
      <c r="A71" s="178"/>
      <c r="B71" s="178"/>
      <c r="C71" s="180"/>
      <c r="D71" s="178"/>
      <c r="E71" s="178"/>
      <c r="F71" s="178"/>
      <c r="G71" s="244">
        <f t="shared" si="28"/>
        <v>63</v>
      </c>
      <c r="H71" s="245">
        <f t="shared" si="1"/>
        <v>46200</v>
      </c>
      <c r="I71" s="246">
        <f t="shared" si="56"/>
        <v>5.9000000000000004E-2</v>
      </c>
      <c r="J71" s="242">
        <f t="shared" si="9"/>
        <v>2802.7699999999099</v>
      </c>
      <c r="K71" s="242">
        <f t="shared" si="61"/>
        <v>2802.7699999999099</v>
      </c>
      <c r="L71" s="242">
        <f t="shared" si="34"/>
        <v>13.97</v>
      </c>
      <c r="M71" s="242">
        <f t="shared" si="12"/>
        <v>2788.7999999999101</v>
      </c>
      <c r="N71" s="242">
        <f t="shared" si="46"/>
        <v>0</v>
      </c>
      <c r="O71" s="242">
        <v>0</v>
      </c>
      <c r="P71" s="242">
        <f t="shared" si="25"/>
        <v>13.97</v>
      </c>
      <c r="Q71" s="242">
        <f t="shared" si="36"/>
        <v>0</v>
      </c>
      <c r="R71" s="242">
        <f t="shared" si="14"/>
        <v>0</v>
      </c>
      <c r="S71" s="242">
        <f t="shared" si="15"/>
        <v>0</v>
      </c>
      <c r="T71" s="467"/>
      <c r="U71" s="36">
        <f t="shared" si="29"/>
        <v>0</v>
      </c>
      <c r="V71" s="36">
        <f t="shared" si="16"/>
        <v>0</v>
      </c>
      <c r="W71" s="2" t="e">
        <f>IF(AND(G36&gt;=$W$9,G36&lt;=$W$9+5),0,IF($C$9&gt;$AF$51,ROUND(S35*#REF!/(DATEVALUE(CONCATENATE("01/01/",YEAR(H36)+1))-DATEVALUE(CONCATENATE("01/01/",YEAR(H36))))*(H36-H35),2),0))</f>
        <v>#REF!</v>
      </c>
      <c r="X71" s="34">
        <f t="shared" si="52"/>
        <v>13626</v>
      </c>
      <c r="Y71" s="57">
        <f t="shared" si="48"/>
        <v>54505</v>
      </c>
      <c r="AA71" s="171">
        <v>1000001</v>
      </c>
      <c r="AB71" s="135">
        <v>800000</v>
      </c>
      <c r="AC71" s="133" t="s">
        <v>98</v>
      </c>
      <c r="AD71" s="134">
        <v>1.25</v>
      </c>
      <c r="AE71" s="134"/>
      <c r="AF71" s="134"/>
      <c r="AG71" s="134"/>
      <c r="AH71" s="134"/>
      <c r="AI71" s="134"/>
      <c r="AJ71" s="134"/>
      <c r="AK71" s="15"/>
      <c r="AL71" s="2" t="e">
        <f>IF(AND(Y27&gt;=$W$9,Y27&lt;=$W$9+5),0,IF($C$9&gt;$AF$51,ROUND(AI31*#REF!/(DATEVALUE(CONCATENATE("01/01/",YEAR(Z27)+1))-DATEVALUE(CONCATENATE("01/01/",YEAR(Z27))))*(Z27-Z26),2),0))</f>
        <v>#REF!</v>
      </c>
      <c r="AM71" s="34">
        <f t="shared" si="54"/>
        <v>14930</v>
      </c>
      <c r="AN71" s="57">
        <f t="shared" si="53"/>
        <v>53045</v>
      </c>
      <c r="AO71" s="130">
        <f t="shared" si="17"/>
        <v>0</v>
      </c>
      <c r="AP71" s="261">
        <f t="shared" si="30"/>
        <v>63</v>
      </c>
      <c r="AQ71" s="262">
        <f t="shared" si="3"/>
        <v>46200</v>
      </c>
      <c r="AR71" s="263">
        <f t="shared" si="55"/>
        <v>0.155</v>
      </c>
      <c r="AS71" s="258">
        <f t="shared" si="18"/>
        <v>0</v>
      </c>
      <c r="AT71" s="258">
        <f t="shared" si="19"/>
        <v>0</v>
      </c>
      <c r="AU71" s="258">
        <f t="shared" si="20"/>
        <v>0</v>
      </c>
      <c r="AV71" s="258">
        <f t="shared" si="21"/>
        <v>0</v>
      </c>
      <c r="AW71" s="258">
        <f t="shared" si="47"/>
        <v>0</v>
      </c>
      <c r="AX71" s="258">
        <v>0</v>
      </c>
      <c r="AY71" s="258">
        <f t="shared" si="22"/>
        <v>0</v>
      </c>
      <c r="AZ71" s="258">
        <f t="shared" si="38"/>
        <v>0</v>
      </c>
      <c r="BA71" s="258">
        <f t="shared" si="35"/>
        <v>0</v>
      </c>
      <c r="BB71" s="258"/>
      <c r="BC71" s="258"/>
      <c r="BD71" s="258"/>
      <c r="BE71" s="258"/>
      <c r="BF71" s="258"/>
      <c r="BG71" s="258">
        <f t="shared" si="24"/>
        <v>0</v>
      </c>
      <c r="BH71" s="108">
        <f t="shared" si="31"/>
        <v>0</v>
      </c>
      <c r="BI71" s="108">
        <f t="shared" si="26"/>
        <v>0</v>
      </c>
      <c r="BJ71" s="22">
        <f t="shared" si="27"/>
        <v>46200</v>
      </c>
      <c r="BK71" s="108">
        <f t="shared" si="7"/>
        <v>2802.7699999999099</v>
      </c>
      <c r="BL71" s="2" t="e">
        <f>IF(AND(G26&gt;=$W$9,G26&lt;=$W$9+5),0,IF($C$9&gt;$AF$51,ROUND(BG25*IF(#REF!="",0,#REF!)/(DATEVALUE(CONCATENATE("01/01/",YEAR(AQ26)+1))-DATEVALUE(CONCATENATE("01/01/",YEAR(AQ26))))*(AQ26-AQ25),2),0))</f>
        <v>#REF!</v>
      </c>
    </row>
    <row r="72" spans="1:64" s="16" customFormat="1" x14ac:dyDescent="0.3">
      <c r="A72" s="178"/>
      <c r="B72" s="178"/>
      <c r="C72" s="178"/>
      <c r="D72" s="178"/>
      <c r="E72" s="178"/>
      <c r="F72" s="178"/>
      <c r="G72" s="244">
        <f t="shared" si="28"/>
        <v>64</v>
      </c>
      <c r="H72" s="245">
        <f t="shared" si="1"/>
        <v>46230</v>
      </c>
      <c r="I72" s="246">
        <f t="shared" si="56"/>
        <v>5.9000000000000004E-2</v>
      </c>
      <c r="J72" s="242">
        <f t="shared" si="9"/>
        <v>0</v>
      </c>
      <c r="K72" s="242">
        <f t="shared" si="61"/>
        <v>0</v>
      </c>
      <c r="L72" s="242">
        <f t="shared" si="34"/>
        <v>0</v>
      </c>
      <c r="M72" s="242">
        <f t="shared" si="12"/>
        <v>0</v>
      </c>
      <c r="N72" s="242">
        <f t="shared" si="46"/>
        <v>0</v>
      </c>
      <c r="O72" s="242">
        <v>0</v>
      </c>
      <c r="P72" s="242">
        <f t="shared" si="25"/>
        <v>0</v>
      </c>
      <c r="Q72" s="242">
        <f t="shared" si="36"/>
        <v>0</v>
      </c>
      <c r="R72" s="242">
        <f t="shared" si="14"/>
        <v>0</v>
      </c>
      <c r="S72" s="242">
        <f t="shared" si="15"/>
        <v>0</v>
      </c>
      <c r="T72" s="467"/>
      <c r="U72" s="36">
        <f t="shared" si="29"/>
        <v>0</v>
      </c>
      <c r="V72" s="36">
        <f t="shared" si="16"/>
        <v>0</v>
      </c>
      <c r="W72" s="2" t="e">
        <f>IF(AND(G37&gt;=$W$9,G37&lt;=$W$9+5),0,IF($C$9&gt;$AF$51,ROUND(S36*#REF!/(DATEVALUE(CONCATENATE("01/01/",YEAR(H37)+1))-DATEVALUE(CONCATENATE("01/01/",YEAR(H37))))*(H37-H36),2),0))</f>
        <v>#REF!</v>
      </c>
      <c r="X72" s="34">
        <f t="shared" si="52"/>
        <v>13626</v>
      </c>
      <c r="Y72" s="57">
        <f t="shared" si="48"/>
        <v>54870</v>
      </c>
      <c r="AA72" s="16" t="s">
        <v>101</v>
      </c>
      <c r="AB72" s="135">
        <v>900000</v>
      </c>
      <c r="AC72" s="134">
        <v>1</v>
      </c>
      <c r="AD72" s="134">
        <v>1.35</v>
      </c>
      <c r="AE72" s="134">
        <v>1.5</v>
      </c>
      <c r="AF72" s="134">
        <v>1.3</v>
      </c>
      <c r="AG72" s="134">
        <v>0</v>
      </c>
      <c r="AH72" s="134">
        <v>1</v>
      </c>
      <c r="AI72" s="134">
        <v>2</v>
      </c>
      <c r="AJ72" s="134">
        <v>2.5</v>
      </c>
      <c r="AK72" s="15"/>
      <c r="AL72" s="2" t="e">
        <f>IF(AND(Y28&gt;=$W$9,Y28&lt;=$W$9+5),0,IF($C$9&gt;$AF$51,ROUND(AI32*#REF!/(DATEVALUE(CONCATENATE("01/01/",YEAR(Z28)+1))-DATEVALUE(CONCATENATE("01/01/",YEAR(Z28))))*(Z28-Z27),2),0))</f>
        <v>#REF!</v>
      </c>
      <c r="AM72" s="34">
        <f t="shared" si="54"/>
        <v>14930</v>
      </c>
      <c r="AN72" s="57">
        <f t="shared" si="53"/>
        <v>53410</v>
      </c>
      <c r="AO72" s="130">
        <f t="shared" si="17"/>
        <v>0</v>
      </c>
      <c r="AP72" s="261">
        <f t="shared" si="30"/>
        <v>64</v>
      </c>
      <c r="AQ72" s="262">
        <f t="shared" si="3"/>
        <v>46230</v>
      </c>
      <c r="AR72" s="263">
        <f t="shared" si="55"/>
        <v>0.155</v>
      </c>
      <c r="AS72" s="258">
        <f t="shared" si="18"/>
        <v>0</v>
      </c>
      <c r="AT72" s="258">
        <f t="shared" si="19"/>
        <v>0</v>
      </c>
      <c r="AU72" s="258">
        <f t="shared" si="20"/>
        <v>0</v>
      </c>
      <c r="AV72" s="258">
        <f t="shared" si="21"/>
        <v>0</v>
      </c>
      <c r="AW72" s="258">
        <f t="shared" si="47"/>
        <v>0</v>
      </c>
      <c r="AX72" s="258">
        <v>0</v>
      </c>
      <c r="AY72" s="258">
        <f t="shared" si="22"/>
        <v>0</v>
      </c>
      <c r="AZ72" s="258">
        <f t="shared" si="38"/>
        <v>0</v>
      </c>
      <c r="BA72" s="258">
        <f t="shared" si="35"/>
        <v>0</v>
      </c>
      <c r="BB72" s="258"/>
      <c r="BC72" s="258"/>
      <c r="BD72" s="258"/>
      <c r="BE72" s="258"/>
      <c r="BF72" s="258"/>
      <c r="BG72" s="258">
        <f t="shared" si="24"/>
        <v>0</v>
      </c>
      <c r="BH72" s="108">
        <f t="shared" si="31"/>
        <v>0</v>
      </c>
      <c r="BI72" s="108">
        <f t="shared" si="26"/>
        <v>0</v>
      </c>
      <c r="BJ72" s="22">
        <f t="shared" si="27"/>
        <v>46230</v>
      </c>
      <c r="BK72" s="108">
        <f t="shared" si="7"/>
        <v>0</v>
      </c>
      <c r="BL72" s="2" t="e">
        <f>IF(AND(G27&gt;=$W$9,G27&lt;=$W$9+5),0,IF($C$9&gt;$AF$51,ROUND(BG26*IF(#REF!="",0,#REF!)/(DATEVALUE(CONCATENATE("01/01/",YEAR(AQ27)+1))-DATEVALUE(CONCATENATE("01/01/",YEAR(AQ27))))*(AQ27-AQ26),2),0))</f>
        <v>#REF!</v>
      </c>
    </row>
    <row r="73" spans="1:64" s="16" customFormat="1" x14ac:dyDescent="0.3">
      <c r="A73" s="178"/>
      <c r="B73" s="178"/>
      <c r="C73" s="178"/>
      <c r="D73" s="178"/>
      <c r="E73" s="178"/>
      <c r="F73" s="178"/>
      <c r="G73" s="244">
        <f t="shared" si="28"/>
        <v>65</v>
      </c>
      <c r="H73" s="245">
        <f t="shared" ref="H73:H108" si="62">IF((OR(DAY($AD$54)=29,DAY($AD$54)=30,DAY($AD$54)=31)),(EDATE($C$9-3,G73)),(IF((OR(DAY($AD$54)=1,DAY($AD$54)=2,DAY($AD$54)=3)),(EDATE($C$9,G73)+3),EDATE($C$9,G73))))</f>
        <v>46261</v>
      </c>
      <c r="I73" s="246">
        <f t="shared" si="56"/>
        <v>5.9000000000000004E-2</v>
      </c>
      <c r="J73" s="242">
        <f t="shared" si="9"/>
        <v>0</v>
      </c>
      <c r="K73" s="242">
        <f t="shared" si="61"/>
        <v>0</v>
      </c>
      <c r="L73" s="242">
        <f t="shared" ref="L73:L108" si="63">IF(AND(G73&gt;=$W$9,G73&lt;=$W$9+5),0,IF($C$9&gt;$AF$51,ROUND(S72*I73*((H73-DATE(YEAR(H73),MONTH(H73),1)+1)/(DATE(YEAR(H73)+1,1,1)-DATE(YEAR(H73),1,1))+(EOMONTH(H72,0)-H72)/(DATE(YEAR(H72)+1,1,1)-DATE(YEAR(H72),1,1))),2),0))</f>
        <v>0</v>
      </c>
      <c r="M73" s="242">
        <f t="shared" si="12"/>
        <v>0</v>
      </c>
      <c r="N73" s="242">
        <f t="shared" ref="N73:N108" si="64">IF(P73-Q73&gt;$C$24,$C$24-L73,IF(V73=0,0,R73)+$AI$51)</f>
        <v>0</v>
      </c>
      <c r="O73" s="242">
        <v>0</v>
      </c>
      <c r="P73" s="242">
        <f t="shared" si="25"/>
        <v>0</v>
      </c>
      <c r="Q73" s="242">
        <f t="shared" si="36"/>
        <v>0</v>
      </c>
      <c r="R73" s="242">
        <f t="shared" si="14"/>
        <v>0</v>
      </c>
      <c r="S73" s="242">
        <f t="shared" si="15"/>
        <v>0</v>
      </c>
      <c r="T73" s="467"/>
      <c r="U73" s="36">
        <f t="shared" si="29"/>
        <v>0</v>
      </c>
      <c r="V73" s="36">
        <f t="shared" si="16"/>
        <v>0</v>
      </c>
      <c r="W73" s="2" t="e">
        <f>IF(AND(G38&gt;=$W$9,G38&lt;=$W$9+5),0,IF($C$9&gt;$AF$51,ROUND(S37*#REF!/(DATEVALUE(CONCATENATE("01/01/",YEAR(H38)+1))-DATEVALUE(CONCATENATE("01/01/",YEAR(H38))))*(H38-H37),2),0))</f>
        <v>#REF!</v>
      </c>
      <c r="X73" s="34">
        <f t="shared" si="52"/>
        <v>13626</v>
      </c>
      <c r="Y73" s="57">
        <f t="shared" si="48"/>
        <v>55235</v>
      </c>
      <c r="AB73" s="16">
        <v>1500000</v>
      </c>
      <c r="AC73" s="134">
        <v>1.1000000000000001</v>
      </c>
      <c r="AD73" s="134">
        <v>1.5</v>
      </c>
      <c r="AE73" s="134">
        <v>1.5</v>
      </c>
      <c r="AF73" s="134">
        <v>1.3</v>
      </c>
      <c r="AG73" s="134">
        <v>0</v>
      </c>
      <c r="AH73" s="134">
        <v>1</v>
      </c>
      <c r="AI73" s="134">
        <v>2</v>
      </c>
      <c r="AJ73" s="134">
        <v>2</v>
      </c>
      <c r="AK73" s="15"/>
      <c r="AL73" s="2" t="e">
        <f>IF(AND(Y29&gt;=$W$9,Y29&lt;=$W$9+5),0,IF($C$9&gt;$AF$51,ROUND(AI33*#REF!/(DATEVALUE(CONCATENATE("01/01/",YEAR(Z29)+1))-DATEVALUE(CONCATENATE("01/01/",YEAR(Z29))))*(Z29-Z28),2),0))</f>
        <v>#REF!</v>
      </c>
      <c r="AM73" s="34">
        <f t="shared" si="54"/>
        <v>14930</v>
      </c>
      <c r="AN73" s="57">
        <f t="shared" si="53"/>
        <v>53775</v>
      </c>
      <c r="AO73" s="130">
        <f t="shared" si="17"/>
        <v>0</v>
      </c>
      <c r="AP73" s="261">
        <f t="shared" si="30"/>
        <v>65</v>
      </c>
      <c r="AQ73" s="262">
        <f t="shared" ref="AQ73:AQ108" si="65">IF((OR(DAY($AD$54)=29,DAY($AD$54)=30,DAY($AD$54)=31)),(EDATE($C$9-3,AP73)),(IF((OR(DAY($AD$54)=1,DAY($AD$54)=2,DAY($AD$54)=3)),(EDATE($C$9,AP73)+3),EDATE($C$9,AP73))))</f>
        <v>46261</v>
      </c>
      <c r="AR73" s="263">
        <f t="shared" si="55"/>
        <v>0.155</v>
      </c>
      <c r="AS73" s="258">
        <f t="shared" si="18"/>
        <v>0</v>
      </c>
      <c r="AT73" s="258">
        <f t="shared" si="19"/>
        <v>0</v>
      </c>
      <c r="AU73" s="258">
        <f t="shared" si="20"/>
        <v>0</v>
      </c>
      <c r="AV73" s="258">
        <f t="shared" si="21"/>
        <v>0</v>
      </c>
      <c r="AW73" s="258">
        <f t="shared" ref="AW73:AW104" si="66">IF(AY73-AZ73&gt;$D$24,$D$24-AU73,IF(BI73=0,0,BA73)+BX121)</f>
        <v>0</v>
      </c>
      <c r="AX73" s="258">
        <v>0</v>
      </c>
      <c r="AY73" s="258">
        <f t="shared" si="22"/>
        <v>0</v>
      </c>
      <c r="AZ73" s="258">
        <f t="shared" si="38"/>
        <v>0</v>
      </c>
      <c r="BA73" s="258">
        <f t="shared" si="35"/>
        <v>0</v>
      </c>
      <c r="BB73" s="258"/>
      <c r="BC73" s="258"/>
      <c r="BD73" s="258"/>
      <c r="BE73" s="258"/>
      <c r="BF73" s="258"/>
      <c r="BG73" s="258">
        <f t="shared" si="24"/>
        <v>0</v>
      </c>
      <c r="BH73" s="108">
        <f t="shared" si="31"/>
        <v>0</v>
      </c>
      <c r="BI73" s="108">
        <f t="shared" si="26"/>
        <v>0</v>
      </c>
      <c r="BJ73" s="22">
        <f t="shared" si="27"/>
        <v>46261</v>
      </c>
      <c r="BK73" s="108">
        <f t="shared" ref="BK73:BK114" si="67">K73</f>
        <v>0</v>
      </c>
      <c r="BL73" s="2" t="e">
        <f>IF(AND(G28&gt;=$W$9,G28&lt;=$W$9+5),0,IF($C$9&gt;$AF$51,ROUND(BG27*IF(#REF!="",0,#REF!)/(DATEVALUE(CONCATENATE("01/01/",YEAR(AQ28)+1))-DATEVALUE(CONCATENATE("01/01/",YEAR(AQ28))))*(AQ28-AQ27),2),0))</f>
        <v>#REF!</v>
      </c>
    </row>
    <row r="74" spans="1:64" s="16" customFormat="1" x14ac:dyDescent="0.3">
      <c r="A74" s="178"/>
      <c r="B74" s="178"/>
      <c r="C74" s="178"/>
      <c r="D74" s="178"/>
      <c r="E74" s="178"/>
      <c r="F74" s="178"/>
      <c r="G74" s="244">
        <f t="shared" si="28"/>
        <v>66</v>
      </c>
      <c r="H74" s="245">
        <f t="shared" si="62"/>
        <v>46292</v>
      </c>
      <c r="I74" s="246">
        <f t="shared" si="56"/>
        <v>5.9000000000000004E-2</v>
      </c>
      <c r="J74" s="242">
        <f t="shared" ref="J74:J108" si="68">K74+Q74</f>
        <v>0</v>
      </c>
      <c r="K74" s="242">
        <f t="shared" si="61"/>
        <v>0</v>
      </c>
      <c r="L74" s="242">
        <f t="shared" si="63"/>
        <v>0</v>
      </c>
      <c r="M74" s="242">
        <f t="shared" ref="M74" si="69">IF(S73=0,0,IF(S73+N74+L74&gt;K73,K74-L74-N74,S73))</f>
        <v>0</v>
      </c>
      <c r="N74" s="242">
        <f t="shared" si="64"/>
        <v>0</v>
      </c>
      <c r="O74" s="242">
        <v>0</v>
      </c>
      <c r="P74" s="242">
        <f t="shared" si="25"/>
        <v>0</v>
      </c>
      <c r="Q74" s="242">
        <f t="shared" si="36"/>
        <v>0</v>
      </c>
      <c r="R74" s="242">
        <f t="shared" ref="R74:R108" si="70">IF(V74=0,0,0)</f>
        <v>0</v>
      </c>
      <c r="S74" s="242">
        <f t="shared" ref="S74" si="71">S73-M74-T74</f>
        <v>0</v>
      </c>
      <c r="T74" s="467"/>
      <c r="U74" s="36">
        <f t="shared" si="29"/>
        <v>0</v>
      </c>
      <c r="V74" s="36">
        <f t="shared" ref="V74:V107" si="72">U74</f>
        <v>0</v>
      </c>
      <c r="W74" s="2" t="e">
        <f>IF(AND(G39&gt;=$W$9,G39&lt;=$W$9+5),0,IF($C$9&gt;$AF$51,ROUND(S38*#REF!/(DATEVALUE(CONCATENATE("01/01/",YEAR(H39)+1))-DATEVALUE(CONCATENATE("01/01/",YEAR(H39))))*(H39-H38),2),0))</f>
        <v>#REF!</v>
      </c>
      <c r="X74" s="34">
        <f t="shared" si="52"/>
        <v>13626</v>
      </c>
      <c r="Y74" s="57">
        <f t="shared" si="48"/>
        <v>55600</v>
      </c>
      <c r="AC74" s="134">
        <v>1.2</v>
      </c>
      <c r="AD74" s="134">
        <v>1.25</v>
      </c>
      <c r="AE74" s="134">
        <v>1.3</v>
      </c>
      <c r="AF74" s="134">
        <v>1.2</v>
      </c>
      <c r="AG74" s="134">
        <v>0</v>
      </c>
      <c r="AH74" s="134">
        <v>1</v>
      </c>
      <c r="AI74" s="134">
        <v>1.5</v>
      </c>
      <c r="AJ74" s="134">
        <v>1.5</v>
      </c>
      <c r="AK74" s="15"/>
      <c r="AL74" s="2" t="e">
        <f>IF(AND(Y30&gt;=$W$9,Y30&lt;=$W$9+5),0,IF($C$9&gt;$AF$51,ROUND(AI34*#REF!/(DATEVALUE(CONCATENATE("01/01/",YEAR(Z30)+1))-DATEVALUE(CONCATENATE("01/01/",YEAR(Z30))))*(Z30-Z29),2),0))</f>
        <v>#REF!</v>
      </c>
      <c r="AM74" s="34">
        <f t="shared" si="54"/>
        <v>14930</v>
      </c>
      <c r="AN74" s="57">
        <f t="shared" si="53"/>
        <v>54140</v>
      </c>
      <c r="AO74" s="130">
        <f t="shared" ref="AO74:AO108" si="73">IF(OR(AT74="",AT74=0),0,1)</f>
        <v>0</v>
      </c>
      <c r="AP74" s="261">
        <f t="shared" si="30"/>
        <v>66</v>
      </c>
      <c r="AQ74" s="262">
        <f t="shared" si="65"/>
        <v>46292</v>
      </c>
      <c r="AR74" s="263">
        <f t="shared" si="55"/>
        <v>0.155</v>
      </c>
      <c r="AS74" s="258">
        <f t="shared" ref="AS74:AS108" si="74">AT74+AZ74</f>
        <v>0</v>
      </c>
      <c r="AT74" s="258">
        <f t="shared" ref="AT74" si="75">IF(AND(BG73+AW74+AU74&gt;AT73,AT73&lt;&gt;0),IF($D$16="Да",$AL$36,$D$24),IF(BG73=0,0,BG73+AW74+AU74+AU75))</f>
        <v>0</v>
      </c>
      <c r="AU74" s="258">
        <f t="shared" ref="AU74" si="76">IF($C$9&gt;$AF$51,ROUND(BG73*AR74*((AQ74-DATE(YEAR(AQ74),MONTH(AQ74),1)+1)/(DATE(YEAR(AQ74)+1,1,1)-DATE(YEAR(AQ74),1,1))+(EOMONTH(AQ73,0)-AQ73)/(DATE(YEAR(AQ73)+1,1,1)-DATE(YEAR(AQ73),1,1))),2),0)</f>
        <v>0</v>
      </c>
      <c r="AV74" s="258">
        <f t="shared" ref="AV74:AV108" si="77">IF(BI74=0,0,IF(BI74=1,BG73,IF(BG73+AW74+AU74&gt;AT73,AT74-AU74-AW74,BG73)))</f>
        <v>0</v>
      </c>
      <c r="AW74" s="258">
        <f t="shared" si="66"/>
        <v>0</v>
      </c>
      <c r="AX74" s="258">
        <v>0</v>
      </c>
      <c r="AY74" s="258">
        <f t="shared" si="22"/>
        <v>0</v>
      </c>
      <c r="AZ74" s="258">
        <f t="shared" si="38"/>
        <v>0</v>
      </c>
      <c r="BA74" s="258">
        <f t="shared" si="35"/>
        <v>0</v>
      </c>
      <c r="BB74" s="258"/>
      <c r="BC74" s="258"/>
      <c r="BD74" s="258"/>
      <c r="BE74" s="258"/>
      <c r="BF74" s="258"/>
      <c r="BG74" s="258">
        <f t="shared" ref="BG74:BG108" si="78">IF(OR(BI74=1,BG73=0),0,BG73-AV74)</f>
        <v>0</v>
      </c>
      <c r="BH74" s="108">
        <f t="shared" si="31"/>
        <v>0</v>
      </c>
      <c r="BI74" s="108">
        <f t="shared" si="26"/>
        <v>0</v>
      </c>
      <c r="BJ74" s="22">
        <f t="shared" si="27"/>
        <v>46292</v>
      </c>
      <c r="BK74" s="108">
        <f t="shared" si="67"/>
        <v>0</v>
      </c>
      <c r="BL74" s="2" t="e">
        <f>IF(AND(G29&gt;=$W$9,G29&lt;=$W$9+5),0,IF($C$9&gt;$AF$51,ROUND(BG28*IF(#REF!="",0,#REF!)/(DATEVALUE(CONCATENATE("01/01/",YEAR(AQ29)+1))-DATEVALUE(CONCATENATE("01/01/",YEAR(AQ29))))*(AQ29-AQ28),2),0))</f>
        <v>#REF!</v>
      </c>
    </row>
    <row r="75" spans="1:64" s="16" customFormat="1" x14ac:dyDescent="0.3">
      <c r="A75" s="178"/>
      <c r="B75" s="178"/>
      <c r="C75" s="178"/>
      <c r="D75" s="178"/>
      <c r="E75" s="178"/>
      <c r="F75" s="178"/>
      <c r="G75" s="114">
        <f t="shared" si="28"/>
        <v>67</v>
      </c>
      <c r="H75" s="111">
        <f t="shared" si="62"/>
        <v>46322</v>
      </c>
      <c r="I75" s="176">
        <f t="shared" ref="I75:I108" si="79">IF($C$16="Да",$AG$40,$C$13)</f>
        <v>5.9000000000000004E-2</v>
      </c>
      <c r="J75" s="24">
        <f t="shared" si="68"/>
        <v>0</v>
      </c>
      <c r="K75" s="24">
        <f t="shared" si="61"/>
        <v>0</v>
      </c>
      <c r="L75" s="24">
        <f t="shared" si="63"/>
        <v>0</v>
      </c>
      <c r="M75" s="24">
        <f t="shared" ref="M75" si="80">IF(V75=0,0,IF(V75=1,S74,IF(S74+N75+L75&gt;K74,K75-L75-N75,S74)))</f>
        <v>0</v>
      </c>
      <c r="N75" s="24">
        <f t="shared" si="64"/>
        <v>0</v>
      </c>
      <c r="O75" s="24">
        <v>0</v>
      </c>
      <c r="P75" s="24">
        <f t="shared" si="25"/>
        <v>0</v>
      </c>
      <c r="Q75" s="24">
        <f t="shared" si="36"/>
        <v>0</v>
      </c>
      <c r="R75" s="24">
        <f t="shared" si="70"/>
        <v>0</v>
      </c>
      <c r="S75" s="24">
        <f t="shared" ref="S75:S108" si="81">IF(OR(V75=1,S74=0),0,S74-M75)</f>
        <v>0</v>
      </c>
      <c r="T75" s="24"/>
      <c r="U75" s="36">
        <f t="shared" si="29"/>
        <v>0</v>
      </c>
      <c r="V75" s="36">
        <f t="shared" si="72"/>
        <v>0</v>
      </c>
      <c r="W75" s="2" t="e">
        <f>IF(AND(G40&gt;=$W$9,G40&lt;=$W$9+5),0,IF($C$9&gt;$AF$51,ROUND(S39*#REF!/(DATEVALUE(CONCATENATE("01/01/",YEAR(H40)+1))-DATEVALUE(CONCATENATE("01/01/",YEAR(H40))))*(H40-H39),2),0))</f>
        <v>#REF!</v>
      </c>
      <c r="X75" s="34">
        <f t="shared" si="52"/>
        <v>13626</v>
      </c>
      <c r="Y75" s="57">
        <f t="shared" si="48"/>
        <v>55965</v>
      </c>
      <c r="AC75" s="134">
        <v>1.1000000000000001</v>
      </c>
      <c r="AD75" s="134">
        <v>1.1000000000000001</v>
      </c>
      <c r="AE75" s="134">
        <v>1.3</v>
      </c>
      <c r="AF75" s="134">
        <v>1.2</v>
      </c>
      <c r="AG75" s="134">
        <v>0</v>
      </c>
      <c r="AH75" s="134">
        <v>1</v>
      </c>
      <c r="AI75" s="134">
        <v>1.3</v>
      </c>
      <c r="AJ75" s="134">
        <v>1.3</v>
      </c>
      <c r="AK75" s="2"/>
      <c r="AL75" s="2" t="e">
        <f>IF(AND(Y31&gt;=$W$9,Y31&lt;=$W$9+5),0,IF($C$9&gt;$AF$51,ROUND(AI35*#REF!/(DATEVALUE(CONCATENATE("01/01/",YEAR(Z31)+1))-DATEVALUE(CONCATENATE("01/01/",YEAR(Z31))))*(Z31-Z30),2),0))</f>
        <v>#REF!</v>
      </c>
      <c r="AM75" s="34">
        <f t="shared" si="54"/>
        <v>14930</v>
      </c>
      <c r="AN75" s="57">
        <f t="shared" si="53"/>
        <v>54505</v>
      </c>
      <c r="AO75" s="130">
        <f t="shared" si="73"/>
        <v>0</v>
      </c>
      <c r="AP75" s="109">
        <f t="shared" si="30"/>
        <v>67</v>
      </c>
      <c r="AQ75" s="110">
        <f t="shared" si="65"/>
        <v>46322</v>
      </c>
      <c r="AR75" s="177">
        <f t="shared" si="55"/>
        <v>0.155</v>
      </c>
      <c r="AS75" s="105">
        <f t="shared" si="74"/>
        <v>0</v>
      </c>
      <c r="AT75" s="105">
        <f t="shared" ref="AT75:AT108" si="82">IF(AND(G75&gt;=$W$9,G75&lt;=$W$9+5),$W$10,IF(AND(BG74+AW75+AU75&gt;AT74,AT74&lt;&gt;0),IF($D$16="Да",$AL$40,$D$24),IF(BG74=0,0,BG74+AW75+AU75+AU76)))</f>
        <v>0</v>
      </c>
      <c r="AU75" s="105">
        <f t="shared" ref="AU75:AU108" si="83">IF(AND(G75&gt;=$W$9,G75&lt;=$W$9+5),0,IF($C$9&gt;$AF$51,ROUND(BG74*AR75*((AQ75-DATE(YEAR(AQ75),MONTH(AQ75),1)+1)/(DATE(YEAR(AQ75)+1,1,1)-DATE(YEAR(AQ75),1,1))+(EOMONTH(AQ74,0)-AQ74)/(DATE(YEAR(AQ74)+1,1,1)-DATE(YEAR(AQ74),1,1))),2),0))</f>
        <v>0</v>
      </c>
      <c r="AV75" s="105">
        <f t="shared" si="77"/>
        <v>0</v>
      </c>
      <c r="AW75" s="105">
        <f t="shared" si="66"/>
        <v>0</v>
      </c>
      <c r="AX75" s="105">
        <v>0</v>
      </c>
      <c r="AY75" s="105">
        <f t="shared" si="22"/>
        <v>0</v>
      </c>
      <c r="AZ75" s="105">
        <f t="shared" si="38"/>
        <v>0</v>
      </c>
      <c r="BA75" s="105">
        <f t="shared" si="35"/>
        <v>0</v>
      </c>
      <c r="BB75" s="105"/>
      <c r="BC75" s="105"/>
      <c r="BD75" s="105"/>
      <c r="BE75" s="105"/>
      <c r="BF75" s="105"/>
      <c r="BG75" s="105">
        <f t="shared" si="78"/>
        <v>0</v>
      </c>
      <c r="BH75" s="108">
        <f t="shared" si="31"/>
        <v>0</v>
      </c>
      <c r="BI75" s="108">
        <f t="shared" ref="BI75:BI114" si="84">BH75</f>
        <v>0</v>
      </c>
      <c r="BJ75" s="22">
        <f t="shared" ref="BJ75:BJ114" si="85">H75</f>
        <v>46322</v>
      </c>
      <c r="BK75" s="108">
        <f t="shared" si="67"/>
        <v>0</v>
      </c>
      <c r="BL75" s="2" t="e">
        <f>IF(AND(G30&gt;=$W$9,G30&lt;=$W$9+5),0,IF($C$9&gt;$AF$51,ROUND(BG29*IF(#REF!="",0,#REF!)/(DATEVALUE(CONCATENATE("01/01/",YEAR(AQ30)+1))-DATEVALUE(CONCATENATE("01/01/",YEAR(AQ30))))*(AQ30-AQ29),2),0))</f>
        <v>#REF!</v>
      </c>
    </row>
    <row r="76" spans="1:64" s="16" customFormat="1" x14ac:dyDescent="0.3">
      <c r="A76" s="178"/>
      <c r="B76" s="178"/>
      <c r="C76" s="178"/>
      <c r="D76" s="178"/>
      <c r="E76" s="178"/>
      <c r="F76" s="178"/>
      <c r="G76" s="114">
        <f t="shared" ref="G76:G108" si="86">G75+1</f>
        <v>68</v>
      </c>
      <c r="H76" s="111">
        <f t="shared" si="62"/>
        <v>46353</v>
      </c>
      <c r="I76" s="176">
        <f t="shared" si="79"/>
        <v>5.9000000000000004E-2</v>
      </c>
      <c r="J76" s="24">
        <f t="shared" si="68"/>
        <v>0</v>
      </c>
      <c r="K76" s="24">
        <f t="shared" si="61"/>
        <v>0</v>
      </c>
      <c r="L76" s="24">
        <f t="shared" si="63"/>
        <v>0</v>
      </c>
      <c r="M76" s="24">
        <f t="shared" ref="M76:M108" si="87">IF(V76=0,0,IF(V76=1,S75,IF(S75+N76+L76&gt;K75,K76-L76-N76,S75)))</f>
        <v>0</v>
      </c>
      <c r="N76" s="24">
        <f t="shared" si="64"/>
        <v>0</v>
      </c>
      <c r="O76" s="24">
        <v>0</v>
      </c>
      <c r="P76" s="24">
        <f t="shared" si="25"/>
        <v>0</v>
      </c>
      <c r="Q76" s="24">
        <f t="shared" si="36"/>
        <v>0</v>
      </c>
      <c r="R76" s="24">
        <f t="shared" si="70"/>
        <v>0</v>
      </c>
      <c r="S76" s="24">
        <f t="shared" si="81"/>
        <v>0</v>
      </c>
      <c r="T76" s="24"/>
      <c r="U76" s="36">
        <f t="shared" ref="U76:U108" si="88">IF((U75-1)&lt;0,0,U75-1)</f>
        <v>0</v>
      </c>
      <c r="V76" s="36">
        <f t="shared" si="72"/>
        <v>0</v>
      </c>
      <c r="W76" s="2" t="e">
        <f>IF(AND(G41&gt;=$W$9,G41&lt;=$W$9+5),0,IF($C$9&gt;$AF$51,ROUND(S40*#REF!/(DATEVALUE(CONCATENATE("01/01/",YEAR(H41)+1))-DATEVALUE(CONCATENATE("01/01/",YEAR(H41))))*(H41-H40),2),0))</f>
        <v>#REF!</v>
      </c>
      <c r="X76" s="34">
        <f t="shared" si="52"/>
        <v>13626</v>
      </c>
      <c r="Y76" s="57">
        <f t="shared" si="48"/>
        <v>56330</v>
      </c>
      <c r="AC76" s="134">
        <v>1</v>
      </c>
      <c r="AD76" s="16">
        <v>1.3</v>
      </c>
      <c r="AE76" s="134">
        <v>1.3</v>
      </c>
      <c r="AF76" s="134">
        <v>1.2</v>
      </c>
      <c r="AG76" s="134">
        <v>0</v>
      </c>
      <c r="AH76" s="134">
        <v>1</v>
      </c>
      <c r="AI76" s="134">
        <v>1</v>
      </c>
      <c r="AJ76" s="134">
        <v>1</v>
      </c>
      <c r="AL76" s="2" t="e">
        <f>IF(AND(Y32&gt;=$W$9,Y32&lt;=$W$9+5),0,IF($C$9&gt;$AF$51,ROUND(AI36*#REF!/(DATEVALUE(CONCATENATE("01/01/",YEAR(Z32)+1))-DATEVALUE(CONCATENATE("01/01/",YEAR(Z32))))*(Z32-Z31),2),0))</f>
        <v>#REF!</v>
      </c>
      <c r="AM76" s="34">
        <f t="shared" si="54"/>
        <v>14930</v>
      </c>
      <c r="AN76" s="57">
        <f t="shared" si="53"/>
        <v>54870</v>
      </c>
      <c r="AO76" s="130">
        <f t="shared" si="73"/>
        <v>0</v>
      </c>
      <c r="AP76" s="109">
        <f t="shared" ref="AP76:AP108" si="89">AP75+1</f>
        <v>68</v>
      </c>
      <c r="AQ76" s="110">
        <f t="shared" si="65"/>
        <v>46353</v>
      </c>
      <c r="AR76" s="177">
        <f t="shared" si="55"/>
        <v>0.155</v>
      </c>
      <c r="AS76" s="105">
        <f t="shared" si="74"/>
        <v>0</v>
      </c>
      <c r="AT76" s="105">
        <f t="shared" si="82"/>
        <v>0</v>
      </c>
      <c r="AU76" s="105">
        <f t="shared" si="83"/>
        <v>0</v>
      </c>
      <c r="AV76" s="105">
        <f t="shared" si="77"/>
        <v>0</v>
      </c>
      <c r="AW76" s="105">
        <f t="shared" si="66"/>
        <v>0</v>
      </c>
      <c r="AX76" s="105">
        <v>0</v>
      </c>
      <c r="AY76" s="105">
        <f t="shared" si="22"/>
        <v>0</v>
      </c>
      <c r="AZ76" s="105">
        <f t="shared" si="38"/>
        <v>0</v>
      </c>
      <c r="BA76" s="105">
        <f t="shared" si="35"/>
        <v>0</v>
      </c>
      <c r="BB76" s="105"/>
      <c r="BC76" s="105"/>
      <c r="BD76" s="105"/>
      <c r="BE76" s="105"/>
      <c r="BF76" s="105"/>
      <c r="BG76" s="105">
        <f t="shared" si="78"/>
        <v>0</v>
      </c>
      <c r="BH76" s="108">
        <f t="shared" ref="BH76:BH114" si="90">IF((BH75-1)&lt;0,0,BH75-1)</f>
        <v>0</v>
      </c>
      <c r="BI76" s="108">
        <f t="shared" si="84"/>
        <v>0</v>
      </c>
      <c r="BJ76" s="22">
        <f t="shared" si="85"/>
        <v>46353</v>
      </c>
      <c r="BK76" s="108">
        <f t="shared" si="67"/>
        <v>0</v>
      </c>
      <c r="BL76" s="2" t="e">
        <f>IF(AND(G31&gt;=$W$9,G31&lt;=$W$9+5),0,IF($C$9&gt;$AF$51,ROUND(BG30*IF(#REF!="",0,#REF!)/(DATEVALUE(CONCATENATE("01/01/",YEAR(AQ31)+1))-DATEVALUE(CONCATENATE("01/01/",YEAR(AQ31))))*(AQ31-AQ30),2),0))</f>
        <v>#REF!</v>
      </c>
    </row>
    <row r="77" spans="1:64" s="16" customFormat="1" x14ac:dyDescent="0.3">
      <c r="A77" s="178"/>
      <c r="B77" s="178"/>
      <c r="C77" s="178"/>
      <c r="D77" s="178"/>
      <c r="E77" s="178"/>
      <c r="F77" s="178"/>
      <c r="G77" s="114">
        <f t="shared" si="86"/>
        <v>69</v>
      </c>
      <c r="H77" s="111">
        <f t="shared" si="62"/>
        <v>46383</v>
      </c>
      <c r="I77" s="176">
        <f t="shared" si="79"/>
        <v>5.9000000000000004E-2</v>
      </c>
      <c r="J77" s="24">
        <f t="shared" si="68"/>
        <v>0</v>
      </c>
      <c r="K77" s="24">
        <f t="shared" si="61"/>
        <v>0</v>
      </c>
      <c r="L77" s="24">
        <f t="shared" si="63"/>
        <v>0</v>
      </c>
      <c r="M77" s="24">
        <f t="shared" si="87"/>
        <v>0</v>
      </c>
      <c r="N77" s="24">
        <f t="shared" si="64"/>
        <v>0</v>
      </c>
      <c r="O77" s="24">
        <v>0</v>
      </c>
      <c r="P77" s="24">
        <f t="shared" si="25"/>
        <v>0</v>
      </c>
      <c r="Q77" s="24">
        <f t="shared" si="36"/>
        <v>0</v>
      </c>
      <c r="R77" s="24">
        <f t="shared" si="70"/>
        <v>0</v>
      </c>
      <c r="S77" s="24">
        <f t="shared" si="81"/>
        <v>0</v>
      </c>
      <c r="T77" s="24"/>
      <c r="U77" s="36">
        <f t="shared" si="88"/>
        <v>0</v>
      </c>
      <c r="V77" s="36">
        <f t="shared" si="72"/>
        <v>0</v>
      </c>
      <c r="W77" s="2" t="e">
        <f>IF(AND(G42&gt;=$W$9,G42&lt;=$W$9+5),0,IF($C$9&gt;$AF$51,ROUND(S41*#REF!/(DATEVALUE(CONCATENATE("01/01/",YEAR(H42)+1))-DATEVALUE(CONCATENATE("01/01/",YEAR(H42))))*(H42-H41),2),0))</f>
        <v>#REF!</v>
      </c>
      <c r="X77" s="34">
        <f t="shared" si="52"/>
        <v>13626</v>
      </c>
      <c r="Y77" s="57">
        <f t="shared" si="48"/>
        <v>56695</v>
      </c>
      <c r="AC77" s="16">
        <f>IF($C$7&gt;=$AA$71,AC76,IF($C$7&gt;=$AA$70,AC75,IF($C$7&gt;=$AA$69,AC74,IF($C$7&gt;=$AA$68,AC73,AC72))))</f>
        <v>1.1000000000000001</v>
      </c>
      <c r="AD77" s="16">
        <f>IF($C$7&gt;=$AA$71,AD76,IF($C$7&gt;=$AA$70,AD75,IF($C$7&gt;=$AA$69,AD74,IF($C$7&gt;=$AA$68,AD73,AD72))))</f>
        <v>1.5</v>
      </c>
      <c r="AE77" s="16">
        <f t="shared" ref="AE77:AI77" si="91">IF($C$7&gt;=$AA$71,AE76,IF($C$7&gt;=$AA$70,AE75,IF($C$7&gt;=$AA$69,AE74,IF($C$7&gt;=$AA$68,AE73,AE72))))</f>
        <v>1.5</v>
      </c>
      <c r="AF77" s="16">
        <f t="shared" si="91"/>
        <v>1.3</v>
      </c>
      <c r="AG77" s="16">
        <f t="shared" si="91"/>
        <v>0</v>
      </c>
      <c r="AH77" s="16">
        <f t="shared" si="91"/>
        <v>1</v>
      </c>
      <c r="AI77" s="16">
        <f t="shared" si="91"/>
        <v>2</v>
      </c>
      <c r="AJ77" s="16">
        <v>1</v>
      </c>
      <c r="AL77" s="2" t="e">
        <f>IF(AND(#REF!&gt;=$W$9,#REF!&lt;=$W$9+5),0,IF($C$9&gt;$AF$51,ROUND(AI37*#REF!/(DATEVALUE(CONCATENATE("01/01/",YEAR(#REF!)+1))-DATEVALUE(CONCATENATE("01/01/",YEAR(#REF!))))*(#REF!-Z32),2),0))</f>
        <v>#REF!</v>
      </c>
      <c r="AM77" s="34">
        <f t="shared" si="54"/>
        <v>14930</v>
      </c>
      <c r="AN77" s="57">
        <f t="shared" si="53"/>
        <v>55235</v>
      </c>
      <c r="AO77" s="130">
        <f t="shared" si="73"/>
        <v>0</v>
      </c>
      <c r="AP77" s="109">
        <f t="shared" si="89"/>
        <v>69</v>
      </c>
      <c r="AQ77" s="110">
        <f t="shared" si="65"/>
        <v>46383</v>
      </c>
      <c r="AR77" s="177">
        <f t="shared" si="55"/>
        <v>0.155</v>
      </c>
      <c r="AS77" s="105">
        <f t="shared" si="74"/>
        <v>0</v>
      </c>
      <c r="AT77" s="105">
        <f t="shared" si="82"/>
        <v>0</v>
      </c>
      <c r="AU77" s="105">
        <f t="shared" si="83"/>
        <v>0</v>
      </c>
      <c r="AV77" s="105">
        <f t="shared" si="77"/>
        <v>0</v>
      </c>
      <c r="AW77" s="105">
        <f t="shared" si="66"/>
        <v>0</v>
      </c>
      <c r="AX77" s="105">
        <v>0</v>
      </c>
      <c r="AY77" s="105">
        <f t="shared" si="22"/>
        <v>0</v>
      </c>
      <c r="AZ77" s="105">
        <f t="shared" si="38"/>
        <v>0</v>
      </c>
      <c r="BA77" s="105">
        <f t="shared" si="35"/>
        <v>0</v>
      </c>
      <c r="BB77" s="105"/>
      <c r="BC77" s="105"/>
      <c r="BD77" s="105"/>
      <c r="BE77" s="105"/>
      <c r="BF77" s="105"/>
      <c r="BG77" s="105">
        <f t="shared" si="78"/>
        <v>0</v>
      </c>
      <c r="BH77" s="108">
        <f t="shared" si="90"/>
        <v>0</v>
      </c>
      <c r="BI77" s="108">
        <f t="shared" si="84"/>
        <v>0</v>
      </c>
      <c r="BJ77" s="22">
        <f t="shared" si="85"/>
        <v>46383</v>
      </c>
      <c r="BK77" s="108">
        <f t="shared" si="67"/>
        <v>0</v>
      </c>
      <c r="BL77" s="2" t="e">
        <f>IF(AND(G32&gt;=$W$9,G32&lt;=$W$9+5),0,IF($C$9&gt;$AF$51,ROUND(BG31*IF(#REF!="",0,#REF!)/(DATEVALUE(CONCATENATE("01/01/",YEAR(AQ32)+1))-DATEVALUE(CONCATENATE("01/01/",YEAR(AQ32))))*(AQ32-AQ31),2),0))</f>
        <v>#REF!</v>
      </c>
    </row>
    <row r="78" spans="1:64" s="16" customFormat="1" x14ac:dyDescent="0.3">
      <c r="A78" s="178"/>
      <c r="B78" s="178"/>
      <c r="C78" s="182"/>
      <c r="D78" s="182"/>
      <c r="E78" s="178"/>
      <c r="F78" s="178"/>
      <c r="G78" s="114">
        <f t="shared" si="86"/>
        <v>70</v>
      </c>
      <c r="H78" s="111">
        <f t="shared" si="62"/>
        <v>46414</v>
      </c>
      <c r="I78" s="176">
        <f t="shared" si="79"/>
        <v>5.9000000000000004E-2</v>
      </c>
      <c r="J78" s="24">
        <f t="shared" si="68"/>
        <v>0</v>
      </c>
      <c r="K78" s="24">
        <f t="shared" si="61"/>
        <v>0</v>
      </c>
      <c r="L78" s="24">
        <f t="shared" si="63"/>
        <v>0</v>
      </c>
      <c r="M78" s="24">
        <f t="shared" si="87"/>
        <v>0</v>
      </c>
      <c r="N78" s="24">
        <f t="shared" si="64"/>
        <v>0</v>
      </c>
      <c r="O78" s="24">
        <v>0</v>
      </c>
      <c r="P78" s="24">
        <f t="shared" si="25"/>
        <v>0</v>
      </c>
      <c r="Q78" s="24">
        <f t="shared" si="36"/>
        <v>0</v>
      </c>
      <c r="R78" s="24">
        <f t="shared" si="70"/>
        <v>0</v>
      </c>
      <c r="S78" s="24">
        <f t="shared" si="81"/>
        <v>0</v>
      </c>
      <c r="T78" s="24"/>
      <c r="U78" s="36">
        <f t="shared" si="88"/>
        <v>0</v>
      </c>
      <c r="V78" s="36">
        <f t="shared" si="72"/>
        <v>0</v>
      </c>
      <c r="W78" s="2" t="e">
        <f>IF(AND(G43&gt;=$W$9,G43&lt;=$W$9+5),0,IF($C$9&gt;$AF$51,ROUND(S42*#REF!/(DATEVALUE(CONCATENATE("01/01/",YEAR(H43)+1))-DATEVALUE(CONCATENATE("01/01/",YEAR(H43))))*(H43-H42),2),0))</f>
        <v>#REF!</v>
      </c>
      <c r="X78" s="34">
        <f t="shared" si="52"/>
        <v>13626</v>
      </c>
      <c r="Y78" s="57">
        <f t="shared" si="48"/>
        <v>57060</v>
      </c>
      <c r="AC78" s="16" t="s">
        <v>330</v>
      </c>
      <c r="AD78" s="16" t="s">
        <v>112</v>
      </c>
      <c r="AE78" s="16" t="s">
        <v>116</v>
      </c>
      <c r="AF78" s="16" t="s">
        <v>117</v>
      </c>
      <c r="AG78" s="16" t="s">
        <v>113</v>
      </c>
      <c r="AH78" s="16" t="s">
        <v>122</v>
      </c>
      <c r="AI78" s="16" t="s">
        <v>121</v>
      </c>
      <c r="AL78" s="2" t="e">
        <f>IF(AND(#REF!&gt;=$W$9,#REF!&lt;=$W$9+5),0,IF($C$9&gt;$AF$51,ROUND(AI38*#REF!/(DATEVALUE(CONCATENATE("01/01/",YEAR(#REF!)+1))-DATEVALUE(CONCATENATE("01/01/",YEAR(#REF!))))*(#REF!-#REF!),2),0))</f>
        <v>#REF!</v>
      </c>
      <c r="AM78" s="34">
        <f t="shared" si="54"/>
        <v>14930</v>
      </c>
      <c r="AN78" s="57">
        <f t="shared" si="53"/>
        <v>55600</v>
      </c>
      <c r="AO78" s="130">
        <f t="shared" si="73"/>
        <v>0</v>
      </c>
      <c r="AP78" s="109">
        <f t="shared" si="89"/>
        <v>70</v>
      </c>
      <c r="AQ78" s="110">
        <f t="shared" si="65"/>
        <v>46414</v>
      </c>
      <c r="AR78" s="177">
        <f t="shared" si="55"/>
        <v>0.155</v>
      </c>
      <c r="AS78" s="105">
        <f t="shared" si="74"/>
        <v>0</v>
      </c>
      <c r="AT78" s="105">
        <f t="shared" si="82"/>
        <v>0</v>
      </c>
      <c r="AU78" s="105">
        <f t="shared" si="83"/>
        <v>0</v>
      </c>
      <c r="AV78" s="105">
        <f t="shared" si="77"/>
        <v>0</v>
      </c>
      <c r="AW78" s="105">
        <f t="shared" si="66"/>
        <v>0</v>
      </c>
      <c r="AX78" s="105">
        <v>0</v>
      </c>
      <c r="AY78" s="105">
        <f t="shared" si="22"/>
        <v>0</v>
      </c>
      <c r="AZ78" s="105">
        <f t="shared" si="38"/>
        <v>0</v>
      </c>
      <c r="BA78" s="105">
        <f t="shared" si="35"/>
        <v>0</v>
      </c>
      <c r="BB78" s="105"/>
      <c r="BC78" s="105"/>
      <c r="BD78" s="105"/>
      <c r="BE78" s="105"/>
      <c r="BF78" s="105"/>
      <c r="BG78" s="105">
        <f t="shared" si="78"/>
        <v>0</v>
      </c>
      <c r="BH78" s="108">
        <f t="shared" si="90"/>
        <v>0</v>
      </c>
      <c r="BI78" s="108">
        <f t="shared" si="84"/>
        <v>0</v>
      </c>
      <c r="BJ78" s="22">
        <f t="shared" si="85"/>
        <v>46414</v>
      </c>
      <c r="BK78" s="108">
        <f t="shared" si="67"/>
        <v>0</v>
      </c>
      <c r="BL78" s="2" t="e">
        <f>IF(AND(G33&gt;=$W$9,G33&lt;=$W$9+5),0,IF($C$9&gt;$AF$51,ROUND(BG32*IF(#REF!="",0,#REF!)/(DATEVALUE(CONCATENATE("01/01/",YEAR(AQ33)+1))-DATEVALUE(CONCATENATE("01/01/",YEAR(AQ33))))*(AQ33-AQ32),2),0))</f>
        <v>#REF!</v>
      </c>
    </row>
    <row r="79" spans="1:64" s="16" customFormat="1" x14ac:dyDescent="0.3">
      <c r="A79" s="178"/>
      <c r="B79" s="178"/>
      <c r="C79" s="178"/>
      <c r="D79" s="182"/>
      <c r="E79" s="178"/>
      <c r="F79" s="178"/>
      <c r="G79" s="114">
        <f t="shared" si="86"/>
        <v>71</v>
      </c>
      <c r="H79" s="111">
        <f t="shared" si="62"/>
        <v>46445</v>
      </c>
      <c r="I79" s="176">
        <f t="shared" si="79"/>
        <v>5.9000000000000004E-2</v>
      </c>
      <c r="J79" s="24">
        <f t="shared" si="68"/>
        <v>0</v>
      </c>
      <c r="K79" s="24">
        <f t="shared" si="61"/>
        <v>0</v>
      </c>
      <c r="L79" s="24">
        <f t="shared" si="63"/>
        <v>0</v>
      </c>
      <c r="M79" s="24">
        <f t="shared" si="87"/>
        <v>0</v>
      </c>
      <c r="N79" s="24">
        <f t="shared" si="64"/>
        <v>0</v>
      </c>
      <c r="O79" s="24">
        <v>0</v>
      </c>
      <c r="P79" s="24">
        <f t="shared" si="25"/>
        <v>0</v>
      </c>
      <c r="Q79" s="24">
        <f t="shared" si="36"/>
        <v>0</v>
      </c>
      <c r="R79" s="24">
        <f t="shared" si="70"/>
        <v>0</v>
      </c>
      <c r="S79" s="24">
        <f t="shared" si="81"/>
        <v>0</v>
      </c>
      <c r="T79" s="24"/>
      <c r="U79" s="36">
        <f t="shared" si="88"/>
        <v>0</v>
      </c>
      <c r="V79" s="36">
        <f t="shared" si="72"/>
        <v>0</v>
      </c>
      <c r="W79" s="2" t="e">
        <f>IF(AND(G44&gt;=$W$9,G44&lt;=$W$9+5),0,IF($C$9&gt;$AF$51,ROUND(S43*#REF!/(DATEVALUE(CONCATENATE("01/01/",YEAR(H44)+1))-DATEVALUE(CONCATENATE("01/01/",YEAR(H44))))*(H44-H43),2),0))</f>
        <v>#REF!</v>
      </c>
      <c r="X79" s="34">
        <f t="shared" si="52"/>
        <v>13626</v>
      </c>
      <c r="Y79" s="57">
        <f t="shared" si="48"/>
        <v>57425</v>
      </c>
      <c r="AC79" s="143">
        <f>MIN($C$7*IF($C$7&gt;$AB$71,AC76,IF($C$7&gt;$AB$70,AC75,IF($C$7&gt;$AB$69,AC74,IF($C$7&gt;$AB$68,AC73,AC72)))),5000000)</f>
        <v>600000</v>
      </c>
      <c r="AD79" s="143">
        <f>MIN($C$7*IF($C$7&gt;$AB$72,AD77,IF($C$7&gt;$AB$71,AD76,IF($C$7&gt;$AB$70,AD75,IF($C$7&gt;$AB$69,AD74,IF($C$7&gt;$AB$68,AD73,AD72))))),5000000)</f>
        <v>625000</v>
      </c>
      <c r="AE79" s="143">
        <f>MIN(3000000,$C$7*IF($C$7&gt;=$AA$71,AE76,IF($C$7&gt;=$AA$70,AE75,IF($C$7&gt;=$AA$69,AE74,IF($C$7&gt;=$AA$68,AE73,AE72)))))</f>
        <v>750000</v>
      </c>
      <c r="AF79" s="143">
        <f>MIN(3000000,$C$7*IF($C$7&gt;=$AA$71,AF76,IF($C$7&gt;=$AA$70,AF75,IF($C$7&gt;=$AA$69,AF74,IF($C$7&gt;=$AA$68,AF73,AF72)))))</f>
        <v>650000</v>
      </c>
      <c r="AG79" s="143">
        <f>MIN(3000000,$C$7*IF($C$7&gt;=$AA$71,AG76,IF($C$7&gt;=$AA$70,AG75,IF($C$7&gt;=$AA$69,AG74,IF($C$7&gt;=$AA$68,AG73,AG72)))))</f>
        <v>0</v>
      </c>
      <c r="AH79" s="143">
        <f>$C$7*IF($C$7&gt;=$AA$71,AH76,IF($C$7&gt;=$AA$70,AH75,IF($C$7&gt;=$AA$69,AH74,IF($C$7&gt;=$AA$68,AH73,AH72))))</f>
        <v>500000</v>
      </c>
      <c r="AI79" s="143">
        <f>$C$7*IF($C$7&gt;=$AA$71,AI76,IF($C$7&gt;=$AA$70,AI75,IF($C$7&gt;=$AA$69,AI74,IF($C$7&gt;=$AA$68,AI73,AI72))))</f>
        <v>1000000</v>
      </c>
      <c r="AL79" s="2" t="e">
        <f>IF(AND(#REF!&gt;=$W$9,#REF!&lt;=$W$9+5),0,IF($C$9&gt;$AF$51,ROUND(AI39*#REF!/(DATEVALUE(CONCATENATE("01/01/",YEAR(#REF!)+1))-DATEVALUE(CONCATENATE("01/01/",YEAR(#REF!))))*(#REF!-#REF!),2),0))</f>
        <v>#REF!</v>
      </c>
      <c r="AM79" s="34">
        <f t="shared" si="54"/>
        <v>14930</v>
      </c>
      <c r="AN79" s="57">
        <f t="shared" si="53"/>
        <v>55965</v>
      </c>
      <c r="AO79" s="130">
        <f t="shared" si="73"/>
        <v>0</v>
      </c>
      <c r="AP79" s="109">
        <f t="shared" si="89"/>
        <v>71</v>
      </c>
      <c r="AQ79" s="110">
        <f t="shared" si="65"/>
        <v>46445</v>
      </c>
      <c r="AR79" s="177">
        <f t="shared" si="55"/>
        <v>0.155</v>
      </c>
      <c r="AS79" s="105">
        <f t="shared" si="74"/>
        <v>0</v>
      </c>
      <c r="AT79" s="105">
        <f t="shared" si="82"/>
        <v>0</v>
      </c>
      <c r="AU79" s="105">
        <f t="shared" si="83"/>
        <v>0</v>
      </c>
      <c r="AV79" s="105">
        <f t="shared" si="77"/>
        <v>0</v>
      </c>
      <c r="AW79" s="105">
        <f t="shared" si="66"/>
        <v>0</v>
      </c>
      <c r="AX79" s="105">
        <v>0</v>
      </c>
      <c r="AY79" s="105">
        <f t="shared" si="22"/>
        <v>0</v>
      </c>
      <c r="AZ79" s="105">
        <f t="shared" si="38"/>
        <v>0</v>
      </c>
      <c r="BA79" s="105">
        <f t="shared" si="35"/>
        <v>0</v>
      </c>
      <c r="BB79" s="105"/>
      <c r="BC79" s="105"/>
      <c r="BD79" s="105"/>
      <c r="BE79" s="105"/>
      <c r="BF79" s="105"/>
      <c r="BG79" s="105">
        <f t="shared" si="78"/>
        <v>0</v>
      </c>
      <c r="BH79" s="108">
        <f t="shared" si="90"/>
        <v>0</v>
      </c>
      <c r="BI79" s="108">
        <f t="shared" si="84"/>
        <v>0</v>
      </c>
      <c r="BJ79" s="22">
        <f t="shared" si="85"/>
        <v>46445</v>
      </c>
      <c r="BK79" s="108">
        <f t="shared" si="67"/>
        <v>0</v>
      </c>
      <c r="BL79" s="2" t="e">
        <f>IF(AND(G34&gt;=$W$9,G34&lt;=$W$9+5),0,IF($C$9&gt;$AF$51,ROUND(BG33*IF(#REF!="",0,#REF!)/(DATEVALUE(CONCATENATE("01/01/",YEAR(AQ34)+1))-DATEVALUE(CONCATENATE("01/01/",YEAR(AQ34))))*(AQ34-AQ33),2),0))</f>
        <v>#REF!</v>
      </c>
    </row>
    <row r="80" spans="1:64" s="16" customFormat="1" hidden="1" x14ac:dyDescent="0.3">
      <c r="A80" s="178"/>
      <c r="B80" s="178"/>
      <c r="C80" s="178"/>
      <c r="D80" s="178"/>
      <c r="E80" s="178"/>
      <c r="F80" s="178"/>
      <c r="G80" s="114">
        <f t="shared" si="86"/>
        <v>72</v>
      </c>
      <c r="H80" s="111">
        <f t="shared" si="62"/>
        <v>46473</v>
      </c>
      <c r="I80" s="176">
        <f t="shared" si="79"/>
        <v>5.9000000000000004E-2</v>
      </c>
      <c r="J80" s="24">
        <f t="shared" si="68"/>
        <v>0</v>
      </c>
      <c r="K80" s="24">
        <f t="shared" si="61"/>
        <v>0</v>
      </c>
      <c r="L80" s="24">
        <f t="shared" si="63"/>
        <v>0</v>
      </c>
      <c r="M80" s="24">
        <f t="shared" si="87"/>
        <v>0</v>
      </c>
      <c r="N80" s="24">
        <f t="shared" si="64"/>
        <v>0</v>
      </c>
      <c r="O80" s="24">
        <v>0</v>
      </c>
      <c r="P80" s="24">
        <f t="shared" si="25"/>
        <v>0</v>
      </c>
      <c r="Q80" s="24">
        <f t="shared" si="36"/>
        <v>0</v>
      </c>
      <c r="R80" s="24">
        <f t="shared" si="70"/>
        <v>0</v>
      </c>
      <c r="S80" s="24">
        <f t="shared" si="81"/>
        <v>0</v>
      </c>
      <c r="T80" s="24"/>
      <c r="U80" s="36">
        <f t="shared" si="88"/>
        <v>0</v>
      </c>
      <c r="V80" s="36">
        <f t="shared" si="72"/>
        <v>0</v>
      </c>
      <c r="W80" s="2" t="e">
        <f>IF(AND(G45&gt;=$W$9,G45&lt;=$W$9+5),0,IF($C$9&gt;$AF$51,ROUND(S44*#REF!/(DATEVALUE(CONCATENATE("01/01/",YEAR(H45)+1))-DATEVALUE(CONCATENATE("01/01/",YEAR(H45))))*(H45-H44),2),0))</f>
        <v>#REF!</v>
      </c>
      <c r="X80" s="34">
        <f t="shared" si="52"/>
        <v>12974</v>
      </c>
      <c r="Y80" s="57">
        <f t="shared" si="48"/>
        <v>57790</v>
      </c>
      <c r="AL80" s="2" t="e">
        <f>IF(AND(#REF!&gt;=$W$9,#REF!&lt;=$W$9+5),0,IF($C$9&gt;$AF$51,ROUND(AI40*#REF!/(DATEVALUE(CONCATENATE("01/01/",YEAR(#REF!)+1))-DATEVALUE(CONCATENATE("01/01/",YEAR(#REF!))))*(#REF!-#REF!),2),0))</f>
        <v>#REF!</v>
      </c>
      <c r="AM80" s="34">
        <f t="shared" si="54"/>
        <v>14930</v>
      </c>
      <c r="AN80" s="57">
        <f t="shared" si="53"/>
        <v>56330</v>
      </c>
      <c r="AO80" s="130">
        <f t="shared" si="73"/>
        <v>0</v>
      </c>
      <c r="AP80" s="109">
        <f t="shared" si="89"/>
        <v>72</v>
      </c>
      <c r="AQ80" s="110">
        <f t="shared" si="65"/>
        <v>46473</v>
      </c>
      <c r="AR80" s="177">
        <f t="shared" si="55"/>
        <v>0.155</v>
      </c>
      <c r="AS80" s="105">
        <f t="shared" si="74"/>
        <v>0</v>
      </c>
      <c r="AT80" s="105">
        <f t="shared" si="82"/>
        <v>0</v>
      </c>
      <c r="AU80" s="105">
        <f t="shared" si="83"/>
        <v>0</v>
      </c>
      <c r="AV80" s="105">
        <f t="shared" si="77"/>
        <v>0</v>
      </c>
      <c r="AW80" s="105">
        <f t="shared" si="66"/>
        <v>0</v>
      </c>
      <c r="AX80" s="105">
        <v>0</v>
      </c>
      <c r="AY80" s="105">
        <f t="shared" si="22"/>
        <v>0</v>
      </c>
      <c r="AZ80" s="105">
        <f t="shared" si="38"/>
        <v>0</v>
      </c>
      <c r="BA80" s="105">
        <f t="shared" si="35"/>
        <v>0</v>
      </c>
      <c r="BB80" s="105"/>
      <c r="BC80" s="105"/>
      <c r="BD80" s="105"/>
      <c r="BE80" s="105"/>
      <c r="BF80" s="105"/>
      <c r="BG80" s="105">
        <f t="shared" si="78"/>
        <v>0</v>
      </c>
      <c r="BH80" s="108">
        <f t="shared" si="90"/>
        <v>0</v>
      </c>
      <c r="BI80" s="108">
        <f t="shared" si="84"/>
        <v>0</v>
      </c>
      <c r="BJ80" s="22">
        <f t="shared" si="85"/>
        <v>46473</v>
      </c>
      <c r="BK80" s="108">
        <f t="shared" si="67"/>
        <v>0</v>
      </c>
      <c r="BL80" s="2" t="e">
        <f>IF(AND(G35&gt;=$W$9,G35&lt;=$W$9+5),0,IF($C$9&gt;$AF$51,ROUND(BG34*IF(#REF!="",0,#REF!)/(DATEVALUE(CONCATENATE("01/01/",YEAR(AQ35)+1))-DATEVALUE(CONCATENATE("01/01/",YEAR(AQ35))))*(AQ35-AQ34),2),0))</f>
        <v>#REF!</v>
      </c>
    </row>
    <row r="81" spans="1:64" s="16" customFormat="1" hidden="1" x14ac:dyDescent="0.3">
      <c r="A81" s="178"/>
      <c r="B81" s="178"/>
      <c r="C81" s="178"/>
      <c r="D81" s="178"/>
      <c r="E81" s="178"/>
      <c r="F81" s="178"/>
      <c r="G81" s="114">
        <f t="shared" si="86"/>
        <v>73</v>
      </c>
      <c r="H81" s="111">
        <f t="shared" si="62"/>
        <v>46504</v>
      </c>
      <c r="I81" s="176">
        <f t="shared" si="79"/>
        <v>5.9000000000000004E-2</v>
      </c>
      <c r="J81" s="24">
        <f t="shared" si="68"/>
        <v>0</v>
      </c>
      <c r="K81" s="24">
        <f t="shared" si="61"/>
        <v>0</v>
      </c>
      <c r="L81" s="24">
        <f t="shared" si="63"/>
        <v>0</v>
      </c>
      <c r="M81" s="24">
        <f t="shared" si="87"/>
        <v>0</v>
      </c>
      <c r="N81" s="24">
        <f t="shared" si="64"/>
        <v>0</v>
      </c>
      <c r="O81" s="24">
        <v>0</v>
      </c>
      <c r="P81" s="24">
        <f t="shared" si="25"/>
        <v>0</v>
      </c>
      <c r="Q81" s="24">
        <f t="shared" si="36"/>
        <v>0</v>
      </c>
      <c r="R81" s="24">
        <f t="shared" si="70"/>
        <v>0</v>
      </c>
      <c r="S81" s="24">
        <f t="shared" si="81"/>
        <v>0</v>
      </c>
      <c r="T81" s="24"/>
      <c r="U81" s="36">
        <f t="shared" si="88"/>
        <v>0</v>
      </c>
      <c r="V81" s="36">
        <f t="shared" si="72"/>
        <v>0</v>
      </c>
      <c r="W81" s="2" t="e">
        <f>IF(AND(G46&gt;=$W$9,G46&lt;=$W$9+5),0,IF($C$9&gt;$AF$51,ROUND(S45*#REF!/(DATEVALUE(CONCATENATE("01/01/",YEAR(H46)+1))-DATEVALUE(CONCATENATE("01/01/",YEAR(H46))))*(H46-H45),2),0))</f>
        <v>#REF!</v>
      </c>
      <c r="X81" s="34">
        <f t="shared" si="52"/>
        <v>12974</v>
      </c>
      <c r="Y81" s="57">
        <f t="shared" si="48"/>
        <v>58155</v>
      </c>
      <c r="AL81" s="2" t="e">
        <f>IF(AND(#REF!&gt;=$W$9,#REF!&lt;=$W$9+5),0,IF($C$9&gt;$AF$51,ROUND(AI41*#REF!/(DATEVALUE(CONCATENATE("01/01/",YEAR(#REF!)+1))-DATEVALUE(CONCATENATE("01/01/",YEAR(#REF!))))*(#REF!-#REF!),2),0))</f>
        <v>#REF!</v>
      </c>
      <c r="AM81" s="34">
        <f t="shared" si="54"/>
        <v>14930</v>
      </c>
      <c r="AN81" s="57">
        <f t="shared" si="53"/>
        <v>56695</v>
      </c>
      <c r="AO81" s="130">
        <f t="shared" si="73"/>
        <v>0</v>
      </c>
      <c r="AP81" s="109">
        <f t="shared" si="89"/>
        <v>73</v>
      </c>
      <c r="AQ81" s="110">
        <f t="shared" si="65"/>
        <v>46504</v>
      </c>
      <c r="AR81" s="177">
        <f t="shared" si="55"/>
        <v>0.155</v>
      </c>
      <c r="AS81" s="105">
        <f t="shared" si="74"/>
        <v>0</v>
      </c>
      <c r="AT81" s="105">
        <f t="shared" si="82"/>
        <v>0</v>
      </c>
      <c r="AU81" s="105">
        <f t="shared" si="83"/>
        <v>0</v>
      </c>
      <c r="AV81" s="105">
        <f t="shared" si="77"/>
        <v>0</v>
      </c>
      <c r="AW81" s="105">
        <f t="shared" si="66"/>
        <v>0</v>
      </c>
      <c r="AX81" s="105">
        <v>0</v>
      </c>
      <c r="AY81" s="105">
        <f t="shared" si="22"/>
        <v>0</v>
      </c>
      <c r="AZ81" s="105">
        <f t="shared" si="38"/>
        <v>0</v>
      </c>
      <c r="BA81" s="105">
        <f t="shared" si="35"/>
        <v>0</v>
      </c>
      <c r="BB81" s="105"/>
      <c r="BC81" s="105"/>
      <c r="BD81" s="105"/>
      <c r="BE81" s="105"/>
      <c r="BF81" s="105"/>
      <c r="BG81" s="105">
        <f t="shared" si="78"/>
        <v>0</v>
      </c>
      <c r="BH81" s="108">
        <f t="shared" si="90"/>
        <v>0</v>
      </c>
      <c r="BI81" s="108">
        <f t="shared" si="84"/>
        <v>0</v>
      </c>
      <c r="BJ81" s="22">
        <f t="shared" si="85"/>
        <v>46504</v>
      </c>
      <c r="BK81" s="108">
        <f t="shared" si="67"/>
        <v>0</v>
      </c>
      <c r="BL81" s="2" t="e">
        <f>IF(AND(G36&gt;=$W$9,G36&lt;=$W$9+5),0,IF($C$9&gt;$AF$51,ROUND(BG35*IF(#REF!="",0,#REF!)/(DATEVALUE(CONCATENATE("01/01/",YEAR(AQ36)+1))-DATEVALUE(CONCATENATE("01/01/",YEAR(AQ36))))*(AQ36-AQ35),2),0))</f>
        <v>#REF!</v>
      </c>
    </row>
    <row r="82" spans="1:64" s="16" customFormat="1" hidden="1" x14ac:dyDescent="0.3">
      <c r="A82" s="178"/>
      <c r="B82" s="178"/>
      <c r="C82" s="178"/>
      <c r="D82" s="178"/>
      <c r="E82" s="178"/>
      <c r="F82" s="178"/>
      <c r="G82" s="114">
        <f t="shared" si="86"/>
        <v>74</v>
      </c>
      <c r="H82" s="111">
        <f t="shared" si="62"/>
        <v>46534</v>
      </c>
      <c r="I82" s="176">
        <f t="shared" si="79"/>
        <v>5.9000000000000004E-2</v>
      </c>
      <c r="J82" s="24">
        <f t="shared" si="68"/>
        <v>0</v>
      </c>
      <c r="K82" s="24">
        <f t="shared" si="61"/>
        <v>0</v>
      </c>
      <c r="L82" s="24">
        <f t="shared" si="63"/>
        <v>0</v>
      </c>
      <c r="M82" s="24">
        <f t="shared" si="87"/>
        <v>0</v>
      </c>
      <c r="N82" s="24">
        <f t="shared" si="64"/>
        <v>0</v>
      </c>
      <c r="O82" s="24">
        <v>0</v>
      </c>
      <c r="P82" s="24">
        <f t="shared" si="25"/>
        <v>0</v>
      </c>
      <c r="Q82" s="24">
        <f t="shared" si="36"/>
        <v>0</v>
      </c>
      <c r="R82" s="24">
        <f t="shared" si="70"/>
        <v>0</v>
      </c>
      <c r="S82" s="24">
        <f t="shared" si="81"/>
        <v>0</v>
      </c>
      <c r="T82" s="24"/>
      <c r="U82" s="36">
        <f t="shared" si="88"/>
        <v>0</v>
      </c>
      <c r="V82" s="36">
        <f t="shared" si="72"/>
        <v>0</v>
      </c>
      <c r="W82" s="2" t="e">
        <f>IF(AND(G47&gt;=$W$9,G47&lt;=$W$9+5),0,IF($C$9&gt;$AF$51,ROUND(S46*#REF!/(DATEVALUE(CONCATENATE("01/01/",YEAR(H47)+1))-DATEVALUE(CONCATENATE("01/01/",YEAR(H47))))*(H47-H46),2),0))</f>
        <v>#REF!</v>
      </c>
      <c r="X82" s="34">
        <f t="shared" si="52"/>
        <v>12974</v>
      </c>
      <c r="Y82" s="57">
        <f t="shared" si="48"/>
        <v>58520</v>
      </c>
      <c r="Z82" s="60">
        <v>43858</v>
      </c>
      <c r="AE82" s="16">
        <f>500000*0.3*60</f>
        <v>9000000</v>
      </c>
      <c r="AL82" s="2" t="e">
        <f>IF(AND(#REF!&gt;=$W$9,#REF!&lt;=$W$9+5),0,IF($C$9&gt;$AF$51,ROUND(AI42*#REF!/(DATEVALUE(CONCATENATE("01/01/",YEAR(#REF!)+1))-DATEVALUE(CONCATENATE("01/01/",YEAR(#REF!))))*(#REF!-#REF!),2),0))</f>
        <v>#REF!</v>
      </c>
      <c r="AM82" s="34">
        <f t="shared" si="54"/>
        <v>14930</v>
      </c>
      <c r="AN82" s="57">
        <f t="shared" si="53"/>
        <v>57060</v>
      </c>
      <c r="AO82" s="130">
        <f t="shared" si="73"/>
        <v>0</v>
      </c>
      <c r="AP82" s="109">
        <f t="shared" si="89"/>
        <v>74</v>
      </c>
      <c r="AQ82" s="110">
        <f t="shared" si="65"/>
        <v>46534</v>
      </c>
      <c r="AR82" s="177">
        <f t="shared" si="55"/>
        <v>0.155</v>
      </c>
      <c r="AS82" s="105">
        <f t="shared" si="74"/>
        <v>0</v>
      </c>
      <c r="AT82" s="105">
        <f t="shared" si="82"/>
        <v>0</v>
      </c>
      <c r="AU82" s="105">
        <f t="shared" si="83"/>
        <v>0</v>
      </c>
      <c r="AV82" s="105">
        <f t="shared" si="77"/>
        <v>0</v>
      </c>
      <c r="AW82" s="105">
        <f t="shared" si="66"/>
        <v>0</v>
      </c>
      <c r="AX82" s="105">
        <v>0</v>
      </c>
      <c r="AY82" s="105">
        <f t="shared" si="22"/>
        <v>0</v>
      </c>
      <c r="AZ82" s="105">
        <f t="shared" si="38"/>
        <v>0</v>
      </c>
      <c r="BA82" s="105">
        <f t="shared" si="35"/>
        <v>0</v>
      </c>
      <c r="BB82" s="105"/>
      <c r="BC82" s="105"/>
      <c r="BD82" s="105"/>
      <c r="BE82" s="105"/>
      <c r="BF82" s="105"/>
      <c r="BG82" s="105">
        <f t="shared" si="78"/>
        <v>0</v>
      </c>
      <c r="BH82" s="108">
        <f t="shared" si="90"/>
        <v>0</v>
      </c>
      <c r="BI82" s="108">
        <f t="shared" si="84"/>
        <v>0</v>
      </c>
      <c r="BJ82" s="22">
        <f t="shared" si="85"/>
        <v>46534</v>
      </c>
      <c r="BK82" s="108">
        <f t="shared" si="67"/>
        <v>0</v>
      </c>
      <c r="BL82" s="2" t="e">
        <f>IF(AND(G37&gt;=$W$9,G37&lt;=$W$9+5),0,IF($C$9&gt;$AF$51,ROUND(BG36*IF(#REF!="",0,#REF!)/(DATEVALUE(CONCATENATE("01/01/",YEAR(AQ37)+1))-DATEVALUE(CONCATENATE("01/01/",YEAR(AQ37))))*(AQ37-AQ36),2),0))</f>
        <v>#REF!</v>
      </c>
    </row>
    <row r="83" spans="1:64" s="16" customFormat="1" hidden="1" x14ac:dyDescent="0.3">
      <c r="A83" s="178"/>
      <c r="B83" s="178"/>
      <c r="C83" s="178"/>
      <c r="D83" s="178"/>
      <c r="E83" s="178"/>
      <c r="F83" s="178"/>
      <c r="G83" s="114">
        <f t="shared" si="86"/>
        <v>75</v>
      </c>
      <c r="H83" s="111">
        <f t="shared" si="62"/>
        <v>46565</v>
      </c>
      <c r="I83" s="176">
        <f t="shared" si="79"/>
        <v>5.9000000000000004E-2</v>
      </c>
      <c r="J83" s="24">
        <f t="shared" si="68"/>
        <v>0</v>
      </c>
      <c r="K83" s="24">
        <f t="shared" si="61"/>
        <v>0</v>
      </c>
      <c r="L83" s="24">
        <f t="shared" si="63"/>
        <v>0</v>
      </c>
      <c r="M83" s="24">
        <f t="shared" si="87"/>
        <v>0</v>
      </c>
      <c r="N83" s="24">
        <f t="shared" si="64"/>
        <v>0</v>
      </c>
      <c r="O83" s="24">
        <v>0</v>
      </c>
      <c r="P83" s="24">
        <f t="shared" si="25"/>
        <v>0</v>
      </c>
      <c r="Q83" s="24">
        <f t="shared" si="36"/>
        <v>0</v>
      </c>
      <c r="R83" s="24">
        <f t="shared" si="70"/>
        <v>0</v>
      </c>
      <c r="S83" s="24">
        <f t="shared" si="81"/>
        <v>0</v>
      </c>
      <c r="T83" s="24"/>
      <c r="U83" s="36">
        <f t="shared" si="88"/>
        <v>0</v>
      </c>
      <c r="V83" s="36">
        <f t="shared" si="72"/>
        <v>0</v>
      </c>
      <c r="W83" s="2" t="e">
        <f>IF(AND(G48&gt;=$W$9,G48&lt;=$W$9+5),0,IF($C$9&gt;$AF$51,ROUND(S47*#REF!/(DATEVALUE(CONCATENATE("01/01/",YEAR(H48)+1))-DATEVALUE(CONCATENATE("01/01/",YEAR(H48))))*(H48-H47),2),0))</f>
        <v>#REF!</v>
      </c>
      <c r="X83" s="34">
        <f t="shared" si="52"/>
        <v>12974</v>
      </c>
      <c r="Y83" s="57">
        <f t="shared" si="48"/>
        <v>58885</v>
      </c>
      <c r="AL83" s="2" t="e">
        <f>IF(AND(#REF!&gt;=$W$9,#REF!&lt;=$W$9+5),0,IF($C$9&gt;$AF$51,ROUND(AI43*#REF!/(DATEVALUE(CONCATENATE("01/01/",YEAR(#REF!)+1))-DATEVALUE(CONCATENATE("01/01/",YEAR(#REF!))))*(#REF!-#REF!),2),0))</f>
        <v>#REF!</v>
      </c>
      <c r="AM83" s="34">
        <f t="shared" si="54"/>
        <v>14930</v>
      </c>
      <c r="AN83" s="57">
        <f t="shared" si="53"/>
        <v>57425</v>
      </c>
      <c r="AO83" s="130">
        <f t="shared" si="73"/>
        <v>0</v>
      </c>
      <c r="AP83" s="109">
        <f t="shared" si="89"/>
        <v>75</v>
      </c>
      <c r="AQ83" s="110">
        <f t="shared" si="65"/>
        <v>46565</v>
      </c>
      <c r="AR83" s="177">
        <f t="shared" si="55"/>
        <v>0.155</v>
      </c>
      <c r="AS83" s="105">
        <f t="shared" si="74"/>
        <v>0</v>
      </c>
      <c r="AT83" s="105">
        <f t="shared" si="82"/>
        <v>0</v>
      </c>
      <c r="AU83" s="105">
        <f t="shared" si="83"/>
        <v>0</v>
      </c>
      <c r="AV83" s="105">
        <f t="shared" si="77"/>
        <v>0</v>
      </c>
      <c r="AW83" s="105">
        <f t="shared" si="66"/>
        <v>0</v>
      </c>
      <c r="AX83" s="105">
        <v>0</v>
      </c>
      <c r="AY83" s="105">
        <f t="shared" si="22"/>
        <v>0</v>
      </c>
      <c r="AZ83" s="105">
        <f t="shared" si="38"/>
        <v>0</v>
      </c>
      <c r="BA83" s="105">
        <f t="shared" si="35"/>
        <v>0</v>
      </c>
      <c r="BB83" s="105"/>
      <c r="BC83" s="105"/>
      <c r="BD83" s="105"/>
      <c r="BE83" s="105"/>
      <c r="BF83" s="105"/>
      <c r="BG83" s="105">
        <f t="shared" si="78"/>
        <v>0</v>
      </c>
      <c r="BH83" s="108">
        <f t="shared" si="90"/>
        <v>0</v>
      </c>
      <c r="BI83" s="108">
        <f t="shared" si="84"/>
        <v>0</v>
      </c>
      <c r="BJ83" s="22">
        <f t="shared" si="85"/>
        <v>46565</v>
      </c>
      <c r="BK83" s="108">
        <f t="shared" si="67"/>
        <v>0</v>
      </c>
      <c r="BL83" s="2" t="e">
        <f>IF(AND(G38&gt;=$W$9,G38&lt;=$W$9+5),0,IF($C$9&gt;$AF$51,ROUND(BG37*IF(#REF!="",0,#REF!)/(DATEVALUE(CONCATENATE("01/01/",YEAR(AQ38)+1))-DATEVALUE(CONCATENATE("01/01/",YEAR(AQ38))))*(AQ38-AQ37),2),0))</f>
        <v>#REF!</v>
      </c>
    </row>
    <row r="84" spans="1:64" s="16" customFormat="1" hidden="1" x14ac:dyDescent="0.3">
      <c r="A84" s="178"/>
      <c r="B84" s="178"/>
      <c r="C84" s="178"/>
      <c r="D84" s="178"/>
      <c r="E84" s="178"/>
      <c r="F84" s="178"/>
      <c r="G84" s="114">
        <f t="shared" si="86"/>
        <v>76</v>
      </c>
      <c r="H84" s="111">
        <f t="shared" si="62"/>
        <v>46595</v>
      </c>
      <c r="I84" s="176">
        <f t="shared" si="79"/>
        <v>5.9000000000000004E-2</v>
      </c>
      <c r="J84" s="24">
        <f t="shared" si="68"/>
        <v>0</v>
      </c>
      <c r="K84" s="24">
        <f t="shared" si="61"/>
        <v>0</v>
      </c>
      <c r="L84" s="24">
        <f t="shared" si="63"/>
        <v>0</v>
      </c>
      <c r="M84" s="24">
        <f t="shared" si="87"/>
        <v>0</v>
      </c>
      <c r="N84" s="24">
        <f t="shared" si="64"/>
        <v>0</v>
      </c>
      <c r="O84" s="24">
        <v>0</v>
      </c>
      <c r="P84" s="24">
        <f t="shared" si="25"/>
        <v>0</v>
      </c>
      <c r="Q84" s="24">
        <f t="shared" si="36"/>
        <v>0</v>
      </c>
      <c r="R84" s="24">
        <f t="shared" si="70"/>
        <v>0</v>
      </c>
      <c r="S84" s="24">
        <f t="shared" si="81"/>
        <v>0</v>
      </c>
      <c r="T84" s="24"/>
      <c r="U84" s="36">
        <f t="shared" si="88"/>
        <v>0</v>
      </c>
      <c r="V84" s="36">
        <f t="shared" si="72"/>
        <v>0</v>
      </c>
      <c r="W84" s="2" t="e">
        <f>IF(AND(G49&gt;=$W$9,G49&lt;=$W$9+5),0,IF($C$9&gt;$AF$51,ROUND(S48*#REF!/(DATEVALUE(CONCATENATE("01/01/",YEAR(H49)+1))-DATEVALUE(CONCATENATE("01/01/",YEAR(H49))))*(H49-H48),2),0))</f>
        <v>#REF!</v>
      </c>
      <c r="X84" s="34">
        <f t="shared" si="52"/>
        <v>12974</v>
      </c>
      <c r="Y84" s="57">
        <f t="shared" si="48"/>
        <v>59250</v>
      </c>
      <c r="AL84" s="2" t="e">
        <f>IF(AND(#REF!&gt;=$W$9,#REF!&lt;=$W$9+5),0,IF($C$9&gt;$AF$51,ROUND(AI44*#REF!/(DATEVALUE(CONCATENATE("01/01/",YEAR(#REF!)+1))-DATEVALUE(CONCATENATE("01/01/",YEAR(#REF!))))*(#REF!-#REF!),2),0))</f>
        <v>#REF!</v>
      </c>
      <c r="AM84" s="34">
        <f t="shared" si="54"/>
        <v>14930</v>
      </c>
      <c r="AN84" s="57">
        <f t="shared" si="53"/>
        <v>57790</v>
      </c>
      <c r="AO84" s="130">
        <f t="shared" si="73"/>
        <v>0</v>
      </c>
      <c r="AP84" s="109">
        <f t="shared" si="89"/>
        <v>76</v>
      </c>
      <c r="AQ84" s="110">
        <f t="shared" si="65"/>
        <v>46595</v>
      </c>
      <c r="AR84" s="177">
        <f t="shared" si="55"/>
        <v>0.155</v>
      </c>
      <c r="AS84" s="105">
        <f t="shared" si="74"/>
        <v>0</v>
      </c>
      <c r="AT84" s="105">
        <f t="shared" si="82"/>
        <v>0</v>
      </c>
      <c r="AU84" s="105">
        <f t="shared" si="83"/>
        <v>0</v>
      </c>
      <c r="AV84" s="105">
        <f t="shared" si="77"/>
        <v>0</v>
      </c>
      <c r="AW84" s="105">
        <f t="shared" si="66"/>
        <v>0</v>
      </c>
      <c r="AX84" s="105">
        <v>0</v>
      </c>
      <c r="AY84" s="105">
        <f t="shared" si="22"/>
        <v>0</v>
      </c>
      <c r="AZ84" s="105">
        <f t="shared" si="38"/>
        <v>0</v>
      </c>
      <c r="BA84" s="105">
        <f t="shared" ref="BA84:BA108" si="92">IF(BI90=0,0,0)</f>
        <v>0</v>
      </c>
      <c r="BB84" s="105"/>
      <c r="BC84" s="105"/>
      <c r="BD84" s="105"/>
      <c r="BE84" s="105"/>
      <c r="BF84" s="105"/>
      <c r="BG84" s="105">
        <f t="shared" si="78"/>
        <v>0</v>
      </c>
      <c r="BH84" s="108">
        <f t="shared" si="90"/>
        <v>0</v>
      </c>
      <c r="BI84" s="108">
        <f t="shared" si="84"/>
        <v>0</v>
      </c>
      <c r="BJ84" s="22">
        <f t="shared" si="85"/>
        <v>46595</v>
      </c>
      <c r="BK84" s="108">
        <f t="shared" si="67"/>
        <v>0</v>
      </c>
      <c r="BL84" s="2" t="e">
        <f>IF(AND(G39&gt;=$W$9,G39&lt;=$W$9+5),0,IF($C$9&gt;$AF$51,ROUND(BG38*IF(#REF!="",0,#REF!)/(DATEVALUE(CONCATENATE("01/01/",YEAR(AQ39)+1))-DATEVALUE(CONCATENATE("01/01/",YEAR(AQ39))))*(AQ39-AQ38),2),0))</f>
        <v>#REF!</v>
      </c>
    </row>
    <row r="85" spans="1:64" s="16" customFormat="1" hidden="1" x14ac:dyDescent="0.3">
      <c r="A85" s="178"/>
      <c r="B85" s="178"/>
      <c r="C85" s="178"/>
      <c r="D85" s="178"/>
      <c r="E85" s="178"/>
      <c r="F85" s="178"/>
      <c r="G85" s="114">
        <f t="shared" si="86"/>
        <v>77</v>
      </c>
      <c r="H85" s="111">
        <f t="shared" si="62"/>
        <v>46626</v>
      </c>
      <c r="I85" s="176">
        <f t="shared" si="79"/>
        <v>5.9000000000000004E-2</v>
      </c>
      <c r="J85" s="24">
        <f t="shared" si="68"/>
        <v>0</v>
      </c>
      <c r="K85" s="24">
        <f t="shared" si="61"/>
        <v>0</v>
      </c>
      <c r="L85" s="24">
        <f t="shared" si="63"/>
        <v>0</v>
      </c>
      <c r="M85" s="24">
        <f t="shared" si="87"/>
        <v>0</v>
      </c>
      <c r="N85" s="24">
        <f t="shared" si="64"/>
        <v>0</v>
      </c>
      <c r="O85" s="24">
        <v>0</v>
      </c>
      <c r="P85" s="24">
        <f t="shared" si="25"/>
        <v>0</v>
      </c>
      <c r="Q85" s="24">
        <f t="shared" ref="Q85:Q108" si="93">IF(V85=0,0,0)</f>
        <v>0</v>
      </c>
      <c r="R85" s="24">
        <f t="shared" si="70"/>
        <v>0</v>
      </c>
      <c r="S85" s="24">
        <f t="shared" si="81"/>
        <v>0</v>
      </c>
      <c r="T85" s="24"/>
      <c r="U85" s="36">
        <f t="shared" si="88"/>
        <v>0</v>
      </c>
      <c r="V85" s="36">
        <f t="shared" si="72"/>
        <v>0</v>
      </c>
      <c r="W85" s="2" t="e">
        <f>IF(AND(G50&gt;=$W$9,G50&lt;=$W$9+5),0,IF($C$9&gt;$AF$51,ROUND(S49*#REF!/(DATEVALUE(CONCATENATE("01/01/",YEAR(H50)+1))-DATEVALUE(CONCATENATE("01/01/",YEAR(H50))))*(H50-H49),2),0))</f>
        <v>#REF!</v>
      </c>
      <c r="X85" s="34">
        <f t="shared" si="52"/>
        <v>12974</v>
      </c>
      <c r="Y85" s="57">
        <f t="shared" si="48"/>
        <v>59615</v>
      </c>
      <c r="AL85" s="2" t="e">
        <f>IF(AND(Y42&gt;=$W$9,Y42&lt;=$W$9+5),0,IF($C$9&gt;$AF$51,ROUND(AI45*#REF!/(DATEVALUE(CONCATENATE("01/01/",YEAR(Z42)+1))-DATEVALUE(CONCATENATE("01/01/",YEAR(Z42))))*(Z42-#REF!),2),0))</f>
        <v>#REF!</v>
      </c>
      <c r="AM85" s="34">
        <f t="shared" si="54"/>
        <v>14930</v>
      </c>
      <c r="AN85" s="57">
        <f t="shared" si="53"/>
        <v>58155</v>
      </c>
      <c r="AO85" s="130">
        <f t="shared" si="73"/>
        <v>0</v>
      </c>
      <c r="AP85" s="109">
        <f t="shared" si="89"/>
        <v>77</v>
      </c>
      <c r="AQ85" s="110">
        <f t="shared" si="65"/>
        <v>46626</v>
      </c>
      <c r="AR85" s="177">
        <f t="shared" si="55"/>
        <v>0.155</v>
      </c>
      <c r="AS85" s="105">
        <f t="shared" si="74"/>
        <v>0</v>
      </c>
      <c r="AT85" s="105">
        <f t="shared" si="82"/>
        <v>0</v>
      </c>
      <c r="AU85" s="105">
        <f t="shared" si="83"/>
        <v>0</v>
      </c>
      <c r="AV85" s="105">
        <f t="shared" si="77"/>
        <v>0</v>
      </c>
      <c r="AW85" s="105">
        <f t="shared" si="66"/>
        <v>0</v>
      </c>
      <c r="AX85" s="105">
        <v>0</v>
      </c>
      <c r="AY85" s="105">
        <f t="shared" si="22"/>
        <v>0</v>
      </c>
      <c r="AZ85" s="105">
        <f t="shared" ref="AZ85:AZ108" si="94">IF(BI91=0,0,0)</f>
        <v>0</v>
      </c>
      <c r="BA85" s="105">
        <f t="shared" si="92"/>
        <v>0</v>
      </c>
      <c r="BB85" s="105"/>
      <c r="BC85" s="105"/>
      <c r="BD85" s="105"/>
      <c r="BE85" s="105"/>
      <c r="BF85" s="105"/>
      <c r="BG85" s="105">
        <f t="shared" si="78"/>
        <v>0</v>
      </c>
      <c r="BH85" s="108">
        <f t="shared" si="90"/>
        <v>0</v>
      </c>
      <c r="BI85" s="108">
        <f t="shared" si="84"/>
        <v>0</v>
      </c>
      <c r="BJ85" s="22">
        <f t="shared" si="85"/>
        <v>46626</v>
      </c>
      <c r="BK85" s="108">
        <f t="shared" si="67"/>
        <v>0</v>
      </c>
      <c r="BL85" s="2" t="e">
        <f>IF(AND(G40&gt;=$W$9,G40&lt;=$W$9+5),0,IF($C$9&gt;$AF$51,ROUND(BG39*IF(#REF!="",0,#REF!)/(DATEVALUE(CONCATENATE("01/01/",YEAR(AQ40)+1))-DATEVALUE(CONCATENATE("01/01/",YEAR(AQ40))))*(AQ40-AQ39),2),0))</f>
        <v>#REF!</v>
      </c>
    </row>
    <row r="86" spans="1:64" s="16" customFormat="1" hidden="1" x14ac:dyDescent="0.3">
      <c r="A86" s="178"/>
      <c r="B86" s="178"/>
      <c r="C86" s="178"/>
      <c r="D86" s="178"/>
      <c r="E86" s="178"/>
      <c r="F86" s="178"/>
      <c r="G86" s="114">
        <f t="shared" si="86"/>
        <v>78</v>
      </c>
      <c r="H86" s="111">
        <f t="shared" si="62"/>
        <v>46657</v>
      </c>
      <c r="I86" s="176">
        <f t="shared" si="79"/>
        <v>5.9000000000000004E-2</v>
      </c>
      <c r="J86" s="24">
        <f t="shared" si="68"/>
        <v>0</v>
      </c>
      <c r="K86" s="24">
        <f t="shared" si="61"/>
        <v>0</v>
      </c>
      <c r="L86" s="24">
        <f t="shared" si="63"/>
        <v>0</v>
      </c>
      <c r="M86" s="24">
        <f t="shared" si="87"/>
        <v>0</v>
      </c>
      <c r="N86" s="24">
        <f t="shared" si="64"/>
        <v>0</v>
      </c>
      <c r="O86" s="24">
        <v>0</v>
      </c>
      <c r="P86" s="24">
        <f t="shared" ref="P86:P108" si="95">L86+Q86</f>
        <v>0</v>
      </c>
      <c r="Q86" s="24">
        <f t="shared" si="93"/>
        <v>0</v>
      </c>
      <c r="R86" s="24">
        <f t="shared" si="70"/>
        <v>0</v>
      </c>
      <c r="S86" s="24">
        <f t="shared" si="81"/>
        <v>0</v>
      </c>
      <c r="T86" s="24"/>
      <c r="U86" s="36">
        <f t="shared" si="88"/>
        <v>0</v>
      </c>
      <c r="V86" s="36">
        <f t="shared" si="72"/>
        <v>0</v>
      </c>
      <c r="W86" s="2" t="e">
        <f>IF(AND(G51&gt;=$W$9,G51&lt;=$W$9+5),0,IF($C$9&gt;$AF$51,ROUND(S50*#REF!/(DATEVALUE(CONCATENATE("01/01/",YEAR(H51)+1))-DATEVALUE(CONCATENATE("01/01/",YEAR(H51))))*(H51-H50),2),0))</f>
        <v>#REF!</v>
      </c>
      <c r="X86" s="34">
        <f t="shared" si="52"/>
        <v>12974</v>
      </c>
      <c r="Y86" s="57">
        <f t="shared" si="48"/>
        <v>59980</v>
      </c>
      <c r="AL86" s="2" t="e">
        <f>IF(AND(Y43&gt;=$W$9,Y43&lt;=$W$9+5),0,IF($C$9&gt;$AF$51,ROUND(AI46*#REF!/(DATEVALUE(CONCATENATE("01/01/",YEAR(Z43)+1))-DATEVALUE(CONCATENATE("01/01/",YEAR(Z43))))*(Z43-Z42),2),0))</f>
        <v>#REF!</v>
      </c>
      <c r="AM86" s="34">
        <f t="shared" si="54"/>
        <v>14930</v>
      </c>
      <c r="AN86" s="57">
        <f t="shared" si="53"/>
        <v>58520</v>
      </c>
      <c r="AO86" s="130">
        <f t="shared" si="73"/>
        <v>0</v>
      </c>
      <c r="AP86" s="109">
        <f t="shared" si="89"/>
        <v>78</v>
      </c>
      <c r="AQ86" s="110">
        <f t="shared" si="65"/>
        <v>46657</v>
      </c>
      <c r="AR86" s="177">
        <f t="shared" si="55"/>
        <v>0.155</v>
      </c>
      <c r="AS86" s="105">
        <f t="shared" si="74"/>
        <v>0</v>
      </c>
      <c r="AT86" s="105">
        <f t="shared" si="82"/>
        <v>0</v>
      </c>
      <c r="AU86" s="105">
        <f t="shared" si="83"/>
        <v>0</v>
      </c>
      <c r="AV86" s="105">
        <f t="shared" si="77"/>
        <v>0</v>
      </c>
      <c r="AW86" s="105">
        <f t="shared" si="66"/>
        <v>0</v>
      </c>
      <c r="AX86" s="105">
        <v>0</v>
      </c>
      <c r="AY86" s="105">
        <f t="shared" ref="AY86:AY108" si="96">AU86+AZ86</f>
        <v>0</v>
      </c>
      <c r="AZ86" s="105">
        <f t="shared" si="94"/>
        <v>0</v>
      </c>
      <c r="BA86" s="105">
        <f t="shared" si="92"/>
        <v>0</v>
      </c>
      <c r="BB86" s="105"/>
      <c r="BC86" s="105"/>
      <c r="BD86" s="105"/>
      <c r="BE86" s="105"/>
      <c r="BF86" s="105"/>
      <c r="BG86" s="105">
        <f t="shared" si="78"/>
        <v>0</v>
      </c>
      <c r="BH86" s="108">
        <f t="shared" si="90"/>
        <v>0</v>
      </c>
      <c r="BI86" s="108">
        <f t="shared" si="84"/>
        <v>0</v>
      </c>
      <c r="BJ86" s="22">
        <f t="shared" si="85"/>
        <v>46657</v>
      </c>
      <c r="BK86" s="108">
        <f t="shared" si="67"/>
        <v>0</v>
      </c>
      <c r="BL86" s="2" t="e">
        <f>IF(AND(G41&gt;=$W$9,G41&lt;=$W$9+5),0,IF($C$9&gt;$AF$51,ROUND(BG40*IF(#REF!="",0,#REF!)/(DATEVALUE(CONCATENATE("01/01/",YEAR(AQ41)+1))-DATEVALUE(CONCATENATE("01/01/",YEAR(AQ41))))*(AQ41-AQ40),2),0))</f>
        <v>#REF!</v>
      </c>
    </row>
    <row r="87" spans="1:64" s="16" customFormat="1" hidden="1" x14ac:dyDescent="0.3">
      <c r="A87" s="178"/>
      <c r="B87" s="178"/>
      <c r="C87" s="178"/>
      <c r="D87" s="178"/>
      <c r="E87" s="178"/>
      <c r="F87" s="178"/>
      <c r="G87" s="114">
        <f t="shared" si="86"/>
        <v>79</v>
      </c>
      <c r="H87" s="111">
        <f t="shared" si="62"/>
        <v>46687</v>
      </c>
      <c r="I87" s="176">
        <f t="shared" si="79"/>
        <v>5.9000000000000004E-2</v>
      </c>
      <c r="J87" s="24">
        <f t="shared" si="68"/>
        <v>0</v>
      </c>
      <c r="K87" s="24">
        <f t="shared" si="61"/>
        <v>0</v>
      </c>
      <c r="L87" s="24">
        <f t="shared" si="63"/>
        <v>0</v>
      </c>
      <c r="M87" s="24">
        <f t="shared" si="87"/>
        <v>0</v>
      </c>
      <c r="N87" s="24">
        <f t="shared" si="64"/>
        <v>0</v>
      </c>
      <c r="O87" s="24">
        <v>0</v>
      </c>
      <c r="P87" s="24">
        <f t="shared" si="95"/>
        <v>0</v>
      </c>
      <c r="Q87" s="24">
        <f t="shared" si="93"/>
        <v>0</v>
      </c>
      <c r="R87" s="24">
        <f t="shared" si="70"/>
        <v>0</v>
      </c>
      <c r="S87" s="24">
        <f t="shared" si="81"/>
        <v>0</v>
      </c>
      <c r="T87" s="24"/>
      <c r="U87" s="36">
        <f t="shared" si="88"/>
        <v>0</v>
      </c>
      <c r="V87" s="36">
        <f t="shared" si="72"/>
        <v>0</v>
      </c>
      <c r="W87" s="2" t="e">
        <f>IF(AND(G52&gt;=$W$9,G52&lt;=$W$9+5),0,IF($C$9&gt;$AF$51,ROUND(S51*#REF!/(DATEVALUE(CONCATENATE("01/01/",YEAR(H52)+1))-DATEVALUE(CONCATENATE("01/01/",YEAR(H52))))*(H52-H51),2),0))</f>
        <v>#REF!</v>
      </c>
      <c r="X87" s="34">
        <f t="shared" si="52"/>
        <v>12974</v>
      </c>
      <c r="Y87" s="57">
        <f t="shared" si="48"/>
        <v>60345</v>
      </c>
      <c r="AL87" s="2" t="e">
        <f>IF(AND(Y44&gt;=$W$9,Y44&lt;=$W$9+5),0,IF($C$9&gt;$AF$51,ROUND(AI47*#REF!/(DATEVALUE(CONCATENATE("01/01/",YEAR(Z44)+1))-DATEVALUE(CONCATENATE("01/01/",YEAR(Z44))))*(Z44-Z43),2),0))</f>
        <v>#REF!</v>
      </c>
      <c r="AM87" s="34">
        <f t="shared" si="54"/>
        <v>14930</v>
      </c>
      <c r="AN87" s="57">
        <f t="shared" si="53"/>
        <v>58885</v>
      </c>
      <c r="AO87" s="130">
        <f t="shared" si="73"/>
        <v>0</v>
      </c>
      <c r="AP87" s="109">
        <f t="shared" si="89"/>
        <v>79</v>
      </c>
      <c r="AQ87" s="110">
        <f t="shared" si="65"/>
        <v>46687</v>
      </c>
      <c r="AR87" s="177">
        <f t="shared" si="55"/>
        <v>0.155</v>
      </c>
      <c r="AS87" s="105">
        <f t="shared" si="74"/>
        <v>0</v>
      </c>
      <c r="AT87" s="105">
        <f t="shared" si="82"/>
        <v>0</v>
      </c>
      <c r="AU87" s="105">
        <f t="shared" si="83"/>
        <v>0</v>
      </c>
      <c r="AV87" s="105">
        <f t="shared" si="77"/>
        <v>0</v>
      </c>
      <c r="AW87" s="105">
        <f t="shared" si="66"/>
        <v>0</v>
      </c>
      <c r="AX87" s="105">
        <v>0</v>
      </c>
      <c r="AY87" s="105">
        <f t="shared" si="96"/>
        <v>0</v>
      </c>
      <c r="AZ87" s="105">
        <f t="shared" si="94"/>
        <v>0</v>
      </c>
      <c r="BA87" s="105">
        <f t="shared" si="92"/>
        <v>0</v>
      </c>
      <c r="BB87" s="105"/>
      <c r="BC87" s="105"/>
      <c r="BD87" s="105"/>
      <c r="BE87" s="105"/>
      <c r="BF87" s="105"/>
      <c r="BG87" s="105">
        <f t="shared" si="78"/>
        <v>0</v>
      </c>
      <c r="BH87" s="108">
        <f t="shared" si="90"/>
        <v>0</v>
      </c>
      <c r="BI87" s="108">
        <f t="shared" si="84"/>
        <v>0</v>
      </c>
      <c r="BJ87" s="22">
        <f t="shared" si="85"/>
        <v>46687</v>
      </c>
      <c r="BK87" s="108">
        <f t="shared" si="67"/>
        <v>0</v>
      </c>
      <c r="BL87" s="2" t="e">
        <f>IF(AND(G42&gt;=$W$9,G42&lt;=$W$9+5),0,IF($C$9&gt;$AF$51,ROUND(BG41*IF(#REF!="",0,#REF!)/(DATEVALUE(CONCATENATE("01/01/",YEAR(AQ42)+1))-DATEVALUE(CONCATENATE("01/01/",YEAR(AQ42))))*(AQ42-AQ41),2),0))</f>
        <v>#REF!</v>
      </c>
    </row>
    <row r="88" spans="1:64" s="16" customFormat="1" hidden="1" x14ac:dyDescent="0.3">
      <c r="A88" s="178"/>
      <c r="B88" s="178"/>
      <c r="C88" s="182"/>
      <c r="D88" s="182"/>
      <c r="E88" s="178"/>
      <c r="F88" s="178"/>
      <c r="G88" s="114">
        <f t="shared" si="86"/>
        <v>80</v>
      </c>
      <c r="H88" s="111">
        <f t="shared" si="62"/>
        <v>46718</v>
      </c>
      <c r="I88" s="176">
        <f t="shared" si="79"/>
        <v>5.9000000000000004E-2</v>
      </c>
      <c r="J88" s="24">
        <f t="shared" si="68"/>
        <v>0</v>
      </c>
      <c r="K88" s="24">
        <f t="shared" si="61"/>
        <v>0</v>
      </c>
      <c r="L88" s="24">
        <f t="shared" si="63"/>
        <v>0</v>
      </c>
      <c r="M88" s="24">
        <f t="shared" si="87"/>
        <v>0</v>
      </c>
      <c r="N88" s="24">
        <f t="shared" si="64"/>
        <v>0</v>
      </c>
      <c r="O88" s="24">
        <v>0</v>
      </c>
      <c r="P88" s="24">
        <f t="shared" si="95"/>
        <v>0</v>
      </c>
      <c r="Q88" s="24">
        <f t="shared" si="93"/>
        <v>0</v>
      </c>
      <c r="R88" s="24">
        <f t="shared" si="70"/>
        <v>0</v>
      </c>
      <c r="S88" s="24">
        <f t="shared" si="81"/>
        <v>0</v>
      </c>
      <c r="T88" s="24"/>
      <c r="U88" s="36">
        <f t="shared" si="88"/>
        <v>0</v>
      </c>
      <c r="V88" s="36">
        <f t="shared" si="72"/>
        <v>0</v>
      </c>
      <c r="W88" s="2" t="e">
        <f>IF(AND(G53&gt;=$W$9,G53&lt;=$W$9+5),0,IF($C$9&gt;$AF$51,ROUND(S52*#REF!/(DATEVALUE(CONCATENATE("01/01/",YEAR(H53)+1))-DATEVALUE(CONCATENATE("01/01/",YEAR(H53))))*(H53-H52),2),0))</f>
        <v>#REF!</v>
      </c>
      <c r="X88" s="34">
        <f t="shared" si="52"/>
        <v>12974</v>
      </c>
      <c r="Y88" s="57">
        <f t="shared" si="48"/>
        <v>60710</v>
      </c>
      <c r="AL88" s="2" t="e">
        <f>IF(AND(Y45&gt;=$W$9,Y45&lt;=$W$9+5),0,IF($C$9&gt;$AF$51,ROUND(AI48*#REF!/(DATEVALUE(CONCATENATE("01/01/",YEAR(Z45)+1))-DATEVALUE(CONCATENATE("01/01/",YEAR(Z45))))*(Z45-Z44),2),0))</f>
        <v>#REF!</v>
      </c>
      <c r="AM88" s="34">
        <f t="shared" si="54"/>
        <v>14930</v>
      </c>
      <c r="AN88" s="57">
        <f t="shared" si="53"/>
        <v>59250</v>
      </c>
      <c r="AO88" s="130">
        <f t="shared" si="73"/>
        <v>0</v>
      </c>
      <c r="AP88" s="109">
        <f t="shared" si="89"/>
        <v>80</v>
      </c>
      <c r="AQ88" s="110">
        <f t="shared" si="65"/>
        <v>46718</v>
      </c>
      <c r="AR88" s="177">
        <f t="shared" si="55"/>
        <v>0.155</v>
      </c>
      <c r="AS88" s="105">
        <f t="shared" si="74"/>
        <v>0</v>
      </c>
      <c r="AT88" s="105">
        <f t="shared" si="82"/>
        <v>0</v>
      </c>
      <c r="AU88" s="105">
        <f t="shared" si="83"/>
        <v>0</v>
      </c>
      <c r="AV88" s="105">
        <f t="shared" si="77"/>
        <v>0</v>
      </c>
      <c r="AW88" s="105">
        <f t="shared" si="66"/>
        <v>0</v>
      </c>
      <c r="AX88" s="105">
        <v>0</v>
      </c>
      <c r="AY88" s="105">
        <f t="shared" si="96"/>
        <v>0</v>
      </c>
      <c r="AZ88" s="105">
        <f t="shared" si="94"/>
        <v>0</v>
      </c>
      <c r="BA88" s="105">
        <f t="shared" si="92"/>
        <v>0</v>
      </c>
      <c r="BB88" s="105"/>
      <c r="BC88" s="105"/>
      <c r="BD88" s="105"/>
      <c r="BE88" s="105"/>
      <c r="BF88" s="105"/>
      <c r="BG88" s="105">
        <f t="shared" si="78"/>
        <v>0</v>
      </c>
      <c r="BH88" s="108">
        <f t="shared" si="90"/>
        <v>0</v>
      </c>
      <c r="BI88" s="108">
        <f t="shared" si="84"/>
        <v>0</v>
      </c>
      <c r="BJ88" s="22">
        <f t="shared" si="85"/>
        <v>46718</v>
      </c>
      <c r="BK88" s="108">
        <f t="shared" si="67"/>
        <v>0</v>
      </c>
      <c r="BL88" s="2" t="e">
        <f>IF(AND(G43&gt;=$W$9,G43&lt;=$W$9+5),0,IF($C$9&gt;$AF$51,ROUND(BG42*IF(#REF!="",0,#REF!)/(DATEVALUE(CONCATENATE("01/01/",YEAR(AQ43)+1))-DATEVALUE(CONCATENATE("01/01/",YEAR(AQ43))))*(AQ43-AQ42),2),0))</f>
        <v>#REF!</v>
      </c>
    </row>
    <row r="89" spans="1:64" s="16" customFormat="1" hidden="1" x14ac:dyDescent="0.3">
      <c r="A89" s="178"/>
      <c r="B89" s="178"/>
      <c r="C89" s="178"/>
      <c r="D89" s="182"/>
      <c r="E89" s="178"/>
      <c r="F89" s="178"/>
      <c r="G89" s="114">
        <f t="shared" si="86"/>
        <v>81</v>
      </c>
      <c r="H89" s="111">
        <f t="shared" si="62"/>
        <v>46748</v>
      </c>
      <c r="I89" s="176">
        <f t="shared" si="79"/>
        <v>5.9000000000000004E-2</v>
      </c>
      <c r="J89" s="24">
        <f t="shared" si="68"/>
        <v>0</v>
      </c>
      <c r="K89" s="24">
        <f t="shared" si="61"/>
        <v>0</v>
      </c>
      <c r="L89" s="24">
        <f t="shared" si="63"/>
        <v>0</v>
      </c>
      <c r="M89" s="24">
        <f t="shared" si="87"/>
        <v>0</v>
      </c>
      <c r="N89" s="24">
        <f t="shared" si="64"/>
        <v>0</v>
      </c>
      <c r="O89" s="24">
        <v>0</v>
      </c>
      <c r="P89" s="24">
        <f t="shared" si="95"/>
        <v>0</v>
      </c>
      <c r="Q89" s="24">
        <f t="shared" si="93"/>
        <v>0</v>
      </c>
      <c r="R89" s="24">
        <f t="shared" si="70"/>
        <v>0</v>
      </c>
      <c r="S89" s="24">
        <f t="shared" si="81"/>
        <v>0</v>
      </c>
      <c r="T89" s="24"/>
      <c r="U89" s="36">
        <f t="shared" si="88"/>
        <v>0</v>
      </c>
      <c r="V89" s="36">
        <f t="shared" si="72"/>
        <v>0</v>
      </c>
      <c r="W89" s="2" t="e">
        <f>IF(AND(G54&gt;=$W$9,G54&lt;=$W$9+5),0,IF($C$9&gt;$AF$51,ROUND(S53*#REF!/(DATEVALUE(CONCATENATE("01/01/",YEAR(H54)+1))-DATEVALUE(CONCATENATE("01/01/",YEAR(H54))))*(H54-H53),2),0))</f>
        <v>#REF!</v>
      </c>
      <c r="X89" s="34">
        <f t="shared" si="52"/>
        <v>12974</v>
      </c>
      <c r="Y89" s="57">
        <f t="shared" si="48"/>
        <v>61075</v>
      </c>
      <c r="AL89" s="2" t="e">
        <f>IF(AND(Y46&gt;=$W$9,Y46&lt;=$W$9+5),0,IF($C$9&gt;$AF$51,ROUND(AI49*#REF!/(DATEVALUE(CONCATENATE("01/01/",YEAR(Z46)+1))-DATEVALUE(CONCATENATE("01/01/",YEAR(Z46))))*(Z46-Z45),2),0))</f>
        <v>#REF!</v>
      </c>
      <c r="AM89" s="34">
        <f t="shared" si="54"/>
        <v>14930</v>
      </c>
      <c r="AN89" s="57">
        <f t="shared" si="53"/>
        <v>59615</v>
      </c>
      <c r="AO89" s="130">
        <f t="shared" si="73"/>
        <v>0</v>
      </c>
      <c r="AP89" s="109">
        <f t="shared" si="89"/>
        <v>81</v>
      </c>
      <c r="AQ89" s="110">
        <f t="shared" si="65"/>
        <v>46748</v>
      </c>
      <c r="AR89" s="177">
        <f t="shared" si="55"/>
        <v>0.155</v>
      </c>
      <c r="AS89" s="105">
        <f t="shared" si="74"/>
        <v>0</v>
      </c>
      <c r="AT89" s="105">
        <f t="shared" si="82"/>
        <v>0</v>
      </c>
      <c r="AU89" s="105">
        <f t="shared" si="83"/>
        <v>0</v>
      </c>
      <c r="AV89" s="105">
        <f t="shared" si="77"/>
        <v>0</v>
      </c>
      <c r="AW89" s="105">
        <f t="shared" si="66"/>
        <v>0</v>
      </c>
      <c r="AX89" s="105">
        <v>0</v>
      </c>
      <c r="AY89" s="105">
        <f t="shared" si="96"/>
        <v>0</v>
      </c>
      <c r="AZ89" s="105">
        <f t="shared" si="94"/>
        <v>0</v>
      </c>
      <c r="BA89" s="105">
        <f t="shared" si="92"/>
        <v>0</v>
      </c>
      <c r="BB89" s="105"/>
      <c r="BC89" s="105"/>
      <c r="BD89" s="105"/>
      <c r="BE89" s="105"/>
      <c r="BF89" s="105"/>
      <c r="BG89" s="105">
        <f t="shared" si="78"/>
        <v>0</v>
      </c>
      <c r="BH89" s="108">
        <f t="shared" si="90"/>
        <v>0</v>
      </c>
      <c r="BI89" s="108">
        <f t="shared" si="84"/>
        <v>0</v>
      </c>
      <c r="BJ89" s="22">
        <f t="shared" si="85"/>
        <v>46748</v>
      </c>
      <c r="BK89" s="108">
        <f t="shared" si="67"/>
        <v>0</v>
      </c>
      <c r="BL89" s="2" t="e">
        <f>IF(AND(G44&gt;=$W$9,G44&lt;=$W$9+5),0,IF($C$9&gt;$AF$51,ROUND(BG43*IF(#REF!="",0,#REF!)/(DATEVALUE(CONCATENATE("01/01/",YEAR(AQ44)+1))-DATEVALUE(CONCATENATE("01/01/",YEAR(AQ44))))*(AQ44-AQ43),2),0))</f>
        <v>#REF!</v>
      </c>
    </row>
    <row r="90" spans="1:64" s="16" customFormat="1" hidden="1" x14ac:dyDescent="0.3">
      <c r="A90" s="178"/>
      <c r="B90" s="178"/>
      <c r="C90" s="178"/>
      <c r="D90" s="178"/>
      <c r="E90" s="178"/>
      <c r="F90" s="184"/>
      <c r="G90" s="114">
        <f t="shared" si="86"/>
        <v>82</v>
      </c>
      <c r="H90" s="111">
        <f t="shared" si="62"/>
        <v>46779</v>
      </c>
      <c r="I90" s="176">
        <f t="shared" si="79"/>
        <v>5.9000000000000004E-2</v>
      </c>
      <c r="J90" s="24">
        <f t="shared" si="68"/>
        <v>0</v>
      </c>
      <c r="K90" s="24">
        <f t="shared" si="61"/>
        <v>0</v>
      </c>
      <c r="L90" s="24">
        <f t="shared" si="63"/>
        <v>0</v>
      </c>
      <c r="M90" s="24">
        <f t="shared" si="87"/>
        <v>0</v>
      </c>
      <c r="N90" s="24">
        <f t="shared" si="64"/>
        <v>0</v>
      </c>
      <c r="O90" s="24">
        <v>0</v>
      </c>
      <c r="P90" s="24">
        <f t="shared" si="95"/>
        <v>0</v>
      </c>
      <c r="Q90" s="24">
        <f t="shared" si="93"/>
        <v>0</v>
      </c>
      <c r="R90" s="24">
        <f t="shared" si="70"/>
        <v>0</v>
      </c>
      <c r="S90" s="24">
        <f t="shared" si="81"/>
        <v>0</v>
      </c>
      <c r="T90" s="24"/>
      <c r="U90" s="36">
        <f t="shared" si="88"/>
        <v>0</v>
      </c>
      <c r="V90" s="36">
        <f t="shared" si="72"/>
        <v>0</v>
      </c>
      <c r="W90" s="2" t="e">
        <f>IF(AND(G55&gt;=$W$9,G55&lt;=$W$9+5),0,IF($C$9&gt;$AF$51,ROUND(S54*#REF!/(DATEVALUE(CONCATENATE("01/01/",YEAR(H55)+1))-DATEVALUE(CONCATENATE("01/01/",YEAR(H55))))*(H55-H54),2),0))</f>
        <v>#REF!</v>
      </c>
      <c r="X90" s="34">
        <f t="shared" si="52"/>
        <v>12974</v>
      </c>
      <c r="Y90" s="57">
        <f t="shared" si="48"/>
        <v>61440</v>
      </c>
      <c r="AL90" s="2" t="e">
        <f>IF(AND(Y47&gt;=$W$9,Y47&lt;=$W$9+5),0,IF($C$9&gt;$AF$51,ROUND(AI50*#REF!/(DATEVALUE(CONCATENATE("01/01/",YEAR(Z47)+1))-DATEVALUE(CONCATENATE("01/01/",YEAR(Z47))))*(Z47-Z46),2),0))</f>
        <v>#REF!</v>
      </c>
      <c r="AM90" s="34">
        <f t="shared" si="54"/>
        <v>14930</v>
      </c>
      <c r="AN90" s="57">
        <f t="shared" si="53"/>
        <v>59980</v>
      </c>
      <c r="AO90" s="130">
        <f t="shared" si="73"/>
        <v>0</v>
      </c>
      <c r="AP90" s="109">
        <f t="shared" si="89"/>
        <v>82</v>
      </c>
      <c r="AQ90" s="110">
        <f t="shared" si="65"/>
        <v>46779</v>
      </c>
      <c r="AR90" s="177">
        <f t="shared" si="55"/>
        <v>0.155</v>
      </c>
      <c r="AS90" s="105">
        <f t="shared" si="74"/>
        <v>0</v>
      </c>
      <c r="AT90" s="105">
        <f t="shared" si="82"/>
        <v>0</v>
      </c>
      <c r="AU90" s="105">
        <f t="shared" si="83"/>
        <v>0</v>
      </c>
      <c r="AV90" s="105">
        <f t="shared" si="77"/>
        <v>0</v>
      </c>
      <c r="AW90" s="105">
        <f t="shared" si="66"/>
        <v>0</v>
      </c>
      <c r="AX90" s="105">
        <v>0</v>
      </c>
      <c r="AY90" s="105">
        <f t="shared" si="96"/>
        <v>0</v>
      </c>
      <c r="AZ90" s="105">
        <f t="shared" si="94"/>
        <v>0</v>
      </c>
      <c r="BA90" s="105">
        <f t="shared" si="92"/>
        <v>0</v>
      </c>
      <c r="BB90" s="105"/>
      <c r="BC90" s="105"/>
      <c r="BD90" s="105"/>
      <c r="BE90" s="105"/>
      <c r="BF90" s="105"/>
      <c r="BG90" s="105">
        <f t="shared" si="78"/>
        <v>0</v>
      </c>
      <c r="BH90" s="108">
        <f t="shared" si="90"/>
        <v>0</v>
      </c>
      <c r="BI90" s="108">
        <f t="shared" si="84"/>
        <v>0</v>
      </c>
      <c r="BJ90" s="22">
        <f t="shared" si="85"/>
        <v>46779</v>
      </c>
      <c r="BK90" s="108">
        <f t="shared" si="67"/>
        <v>0</v>
      </c>
      <c r="BL90" s="2" t="e">
        <f>IF(AND(G45&gt;=$W$9,G45&lt;=$W$9+5),0,IF($C$9&gt;$AF$51,ROUND(BG44*IF(#REF!="",0,#REF!)/(DATEVALUE(CONCATENATE("01/01/",YEAR(AQ45)+1))-DATEVALUE(CONCATENATE("01/01/",YEAR(AQ45))))*(AQ45-AQ44),2),0))</f>
        <v>#REF!</v>
      </c>
    </row>
    <row r="91" spans="1:64" s="16" customFormat="1" hidden="1" x14ac:dyDescent="0.3">
      <c r="A91" s="178"/>
      <c r="B91" s="178"/>
      <c r="C91" s="178"/>
      <c r="D91" s="178"/>
      <c r="E91" s="178"/>
      <c r="F91" s="184"/>
      <c r="G91" s="114">
        <f t="shared" si="86"/>
        <v>83</v>
      </c>
      <c r="H91" s="111">
        <f t="shared" si="62"/>
        <v>46810</v>
      </c>
      <c r="I91" s="176">
        <f t="shared" si="79"/>
        <v>5.9000000000000004E-2</v>
      </c>
      <c r="J91" s="24">
        <f t="shared" si="68"/>
        <v>0</v>
      </c>
      <c r="K91" s="24">
        <f t="shared" si="61"/>
        <v>0</v>
      </c>
      <c r="L91" s="24">
        <f t="shared" si="63"/>
        <v>0</v>
      </c>
      <c r="M91" s="24">
        <f t="shared" si="87"/>
        <v>0</v>
      </c>
      <c r="N91" s="24">
        <f t="shared" si="64"/>
        <v>0</v>
      </c>
      <c r="O91" s="24">
        <v>0</v>
      </c>
      <c r="P91" s="24">
        <f t="shared" si="95"/>
        <v>0</v>
      </c>
      <c r="Q91" s="24">
        <f t="shared" si="93"/>
        <v>0</v>
      </c>
      <c r="R91" s="24">
        <f t="shared" si="70"/>
        <v>0</v>
      </c>
      <c r="S91" s="24">
        <f t="shared" si="81"/>
        <v>0</v>
      </c>
      <c r="T91" s="24"/>
      <c r="U91" s="36">
        <f t="shared" si="88"/>
        <v>0</v>
      </c>
      <c r="V91" s="36">
        <f t="shared" si="72"/>
        <v>0</v>
      </c>
      <c r="W91" s="2" t="e">
        <f>IF(AND(G56&gt;=$W$9,G56&lt;=$W$9+5),0,IF($C$9&gt;$AF$51,ROUND(S55*#REF!/(DATEVALUE(CONCATENATE("01/01/",YEAR(H56)+1))-DATEVALUE(CONCATENATE("01/01/",YEAR(H56))))*(H56-H55),2),0))</f>
        <v>#REF!</v>
      </c>
      <c r="X91" s="34">
        <f t="shared" si="52"/>
        <v>12974</v>
      </c>
      <c r="Y91" s="57">
        <f t="shared" si="48"/>
        <v>61805</v>
      </c>
      <c r="AL91" s="2" t="e">
        <f>IF(AND(Y48&gt;=$W$9,Y48&lt;=$W$9+5),0,IF($C$9&gt;$AF$51,ROUND(AI51*#REF!/(DATEVALUE(CONCATENATE("01/01/",YEAR(Z48)+1))-DATEVALUE(CONCATENATE("01/01/",YEAR(Z48))))*(Z48-Z47),2),0))</f>
        <v>#REF!</v>
      </c>
      <c r="AM91" s="34">
        <f t="shared" si="54"/>
        <v>14930</v>
      </c>
      <c r="AN91" s="57">
        <f t="shared" si="53"/>
        <v>60345</v>
      </c>
      <c r="AO91" s="130">
        <f t="shared" si="73"/>
        <v>0</v>
      </c>
      <c r="AP91" s="109">
        <f t="shared" si="89"/>
        <v>83</v>
      </c>
      <c r="AQ91" s="110">
        <f t="shared" si="65"/>
        <v>46810</v>
      </c>
      <c r="AR91" s="177">
        <f t="shared" si="55"/>
        <v>0.155</v>
      </c>
      <c r="AS91" s="105">
        <f t="shared" si="74"/>
        <v>0</v>
      </c>
      <c r="AT91" s="105">
        <f t="shared" si="82"/>
        <v>0</v>
      </c>
      <c r="AU91" s="105">
        <f t="shared" si="83"/>
        <v>0</v>
      </c>
      <c r="AV91" s="105">
        <f t="shared" si="77"/>
        <v>0</v>
      </c>
      <c r="AW91" s="105">
        <f t="shared" si="66"/>
        <v>0</v>
      </c>
      <c r="AX91" s="105">
        <v>0</v>
      </c>
      <c r="AY91" s="105">
        <f t="shared" si="96"/>
        <v>0</v>
      </c>
      <c r="AZ91" s="105">
        <f t="shared" si="94"/>
        <v>0</v>
      </c>
      <c r="BA91" s="105">
        <f t="shared" si="92"/>
        <v>0</v>
      </c>
      <c r="BB91" s="105"/>
      <c r="BC91" s="105"/>
      <c r="BD91" s="105"/>
      <c r="BE91" s="105"/>
      <c r="BF91" s="105"/>
      <c r="BG91" s="105">
        <f t="shared" si="78"/>
        <v>0</v>
      </c>
      <c r="BH91" s="108">
        <f t="shared" si="90"/>
        <v>0</v>
      </c>
      <c r="BI91" s="108">
        <f t="shared" si="84"/>
        <v>0</v>
      </c>
      <c r="BJ91" s="22">
        <f t="shared" si="85"/>
        <v>46810</v>
      </c>
      <c r="BK91" s="108">
        <f t="shared" si="67"/>
        <v>0</v>
      </c>
      <c r="BL91" s="2" t="e">
        <f>IF(AND(G46&gt;=$W$9,G46&lt;=$W$9+5),0,IF($C$9&gt;$AF$51,ROUND(BG45*IF(#REF!="",0,#REF!)/(DATEVALUE(CONCATENATE("01/01/",YEAR(AQ46)+1))-DATEVALUE(CONCATENATE("01/01/",YEAR(AQ46))))*(AQ46-AQ45),2),0))</f>
        <v>#REF!</v>
      </c>
    </row>
    <row r="92" spans="1:64" s="16" customFormat="1" hidden="1" x14ac:dyDescent="0.3">
      <c r="A92" s="178"/>
      <c r="B92" s="178"/>
      <c r="C92" s="178"/>
      <c r="D92" s="178"/>
      <c r="E92" s="178"/>
      <c r="F92" s="184"/>
      <c r="G92" s="114">
        <f t="shared" si="86"/>
        <v>84</v>
      </c>
      <c r="H92" s="111">
        <f t="shared" si="62"/>
        <v>46839</v>
      </c>
      <c r="I92" s="176">
        <f t="shared" si="79"/>
        <v>5.9000000000000004E-2</v>
      </c>
      <c r="J92" s="24">
        <f t="shared" si="68"/>
        <v>0</v>
      </c>
      <c r="K92" s="24">
        <f t="shared" si="61"/>
        <v>0</v>
      </c>
      <c r="L92" s="24">
        <f t="shared" si="63"/>
        <v>0</v>
      </c>
      <c r="M92" s="24">
        <f t="shared" si="87"/>
        <v>0</v>
      </c>
      <c r="N92" s="24">
        <f t="shared" si="64"/>
        <v>0</v>
      </c>
      <c r="O92" s="24">
        <v>0</v>
      </c>
      <c r="P92" s="24">
        <f t="shared" si="95"/>
        <v>0</v>
      </c>
      <c r="Q92" s="24">
        <f t="shared" si="93"/>
        <v>0</v>
      </c>
      <c r="R92" s="24">
        <f t="shared" si="70"/>
        <v>0</v>
      </c>
      <c r="S92" s="24">
        <f t="shared" si="81"/>
        <v>0</v>
      </c>
      <c r="T92" s="24"/>
      <c r="U92" s="36">
        <f t="shared" si="88"/>
        <v>0</v>
      </c>
      <c r="V92" s="36">
        <f t="shared" si="72"/>
        <v>0</v>
      </c>
      <c r="W92" s="2" t="e">
        <f>IF(AND(G57&gt;=$W$9,G57&lt;=$W$9+5),0,IF($C$9&gt;$AF$51,ROUND(S56*#REF!/(DATEVALUE(CONCATENATE("01/01/",YEAR(H57)+1))-DATEVALUE(CONCATENATE("01/01/",YEAR(H57))))*(H57-H56),2),0))</f>
        <v>#REF!</v>
      </c>
      <c r="X92" s="34">
        <f t="shared" si="52"/>
        <v>12974</v>
      </c>
      <c r="Y92" s="57">
        <f t="shared" si="48"/>
        <v>62170</v>
      </c>
      <c r="AL92" s="2" t="e">
        <f>IF(AND(Y49&gt;=$W$9,Y49&lt;=$W$9+5),0,IF($C$9&gt;$AF$51,ROUND(AI52*#REF!/(DATEVALUE(CONCATENATE("01/01/",YEAR(Z49)+1))-DATEVALUE(CONCATENATE("01/01/",YEAR(Z49))))*(Z49-Z48),2),0))</f>
        <v>#REF!</v>
      </c>
      <c r="AM92" s="34">
        <f t="shared" si="54"/>
        <v>14930</v>
      </c>
      <c r="AN92" s="57">
        <f t="shared" si="53"/>
        <v>60710</v>
      </c>
      <c r="AO92" s="130">
        <f t="shared" si="73"/>
        <v>0</v>
      </c>
      <c r="AP92" s="109">
        <f t="shared" si="89"/>
        <v>84</v>
      </c>
      <c r="AQ92" s="110">
        <f t="shared" si="65"/>
        <v>46839</v>
      </c>
      <c r="AR92" s="177">
        <f t="shared" si="55"/>
        <v>0.155</v>
      </c>
      <c r="AS92" s="105">
        <f t="shared" si="74"/>
        <v>0</v>
      </c>
      <c r="AT92" s="105">
        <f t="shared" si="82"/>
        <v>0</v>
      </c>
      <c r="AU92" s="105">
        <f t="shared" si="83"/>
        <v>0</v>
      </c>
      <c r="AV92" s="105">
        <f t="shared" si="77"/>
        <v>0</v>
      </c>
      <c r="AW92" s="105">
        <f t="shared" si="66"/>
        <v>0</v>
      </c>
      <c r="AX92" s="105">
        <v>0</v>
      </c>
      <c r="AY92" s="105">
        <f t="shared" si="96"/>
        <v>0</v>
      </c>
      <c r="AZ92" s="105">
        <f t="shared" si="94"/>
        <v>0</v>
      </c>
      <c r="BA92" s="105">
        <f t="shared" si="92"/>
        <v>0</v>
      </c>
      <c r="BB92" s="105"/>
      <c r="BC92" s="105"/>
      <c r="BD92" s="105"/>
      <c r="BE92" s="105"/>
      <c r="BF92" s="105"/>
      <c r="BG92" s="105">
        <f t="shared" si="78"/>
        <v>0</v>
      </c>
      <c r="BH92" s="108">
        <f t="shared" si="90"/>
        <v>0</v>
      </c>
      <c r="BI92" s="108">
        <f t="shared" si="84"/>
        <v>0</v>
      </c>
      <c r="BJ92" s="22">
        <f t="shared" si="85"/>
        <v>46839</v>
      </c>
      <c r="BK92" s="108">
        <f t="shared" si="67"/>
        <v>0</v>
      </c>
      <c r="BL92" s="2" t="e">
        <f>IF(AND(G47&gt;=$W$9,G47&lt;=$W$9+5),0,IF($C$9&gt;$AF$51,ROUND(BG46*IF(#REF!="",0,#REF!)/(DATEVALUE(CONCATENATE("01/01/",YEAR(AQ47)+1))-DATEVALUE(CONCATENATE("01/01/",YEAR(AQ47))))*(AQ47-AQ46),2),0))</f>
        <v>#REF!</v>
      </c>
    </row>
    <row r="93" spans="1:64" s="16" customFormat="1" hidden="1" x14ac:dyDescent="0.3">
      <c r="A93" s="178"/>
      <c r="B93" s="178"/>
      <c r="C93" s="178"/>
      <c r="D93" s="178"/>
      <c r="E93" s="178"/>
      <c r="F93" s="184"/>
      <c r="G93" s="114">
        <f t="shared" si="86"/>
        <v>85</v>
      </c>
      <c r="H93" s="111">
        <f t="shared" si="62"/>
        <v>46870</v>
      </c>
      <c r="I93" s="176">
        <f t="shared" si="79"/>
        <v>5.9000000000000004E-2</v>
      </c>
      <c r="J93" s="24">
        <f t="shared" si="68"/>
        <v>0</v>
      </c>
      <c r="K93" s="24">
        <f t="shared" si="61"/>
        <v>0</v>
      </c>
      <c r="L93" s="24">
        <f t="shared" si="63"/>
        <v>0</v>
      </c>
      <c r="M93" s="24">
        <f t="shared" si="87"/>
        <v>0</v>
      </c>
      <c r="N93" s="24">
        <f t="shared" si="64"/>
        <v>0</v>
      </c>
      <c r="O93" s="24">
        <v>0</v>
      </c>
      <c r="P93" s="24">
        <f t="shared" si="95"/>
        <v>0</v>
      </c>
      <c r="Q93" s="24">
        <f t="shared" si="93"/>
        <v>0</v>
      </c>
      <c r="R93" s="24">
        <f t="shared" si="70"/>
        <v>0</v>
      </c>
      <c r="S93" s="24">
        <f t="shared" si="81"/>
        <v>0</v>
      </c>
      <c r="T93" s="24"/>
      <c r="U93" s="36">
        <f t="shared" si="88"/>
        <v>0</v>
      </c>
      <c r="V93" s="36">
        <f t="shared" si="72"/>
        <v>0</v>
      </c>
      <c r="W93" s="2" t="e">
        <f>IF(AND(G58&gt;=$W$9,G58&lt;=$W$9+5),0,IF($C$9&gt;$AF$51,ROUND(S57*#REF!/(DATEVALUE(CONCATENATE("01/01/",YEAR(H58)+1))-DATEVALUE(CONCATENATE("01/01/",YEAR(H58))))*(H58-H57),2),0))</f>
        <v>#REF!</v>
      </c>
      <c r="X93" s="34">
        <f t="shared" si="52"/>
        <v>12974</v>
      </c>
      <c r="Y93" s="57">
        <f t="shared" si="48"/>
        <v>62535</v>
      </c>
      <c r="AL93" s="2" t="e">
        <f>IF(AND(Y50&gt;=$W$9,Y50&lt;=$W$9+5),0,IF($C$9&gt;$AF$51,ROUND(AI53*#REF!/(DATEVALUE(CONCATENATE("01/01/",YEAR(Z50)+1))-DATEVALUE(CONCATENATE("01/01/",YEAR(Z50))))*(Z50-Z49),2),0))</f>
        <v>#REF!</v>
      </c>
      <c r="AM93" s="34">
        <f t="shared" si="54"/>
        <v>14930</v>
      </c>
      <c r="AN93" s="57">
        <f t="shared" si="53"/>
        <v>61075</v>
      </c>
      <c r="AO93" s="130">
        <f t="shared" si="73"/>
        <v>0</v>
      </c>
      <c r="AP93" s="109">
        <f t="shared" si="89"/>
        <v>85</v>
      </c>
      <c r="AQ93" s="110">
        <f t="shared" si="65"/>
        <v>46870</v>
      </c>
      <c r="AR93" s="177">
        <f t="shared" si="55"/>
        <v>0.155</v>
      </c>
      <c r="AS93" s="105">
        <f t="shared" si="74"/>
        <v>0</v>
      </c>
      <c r="AT93" s="105">
        <f t="shared" si="82"/>
        <v>0</v>
      </c>
      <c r="AU93" s="105">
        <f t="shared" si="83"/>
        <v>0</v>
      </c>
      <c r="AV93" s="105">
        <f t="shared" si="77"/>
        <v>0</v>
      </c>
      <c r="AW93" s="105">
        <f t="shared" si="66"/>
        <v>0</v>
      </c>
      <c r="AX93" s="105">
        <v>0</v>
      </c>
      <c r="AY93" s="105">
        <f t="shared" si="96"/>
        <v>0</v>
      </c>
      <c r="AZ93" s="105">
        <f t="shared" si="94"/>
        <v>0</v>
      </c>
      <c r="BA93" s="105">
        <f t="shared" si="92"/>
        <v>0</v>
      </c>
      <c r="BB93" s="105"/>
      <c r="BC93" s="105"/>
      <c r="BD93" s="105"/>
      <c r="BE93" s="105"/>
      <c r="BF93" s="105"/>
      <c r="BG93" s="105">
        <f t="shared" si="78"/>
        <v>0</v>
      </c>
      <c r="BH93" s="108">
        <f t="shared" si="90"/>
        <v>0</v>
      </c>
      <c r="BI93" s="108">
        <f t="shared" si="84"/>
        <v>0</v>
      </c>
      <c r="BJ93" s="22">
        <f t="shared" si="85"/>
        <v>46870</v>
      </c>
      <c r="BK93" s="108">
        <f t="shared" si="67"/>
        <v>0</v>
      </c>
      <c r="BL93" s="2" t="e">
        <f>IF(AND(G48&gt;=$W$9,G48&lt;=$W$9+5),0,IF($C$9&gt;$AF$51,ROUND(BG47*IF(#REF!="",0,#REF!)/(DATEVALUE(CONCATENATE("01/01/",YEAR(AQ48)+1))-DATEVALUE(CONCATENATE("01/01/",YEAR(AQ48))))*(AQ48-AQ47),2),0))</f>
        <v>#REF!</v>
      </c>
    </row>
    <row r="94" spans="1:64" s="16" customFormat="1" hidden="1" x14ac:dyDescent="0.3">
      <c r="A94" s="178"/>
      <c r="B94" s="178"/>
      <c r="C94" s="178"/>
      <c r="D94" s="178"/>
      <c r="E94" s="178"/>
      <c r="F94" s="184"/>
      <c r="G94" s="114">
        <f t="shared" si="86"/>
        <v>86</v>
      </c>
      <c r="H94" s="111">
        <f t="shared" si="62"/>
        <v>46900</v>
      </c>
      <c r="I94" s="176">
        <f t="shared" si="79"/>
        <v>5.9000000000000004E-2</v>
      </c>
      <c r="J94" s="24">
        <f t="shared" si="68"/>
        <v>0</v>
      </c>
      <c r="K94" s="24">
        <f t="shared" si="61"/>
        <v>0</v>
      </c>
      <c r="L94" s="24">
        <f t="shared" si="63"/>
        <v>0</v>
      </c>
      <c r="M94" s="24">
        <f t="shared" si="87"/>
        <v>0</v>
      </c>
      <c r="N94" s="24">
        <f t="shared" si="64"/>
        <v>0</v>
      </c>
      <c r="O94" s="24">
        <v>0</v>
      </c>
      <c r="P94" s="24">
        <f t="shared" si="95"/>
        <v>0</v>
      </c>
      <c r="Q94" s="24">
        <f t="shared" si="93"/>
        <v>0</v>
      </c>
      <c r="R94" s="24">
        <f t="shared" si="70"/>
        <v>0</v>
      </c>
      <c r="S94" s="24">
        <f t="shared" si="81"/>
        <v>0</v>
      </c>
      <c r="T94" s="24"/>
      <c r="U94" s="36">
        <f t="shared" si="88"/>
        <v>0</v>
      </c>
      <c r="V94" s="36">
        <f t="shared" si="72"/>
        <v>0</v>
      </c>
      <c r="W94" s="2" t="e">
        <f>IF(AND(G59&gt;=$W$9,G59&lt;=$W$9+5),0,IF($C$9&gt;$AF$51,ROUND(S58*#REF!/(DATEVALUE(CONCATENATE("01/01/",YEAR(H59)+1))-DATEVALUE(CONCATENATE("01/01/",YEAR(H59))))*(H59-H58),2),0))</f>
        <v>#REF!</v>
      </c>
      <c r="X94" s="34">
        <f t="shared" si="52"/>
        <v>12974</v>
      </c>
      <c r="Y94" s="57">
        <f t="shared" si="48"/>
        <v>62900</v>
      </c>
      <c r="AL94" s="2" t="e">
        <f>IF(AND(Y51&gt;=$W$9,Y51&lt;=$W$9+5),0,IF($C$9&gt;$AF$51,ROUND(AI54*#REF!/(DATEVALUE(CONCATENATE("01/01/",YEAR(Z51)+1))-DATEVALUE(CONCATENATE("01/01/",YEAR(Z51))))*(Z51-Z50),2),0))</f>
        <v>#REF!</v>
      </c>
      <c r="AM94" s="34">
        <f t="shared" si="54"/>
        <v>14930</v>
      </c>
      <c r="AN94" s="57">
        <f t="shared" si="53"/>
        <v>61440</v>
      </c>
      <c r="AO94" s="130">
        <f t="shared" si="73"/>
        <v>0</v>
      </c>
      <c r="AP94" s="109">
        <f t="shared" si="89"/>
        <v>86</v>
      </c>
      <c r="AQ94" s="110">
        <f t="shared" si="65"/>
        <v>46900</v>
      </c>
      <c r="AR94" s="177">
        <f t="shared" si="55"/>
        <v>0.155</v>
      </c>
      <c r="AS94" s="105">
        <f t="shared" si="74"/>
        <v>0</v>
      </c>
      <c r="AT94" s="105">
        <f t="shared" si="82"/>
        <v>0</v>
      </c>
      <c r="AU94" s="105">
        <f t="shared" si="83"/>
        <v>0</v>
      </c>
      <c r="AV94" s="105">
        <f t="shared" si="77"/>
        <v>0</v>
      </c>
      <c r="AW94" s="105">
        <f t="shared" si="66"/>
        <v>0</v>
      </c>
      <c r="AX94" s="105">
        <v>0</v>
      </c>
      <c r="AY94" s="105">
        <f t="shared" si="96"/>
        <v>0</v>
      </c>
      <c r="AZ94" s="105">
        <f t="shared" si="94"/>
        <v>0</v>
      </c>
      <c r="BA94" s="105">
        <f t="shared" si="92"/>
        <v>0</v>
      </c>
      <c r="BB94" s="105"/>
      <c r="BC94" s="105"/>
      <c r="BD94" s="105"/>
      <c r="BE94" s="105"/>
      <c r="BF94" s="105"/>
      <c r="BG94" s="105">
        <f t="shared" si="78"/>
        <v>0</v>
      </c>
      <c r="BH94" s="108">
        <f t="shared" si="90"/>
        <v>0</v>
      </c>
      <c r="BI94" s="108">
        <f t="shared" si="84"/>
        <v>0</v>
      </c>
      <c r="BJ94" s="22">
        <f t="shared" si="85"/>
        <v>46900</v>
      </c>
      <c r="BK94" s="108">
        <f t="shared" si="67"/>
        <v>0</v>
      </c>
      <c r="BL94" s="2" t="e">
        <f>IF(AND(G49&gt;=$W$9,G49&lt;=$W$9+5),0,IF($C$9&gt;$AF$51,ROUND(BG48*IF(#REF!="",0,#REF!)/(DATEVALUE(CONCATENATE("01/01/",YEAR(AQ49)+1))-DATEVALUE(CONCATENATE("01/01/",YEAR(AQ49))))*(AQ49-AQ48),2),0))</f>
        <v>#REF!</v>
      </c>
    </row>
    <row r="95" spans="1:64" s="16" customFormat="1" hidden="1" x14ac:dyDescent="0.3">
      <c r="A95" s="178"/>
      <c r="B95" s="178"/>
      <c r="C95" s="178"/>
      <c r="D95" s="178"/>
      <c r="E95" s="178"/>
      <c r="F95" s="184"/>
      <c r="G95" s="114">
        <f t="shared" si="86"/>
        <v>87</v>
      </c>
      <c r="H95" s="111">
        <f t="shared" si="62"/>
        <v>46931</v>
      </c>
      <c r="I95" s="176">
        <f t="shared" si="79"/>
        <v>5.9000000000000004E-2</v>
      </c>
      <c r="J95" s="24">
        <f t="shared" si="68"/>
        <v>0</v>
      </c>
      <c r="K95" s="24">
        <f t="shared" si="61"/>
        <v>0</v>
      </c>
      <c r="L95" s="24">
        <f t="shared" si="63"/>
        <v>0</v>
      </c>
      <c r="M95" s="24">
        <f t="shared" si="87"/>
        <v>0</v>
      </c>
      <c r="N95" s="24">
        <f t="shared" si="64"/>
        <v>0</v>
      </c>
      <c r="O95" s="24">
        <v>0</v>
      </c>
      <c r="P95" s="24">
        <f t="shared" si="95"/>
        <v>0</v>
      </c>
      <c r="Q95" s="24">
        <f t="shared" si="93"/>
        <v>0</v>
      </c>
      <c r="R95" s="24">
        <f t="shared" si="70"/>
        <v>0</v>
      </c>
      <c r="S95" s="24">
        <f t="shared" si="81"/>
        <v>0</v>
      </c>
      <c r="T95" s="24"/>
      <c r="U95" s="36">
        <f t="shared" si="88"/>
        <v>0</v>
      </c>
      <c r="V95" s="36">
        <f t="shared" si="72"/>
        <v>0</v>
      </c>
      <c r="W95" s="2" t="e">
        <f>IF(AND(G60&gt;=$W$9,G60&lt;=$W$9+5),0,IF($C$9&gt;$AF$51,ROUND(S59*#REF!/(DATEVALUE(CONCATENATE("01/01/",YEAR(H60)+1))-DATEVALUE(CONCATENATE("01/01/",YEAR(H60))))*(H60-H59),2),0))</f>
        <v>#REF!</v>
      </c>
      <c r="X95" s="34">
        <f t="shared" si="52"/>
        <v>12974</v>
      </c>
      <c r="Y95" s="57">
        <f t="shared" si="48"/>
        <v>63265</v>
      </c>
      <c r="AL95" s="2" t="e">
        <f>IF(AND(Y52&gt;=$W$9,Y52&lt;=$W$9+5),0,IF($C$9&gt;$AF$51,ROUND(AI55*#REF!/(DATEVALUE(CONCATENATE("01/01/",YEAR(Z52)+1))-DATEVALUE(CONCATENATE("01/01/",YEAR(Z52))))*(Z52-Z51),2),0))</f>
        <v>#REF!</v>
      </c>
      <c r="AM95" s="34">
        <f t="shared" si="54"/>
        <v>14930</v>
      </c>
      <c r="AN95" s="57">
        <f t="shared" si="53"/>
        <v>61805</v>
      </c>
      <c r="AO95" s="130">
        <f t="shared" si="73"/>
        <v>0</v>
      </c>
      <c r="AP95" s="109">
        <f t="shared" si="89"/>
        <v>87</v>
      </c>
      <c r="AQ95" s="110">
        <f t="shared" si="65"/>
        <v>46931</v>
      </c>
      <c r="AR95" s="177">
        <f t="shared" si="55"/>
        <v>0.155</v>
      </c>
      <c r="AS95" s="105">
        <f t="shared" si="74"/>
        <v>0</v>
      </c>
      <c r="AT95" s="105">
        <f t="shared" si="82"/>
        <v>0</v>
      </c>
      <c r="AU95" s="105">
        <f t="shared" si="83"/>
        <v>0</v>
      </c>
      <c r="AV95" s="105">
        <f t="shared" si="77"/>
        <v>0</v>
      </c>
      <c r="AW95" s="105">
        <f t="shared" si="66"/>
        <v>0</v>
      </c>
      <c r="AX95" s="105">
        <v>0</v>
      </c>
      <c r="AY95" s="105">
        <f t="shared" si="96"/>
        <v>0</v>
      </c>
      <c r="AZ95" s="105">
        <f t="shared" si="94"/>
        <v>0</v>
      </c>
      <c r="BA95" s="105">
        <f t="shared" si="92"/>
        <v>0</v>
      </c>
      <c r="BB95" s="105"/>
      <c r="BC95" s="105"/>
      <c r="BD95" s="105"/>
      <c r="BE95" s="105"/>
      <c r="BF95" s="105"/>
      <c r="BG95" s="105">
        <f t="shared" si="78"/>
        <v>0</v>
      </c>
      <c r="BH95" s="108">
        <f t="shared" si="90"/>
        <v>0</v>
      </c>
      <c r="BI95" s="108">
        <f t="shared" si="84"/>
        <v>0</v>
      </c>
      <c r="BJ95" s="22">
        <f t="shared" si="85"/>
        <v>46931</v>
      </c>
      <c r="BK95" s="108">
        <f t="shared" si="67"/>
        <v>0</v>
      </c>
      <c r="BL95" s="2" t="e">
        <f>IF(AND(G50&gt;=$W$9,G50&lt;=$W$9+5),0,IF($C$9&gt;$AF$51,ROUND(BG49*IF(#REF!="",0,#REF!)/(DATEVALUE(CONCATENATE("01/01/",YEAR(AQ50)+1))-DATEVALUE(CONCATENATE("01/01/",YEAR(AQ50))))*(AQ50-AQ49),2),0))</f>
        <v>#REF!</v>
      </c>
    </row>
    <row r="96" spans="1:64" s="16" customFormat="1" hidden="1" x14ac:dyDescent="0.3">
      <c r="A96" s="178"/>
      <c r="B96" s="178"/>
      <c r="C96" s="178"/>
      <c r="D96" s="178"/>
      <c r="E96" s="178"/>
      <c r="F96" s="184"/>
      <c r="G96" s="114">
        <f t="shared" si="86"/>
        <v>88</v>
      </c>
      <c r="H96" s="111">
        <f t="shared" si="62"/>
        <v>46961</v>
      </c>
      <c r="I96" s="176">
        <f t="shared" si="79"/>
        <v>5.9000000000000004E-2</v>
      </c>
      <c r="J96" s="24">
        <f t="shared" si="68"/>
        <v>0</v>
      </c>
      <c r="K96" s="24">
        <f t="shared" si="61"/>
        <v>0</v>
      </c>
      <c r="L96" s="24">
        <f t="shared" si="63"/>
        <v>0</v>
      </c>
      <c r="M96" s="24">
        <f t="shared" si="87"/>
        <v>0</v>
      </c>
      <c r="N96" s="24">
        <f t="shared" si="64"/>
        <v>0</v>
      </c>
      <c r="O96" s="24">
        <v>0</v>
      </c>
      <c r="P96" s="24">
        <f t="shared" si="95"/>
        <v>0</v>
      </c>
      <c r="Q96" s="24">
        <f t="shared" si="93"/>
        <v>0</v>
      </c>
      <c r="R96" s="24">
        <f t="shared" si="70"/>
        <v>0</v>
      </c>
      <c r="S96" s="24">
        <f t="shared" si="81"/>
        <v>0</v>
      </c>
      <c r="T96" s="24"/>
      <c r="U96" s="36">
        <f t="shared" si="88"/>
        <v>0</v>
      </c>
      <c r="V96" s="36">
        <f t="shared" si="72"/>
        <v>0</v>
      </c>
      <c r="W96" s="2" t="e">
        <f>IF(AND(G61&gt;=$W$9,G61&lt;=$W$9+5),0,IF($C$9&gt;$AF$51,ROUND(S60*#REF!/(DATEVALUE(CONCATENATE("01/01/",YEAR(H61)+1))-DATEVALUE(CONCATENATE("01/01/",YEAR(H61))))*(H61-H60),2),0))</f>
        <v>#REF!</v>
      </c>
      <c r="X96" s="34">
        <f t="shared" si="52"/>
        <v>12974</v>
      </c>
      <c r="Y96" s="57">
        <f t="shared" si="48"/>
        <v>63630</v>
      </c>
      <c r="AL96" s="2" t="e">
        <f>IF(AND(Y53&gt;=$W$9,Y53&lt;=$W$9+5),0,IF($C$9&gt;$AF$51,ROUND(AI56*#REF!/(DATEVALUE(CONCATENATE("01/01/",YEAR(Z53)+1))-DATEVALUE(CONCATENATE("01/01/",YEAR(Z53))))*(Z53-Z52),2),0))</f>
        <v>#REF!</v>
      </c>
      <c r="AM96" s="34">
        <f t="shared" si="54"/>
        <v>14930</v>
      </c>
      <c r="AN96" s="57">
        <f t="shared" si="53"/>
        <v>62170</v>
      </c>
      <c r="AO96" s="130">
        <f t="shared" si="73"/>
        <v>0</v>
      </c>
      <c r="AP96" s="109">
        <f t="shared" si="89"/>
        <v>88</v>
      </c>
      <c r="AQ96" s="110">
        <f t="shared" si="65"/>
        <v>46961</v>
      </c>
      <c r="AR96" s="177">
        <f t="shared" si="55"/>
        <v>0.155</v>
      </c>
      <c r="AS96" s="105">
        <f t="shared" si="74"/>
        <v>0</v>
      </c>
      <c r="AT96" s="105">
        <f t="shared" si="82"/>
        <v>0</v>
      </c>
      <c r="AU96" s="105">
        <f t="shared" si="83"/>
        <v>0</v>
      </c>
      <c r="AV96" s="105">
        <f t="shared" si="77"/>
        <v>0</v>
      </c>
      <c r="AW96" s="105">
        <f t="shared" si="66"/>
        <v>0</v>
      </c>
      <c r="AX96" s="105">
        <v>0</v>
      </c>
      <c r="AY96" s="105">
        <f t="shared" si="96"/>
        <v>0</v>
      </c>
      <c r="AZ96" s="105">
        <f t="shared" si="94"/>
        <v>0</v>
      </c>
      <c r="BA96" s="105">
        <f t="shared" si="92"/>
        <v>0</v>
      </c>
      <c r="BB96" s="105"/>
      <c r="BC96" s="105"/>
      <c r="BD96" s="105"/>
      <c r="BE96" s="105"/>
      <c r="BF96" s="105"/>
      <c r="BG96" s="105">
        <f t="shared" si="78"/>
        <v>0</v>
      </c>
      <c r="BH96" s="108">
        <f t="shared" si="90"/>
        <v>0</v>
      </c>
      <c r="BI96" s="108">
        <f t="shared" si="84"/>
        <v>0</v>
      </c>
      <c r="BJ96" s="22">
        <f t="shared" si="85"/>
        <v>46961</v>
      </c>
      <c r="BK96" s="108">
        <f t="shared" si="67"/>
        <v>0</v>
      </c>
      <c r="BL96" s="2" t="e">
        <f>IF(AND(G51&gt;=$W$9,G51&lt;=$W$9+5),0,IF($C$9&gt;$AF$51,ROUND(BG50*IF(#REF!="",0,#REF!)/(DATEVALUE(CONCATENATE("01/01/",YEAR(AQ51)+1))-DATEVALUE(CONCATENATE("01/01/",YEAR(AQ51))))*(AQ51-AQ50),2),0))</f>
        <v>#REF!</v>
      </c>
    </row>
    <row r="97" spans="1:1217" s="16" customFormat="1" hidden="1" x14ac:dyDescent="0.3">
      <c r="A97" s="178"/>
      <c r="B97" s="178"/>
      <c r="C97" s="178"/>
      <c r="D97" s="178"/>
      <c r="E97" s="178"/>
      <c r="F97" s="184"/>
      <c r="G97" s="114">
        <f t="shared" si="86"/>
        <v>89</v>
      </c>
      <c r="H97" s="111">
        <f t="shared" si="62"/>
        <v>46992</v>
      </c>
      <c r="I97" s="176">
        <f t="shared" si="79"/>
        <v>5.9000000000000004E-2</v>
      </c>
      <c r="J97" s="24">
        <f t="shared" si="68"/>
        <v>0</v>
      </c>
      <c r="K97" s="24">
        <f t="shared" si="61"/>
        <v>0</v>
      </c>
      <c r="L97" s="24">
        <f t="shared" si="63"/>
        <v>0</v>
      </c>
      <c r="M97" s="24">
        <f t="shared" si="87"/>
        <v>0</v>
      </c>
      <c r="N97" s="24">
        <f t="shared" si="64"/>
        <v>0</v>
      </c>
      <c r="O97" s="24">
        <v>0</v>
      </c>
      <c r="P97" s="24">
        <f t="shared" si="95"/>
        <v>0</v>
      </c>
      <c r="Q97" s="24">
        <f t="shared" si="93"/>
        <v>0</v>
      </c>
      <c r="R97" s="24">
        <f t="shared" si="70"/>
        <v>0</v>
      </c>
      <c r="S97" s="24">
        <f t="shared" si="81"/>
        <v>0</v>
      </c>
      <c r="T97" s="24"/>
      <c r="U97" s="36">
        <f t="shared" si="88"/>
        <v>0</v>
      </c>
      <c r="V97" s="36">
        <f t="shared" si="72"/>
        <v>0</v>
      </c>
      <c r="W97" s="2" t="e">
        <f>IF(AND(G62&gt;=$W$9,G62&lt;=$W$9+5),0,IF($C$9&gt;$AF$51,ROUND(S61*#REF!/(DATEVALUE(CONCATENATE("01/01/",YEAR(H62)+1))-DATEVALUE(CONCATENATE("01/01/",YEAR(H62))))*(H62-H61),2),0))</f>
        <v>#REF!</v>
      </c>
      <c r="X97" s="34">
        <f t="shared" si="52"/>
        <v>12974</v>
      </c>
      <c r="Y97" s="57">
        <f t="shared" si="48"/>
        <v>63995</v>
      </c>
      <c r="AL97" s="2" t="e">
        <f>IF(AND(Y54&gt;=$W$9,Y54&lt;=$W$9+5),0,IF($C$9&gt;$AF$51,ROUND(AI57*#REF!/(DATEVALUE(CONCATENATE("01/01/",YEAR(Z54)+1))-DATEVALUE(CONCATENATE("01/01/",YEAR(Z54))))*(Z54-Z53),2),0))</f>
        <v>#REF!</v>
      </c>
      <c r="AM97" s="34">
        <f t="shared" si="54"/>
        <v>14930</v>
      </c>
      <c r="AN97" s="57">
        <f t="shared" si="53"/>
        <v>62535</v>
      </c>
      <c r="AO97" s="130">
        <f t="shared" si="73"/>
        <v>0</v>
      </c>
      <c r="AP97" s="109">
        <f t="shared" si="89"/>
        <v>89</v>
      </c>
      <c r="AQ97" s="110">
        <f t="shared" si="65"/>
        <v>46992</v>
      </c>
      <c r="AR97" s="177">
        <f t="shared" si="55"/>
        <v>0.155</v>
      </c>
      <c r="AS97" s="105">
        <f t="shared" si="74"/>
        <v>0</v>
      </c>
      <c r="AT97" s="105">
        <f t="shared" si="82"/>
        <v>0</v>
      </c>
      <c r="AU97" s="105">
        <f t="shared" si="83"/>
        <v>0</v>
      </c>
      <c r="AV97" s="105">
        <f t="shared" si="77"/>
        <v>0</v>
      </c>
      <c r="AW97" s="105">
        <f t="shared" si="66"/>
        <v>0</v>
      </c>
      <c r="AX97" s="105">
        <v>0</v>
      </c>
      <c r="AY97" s="105">
        <f t="shared" si="96"/>
        <v>0</v>
      </c>
      <c r="AZ97" s="105">
        <f t="shared" si="94"/>
        <v>0</v>
      </c>
      <c r="BA97" s="105">
        <f t="shared" si="92"/>
        <v>0</v>
      </c>
      <c r="BB97" s="105"/>
      <c r="BC97" s="105"/>
      <c r="BD97" s="105"/>
      <c r="BE97" s="105"/>
      <c r="BF97" s="105"/>
      <c r="BG97" s="105">
        <f t="shared" si="78"/>
        <v>0</v>
      </c>
      <c r="BH97" s="108">
        <f t="shared" si="90"/>
        <v>0</v>
      </c>
      <c r="BI97" s="108">
        <f t="shared" si="84"/>
        <v>0</v>
      </c>
      <c r="BJ97" s="22">
        <f t="shared" si="85"/>
        <v>46992</v>
      </c>
      <c r="BK97" s="108">
        <f t="shared" si="67"/>
        <v>0</v>
      </c>
      <c r="BL97" s="2" t="e">
        <f>IF(AND(G52&gt;=$W$9,G52&lt;=$W$9+5),0,IF($C$9&gt;$AF$51,ROUND(BG51*IF(#REF!="",0,#REF!)/(DATEVALUE(CONCATENATE("01/01/",YEAR(AQ52)+1))-DATEVALUE(CONCATENATE("01/01/",YEAR(AQ52))))*(AQ52-AQ51),2),0))</f>
        <v>#REF!</v>
      </c>
    </row>
    <row r="98" spans="1:1217" s="16" customFormat="1" hidden="1" x14ac:dyDescent="0.3">
      <c r="A98" s="178"/>
      <c r="B98" s="178"/>
      <c r="C98" s="178"/>
      <c r="D98" s="178"/>
      <c r="E98" s="178"/>
      <c r="F98" s="184"/>
      <c r="G98" s="114">
        <f t="shared" si="86"/>
        <v>90</v>
      </c>
      <c r="H98" s="111">
        <f t="shared" si="62"/>
        <v>47023</v>
      </c>
      <c r="I98" s="176">
        <f t="shared" si="79"/>
        <v>5.9000000000000004E-2</v>
      </c>
      <c r="J98" s="24">
        <f t="shared" si="68"/>
        <v>0</v>
      </c>
      <c r="K98" s="24">
        <f t="shared" si="61"/>
        <v>0</v>
      </c>
      <c r="L98" s="24">
        <f t="shared" si="63"/>
        <v>0</v>
      </c>
      <c r="M98" s="24">
        <f t="shared" si="87"/>
        <v>0</v>
      </c>
      <c r="N98" s="24">
        <f t="shared" si="64"/>
        <v>0</v>
      </c>
      <c r="O98" s="24">
        <v>0</v>
      </c>
      <c r="P98" s="24">
        <f t="shared" si="95"/>
        <v>0</v>
      </c>
      <c r="Q98" s="24">
        <f t="shared" si="93"/>
        <v>0</v>
      </c>
      <c r="R98" s="24">
        <f t="shared" si="70"/>
        <v>0</v>
      </c>
      <c r="S98" s="24">
        <f t="shared" si="81"/>
        <v>0</v>
      </c>
      <c r="T98" s="24"/>
      <c r="U98" s="36">
        <f t="shared" si="88"/>
        <v>0</v>
      </c>
      <c r="V98" s="36">
        <f t="shared" si="72"/>
        <v>0</v>
      </c>
      <c r="W98" s="2" t="e">
        <f>IF(AND(G63&gt;=$W$9,G63&lt;=$W$9+5),0,IF($C$9&gt;$AF$51,ROUND(S62*#REF!/(DATEVALUE(CONCATENATE("01/01/",YEAR(H63)+1))-DATEVALUE(CONCATENATE("01/01/",YEAR(H63))))*(H63-H62),2),0))</f>
        <v>#REF!</v>
      </c>
      <c r="X98" s="34">
        <f t="shared" si="52"/>
        <v>12974</v>
      </c>
      <c r="Y98" s="57">
        <f t="shared" si="48"/>
        <v>64360</v>
      </c>
      <c r="AL98" s="2" t="e">
        <f>IF(AND(Y55&gt;=$W$9,Y55&lt;=$W$9+5),0,IF($C$9&gt;$AF$51,ROUND(AI58*#REF!/(DATEVALUE(CONCATENATE("01/01/",YEAR(Z55)+1))-DATEVALUE(CONCATENATE("01/01/",YEAR(Z55))))*(Z55-Z54),2),0))</f>
        <v>#REF!</v>
      </c>
      <c r="AM98" s="34">
        <f t="shared" si="54"/>
        <v>14930</v>
      </c>
      <c r="AN98" s="57">
        <f t="shared" si="53"/>
        <v>62900</v>
      </c>
      <c r="AO98" s="130">
        <f t="shared" si="73"/>
        <v>0</v>
      </c>
      <c r="AP98" s="109">
        <f t="shared" si="89"/>
        <v>90</v>
      </c>
      <c r="AQ98" s="110">
        <f t="shared" si="65"/>
        <v>47023</v>
      </c>
      <c r="AR98" s="177">
        <f t="shared" si="55"/>
        <v>0.155</v>
      </c>
      <c r="AS98" s="105">
        <f t="shared" si="74"/>
        <v>0</v>
      </c>
      <c r="AT98" s="105">
        <f t="shared" si="82"/>
        <v>0</v>
      </c>
      <c r="AU98" s="105">
        <f t="shared" si="83"/>
        <v>0</v>
      </c>
      <c r="AV98" s="105">
        <f t="shared" si="77"/>
        <v>0</v>
      </c>
      <c r="AW98" s="105">
        <f t="shared" si="66"/>
        <v>0</v>
      </c>
      <c r="AX98" s="105">
        <v>0</v>
      </c>
      <c r="AY98" s="105">
        <f t="shared" si="96"/>
        <v>0</v>
      </c>
      <c r="AZ98" s="105">
        <f t="shared" si="94"/>
        <v>0</v>
      </c>
      <c r="BA98" s="105">
        <f t="shared" si="92"/>
        <v>0</v>
      </c>
      <c r="BB98" s="105"/>
      <c r="BC98" s="105"/>
      <c r="BD98" s="105"/>
      <c r="BE98" s="105"/>
      <c r="BF98" s="105"/>
      <c r="BG98" s="105">
        <f t="shared" si="78"/>
        <v>0</v>
      </c>
      <c r="BH98" s="108">
        <f t="shared" si="90"/>
        <v>0</v>
      </c>
      <c r="BI98" s="108">
        <f t="shared" si="84"/>
        <v>0</v>
      </c>
      <c r="BJ98" s="22">
        <f t="shared" si="85"/>
        <v>47023</v>
      </c>
      <c r="BK98" s="108">
        <f t="shared" si="67"/>
        <v>0</v>
      </c>
      <c r="BL98" s="2" t="e">
        <f>IF(AND(G53&gt;=$W$9,G53&lt;=$W$9+5),0,IF($C$9&gt;$AF$51,ROUND(BG52*IF(#REF!="",0,#REF!)/(DATEVALUE(CONCATENATE("01/01/",YEAR(AQ53)+1))-DATEVALUE(CONCATENATE("01/01/",YEAR(AQ53))))*(AQ53-AQ52),2),0))</f>
        <v>#REF!</v>
      </c>
    </row>
    <row r="99" spans="1:1217" s="16" customFormat="1" hidden="1" x14ac:dyDescent="0.3">
      <c r="A99" s="178"/>
      <c r="B99" s="178"/>
      <c r="C99" s="178"/>
      <c r="D99" s="178"/>
      <c r="E99" s="178"/>
      <c r="F99" s="184"/>
      <c r="G99" s="114">
        <f t="shared" si="86"/>
        <v>91</v>
      </c>
      <c r="H99" s="111">
        <f t="shared" si="62"/>
        <v>47053</v>
      </c>
      <c r="I99" s="176">
        <f t="shared" si="79"/>
        <v>5.9000000000000004E-2</v>
      </c>
      <c r="J99" s="24">
        <f t="shared" si="68"/>
        <v>0</v>
      </c>
      <c r="K99" s="24">
        <f t="shared" si="61"/>
        <v>0</v>
      </c>
      <c r="L99" s="24">
        <f t="shared" si="63"/>
        <v>0</v>
      </c>
      <c r="M99" s="24">
        <f t="shared" si="87"/>
        <v>0</v>
      </c>
      <c r="N99" s="24">
        <f t="shared" si="64"/>
        <v>0</v>
      </c>
      <c r="O99" s="24">
        <v>0</v>
      </c>
      <c r="P99" s="24">
        <f t="shared" si="95"/>
        <v>0</v>
      </c>
      <c r="Q99" s="24">
        <f t="shared" si="93"/>
        <v>0</v>
      </c>
      <c r="R99" s="24">
        <f t="shared" si="70"/>
        <v>0</v>
      </c>
      <c r="S99" s="24">
        <f t="shared" si="81"/>
        <v>0</v>
      </c>
      <c r="T99" s="24"/>
      <c r="U99" s="36">
        <f t="shared" si="88"/>
        <v>0</v>
      </c>
      <c r="V99" s="36">
        <f t="shared" si="72"/>
        <v>0</v>
      </c>
      <c r="W99" s="2" t="e">
        <f>IF(AND(G64&gt;=$W$9,G64&lt;=$W$9+5),0,IF($C$9&gt;$AF$51,ROUND(S63*#REF!/(DATEVALUE(CONCATENATE("01/01/",YEAR(H64)+1))-DATEVALUE(CONCATENATE("01/01/",YEAR(H64))))*(H64-H63),2),0))</f>
        <v>#REF!</v>
      </c>
      <c r="X99" s="34">
        <f t="shared" si="52"/>
        <v>12974</v>
      </c>
      <c r="Y99" s="57">
        <f t="shared" si="48"/>
        <v>64725</v>
      </c>
      <c r="AL99" s="2" t="e">
        <f>IF(AND(Y56&gt;=$W$9,Y56&lt;=$W$9+5),0,IF($C$9&gt;$AF$51,ROUND(AI59*#REF!/(DATEVALUE(CONCATENATE("01/01/",YEAR(Z56)+1))-DATEVALUE(CONCATENATE("01/01/",YEAR(Z56))))*(Z56-Z55),2),0))</f>
        <v>#VALUE!</v>
      </c>
      <c r="AM99" s="34">
        <f t="shared" si="54"/>
        <v>14930</v>
      </c>
      <c r="AN99" s="57">
        <f t="shared" si="53"/>
        <v>63265</v>
      </c>
      <c r="AO99" s="130">
        <f t="shared" si="73"/>
        <v>0</v>
      </c>
      <c r="AP99" s="109">
        <f t="shared" si="89"/>
        <v>91</v>
      </c>
      <c r="AQ99" s="110">
        <f t="shared" si="65"/>
        <v>47053</v>
      </c>
      <c r="AR99" s="177">
        <f t="shared" si="55"/>
        <v>0.155</v>
      </c>
      <c r="AS99" s="105">
        <f t="shared" si="74"/>
        <v>0</v>
      </c>
      <c r="AT99" s="105">
        <f t="shared" si="82"/>
        <v>0</v>
      </c>
      <c r="AU99" s="105">
        <f t="shared" si="83"/>
        <v>0</v>
      </c>
      <c r="AV99" s="105">
        <f t="shared" si="77"/>
        <v>0</v>
      </c>
      <c r="AW99" s="105">
        <f t="shared" si="66"/>
        <v>0</v>
      </c>
      <c r="AX99" s="105">
        <v>0</v>
      </c>
      <c r="AY99" s="105">
        <f t="shared" si="96"/>
        <v>0</v>
      </c>
      <c r="AZ99" s="105">
        <f t="shared" si="94"/>
        <v>0</v>
      </c>
      <c r="BA99" s="105">
        <f t="shared" si="92"/>
        <v>0</v>
      </c>
      <c r="BB99" s="105"/>
      <c r="BC99" s="105"/>
      <c r="BD99" s="105"/>
      <c r="BE99" s="105"/>
      <c r="BF99" s="105"/>
      <c r="BG99" s="105">
        <f t="shared" si="78"/>
        <v>0</v>
      </c>
      <c r="BH99" s="108">
        <f t="shared" si="90"/>
        <v>0</v>
      </c>
      <c r="BI99" s="108">
        <f t="shared" si="84"/>
        <v>0</v>
      </c>
      <c r="BJ99" s="22">
        <f t="shared" si="85"/>
        <v>47053</v>
      </c>
      <c r="BK99" s="108">
        <f t="shared" si="67"/>
        <v>0</v>
      </c>
      <c r="BL99" s="2" t="e">
        <f>IF(AND(G54&gt;=$W$9,G54&lt;=$W$9+5),0,IF($C$9&gt;$AF$51,ROUND(BG53*IF(#REF!="",0,#REF!)/(DATEVALUE(CONCATENATE("01/01/",YEAR(AQ54)+1))-DATEVALUE(CONCATENATE("01/01/",YEAR(AQ54))))*(AQ54-AQ53),2),0))</f>
        <v>#REF!</v>
      </c>
    </row>
    <row r="100" spans="1:1217" s="16" customFormat="1" hidden="1" x14ac:dyDescent="0.3">
      <c r="A100" s="183"/>
      <c r="B100" s="180"/>
      <c r="C100" s="178"/>
      <c r="D100" s="182"/>
      <c r="E100" s="178"/>
      <c r="F100" s="184"/>
      <c r="G100" s="114">
        <f t="shared" si="86"/>
        <v>92</v>
      </c>
      <c r="H100" s="111">
        <f t="shared" si="62"/>
        <v>47084</v>
      </c>
      <c r="I100" s="176">
        <f t="shared" si="79"/>
        <v>5.9000000000000004E-2</v>
      </c>
      <c r="J100" s="24">
        <f t="shared" si="68"/>
        <v>0</v>
      </c>
      <c r="K100" s="24">
        <f t="shared" si="61"/>
        <v>0</v>
      </c>
      <c r="L100" s="24">
        <f t="shared" si="63"/>
        <v>0</v>
      </c>
      <c r="M100" s="24">
        <f t="shared" si="87"/>
        <v>0</v>
      </c>
      <c r="N100" s="24">
        <f t="shared" si="64"/>
        <v>0</v>
      </c>
      <c r="O100" s="24">
        <v>0</v>
      </c>
      <c r="P100" s="24">
        <f t="shared" si="95"/>
        <v>0</v>
      </c>
      <c r="Q100" s="24">
        <f t="shared" si="93"/>
        <v>0</v>
      </c>
      <c r="R100" s="24">
        <f t="shared" si="70"/>
        <v>0</v>
      </c>
      <c r="S100" s="24">
        <f t="shared" si="81"/>
        <v>0</v>
      </c>
      <c r="T100" s="24"/>
      <c r="U100" s="36">
        <f t="shared" si="88"/>
        <v>0</v>
      </c>
      <c r="V100" s="36">
        <f t="shared" si="72"/>
        <v>0</v>
      </c>
      <c r="W100" s="2" t="e">
        <f>IF(AND(G65&gt;=$W$9,G65&lt;=$W$9+5),0,IF($C$9&gt;$AF$51,ROUND(S64*#REF!/(DATEVALUE(CONCATENATE("01/01/",YEAR(H65)+1))-DATEVALUE(CONCATENATE("01/01/",YEAR(H65))))*(H65-H64),2),0))</f>
        <v>#REF!</v>
      </c>
      <c r="X100" s="34">
        <f t="shared" si="52"/>
        <v>12974</v>
      </c>
      <c r="Y100" s="57">
        <f t="shared" si="48"/>
        <v>65090</v>
      </c>
      <c r="AL100" s="2" t="e">
        <f>IF(AND(Y57&gt;=$W$9,Y57&lt;=$W$9+5),0,IF($C$9&gt;$AF$51,ROUND(AI60*#REF!/(DATEVALUE(CONCATENATE("01/01/",YEAR(Z57)+1))-DATEVALUE(CONCATENATE("01/01/",YEAR(Z57))))*(Z57-Z56),2),0))</f>
        <v>#REF!</v>
      </c>
      <c r="AM100" s="34">
        <f t="shared" si="54"/>
        <v>14930</v>
      </c>
      <c r="AN100" s="57">
        <f t="shared" si="53"/>
        <v>63630</v>
      </c>
      <c r="AO100" s="130">
        <f t="shared" si="73"/>
        <v>0</v>
      </c>
      <c r="AP100" s="109">
        <f t="shared" si="89"/>
        <v>92</v>
      </c>
      <c r="AQ100" s="110">
        <f t="shared" si="65"/>
        <v>47084</v>
      </c>
      <c r="AR100" s="177">
        <f t="shared" si="55"/>
        <v>0.155</v>
      </c>
      <c r="AS100" s="105">
        <f t="shared" si="74"/>
        <v>0</v>
      </c>
      <c r="AT100" s="105">
        <f t="shared" si="82"/>
        <v>0</v>
      </c>
      <c r="AU100" s="105">
        <f t="shared" si="83"/>
        <v>0</v>
      </c>
      <c r="AV100" s="105">
        <f t="shared" si="77"/>
        <v>0</v>
      </c>
      <c r="AW100" s="105">
        <f t="shared" si="66"/>
        <v>0</v>
      </c>
      <c r="AX100" s="105">
        <v>0</v>
      </c>
      <c r="AY100" s="105">
        <f t="shared" si="96"/>
        <v>0</v>
      </c>
      <c r="AZ100" s="105">
        <f t="shared" si="94"/>
        <v>0</v>
      </c>
      <c r="BA100" s="105">
        <f t="shared" si="92"/>
        <v>0</v>
      </c>
      <c r="BB100" s="105"/>
      <c r="BC100" s="105"/>
      <c r="BD100" s="105"/>
      <c r="BE100" s="105"/>
      <c r="BF100" s="105"/>
      <c r="BG100" s="105">
        <f t="shared" si="78"/>
        <v>0</v>
      </c>
      <c r="BH100" s="108">
        <f t="shared" si="90"/>
        <v>0</v>
      </c>
      <c r="BI100" s="108">
        <f t="shared" si="84"/>
        <v>0</v>
      </c>
      <c r="BJ100" s="22">
        <f t="shared" si="85"/>
        <v>47084</v>
      </c>
      <c r="BK100" s="108">
        <f t="shared" si="67"/>
        <v>0</v>
      </c>
      <c r="BL100" s="2" t="e">
        <f>IF(AND(G55&gt;=$W$9,G55&lt;=$W$9+5),0,IF($C$9&gt;$AF$51,ROUND(BG54*IF(#REF!="",0,#REF!)/(DATEVALUE(CONCATENATE("01/01/",YEAR(AQ55)+1))-DATEVALUE(CONCATENATE("01/01/",YEAR(AQ55))))*(AQ55-AQ54),2),0))</f>
        <v>#REF!</v>
      </c>
    </row>
    <row r="101" spans="1:1217" s="16" customFormat="1" hidden="1" x14ac:dyDescent="0.3">
      <c r="A101" s="183"/>
      <c r="B101" s="178"/>
      <c r="C101" s="178"/>
      <c r="D101" s="178"/>
      <c r="E101" s="178"/>
      <c r="F101" s="184"/>
      <c r="G101" s="114">
        <f t="shared" si="86"/>
        <v>93</v>
      </c>
      <c r="H101" s="111">
        <f t="shared" si="62"/>
        <v>47114</v>
      </c>
      <c r="I101" s="176">
        <f t="shared" si="79"/>
        <v>5.9000000000000004E-2</v>
      </c>
      <c r="J101" s="24">
        <f t="shared" si="68"/>
        <v>0</v>
      </c>
      <c r="K101" s="24">
        <f t="shared" si="61"/>
        <v>0</v>
      </c>
      <c r="L101" s="24">
        <f t="shared" si="63"/>
        <v>0</v>
      </c>
      <c r="M101" s="24">
        <f t="shared" si="87"/>
        <v>0</v>
      </c>
      <c r="N101" s="24">
        <f t="shared" si="64"/>
        <v>0</v>
      </c>
      <c r="O101" s="24">
        <v>0</v>
      </c>
      <c r="P101" s="24">
        <f t="shared" si="95"/>
        <v>0</v>
      </c>
      <c r="Q101" s="24">
        <f t="shared" si="93"/>
        <v>0</v>
      </c>
      <c r="R101" s="24">
        <f t="shared" si="70"/>
        <v>0</v>
      </c>
      <c r="S101" s="24">
        <f t="shared" si="81"/>
        <v>0</v>
      </c>
      <c r="T101" s="24"/>
      <c r="U101" s="36">
        <f t="shared" si="88"/>
        <v>0</v>
      </c>
      <c r="V101" s="36">
        <f t="shared" si="72"/>
        <v>0</v>
      </c>
      <c r="W101" s="2" t="e">
        <f>IF(AND(G66&gt;=$W$9,G66&lt;=$W$9+5),0,IF($C$9&gt;$AF$51,ROUND(S65*#REF!/(DATEVALUE(CONCATENATE("01/01/",YEAR(H66)+1))-DATEVALUE(CONCATENATE("01/01/",YEAR(H66))))*(H66-H65),2),0))</f>
        <v>#REF!</v>
      </c>
      <c r="X101" s="34">
        <f t="shared" si="52"/>
        <v>12974</v>
      </c>
      <c r="Y101" s="57">
        <f t="shared" si="48"/>
        <v>65455</v>
      </c>
      <c r="AL101" s="2" t="e">
        <f>IF(AND(Y58&gt;=$W$9,Y58&lt;=$W$9+5),0,IF($C$9&gt;$AF$51,ROUND(AI61*#REF!/(DATEVALUE(CONCATENATE("01/01/",YEAR(Z58)+1))-DATEVALUE(CONCATENATE("01/01/",YEAR(Z58))))*(Z58-Z57),2),0))</f>
        <v>#REF!</v>
      </c>
      <c r="AM101" s="34">
        <f t="shared" si="54"/>
        <v>14930</v>
      </c>
      <c r="AN101" s="57">
        <f t="shared" si="53"/>
        <v>63995</v>
      </c>
      <c r="AO101" s="130">
        <f t="shared" si="73"/>
        <v>0</v>
      </c>
      <c r="AP101" s="109">
        <f t="shared" si="89"/>
        <v>93</v>
      </c>
      <c r="AQ101" s="110">
        <f t="shared" si="65"/>
        <v>47114</v>
      </c>
      <c r="AR101" s="177">
        <f t="shared" si="55"/>
        <v>0.155</v>
      </c>
      <c r="AS101" s="105">
        <f t="shared" si="74"/>
        <v>0</v>
      </c>
      <c r="AT101" s="105">
        <f t="shared" si="82"/>
        <v>0</v>
      </c>
      <c r="AU101" s="105">
        <f t="shared" si="83"/>
        <v>0</v>
      </c>
      <c r="AV101" s="105">
        <f t="shared" si="77"/>
        <v>0</v>
      </c>
      <c r="AW101" s="105">
        <f t="shared" si="66"/>
        <v>0</v>
      </c>
      <c r="AX101" s="105">
        <v>0</v>
      </c>
      <c r="AY101" s="105">
        <f t="shared" si="96"/>
        <v>0</v>
      </c>
      <c r="AZ101" s="105">
        <f t="shared" si="94"/>
        <v>0</v>
      </c>
      <c r="BA101" s="105">
        <f t="shared" si="92"/>
        <v>0</v>
      </c>
      <c r="BB101" s="105"/>
      <c r="BC101" s="105"/>
      <c r="BD101" s="105"/>
      <c r="BE101" s="105"/>
      <c r="BF101" s="105"/>
      <c r="BG101" s="105">
        <f t="shared" si="78"/>
        <v>0</v>
      </c>
      <c r="BH101" s="108">
        <f t="shared" si="90"/>
        <v>0</v>
      </c>
      <c r="BI101" s="108">
        <f t="shared" si="84"/>
        <v>0</v>
      </c>
      <c r="BJ101" s="22">
        <f t="shared" si="85"/>
        <v>47114</v>
      </c>
      <c r="BK101" s="108">
        <f t="shared" si="67"/>
        <v>0</v>
      </c>
      <c r="BL101" s="2" t="e">
        <f>IF(AND(G56&gt;=$W$9,G56&lt;=$W$9+5),0,IF($C$9&gt;$AF$51,ROUND(BG55*IF(#REF!="",0,#REF!)/(DATEVALUE(CONCATENATE("01/01/",YEAR(AQ56)+1))-DATEVALUE(CONCATENATE("01/01/",YEAR(AQ56))))*(AQ56-AQ55),2),0))</f>
        <v>#REF!</v>
      </c>
    </row>
    <row r="102" spans="1:1217" s="16" customFormat="1" hidden="1" x14ac:dyDescent="0.3">
      <c r="A102" s="178"/>
      <c r="B102" s="178"/>
      <c r="C102" s="184"/>
      <c r="D102" s="184"/>
      <c r="E102" s="178"/>
      <c r="F102" s="184"/>
      <c r="G102" s="114">
        <f t="shared" si="86"/>
        <v>94</v>
      </c>
      <c r="H102" s="111">
        <f t="shared" si="62"/>
        <v>47145</v>
      </c>
      <c r="I102" s="176">
        <f t="shared" si="79"/>
        <v>5.9000000000000004E-2</v>
      </c>
      <c r="J102" s="24">
        <f t="shared" si="68"/>
        <v>0</v>
      </c>
      <c r="K102" s="24">
        <f t="shared" si="61"/>
        <v>0</v>
      </c>
      <c r="L102" s="24">
        <f t="shared" si="63"/>
        <v>0</v>
      </c>
      <c r="M102" s="24">
        <f t="shared" si="87"/>
        <v>0</v>
      </c>
      <c r="N102" s="24">
        <f t="shared" si="64"/>
        <v>0</v>
      </c>
      <c r="O102" s="24">
        <v>0</v>
      </c>
      <c r="P102" s="24">
        <f t="shared" si="95"/>
        <v>0</v>
      </c>
      <c r="Q102" s="24">
        <f t="shared" si="93"/>
        <v>0</v>
      </c>
      <c r="R102" s="24">
        <f t="shared" si="70"/>
        <v>0</v>
      </c>
      <c r="S102" s="24">
        <f t="shared" si="81"/>
        <v>0</v>
      </c>
      <c r="T102" s="24"/>
      <c r="U102" s="36">
        <f t="shared" si="88"/>
        <v>0</v>
      </c>
      <c r="V102" s="36">
        <f t="shared" si="72"/>
        <v>0</v>
      </c>
      <c r="W102" s="2" t="e">
        <f>IF(AND(G67&gt;=$W$9,G67&lt;=$W$9+5),0,IF($C$9&gt;$AF$51,ROUND(S66*#REF!/(DATEVALUE(CONCATENATE("01/01/",YEAR(H67)+1))-DATEVALUE(CONCATENATE("01/01/",YEAR(H67))))*(H67-H66),2),0))</f>
        <v>#REF!</v>
      </c>
      <c r="X102" s="34">
        <f t="shared" si="52"/>
        <v>12974</v>
      </c>
      <c r="Y102" s="57">
        <f t="shared" si="48"/>
        <v>65820</v>
      </c>
      <c r="AL102" s="2" t="e">
        <f>IF(AND(Y59&gt;=$W$9,Y59&lt;=$W$9+5),0,IF($C$9&gt;$AF$51,ROUND(AI62*#REF!/(DATEVALUE(CONCATENATE("01/01/",YEAR(Z59)+1))-DATEVALUE(CONCATENATE("01/01/",YEAR(Z59))))*(Z59-Z58),2),0))</f>
        <v>#REF!</v>
      </c>
      <c r="AM102" s="34">
        <f t="shared" si="54"/>
        <v>14930</v>
      </c>
      <c r="AN102" s="57">
        <f t="shared" si="53"/>
        <v>64360</v>
      </c>
      <c r="AO102" s="130">
        <f t="shared" si="73"/>
        <v>0</v>
      </c>
      <c r="AP102" s="109">
        <f t="shared" si="89"/>
        <v>94</v>
      </c>
      <c r="AQ102" s="110">
        <f t="shared" si="65"/>
        <v>47145</v>
      </c>
      <c r="AR102" s="177">
        <f t="shared" si="55"/>
        <v>0.155</v>
      </c>
      <c r="AS102" s="105">
        <f t="shared" si="74"/>
        <v>0</v>
      </c>
      <c r="AT102" s="105">
        <f t="shared" si="82"/>
        <v>0</v>
      </c>
      <c r="AU102" s="105">
        <f t="shared" si="83"/>
        <v>0</v>
      </c>
      <c r="AV102" s="105">
        <f t="shared" si="77"/>
        <v>0</v>
      </c>
      <c r="AW102" s="105">
        <f t="shared" si="66"/>
        <v>0</v>
      </c>
      <c r="AX102" s="105">
        <v>0</v>
      </c>
      <c r="AY102" s="105">
        <f t="shared" si="96"/>
        <v>0</v>
      </c>
      <c r="AZ102" s="105">
        <f t="shared" si="94"/>
        <v>0</v>
      </c>
      <c r="BA102" s="105">
        <f t="shared" si="92"/>
        <v>0</v>
      </c>
      <c r="BB102" s="105"/>
      <c r="BC102" s="105"/>
      <c r="BD102" s="105"/>
      <c r="BE102" s="105"/>
      <c r="BF102" s="105"/>
      <c r="BG102" s="105">
        <f t="shared" si="78"/>
        <v>0</v>
      </c>
      <c r="BH102" s="108">
        <f t="shared" si="90"/>
        <v>0</v>
      </c>
      <c r="BI102" s="108">
        <f t="shared" si="84"/>
        <v>0</v>
      </c>
      <c r="BJ102" s="22">
        <f t="shared" si="85"/>
        <v>47145</v>
      </c>
      <c r="BK102" s="108">
        <f t="shared" si="67"/>
        <v>0</v>
      </c>
      <c r="BL102" s="2" t="e">
        <f>IF(AND(G57&gt;=$W$9,G57&lt;=$W$9+5),0,IF($C$9&gt;$AF$51,ROUND(BG56*IF(#REF!="",0,#REF!)/(DATEVALUE(CONCATENATE("01/01/",YEAR(AQ57)+1))-DATEVALUE(CONCATENATE("01/01/",YEAR(AQ57))))*(AQ57-AQ56),2),0))</f>
        <v>#REF!</v>
      </c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  <c r="AAB102" s="2"/>
      <c r="AAC102" s="2"/>
      <c r="AAD102" s="2"/>
      <c r="AAE102" s="2"/>
      <c r="AAF102" s="2"/>
      <c r="AAG102" s="2"/>
      <c r="AAH102" s="2"/>
      <c r="AAI102" s="2"/>
      <c r="AAJ102" s="2"/>
      <c r="AAK102" s="2"/>
      <c r="AAL102" s="2"/>
      <c r="AAM102" s="2"/>
      <c r="AAN102" s="2"/>
      <c r="AAO102" s="2"/>
      <c r="AAP102" s="2"/>
      <c r="AAQ102" s="2"/>
      <c r="AAR102" s="2"/>
      <c r="AAS102" s="2"/>
      <c r="AAT102" s="2"/>
      <c r="AAU102" s="2"/>
      <c r="AAV102" s="2"/>
      <c r="AAW102" s="2"/>
      <c r="AAX102" s="2"/>
      <c r="AAY102" s="2"/>
      <c r="AAZ102" s="2"/>
      <c r="ABA102" s="2"/>
      <c r="ABB102" s="2"/>
      <c r="ABC102" s="2"/>
      <c r="ABD102" s="2"/>
      <c r="ABE102" s="2"/>
      <c r="ABF102" s="2"/>
      <c r="ABG102" s="2"/>
      <c r="ABH102" s="2"/>
      <c r="ABI102" s="2"/>
      <c r="ABJ102" s="2"/>
      <c r="ABK102" s="2"/>
      <c r="ABL102" s="2"/>
      <c r="ABM102" s="2"/>
      <c r="ABN102" s="2"/>
      <c r="ABO102" s="2"/>
      <c r="ABP102" s="2"/>
      <c r="ABQ102" s="2"/>
      <c r="ABR102" s="2"/>
      <c r="ABS102" s="2"/>
      <c r="ABT102" s="2"/>
      <c r="ABU102" s="2"/>
      <c r="ABV102" s="2"/>
      <c r="ABW102" s="2"/>
      <c r="ABX102" s="2"/>
      <c r="ABY102" s="2"/>
      <c r="ABZ102" s="2"/>
      <c r="ACA102" s="2"/>
      <c r="ACB102" s="2"/>
      <c r="ACC102" s="2"/>
      <c r="ACD102" s="2"/>
      <c r="ACE102" s="2"/>
      <c r="ACF102" s="2"/>
      <c r="ACG102" s="2"/>
      <c r="ACH102" s="2"/>
      <c r="ACI102" s="2"/>
      <c r="ACJ102" s="2"/>
      <c r="ACK102" s="2"/>
      <c r="ACL102" s="2"/>
      <c r="ACM102" s="2"/>
      <c r="ACN102" s="2"/>
      <c r="ACO102" s="2"/>
      <c r="ACP102" s="2"/>
      <c r="ACQ102" s="2"/>
      <c r="ACR102" s="2"/>
      <c r="ACS102" s="2"/>
      <c r="ACT102" s="2"/>
      <c r="ACU102" s="2"/>
      <c r="ACV102" s="2"/>
      <c r="ACW102" s="2"/>
      <c r="ACX102" s="2"/>
      <c r="ACY102" s="2"/>
      <c r="ACZ102" s="2"/>
      <c r="ADA102" s="2"/>
      <c r="ADB102" s="2"/>
      <c r="ADC102" s="2"/>
      <c r="ADD102" s="2"/>
      <c r="ADE102" s="2"/>
      <c r="ADF102" s="2"/>
      <c r="ADG102" s="2"/>
      <c r="ADH102" s="2"/>
      <c r="ADI102" s="2"/>
      <c r="ADJ102" s="2"/>
      <c r="ADK102" s="2"/>
      <c r="ADL102" s="2"/>
      <c r="ADM102" s="2"/>
      <c r="ADN102" s="2"/>
      <c r="ADO102" s="2"/>
      <c r="ADP102" s="2"/>
      <c r="ADQ102" s="2"/>
      <c r="ADR102" s="2"/>
      <c r="ADS102" s="2"/>
      <c r="ADT102" s="2"/>
      <c r="ADU102" s="2"/>
      <c r="ADV102" s="2"/>
      <c r="ADW102" s="2"/>
      <c r="ADX102" s="2"/>
      <c r="ADY102" s="2"/>
      <c r="ADZ102" s="2"/>
      <c r="AEA102" s="2"/>
      <c r="AEB102" s="2"/>
      <c r="AEC102" s="2"/>
      <c r="AED102" s="2"/>
      <c r="AEE102" s="2"/>
      <c r="AEF102" s="2"/>
      <c r="AEG102" s="2"/>
      <c r="AEH102" s="2"/>
      <c r="AEI102" s="2"/>
      <c r="AEJ102" s="2"/>
      <c r="AEK102" s="2"/>
      <c r="AEL102" s="2"/>
      <c r="AEM102" s="2"/>
      <c r="AEN102" s="2"/>
      <c r="AEO102" s="2"/>
      <c r="AEP102" s="2"/>
      <c r="AEQ102" s="2"/>
      <c r="AER102" s="2"/>
      <c r="AES102" s="2"/>
      <c r="AET102" s="2"/>
      <c r="AEU102" s="2"/>
      <c r="AEV102" s="2"/>
      <c r="AEW102" s="2"/>
      <c r="AEX102" s="2"/>
      <c r="AEY102" s="2"/>
      <c r="AEZ102" s="2"/>
      <c r="AFA102" s="2"/>
      <c r="AFB102" s="2"/>
      <c r="AFC102" s="2"/>
      <c r="AFD102" s="2"/>
      <c r="AFE102" s="2"/>
      <c r="AFF102" s="2"/>
      <c r="AFG102" s="2"/>
      <c r="AFH102" s="2"/>
      <c r="AFI102" s="2"/>
      <c r="AFJ102" s="2"/>
      <c r="AFK102" s="2"/>
      <c r="AFL102" s="2"/>
      <c r="AFM102" s="2"/>
      <c r="AFN102" s="2"/>
      <c r="AFO102" s="2"/>
      <c r="AFP102" s="2"/>
      <c r="AFQ102" s="2"/>
      <c r="AFR102" s="2"/>
      <c r="AFS102" s="2"/>
      <c r="AFT102" s="2"/>
      <c r="AFU102" s="2"/>
      <c r="AFV102" s="2"/>
      <c r="AFW102" s="2"/>
      <c r="AFX102" s="2"/>
      <c r="AFY102" s="2"/>
      <c r="AFZ102" s="2"/>
      <c r="AGA102" s="2"/>
      <c r="AGB102" s="2"/>
      <c r="AGC102" s="2"/>
      <c r="AGD102" s="2"/>
      <c r="AGE102" s="2"/>
      <c r="AGF102" s="2"/>
      <c r="AGG102" s="2"/>
      <c r="AGH102" s="2"/>
      <c r="AGI102" s="2"/>
      <c r="AGJ102" s="2"/>
      <c r="AGK102" s="2"/>
      <c r="AGL102" s="2"/>
      <c r="AGM102" s="2"/>
      <c r="AGN102" s="2"/>
      <c r="AGO102" s="2"/>
      <c r="AGP102" s="2"/>
      <c r="AGQ102" s="2"/>
      <c r="AGR102" s="2"/>
      <c r="AGS102" s="2"/>
      <c r="AGT102" s="2"/>
      <c r="AGU102" s="2"/>
      <c r="AGV102" s="2"/>
      <c r="AGW102" s="2"/>
      <c r="AGX102" s="2"/>
      <c r="AGY102" s="2"/>
      <c r="AGZ102" s="2"/>
      <c r="AHA102" s="2"/>
      <c r="AHB102" s="2"/>
      <c r="AHC102" s="2"/>
      <c r="AHD102" s="2"/>
      <c r="AHE102" s="2"/>
      <c r="AHF102" s="2"/>
      <c r="AHG102" s="2"/>
      <c r="AHH102" s="2"/>
      <c r="AHI102" s="2"/>
      <c r="AHJ102" s="2"/>
      <c r="AHK102" s="2"/>
      <c r="AHL102" s="2"/>
      <c r="AHM102" s="2"/>
      <c r="AHN102" s="2"/>
      <c r="AHO102" s="2"/>
      <c r="AHP102" s="2"/>
      <c r="AHQ102" s="2"/>
      <c r="AHR102" s="2"/>
      <c r="AHS102" s="2"/>
      <c r="AHT102" s="2"/>
      <c r="AHU102" s="2"/>
      <c r="AHV102" s="2"/>
      <c r="AHW102" s="2"/>
      <c r="AHX102" s="2"/>
      <c r="AHY102" s="2"/>
      <c r="AHZ102" s="2"/>
      <c r="AIA102" s="2"/>
      <c r="AIB102" s="2"/>
      <c r="AIC102" s="2"/>
      <c r="AID102" s="2"/>
      <c r="AIE102" s="2"/>
      <c r="AIF102" s="2"/>
      <c r="AIG102" s="2"/>
      <c r="AIH102" s="2"/>
      <c r="AII102" s="2"/>
      <c r="AIJ102" s="2"/>
      <c r="AIK102" s="2"/>
      <c r="AIL102" s="2"/>
      <c r="AIM102" s="2"/>
      <c r="AIN102" s="2"/>
      <c r="AIO102" s="2"/>
      <c r="AIP102" s="2"/>
      <c r="AIQ102" s="2"/>
      <c r="AIR102" s="2"/>
      <c r="AIS102" s="2"/>
      <c r="AIT102" s="2"/>
      <c r="AIU102" s="2"/>
      <c r="AIV102" s="2"/>
      <c r="AIW102" s="2"/>
      <c r="AIX102" s="2"/>
      <c r="AIY102" s="2"/>
      <c r="AIZ102" s="2"/>
      <c r="AJA102" s="2"/>
      <c r="AJB102" s="2"/>
      <c r="AJC102" s="2"/>
      <c r="AJD102" s="2"/>
      <c r="AJE102" s="2"/>
      <c r="AJF102" s="2"/>
      <c r="AJG102" s="2"/>
      <c r="AJH102" s="2"/>
      <c r="AJI102" s="2"/>
      <c r="AJJ102" s="2"/>
      <c r="AJK102" s="2"/>
      <c r="AJL102" s="2"/>
      <c r="AJM102" s="2"/>
      <c r="AJN102" s="2"/>
      <c r="AJO102" s="2"/>
      <c r="AJP102" s="2"/>
      <c r="AJQ102" s="2"/>
      <c r="AJR102" s="2"/>
      <c r="AJS102" s="2"/>
      <c r="AJT102" s="2"/>
      <c r="AJU102" s="2"/>
      <c r="AJV102" s="2"/>
      <c r="AJW102" s="2"/>
      <c r="AJX102" s="2"/>
      <c r="AJY102" s="2"/>
      <c r="AJZ102" s="2"/>
      <c r="AKA102" s="2"/>
      <c r="AKB102" s="2"/>
      <c r="AKC102" s="2"/>
      <c r="AKD102" s="2"/>
      <c r="AKE102" s="2"/>
      <c r="AKF102" s="2"/>
      <c r="AKG102" s="2"/>
      <c r="AKH102" s="2"/>
      <c r="AKI102" s="2"/>
      <c r="AKJ102" s="2"/>
      <c r="AKK102" s="2"/>
      <c r="AKL102" s="2"/>
      <c r="AKM102" s="2"/>
      <c r="AKN102" s="2"/>
      <c r="AKO102" s="2"/>
      <c r="AKP102" s="2"/>
      <c r="AKQ102" s="2"/>
      <c r="AKR102" s="2"/>
      <c r="AKS102" s="2"/>
      <c r="AKT102" s="2"/>
      <c r="AKU102" s="2"/>
      <c r="AKV102" s="2"/>
      <c r="AKW102" s="2"/>
      <c r="AKX102" s="2"/>
      <c r="AKY102" s="2"/>
      <c r="AKZ102" s="2"/>
      <c r="ALA102" s="2"/>
      <c r="ALB102" s="2"/>
      <c r="ALC102" s="2"/>
      <c r="ALD102" s="2"/>
      <c r="ALE102" s="2"/>
      <c r="ALF102" s="2"/>
      <c r="ALG102" s="2"/>
      <c r="ALH102" s="2"/>
      <c r="ALI102" s="2"/>
      <c r="ALJ102" s="2"/>
      <c r="ALK102" s="2"/>
      <c r="ALL102" s="2"/>
      <c r="ALM102" s="2"/>
      <c r="ALN102" s="2"/>
      <c r="ALO102" s="2"/>
      <c r="ALP102" s="2"/>
      <c r="ALQ102" s="2"/>
      <c r="ALR102" s="2"/>
      <c r="ALS102" s="2"/>
      <c r="ALT102" s="2"/>
      <c r="ALU102" s="2"/>
      <c r="ALV102" s="2"/>
      <c r="ALW102" s="2"/>
      <c r="ALX102" s="2"/>
      <c r="ALY102" s="2"/>
      <c r="ALZ102" s="2"/>
      <c r="AMA102" s="2"/>
      <c r="AMB102" s="2"/>
      <c r="AMC102" s="2"/>
      <c r="AMD102" s="2"/>
      <c r="AME102" s="2"/>
      <c r="AMF102" s="2"/>
      <c r="AMG102" s="2"/>
      <c r="AMH102" s="2"/>
      <c r="AMI102" s="2"/>
      <c r="AMJ102" s="2"/>
      <c r="AMK102" s="2"/>
      <c r="AML102" s="2"/>
      <c r="AMM102" s="2"/>
      <c r="AMN102" s="2"/>
      <c r="AMO102" s="2"/>
      <c r="AMP102" s="2"/>
      <c r="AMQ102" s="2"/>
      <c r="AMR102" s="2"/>
      <c r="AMS102" s="2"/>
      <c r="AMT102" s="2"/>
      <c r="AMU102" s="2"/>
      <c r="AMV102" s="2"/>
      <c r="AMW102" s="2"/>
      <c r="AMX102" s="2"/>
      <c r="AMY102" s="2"/>
      <c r="AMZ102" s="2"/>
      <c r="ANA102" s="2"/>
      <c r="ANB102" s="2"/>
      <c r="ANC102" s="2"/>
      <c r="AND102" s="2"/>
      <c r="ANE102" s="2"/>
      <c r="ANF102" s="2"/>
      <c r="ANG102" s="2"/>
      <c r="ANH102" s="2"/>
      <c r="ANI102" s="2"/>
      <c r="ANJ102" s="2"/>
      <c r="ANK102" s="2"/>
      <c r="ANL102" s="2"/>
      <c r="ANM102" s="2"/>
      <c r="ANN102" s="2"/>
      <c r="ANO102" s="2"/>
      <c r="ANP102" s="2"/>
      <c r="ANQ102" s="2"/>
      <c r="ANR102" s="2"/>
      <c r="ANS102" s="2"/>
      <c r="ANT102" s="2"/>
      <c r="ANU102" s="2"/>
      <c r="ANV102" s="2"/>
      <c r="ANW102" s="2"/>
      <c r="ANX102" s="2"/>
      <c r="ANY102" s="2"/>
      <c r="ANZ102" s="2"/>
      <c r="AOA102" s="2"/>
      <c r="AOB102" s="2"/>
      <c r="AOC102" s="2"/>
      <c r="AOD102" s="2"/>
      <c r="AOE102" s="2"/>
      <c r="AOF102" s="2"/>
      <c r="AOG102" s="2"/>
      <c r="AOH102" s="2"/>
      <c r="AOI102" s="2"/>
      <c r="AOJ102" s="2"/>
      <c r="AOK102" s="2"/>
      <c r="AOL102" s="2"/>
      <c r="AOM102" s="2"/>
      <c r="AON102" s="2"/>
      <c r="AOO102" s="2"/>
      <c r="AOP102" s="2"/>
      <c r="AOQ102" s="2"/>
      <c r="AOR102" s="2"/>
      <c r="AOS102" s="2"/>
      <c r="AOT102" s="2"/>
      <c r="AOU102" s="2"/>
      <c r="AOV102" s="2"/>
      <c r="AOW102" s="2"/>
      <c r="AOX102" s="2"/>
      <c r="AOY102" s="2"/>
      <c r="AOZ102" s="2"/>
      <c r="APA102" s="2"/>
      <c r="APB102" s="2"/>
      <c r="APC102" s="2"/>
      <c r="APD102" s="2"/>
      <c r="APE102" s="2"/>
      <c r="APF102" s="2"/>
      <c r="APG102" s="2"/>
      <c r="APH102" s="2"/>
      <c r="API102" s="2"/>
      <c r="APJ102" s="2"/>
      <c r="APK102" s="2"/>
      <c r="APL102" s="2"/>
      <c r="APM102" s="2"/>
      <c r="APN102" s="2"/>
      <c r="APO102" s="2"/>
      <c r="APP102" s="2"/>
      <c r="APQ102" s="2"/>
      <c r="APR102" s="2"/>
      <c r="APS102" s="2"/>
      <c r="APT102" s="2"/>
      <c r="APU102" s="2"/>
      <c r="APV102" s="2"/>
      <c r="APW102" s="2"/>
      <c r="APX102" s="2"/>
      <c r="APY102" s="2"/>
      <c r="APZ102" s="2"/>
      <c r="AQA102" s="2"/>
      <c r="AQB102" s="2"/>
      <c r="AQC102" s="2"/>
      <c r="AQD102" s="2"/>
      <c r="AQE102" s="2"/>
      <c r="AQF102" s="2"/>
      <c r="AQG102" s="2"/>
      <c r="AQH102" s="2"/>
      <c r="AQI102" s="2"/>
      <c r="AQJ102" s="2"/>
      <c r="AQK102" s="2"/>
      <c r="AQL102" s="2"/>
      <c r="AQM102" s="2"/>
      <c r="AQN102" s="2"/>
      <c r="AQO102" s="2"/>
      <c r="AQP102" s="2"/>
      <c r="AQQ102" s="2"/>
      <c r="AQR102" s="2"/>
      <c r="AQS102" s="2"/>
      <c r="AQT102" s="2"/>
      <c r="AQU102" s="2"/>
      <c r="AQV102" s="2"/>
      <c r="AQW102" s="2"/>
      <c r="AQX102" s="2"/>
      <c r="AQY102" s="2"/>
      <c r="AQZ102" s="2"/>
      <c r="ARA102" s="2"/>
      <c r="ARB102" s="2"/>
      <c r="ARC102" s="2"/>
      <c r="ARD102" s="2"/>
      <c r="ARE102" s="2"/>
      <c r="ARF102" s="2"/>
      <c r="ARG102" s="2"/>
      <c r="ARH102" s="2"/>
      <c r="ARI102" s="2"/>
      <c r="ARJ102" s="2"/>
      <c r="ARK102" s="2"/>
      <c r="ARL102" s="2"/>
      <c r="ARM102" s="2"/>
      <c r="ARN102" s="2"/>
      <c r="ARO102" s="2"/>
      <c r="ARP102" s="2"/>
      <c r="ARQ102" s="2"/>
      <c r="ARR102" s="2"/>
      <c r="ARS102" s="2"/>
      <c r="ART102" s="2"/>
      <c r="ARU102" s="2"/>
      <c r="ARV102" s="2"/>
      <c r="ARW102" s="2"/>
      <c r="ARX102" s="2"/>
      <c r="ARY102" s="2"/>
      <c r="ARZ102" s="2"/>
      <c r="ASA102" s="2"/>
      <c r="ASB102" s="2"/>
      <c r="ASC102" s="2"/>
      <c r="ASD102" s="2"/>
      <c r="ASE102" s="2"/>
      <c r="ASF102" s="2"/>
      <c r="ASG102" s="2"/>
      <c r="ASH102" s="2"/>
      <c r="ASI102" s="2"/>
      <c r="ASJ102" s="2"/>
      <c r="ASK102" s="2"/>
      <c r="ASL102" s="2"/>
      <c r="ASM102" s="2"/>
      <c r="ASN102" s="2"/>
      <c r="ASO102" s="2"/>
      <c r="ASP102" s="2"/>
      <c r="ASQ102" s="2"/>
      <c r="ASR102" s="2"/>
      <c r="ASS102" s="2"/>
      <c r="AST102" s="2"/>
      <c r="ASU102" s="2"/>
      <c r="ASV102" s="2"/>
      <c r="ASW102" s="2"/>
      <c r="ASX102" s="2"/>
      <c r="ASY102" s="2"/>
      <c r="ASZ102" s="2"/>
      <c r="ATA102" s="2"/>
      <c r="ATB102" s="2"/>
      <c r="ATC102" s="2"/>
      <c r="ATD102" s="2"/>
      <c r="ATE102" s="2"/>
      <c r="ATF102" s="2"/>
      <c r="ATG102" s="2"/>
      <c r="ATH102" s="2"/>
      <c r="ATI102" s="2"/>
      <c r="ATJ102" s="2"/>
      <c r="ATK102" s="2"/>
      <c r="ATL102" s="2"/>
      <c r="ATM102" s="2"/>
      <c r="ATN102" s="2"/>
      <c r="ATO102" s="2"/>
      <c r="ATP102" s="2"/>
      <c r="ATQ102" s="2"/>
      <c r="ATR102" s="2"/>
      <c r="ATS102" s="2"/>
      <c r="ATT102" s="2"/>
      <c r="ATU102" s="2"/>
    </row>
    <row r="103" spans="1:1217" hidden="1" x14ac:dyDescent="0.3">
      <c r="A103" s="178"/>
      <c r="B103" s="178"/>
      <c r="C103" s="184"/>
      <c r="D103" s="184"/>
      <c r="E103" s="178"/>
      <c r="F103" s="184"/>
      <c r="G103" s="114">
        <f t="shared" si="86"/>
        <v>95</v>
      </c>
      <c r="H103" s="111">
        <f t="shared" si="62"/>
        <v>47176</v>
      </c>
      <c r="I103" s="176">
        <f t="shared" si="79"/>
        <v>5.9000000000000004E-2</v>
      </c>
      <c r="J103" s="24">
        <f t="shared" si="68"/>
        <v>0</v>
      </c>
      <c r="K103" s="24">
        <f t="shared" si="61"/>
        <v>0</v>
      </c>
      <c r="L103" s="24">
        <f t="shared" si="63"/>
        <v>0</v>
      </c>
      <c r="M103" s="24">
        <f t="shared" si="87"/>
        <v>0</v>
      </c>
      <c r="N103" s="24">
        <f t="shared" si="64"/>
        <v>0</v>
      </c>
      <c r="O103" s="24">
        <v>0</v>
      </c>
      <c r="P103" s="24">
        <f t="shared" si="95"/>
        <v>0</v>
      </c>
      <c r="Q103" s="24">
        <f t="shared" si="93"/>
        <v>0</v>
      </c>
      <c r="R103" s="24">
        <f t="shared" si="70"/>
        <v>0</v>
      </c>
      <c r="S103" s="24">
        <f t="shared" si="81"/>
        <v>0</v>
      </c>
      <c r="T103" s="24"/>
      <c r="U103" s="36">
        <f t="shared" si="88"/>
        <v>0</v>
      </c>
      <c r="V103" s="36">
        <f t="shared" si="72"/>
        <v>0</v>
      </c>
      <c r="W103" s="2" t="e">
        <f>IF(AND(G68&gt;=$W$9,G68&lt;=$W$9+5),0,IF($C$9&gt;$AF$51,ROUND(S67*#REF!/(DATEVALUE(CONCATENATE("01/01/",YEAR(H68)+1))-DATEVALUE(CONCATENATE("01/01/",YEAR(H68))))*(H68-H67),2),0))</f>
        <v>#REF!</v>
      </c>
      <c r="X103" s="34">
        <f t="shared" si="52"/>
        <v>12974</v>
      </c>
      <c r="Y103" s="57">
        <f t="shared" si="48"/>
        <v>66185</v>
      </c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2" t="e">
        <f>IF(AND(Y60&gt;=$W$9,Y60&lt;=$W$9+5),0,IF($C$9&gt;$AF$51,ROUND(AI63*#REF!/(DATEVALUE(CONCATENATE("01/01/",YEAR(Z60)+1))-DATEVALUE(CONCATENATE("01/01/",YEAR(Z60))))*(Z60-Z59),2),0))</f>
        <v>#REF!</v>
      </c>
      <c r="AM103" s="34">
        <f t="shared" si="54"/>
        <v>14930</v>
      </c>
      <c r="AN103" s="57">
        <f t="shared" si="53"/>
        <v>64725</v>
      </c>
      <c r="AO103" s="130">
        <f t="shared" si="73"/>
        <v>0</v>
      </c>
      <c r="AP103" s="109">
        <f t="shared" si="89"/>
        <v>95</v>
      </c>
      <c r="AQ103" s="110">
        <f t="shared" si="65"/>
        <v>47176</v>
      </c>
      <c r="AR103" s="177">
        <f t="shared" si="55"/>
        <v>0.155</v>
      </c>
      <c r="AS103" s="105">
        <f t="shared" si="74"/>
        <v>0</v>
      </c>
      <c r="AT103" s="105">
        <f t="shared" si="82"/>
        <v>0</v>
      </c>
      <c r="AU103" s="105">
        <f t="shared" si="83"/>
        <v>0</v>
      </c>
      <c r="AV103" s="105">
        <f t="shared" si="77"/>
        <v>0</v>
      </c>
      <c r="AW103" s="105">
        <f t="shared" si="66"/>
        <v>0</v>
      </c>
      <c r="AX103" s="105">
        <v>0</v>
      </c>
      <c r="AY103" s="105">
        <f t="shared" si="96"/>
        <v>0</v>
      </c>
      <c r="AZ103" s="105">
        <f t="shared" si="94"/>
        <v>0</v>
      </c>
      <c r="BA103" s="105">
        <f t="shared" si="92"/>
        <v>0</v>
      </c>
      <c r="BB103" s="105"/>
      <c r="BC103" s="105"/>
      <c r="BD103" s="105"/>
      <c r="BE103" s="105"/>
      <c r="BF103" s="105"/>
      <c r="BG103" s="105">
        <f t="shared" si="78"/>
        <v>0</v>
      </c>
      <c r="BH103" s="108">
        <f t="shared" si="90"/>
        <v>0</v>
      </c>
      <c r="BI103" s="108">
        <f t="shared" si="84"/>
        <v>0</v>
      </c>
      <c r="BJ103" s="22">
        <f t="shared" si="85"/>
        <v>47176</v>
      </c>
      <c r="BK103" s="108">
        <f t="shared" si="67"/>
        <v>0</v>
      </c>
      <c r="BL103" s="2" t="e">
        <f>IF(AND(G58&gt;=$W$9,G58&lt;=$W$9+5),0,IF($C$9&gt;$AF$51,ROUND(BG57*IF(#REF!="",0,#REF!)/(DATEVALUE(CONCATENATE("01/01/",YEAR(AQ58)+1))-DATEVALUE(CONCATENATE("01/01/",YEAR(AQ58))))*(AQ58-AQ57),2),0))</f>
        <v>#REF!</v>
      </c>
    </row>
    <row r="104" spans="1:1217" hidden="1" x14ac:dyDescent="0.3">
      <c r="A104" s="178"/>
      <c r="B104" s="178"/>
      <c r="C104" s="184"/>
      <c r="D104" s="184"/>
      <c r="E104" s="178"/>
      <c r="F104" s="184"/>
      <c r="G104" s="114">
        <f t="shared" si="86"/>
        <v>96</v>
      </c>
      <c r="H104" s="111">
        <f t="shared" si="62"/>
        <v>47204</v>
      </c>
      <c r="I104" s="176">
        <f t="shared" si="79"/>
        <v>5.9000000000000004E-2</v>
      </c>
      <c r="J104" s="24">
        <f t="shared" si="68"/>
        <v>0</v>
      </c>
      <c r="K104" s="24">
        <f t="shared" si="61"/>
        <v>0</v>
      </c>
      <c r="L104" s="24">
        <f t="shared" si="63"/>
        <v>0</v>
      </c>
      <c r="M104" s="24">
        <f t="shared" si="87"/>
        <v>0</v>
      </c>
      <c r="N104" s="24">
        <f t="shared" si="64"/>
        <v>0</v>
      </c>
      <c r="O104" s="24">
        <v>0</v>
      </c>
      <c r="P104" s="24">
        <f t="shared" si="95"/>
        <v>0</v>
      </c>
      <c r="Q104" s="24">
        <f t="shared" si="93"/>
        <v>0</v>
      </c>
      <c r="R104" s="24">
        <f t="shared" si="70"/>
        <v>0</v>
      </c>
      <c r="S104" s="24">
        <f t="shared" si="81"/>
        <v>0</v>
      </c>
      <c r="T104" s="24"/>
      <c r="U104" s="36">
        <f t="shared" si="88"/>
        <v>0</v>
      </c>
      <c r="V104" s="36">
        <f t="shared" si="72"/>
        <v>0</v>
      </c>
      <c r="W104" s="2" t="e">
        <f>IF(AND(G69&gt;=$W$9,G69&lt;=$W$9+5),0,IF($C$9&gt;$AF$51,ROUND(S68*#REF!/(DATEVALUE(CONCATENATE("01/01/",YEAR(H69)+1))-DATEVALUE(CONCATENATE("01/01/",YEAR(H69))))*(H69-H68),2),0))</f>
        <v>#REF!</v>
      </c>
      <c r="X104" s="34">
        <f t="shared" si="52"/>
        <v>12974</v>
      </c>
      <c r="Y104" s="57">
        <f t="shared" si="48"/>
        <v>66550</v>
      </c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2" t="e">
        <f>IF(AND(Y61&gt;=$W$9,Y61&lt;=$W$9+5),0,IF($C$9&gt;$AF$51,ROUND(AI64*#REF!/(DATEVALUE(CONCATENATE("01/01/",YEAR(Z61)+1))-DATEVALUE(CONCATENATE("01/01/",YEAR(Z61))))*(Z61-Z60),2),0))</f>
        <v>#REF!</v>
      </c>
      <c r="AM104" s="34">
        <f t="shared" si="54"/>
        <v>1559.3699999999453</v>
      </c>
      <c r="AN104" s="57">
        <f t="shared" si="53"/>
        <v>65090</v>
      </c>
      <c r="AO104" s="130">
        <f t="shared" si="73"/>
        <v>0</v>
      </c>
      <c r="AP104" s="109">
        <f t="shared" si="89"/>
        <v>96</v>
      </c>
      <c r="AQ104" s="110">
        <f t="shared" si="65"/>
        <v>47204</v>
      </c>
      <c r="AR104" s="177">
        <f t="shared" si="55"/>
        <v>0.155</v>
      </c>
      <c r="AS104" s="105">
        <f t="shared" si="74"/>
        <v>0</v>
      </c>
      <c r="AT104" s="105">
        <f t="shared" si="82"/>
        <v>0</v>
      </c>
      <c r="AU104" s="105">
        <f t="shared" si="83"/>
        <v>0</v>
      </c>
      <c r="AV104" s="105">
        <f t="shared" si="77"/>
        <v>0</v>
      </c>
      <c r="AW104" s="105">
        <f t="shared" si="66"/>
        <v>0</v>
      </c>
      <c r="AX104" s="105">
        <v>0</v>
      </c>
      <c r="AY104" s="105">
        <f t="shared" si="96"/>
        <v>0</v>
      </c>
      <c r="AZ104" s="105">
        <f t="shared" si="94"/>
        <v>0</v>
      </c>
      <c r="BA104" s="105">
        <f t="shared" si="92"/>
        <v>0</v>
      </c>
      <c r="BB104" s="105"/>
      <c r="BC104" s="105"/>
      <c r="BD104" s="105"/>
      <c r="BE104" s="105"/>
      <c r="BF104" s="105"/>
      <c r="BG104" s="105">
        <f t="shared" si="78"/>
        <v>0</v>
      </c>
      <c r="BH104" s="108">
        <f t="shared" si="90"/>
        <v>0</v>
      </c>
      <c r="BI104" s="108">
        <f t="shared" si="84"/>
        <v>0</v>
      </c>
      <c r="BJ104" s="22">
        <f t="shared" si="85"/>
        <v>47204</v>
      </c>
      <c r="BK104" s="108">
        <f t="shared" si="67"/>
        <v>0</v>
      </c>
      <c r="BL104" s="2" t="e">
        <f>IF(AND(G59&gt;=$W$9,G59&lt;=$W$9+5),0,IF($C$9&gt;$AF$51,ROUND(BG58*IF(#REF!="",0,#REF!)/(DATEVALUE(CONCATENATE("01/01/",YEAR(AQ59)+1))-DATEVALUE(CONCATENATE("01/01/",YEAR(AQ59))))*(AQ59-AQ58),2),0))</f>
        <v>#REF!</v>
      </c>
    </row>
    <row r="105" spans="1:1217" hidden="1" x14ac:dyDescent="0.3">
      <c r="A105" s="178"/>
      <c r="B105" s="178"/>
      <c r="C105" s="184"/>
      <c r="D105" s="184"/>
      <c r="E105" s="178"/>
      <c r="F105" s="184"/>
      <c r="G105" s="114">
        <f t="shared" si="86"/>
        <v>97</v>
      </c>
      <c r="H105" s="111">
        <f t="shared" si="62"/>
        <v>47235</v>
      </c>
      <c r="I105" s="176">
        <f t="shared" si="79"/>
        <v>5.9000000000000004E-2</v>
      </c>
      <c r="J105" s="24">
        <f t="shared" si="68"/>
        <v>0</v>
      </c>
      <c r="K105" s="24">
        <f t="shared" si="61"/>
        <v>0</v>
      </c>
      <c r="L105" s="24">
        <f t="shared" si="63"/>
        <v>0</v>
      </c>
      <c r="M105" s="24">
        <f t="shared" si="87"/>
        <v>0</v>
      </c>
      <c r="N105" s="24">
        <f t="shared" si="64"/>
        <v>0</v>
      </c>
      <c r="O105" s="24">
        <v>0</v>
      </c>
      <c r="P105" s="24">
        <f t="shared" si="95"/>
        <v>0</v>
      </c>
      <c r="Q105" s="24">
        <f t="shared" si="93"/>
        <v>0</v>
      </c>
      <c r="R105" s="24">
        <f t="shared" si="70"/>
        <v>0</v>
      </c>
      <c r="S105" s="24">
        <f t="shared" si="81"/>
        <v>0</v>
      </c>
      <c r="T105" s="24"/>
      <c r="U105" s="36">
        <f t="shared" si="88"/>
        <v>0</v>
      </c>
      <c r="V105" s="36">
        <f t="shared" si="72"/>
        <v>0</v>
      </c>
      <c r="W105" s="2" t="e">
        <f>IF(AND(G70&gt;=$W$9,G70&lt;=$W$9+5),0,IF($C$9&gt;$AF$51,ROUND(S69*#REF!/(DATEVALUE(CONCATENATE("01/01/",YEAR(H70)+1))-DATEVALUE(CONCATENATE("01/01/",YEAR(H70))))*(H70-H69),2),0))</f>
        <v>#REF!</v>
      </c>
      <c r="X105" s="34">
        <f t="shared" si="52"/>
        <v>12974</v>
      </c>
      <c r="Y105" s="57">
        <f t="shared" si="48"/>
        <v>66915</v>
      </c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2" t="e">
        <f>IF(AND(Y62&gt;=$W$9,Y62&lt;=$W$9+5),0,IF($C$9&gt;$AF$51,ROUND(AI65*#REF!/(DATEVALUE(CONCATENATE("01/01/",YEAR(Z62)+1))-DATEVALUE(CONCATENATE("01/01/",YEAR(Z62))))*(Z62-Z61),2),0))</f>
        <v>#REF!</v>
      </c>
      <c r="AM105" s="34">
        <f t="shared" si="54"/>
        <v>0</v>
      </c>
      <c r="AN105" s="57">
        <f t="shared" si="53"/>
        <v>65455</v>
      </c>
      <c r="AO105" s="130">
        <f t="shared" si="73"/>
        <v>0</v>
      </c>
      <c r="AP105" s="109">
        <f t="shared" si="89"/>
        <v>97</v>
      </c>
      <c r="AQ105" s="110">
        <f t="shared" si="65"/>
        <v>47235</v>
      </c>
      <c r="AR105" s="177">
        <f t="shared" si="55"/>
        <v>0.155</v>
      </c>
      <c r="AS105" s="105">
        <f t="shared" si="74"/>
        <v>0</v>
      </c>
      <c r="AT105" s="105">
        <f t="shared" si="82"/>
        <v>0</v>
      </c>
      <c r="AU105" s="105">
        <f t="shared" si="83"/>
        <v>0</v>
      </c>
      <c r="AV105" s="105">
        <f t="shared" si="77"/>
        <v>0</v>
      </c>
      <c r="AW105" s="105">
        <f t="shared" ref="AW105:AW108" si="97">IF(AY105-AZ105&gt;$D$24,$D$24-AU105,IF(BI105=0,0,BA105)+BX153)</f>
        <v>0</v>
      </c>
      <c r="AX105" s="105">
        <v>0</v>
      </c>
      <c r="AY105" s="105">
        <f t="shared" si="96"/>
        <v>0</v>
      </c>
      <c r="AZ105" s="105">
        <f t="shared" si="94"/>
        <v>0</v>
      </c>
      <c r="BA105" s="105">
        <f t="shared" si="92"/>
        <v>0</v>
      </c>
      <c r="BB105" s="105"/>
      <c r="BC105" s="105"/>
      <c r="BD105" s="105"/>
      <c r="BE105" s="105"/>
      <c r="BF105" s="105"/>
      <c r="BG105" s="105">
        <f t="shared" si="78"/>
        <v>0</v>
      </c>
      <c r="BH105" s="108">
        <f t="shared" si="90"/>
        <v>0</v>
      </c>
      <c r="BI105" s="108">
        <f t="shared" si="84"/>
        <v>0</v>
      </c>
      <c r="BJ105" s="22">
        <f t="shared" si="85"/>
        <v>47235</v>
      </c>
      <c r="BK105" s="108">
        <f t="shared" si="67"/>
        <v>0</v>
      </c>
      <c r="BL105" s="2" t="e">
        <f>IF(AND(G60&gt;=$W$9,G60&lt;=$W$9+5),0,IF($C$9&gt;$AF$51,ROUND(BG59*IF(#REF!="",0,#REF!)/(DATEVALUE(CONCATENATE("01/01/",YEAR(AQ60)+1))-DATEVALUE(CONCATENATE("01/01/",YEAR(AQ60))))*(AQ60-AQ59),2),0))</f>
        <v>#REF!</v>
      </c>
    </row>
    <row r="106" spans="1:1217" hidden="1" x14ac:dyDescent="0.3">
      <c r="A106" s="178"/>
      <c r="B106" s="178"/>
      <c r="C106" s="184"/>
      <c r="D106" s="184"/>
      <c r="E106" s="178"/>
      <c r="F106" s="184"/>
      <c r="G106" s="114">
        <f t="shared" si="86"/>
        <v>98</v>
      </c>
      <c r="H106" s="111">
        <f t="shared" si="62"/>
        <v>47265</v>
      </c>
      <c r="I106" s="176">
        <f t="shared" si="79"/>
        <v>5.9000000000000004E-2</v>
      </c>
      <c r="J106" s="24">
        <f t="shared" si="68"/>
        <v>0</v>
      </c>
      <c r="K106" s="24">
        <f t="shared" si="61"/>
        <v>0</v>
      </c>
      <c r="L106" s="24">
        <f t="shared" si="63"/>
        <v>0</v>
      </c>
      <c r="M106" s="24">
        <f t="shared" si="87"/>
        <v>0</v>
      </c>
      <c r="N106" s="24">
        <f t="shared" si="64"/>
        <v>0</v>
      </c>
      <c r="O106" s="24">
        <v>0</v>
      </c>
      <c r="P106" s="24">
        <f t="shared" si="95"/>
        <v>0</v>
      </c>
      <c r="Q106" s="24">
        <f t="shared" si="93"/>
        <v>0</v>
      </c>
      <c r="R106" s="24">
        <f t="shared" si="70"/>
        <v>0</v>
      </c>
      <c r="S106" s="24">
        <f t="shared" si="81"/>
        <v>0</v>
      </c>
      <c r="T106" s="24"/>
      <c r="U106" s="36">
        <f t="shared" si="88"/>
        <v>0</v>
      </c>
      <c r="V106" s="36">
        <f t="shared" si="72"/>
        <v>0</v>
      </c>
      <c r="W106" s="2" t="e">
        <f>IF(AND(G71&gt;=$W$9,G71&lt;=$W$9+5),0,IF($C$9&gt;$AF$51,ROUND(S70*#REF!/(DATEVALUE(CONCATENATE("01/01/",YEAR(H71)+1))-DATEVALUE(CONCATENATE("01/01/",YEAR(H71))))*(H71-H70),2),0))</f>
        <v>#REF!</v>
      </c>
      <c r="X106" s="34">
        <f t="shared" si="52"/>
        <v>2802.7699999999099</v>
      </c>
      <c r="Y106" s="57">
        <f t="shared" si="48"/>
        <v>67280</v>
      </c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2" t="e">
        <f>IF(AND(Y63&gt;=$W$9,Y63&lt;=$W$9+5),0,IF($C$9&gt;$AF$51,ROUND(AI66*#REF!/(DATEVALUE(CONCATENATE("01/01/",YEAR(Z63)+1))-DATEVALUE(CONCATENATE("01/01/",YEAR(Z63))))*(Z63-Z62),2),0))</f>
        <v>#REF!</v>
      </c>
      <c r="AM106" s="34">
        <f t="shared" si="54"/>
        <v>0</v>
      </c>
      <c r="AN106" s="57">
        <f t="shared" si="53"/>
        <v>65820</v>
      </c>
      <c r="AO106" s="130">
        <f t="shared" si="73"/>
        <v>0</v>
      </c>
      <c r="AP106" s="109">
        <f t="shared" si="89"/>
        <v>98</v>
      </c>
      <c r="AQ106" s="110">
        <f t="shared" si="65"/>
        <v>47265</v>
      </c>
      <c r="AR106" s="177">
        <f t="shared" si="55"/>
        <v>0.155</v>
      </c>
      <c r="AS106" s="105">
        <f t="shared" si="74"/>
        <v>0</v>
      </c>
      <c r="AT106" s="105">
        <f t="shared" si="82"/>
        <v>0</v>
      </c>
      <c r="AU106" s="105">
        <f t="shared" si="83"/>
        <v>0</v>
      </c>
      <c r="AV106" s="105">
        <f t="shared" si="77"/>
        <v>0</v>
      </c>
      <c r="AW106" s="105">
        <f t="shared" si="97"/>
        <v>0</v>
      </c>
      <c r="AX106" s="105">
        <v>0</v>
      </c>
      <c r="AY106" s="105">
        <f t="shared" si="96"/>
        <v>0</v>
      </c>
      <c r="AZ106" s="105">
        <f t="shared" si="94"/>
        <v>0</v>
      </c>
      <c r="BA106" s="105">
        <f t="shared" si="92"/>
        <v>0</v>
      </c>
      <c r="BB106" s="105"/>
      <c r="BC106" s="105"/>
      <c r="BD106" s="105"/>
      <c r="BE106" s="105"/>
      <c r="BF106" s="105"/>
      <c r="BG106" s="105">
        <f t="shared" si="78"/>
        <v>0</v>
      </c>
      <c r="BH106" s="108">
        <f t="shared" si="90"/>
        <v>0</v>
      </c>
      <c r="BI106" s="108">
        <f t="shared" si="84"/>
        <v>0</v>
      </c>
      <c r="BJ106" s="22">
        <f t="shared" si="85"/>
        <v>47265</v>
      </c>
      <c r="BK106" s="108">
        <f t="shared" si="67"/>
        <v>0</v>
      </c>
      <c r="BL106" s="2" t="e">
        <f>IF(AND(G61&gt;=$W$9,G61&lt;=$W$9+5),0,IF($C$9&gt;$AF$51,ROUND(BG60*IF(#REF!="",0,#REF!)/(DATEVALUE(CONCATENATE("01/01/",YEAR(AQ61)+1))-DATEVALUE(CONCATENATE("01/01/",YEAR(AQ61))))*(AQ61-AQ60),2),0))</f>
        <v>#REF!</v>
      </c>
    </row>
    <row r="107" spans="1:1217" hidden="1" x14ac:dyDescent="0.3">
      <c r="A107" s="178"/>
      <c r="B107" s="178"/>
      <c r="C107" s="184"/>
      <c r="D107" s="184"/>
      <c r="E107" s="178"/>
      <c r="F107" s="184"/>
      <c r="G107" s="114">
        <f t="shared" si="86"/>
        <v>99</v>
      </c>
      <c r="H107" s="111">
        <f t="shared" si="62"/>
        <v>47296</v>
      </c>
      <c r="I107" s="176">
        <f t="shared" si="79"/>
        <v>5.9000000000000004E-2</v>
      </c>
      <c r="J107" s="24">
        <f t="shared" si="68"/>
        <v>0</v>
      </c>
      <c r="K107" s="24">
        <f t="shared" si="61"/>
        <v>0</v>
      </c>
      <c r="L107" s="24">
        <f t="shared" si="63"/>
        <v>0</v>
      </c>
      <c r="M107" s="24">
        <f t="shared" si="87"/>
        <v>0</v>
      </c>
      <c r="N107" s="24">
        <f t="shared" si="64"/>
        <v>0</v>
      </c>
      <c r="O107" s="24">
        <v>0</v>
      </c>
      <c r="P107" s="24">
        <f t="shared" si="95"/>
        <v>0</v>
      </c>
      <c r="Q107" s="24">
        <f t="shared" si="93"/>
        <v>0</v>
      </c>
      <c r="R107" s="24">
        <f t="shared" si="70"/>
        <v>0</v>
      </c>
      <c r="S107" s="24">
        <f t="shared" si="81"/>
        <v>0</v>
      </c>
      <c r="T107" s="24"/>
      <c r="U107" s="36">
        <f t="shared" si="88"/>
        <v>0</v>
      </c>
      <c r="V107" s="36">
        <f t="shared" si="72"/>
        <v>0</v>
      </c>
      <c r="W107" s="2" t="e">
        <f>IF(AND(G72&gt;=$W$9,G72&lt;=$W$9+5),0,IF($C$9&gt;$AF$51,ROUND(S71*#REF!/(DATEVALUE(CONCATENATE("01/01/",YEAR(H72)+1))-DATEVALUE(CONCATENATE("01/01/",YEAR(H72))))*(H72-H71),2),0))</f>
        <v>#REF!</v>
      </c>
      <c r="X107" s="34">
        <f t="shared" si="52"/>
        <v>0</v>
      </c>
      <c r="Y107" s="57">
        <f t="shared" si="48"/>
        <v>67645</v>
      </c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2" t="e">
        <f>IF(AND(Y64&gt;=$W$9,Y64&lt;=$W$9+5),0,IF($C$9&gt;$AF$51,ROUND(AI67*#REF!/(DATEVALUE(CONCATENATE("01/01/",YEAR(Z64)+1))-DATEVALUE(CONCATENATE("01/01/",YEAR(Z64))))*(Z64-Z63),2),0))</f>
        <v>#REF!</v>
      </c>
      <c r="AM107" s="34">
        <f t="shared" si="54"/>
        <v>0</v>
      </c>
      <c r="AN107" s="57">
        <f t="shared" si="53"/>
        <v>66185</v>
      </c>
      <c r="AO107" s="130">
        <f t="shared" si="73"/>
        <v>0</v>
      </c>
      <c r="AP107" s="109">
        <f t="shared" si="89"/>
        <v>99</v>
      </c>
      <c r="AQ107" s="110">
        <f t="shared" si="65"/>
        <v>47296</v>
      </c>
      <c r="AR107" s="177">
        <f t="shared" si="55"/>
        <v>0.155</v>
      </c>
      <c r="AS107" s="105">
        <f t="shared" si="74"/>
        <v>0</v>
      </c>
      <c r="AT107" s="105">
        <f t="shared" si="82"/>
        <v>0</v>
      </c>
      <c r="AU107" s="105">
        <f t="shared" si="83"/>
        <v>0</v>
      </c>
      <c r="AV107" s="105">
        <f t="shared" si="77"/>
        <v>0</v>
      </c>
      <c r="AW107" s="105">
        <f t="shared" si="97"/>
        <v>0</v>
      </c>
      <c r="AX107" s="105">
        <v>0</v>
      </c>
      <c r="AY107" s="105">
        <f t="shared" si="96"/>
        <v>0</v>
      </c>
      <c r="AZ107" s="105">
        <f t="shared" si="94"/>
        <v>0</v>
      </c>
      <c r="BA107" s="105">
        <f t="shared" si="92"/>
        <v>0</v>
      </c>
      <c r="BB107" s="105"/>
      <c r="BC107" s="105"/>
      <c r="BD107" s="105"/>
      <c r="BE107" s="105"/>
      <c r="BF107" s="105"/>
      <c r="BG107" s="105">
        <f t="shared" si="78"/>
        <v>0</v>
      </c>
      <c r="BH107" s="108">
        <f t="shared" si="90"/>
        <v>0</v>
      </c>
      <c r="BI107" s="108">
        <f t="shared" si="84"/>
        <v>0</v>
      </c>
      <c r="BJ107" s="22">
        <f t="shared" si="85"/>
        <v>47296</v>
      </c>
      <c r="BK107" s="108">
        <f t="shared" si="67"/>
        <v>0</v>
      </c>
      <c r="BL107" s="2" t="e">
        <f>IF(AND(G62&gt;=$W$9,G62&lt;=$W$9+5),0,IF($C$9&gt;$AF$51,ROUND(BG61*IF(#REF!="",0,#REF!)/(DATEVALUE(CONCATENATE("01/01/",YEAR(AQ62)+1))-DATEVALUE(CONCATENATE("01/01/",YEAR(AQ62))))*(AQ62-AQ61),2),0))</f>
        <v>#REF!</v>
      </c>
    </row>
    <row r="108" spans="1:1217" hidden="1" x14ac:dyDescent="0.3">
      <c r="A108" s="178"/>
      <c r="B108" s="178"/>
      <c r="C108" s="184"/>
      <c r="D108" s="184"/>
      <c r="E108" s="184"/>
      <c r="F108" s="184"/>
      <c r="G108" s="114">
        <f t="shared" si="86"/>
        <v>100</v>
      </c>
      <c r="H108" s="111">
        <f t="shared" si="62"/>
        <v>47326</v>
      </c>
      <c r="I108" s="176">
        <f t="shared" si="79"/>
        <v>5.9000000000000004E-2</v>
      </c>
      <c r="J108" s="24">
        <f t="shared" si="68"/>
        <v>0</v>
      </c>
      <c r="K108" s="24">
        <f t="shared" si="61"/>
        <v>0</v>
      </c>
      <c r="L108" s="24">
        <f t="shared" si="63"/>
        <v>0</v>
      </c>
      <c r="M108" s="24">
        <f t="shared" si="87"/>
        <v>0</v>
      </c>
      <c r="N108" s="24">
        <f t="shared" si="64"/>
        <v>0</v>
      </c>
      <c r="O108" s="24">
        <v>0</v>
      </c>
      <c r="P108" s="24">
        <f t="shared" si="95"/>
        <v>0</v>
      </c>
      <c r="Q108" s="24">
        <f t="shared" si="93"/>
        <v>0</v>
      </c>
      <c r="R108" s="24">
        <f t="shared" si="70"/>
        <v>0</v>
      </c>
      <c r="S108" s="24">
        <f t="shared" si="81"/>
        <v>0</v>
      </c>
      <c r="T108" s="24"/>
      <c r="U108" s="36">
        <f t="shared" si="88"/>
        <v>0</v>
      </c>
      <c r="V108" s="36">
        <f>IF(ISERR(CEILING(FLOOR(NPER($C$11/12,-$AD$55,S107),0.1),1))=TRUE,0,CEILING(FLOOR(NPER($C$11/12,-$AD$55,S107),0.1),1))</f>
        <v>0</v>
      </c>
      <c r="W108" s="2" t="e">
        <f>IF(AND(G73&gt;=$W$9,G73&lt;=$W$9+5),0,IF($C$9&gt;$AF$51,ROUND(S72*#REF!/(DATEVALUE(CONCATENATE("01/01/",YEAR(H73)+1))-DATEVALUE(CONCATENATE("01/01/",YEAR(H73))))*(H73-H72),2),0))</f>
        <v>#REF!</v>
      </c>
      <c r="X108" s="34">
        <f t="shared" si="52"/>
        <v>0</v>
      </c>
      <c r="Y108" s="57">
        <f t="shared" si="48"/>
        <v>68010</v>
      </c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2" t="e">
        <f>IF(AND(Y65&gt;=$W$9,Y65&lt;=$W$9+5),0,IF($C$9&gt;$AF$51,ROUND(AI68*#REF!/(DATEVALUE(CONCATENATE("01/01/",YEAR(Z65)+1))-DATEVALUE(CONCATENATE("01/01/",YEAR(Z65))))*(Z65-Z64),2),0))</f>
        <v>#REF!</v>
      </c>
      <c r="AM108" s="34">
        <f t="shared" si="54"/>
        <v>0</v>
      </c>
      <c r="AN108" s="57">
        <f t="shared" si="53"/>
        <v>66550</v>
      </c>
      <c r="AO108" s="130">
        <f t="shared" si="73"/>
        <v>0</v>
      </c>
      <c r="AP108" s="109">
        <f t="shared" si="89"/>
        <v>100</v>
      </c>
      <c r="AQ108" s="110">
        <f t="shared" si="65"/>
        <v>47326</v>
      </c>
      <c r="AR108" s="177">
        <f t="shared" si="55"/>
        <v>0.155</v>
      </c>
      <c r="AS108" s="105">
        <f t="shared" si="74"/>
        <v>0</v>
      </c>
      <c r="AT108" s="105">
        <f t="shared" si="82"/>
        <v>0</v>
      </c>
      <c r="AU108" s="105">
        <f t="shared" si="83"/>
        <v>0</v>
      </c>
      <c r="AV108" s="105">
        <f t="shared" si="77"/>
        <v>0</v>
      </c>
      <c r="AW108" s="105">
        <f t="shared" si="97"/>
        <v>0</v>
      </c>
      <c r="AX108" s="105">
        <v>0</v>
      </c>
      <c r="AY108" s="105">
        <f t="shared" si="96"/>
        <v>0</v>
      </c>
      <c r="AZ108" s="105">
        <f t="shared" si="94"/>
        <v>0</v>
      </c>
      <c r="BA108" s="105">
        <f t="shared" si="92"/>
        <v>0</v>
      </c>
      <c r="BB108" s="105"/>
      <c r="BC108" s="105"/>
      <c r="BD108" s="105"/>
      <c r="BE108" s="105"/>
      <c r="BF108" s="105"/>
      <c r="BG108" s="105">
        <f t="shared" si="78"/>
        <v>0</v>
      </c>
      <c r="BH108" s="108">
        <f t="shared" si="90"/>
        <v>0</v>
      </c>
      <c r="BI108" s="108">
        <f t="shared" si="84"/>
        <v>0</v>
      </c>
      <c r="BJ108" s="22">
        <f t="shared" si="85"/>
        <v>47326</v>
      </c>
      <c r="BK108" s="108">
        <f t="shared" si="67"/>
        <v>0</v>
      </c>
      <c r="BL108" s="2" t="e">
        <f>IF(AND(G63&gt;=$W$9,G63&lt;=$W$9+5),0,IF($C$9&gt;$AF$51,ROUND(BG62*IF(#REF!="",0,#REF!)/(DATEVALUE(CONCATENATE("01/01/",YEAR(AQ63)+1))-DATEVALUE(CONCATENATE("01/01/",YEAR(AQ63))))*(AQ63-AQ62),2),0))</f>
        <v>#REF!</v>
      </c>
    </row>
    <row r="109" spans="1:1217" x14ac:dyDescent="0.3">
      <c r="A109" s="178"/>
      <c r="B109" s="178"/>
      <c r="C109" s="184"/>
      <c r="D109" s="184"/>
      <c r="E109" s="184"/>
      <c r="F109" s="184"/>
      <c r="G109" s="28"/>
      <c r="H109" s="29" t="s">
        <v>7</v>
      </c>
      <c r="I109" s="29"/>
      <c r="J109" s="30">
        <f>(SUM(J9:J108))</f>
        <v>806554.7699999999</v>
      </c>
      <c r="K109" s="30">
        <f>(SUM(K9:K108)-IF(CODE(C12)=209,AI51,0))</f>
        <v>764554.7699999999</v>
      </c>
      <c r="L109" s="30">
        <f t="shared" ref="L109:R109" si="98">SUM(L9:L108)</f>
        <v>170804.76999999996</v>
      </c>
      <c r="M109" s="30">
        <f t="shared" si="98"/>
        <v>593750</v>
      </c>
      <c r="N109" s="31">
        <f t="shared" si="98"/>
        <v>0</v>
      </c>
      <c r="O109" s="31">
        <f t="shared" si="98"/>
        <v>0</v>
      </c>
      <c r="P109" s="31">
        <f t="shared" si="98"/>
        <v>212804.77</v>
      </c>
      <c r="Q109" s="31">
        <f t="shared" si="98"/>
        <v>42000</v>
      </c>
      <c r="R109" s="31">
        <f t="shared" si="98"/>
        <v>0</v>
      </c>
      <c r="S109" s="31"/>
      <c r="T109" s="31"/>
      <c r="U109" s="31"/>
      <c r="V109" s="31"/>
      <c r="W109" s="2" t="e">
        <f>IF(AND(G74&gt;=$W$9,G74&lt;=$W$9+5),0,IF($C$9&gt;$AF$51,ROUND(S73*#REF!/(DATEVALUE(CONCATENATE("01/01/",YEAR(H74)+1))-DATEVALUE(CONCATENATE("01/01/",YEAR(H74))))*(H74-H73),2),0))</f>
        <v>#REF!</v>
      </c>
      <c r="X109" s="34">
        <f t="shared" si="52"/>
        <v>0</v>
      </c>
      <c r="Y109" s="57">
        <f t="shared" ref="Y109:Y143" si="99">Y108+365</f>
        <v>68375</v>
      </c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2" t="e">
        <f>IF(AND(Y66&gt;=$W$9,Y66&lt;=$W$9+5),0,IF($C$9&gt;$AF$51,ROUND(AI69*#REF!/(DATEVALUE(CONCATENATE("01/01/",YEAR(Z66)+1))-DATEVALUE(CONCATENATE("01/01/",YEAR(Z66))))*(Z66-Z65),2),0))</f>
        <v>#REF!</v>
      </c>
      <c r="AM109" s="34">
        <f t="shared" si="54"/>
        <v>0</v>
      </c>
      <c r="AN109" s="57">
        <f t="shared" si="53"/>
        <v>66915</v>
      </c>
      <c r="AO109" s="130"/>
      <c r="AP109" s="28"/>
      <c r="AQ109" s="29" t="s">
        <v>7</v>
      </c>
      <c r="AR109" s="29"/>
      <c r="AS109" s="30">
        <f>SUM(AS9:AS108)</f>
        <v>837639.37</v>
      </c>
      <c r="AT109" s="30">
        <f>(SUM(AT9:AT108)-IF(CODE(C12)=209,BX57,0))</f>
        <v>837639.37</v>
      </c>
      <c r="AU109" s="30">
        <f>SUM(AU9:AU108)</f>
        <v>243889.36999999991</v>
      </c>
      <c r="AV109" s="30">
        <f>SUM(AV9:AV108)</f>
        <v>593750</v>
      </c>
      <c r="AW109" s="30">
        <f>SUM(AW9:AW108)</f>
        <v>0</v>
      </c>
      <c r="AX109" s="31"/>
      <c r="AY109" s="31"/>
      <c r="AZ109" s="30">
        <f>SUM(AZ9:AZ108)</f>
        <v>0</v>
      </c>
      <c r="BA109" s="31"/>
      <c r="BB109" s="31"/>
      <c r="BC109" s="31"/>
      <c r="BD109" s="31"/>
      <c r="BE109" s="31"/>
      <c r="BF109" s="31"/>
      <c r="BG109" s="31"/>
      <c r="BH109" s="108">
        <f t="shared" si="90"/>
        <v>0</v>
      </c>
      <c r="BI109" s="108">
        <f t="shared" si="84"/>
        <v>0</v>
      </c>
      <c r="BJ109" s="22" t="str">
        <f t="shared" si="85"/>
        <v>Итого</v>
      </c>
      <c r="BK109" s="108">
        <f t="shared" si="67"/>
        <v>764554.7699999999</v>
      </c>
      <c r="BL109" s="2" t="e">
        <f>IF(AND(G64&gt;=$W$9,G64&lt;=$W$9+5),0,IF($C$9&gt;$AF$51,ROUND(BG63*IF(#REF!="",0,#REF!)/(DATEVALUE(CONCATENATE("01/01/",YEAR(AQ64)+1))-DATEVALUE(CONCATENATE("01/01/",YEAR(AQ64))))*(AQ64-AQ63),2),0))</f>
        <v>#REF!</v>
      </c>
    </row>
    <row r="110" spans="1:1217" ht="13.8" x14ac:dyDescent="0.3">
      <c r="A110" s="178"/>
      <c r="B110" s="178"/>
      <c r="C110" s="184"/>
      <c r="D110" s="184"/>
      <c r="E110" s="184"/>
      <c r="W110" s="2" t="e">
        <f>IF(AND(G75&gt;=$W$9,G75&lt;=$W$9+5),0,IF($C$9&gt;$AF$51,ROUND(S74*#REF!/(DATEVALUE(CONCATENATE("01/01/",YEAR(H75)+1))-DATEVALUE(CONCATENATE("01/01/",YEAR(H75))))*(H75-H74),2),0))</f>
        <v>#REF!</v>
      </c>
      <c r="X110" s="34">
        <f t="shared" ref="X110:X142" si="100">IF(K75 &gt; 0, K75, 0)</f>
        <v>0</v>
      </c>
      <c r="Y110" s="57">
        <f t="shared" si="99"/>
        <v>68740</v>
      </c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2" t="e">
        <f>IF(AND(Y67&gt;=$W$9,Y67&lt;=$W$9+5),0,IF($C$9&gt;$AF$51,ROUND(AI70*#REF!/(DATEVALUE(CONCATENATE("01/01/",YEAR(Z67)+1))-DATEVALUE(CONCATENATE("01/01/",YEAR(Z67))))*(Z67-Z66),2),0))</f>
        <v>#VALUE!</v>
      </c>
      <c r="AM110" s="34">
        <f t="shared" si="54"/>
        <v>0</v>
      </c>
      <c r="AN110" s="57">
        <f t="shared" si="53"/>
        <v>67280</v>
      </c>
      <c r="AO110" s="130"/>
      <c r="BH110" s="108">
        <f t="shared" si="90"/>
        <v>0</v>
      </c>
      <c r="BI110" s="108">
        <f t="shared" si="84"/>
        <v>0</v>
      </c>
      <c r="BJ110" s="22">
        <f t="shared" si="85"/>
        <v>0</v>
      </c>
      <c r="BK110" s="108">
        <f t="shared" si="67"/>
        <v>0</v>
      </c>
      <c r="BL110" s="2" t="e">
        <f>IF(AND(G65&gt;=$W$9,G65&lt;=$W$9+5),0,IF($C$9&gt;$AF$51,ROUND(BG64*IF(#REF!="",0,#REF!)/(DATEVALUE(CONCATENATE("01/01/",YEAR(AQ65)+1))-DATEVALUE(CONCATENATE("01/01/",YEAR(AQ65))))*(AQ65-AQ64),2),0))</f>
        <v>#REF!</v>
      </c>
    </row>
    <row r="111" spans="1:1217" ht="13.8" x14ac:dyDescent="0.3">
      <c r="A111" s="178"/>
      <c r="B111" s="178"/>
      <c r="C111" s="184"/>
      <c r="D111" s="184"/>
      <c r="E111" s="184"/>
      <c r="W111" s="2" t="e">
        <f>IF(AND(G76&gt;=$W$9,G76&lt;=$W$9+5),0,IF($C$9&gt;$AF$51,ROUND(S75*#REF!/(DATEVALUE(CONCATENATE("01/01/",YEAR(H76)+1))-DATEVALUE(CONCATENATE("01/01/",YEAR(H76))))*(H76-H75),2),0))</f>
        <v>#REF!</v>
      </c>
      <c r="X111" s="34">
        <f t="shared" si="100"/>
        <v>0</v>
      </c>
      <c r="Y111" s="57">
        <f t="shared" si="99"/>
        <v>69105</v>
      </c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2" t="e">
        <f>IF(AND(Y68&gt;=$W$9,Y68&lt;=$W$9+5),0,IF($C$9&gt;$AF$51,ROUND(AI71*#REF!/(DATEVALUE(CONCATENATE("01/01/",YEAR(Z68)+1))-DATEVALUE(CONCATENATE("01/01/",YEAR(Z68))))*(Z68-Z67),2),0))</f>
        <v>#REF!</v>
      </c>
      <c r="AM111" s="34">
        <f t="shared" si="54"/>
        <v>0</v>
      </c>
      <c r="AN111" s="57">
        <f t="shared" si="53"/>
        <v>67645</v>
      </c>
      <c r="AO111" s="130"/>
      <c r="BH111" s="108">
        <f t="shared" si="90"/>
        <v>0</v>
      </c>
      <c r="BI111" s="108">
        <f t="shared" si="84"/>
        <v>0</v>
      </c>
      <c r="BJ111" s="22">
        <f t="shared" si="85"/>
        <v>0</v>
      </c>
      <c r="BK111" s="108">
        <f t="shared" si="67"/>
        <v>0</v>
      </c>
      <c r="BL111" s="2" t="e">
        <f>IF(AND(G66&gt;=$W$9,G66&lt;=$W$9+5),0,IF($C$9&gt;$AF$51,ROUND(BG65*IF(#REF!="",0,#REF!)/(DATEVALUE(CONCATENATE("01/01/",YEAR(AQ66)+1))-DATEVALUE(CONCATENATE("01/01/",YEAR(AQ66))))*(AQ66-AQ65),2),0))</f>
        <v>#REF!</v>
      </c>
    </row>
    <row r="112" spans="1:1217" ht="13.8" x14ac:dyDescent="0.3">
      <c r="A112" s="178"/>
      <c r="B112" s="178"/>
      <c r="C112" s="184"/>
      <c r="D112" s="184"/>
      <c r="E112" s="184"/>
      <c r="W112" s="2" t="e">
        <f>IF(AND(G77&gt;=$W$9,G77&lt;=$W$9+5),0,IF($C$9&gt;$AF$51,ROUND(S76*#REF!/(DATEVALUE(CONCATENATE("01/01/",YEAR(H77)+1))-DATEVALUE(CONCATENATE("01/01/",YEAR(H77))))*(H77-H76),2),0))</f>
        <v>#REF!</v>
      </c>
      <c r="X112" s="34">
        <f t="shared" si="100"/>
        <v>0</v>
      </c>
      <c r="Y112" s="57">
        <f t="shared" si="99"/>
        <v>69470</v>
      </c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2" t="e">
        <f>IF(AND(Y69&gt;=$W$9,Y69&lt;=$W$9+5),0,IF($C$9&gt;$AF$51,ROUND(AI72*#REF!/(DATEVALUE(CONCATENATE("01/01/",YEAR(Z69)+1))-DATEVALUE(CONCATENATE("01/01/",YEAR(Z69))))*(Z69-Z68),2),0))</f>
        <v>#REF!</v>
      </c>
      <c r="AM112" s="34">
        <f t="shared" si="54"/>
        <v>0</v>
      </c>
      <c r="AN112" s="57">
        <f t="shared" si="53"/>
        <v>68010</v>
      </c>
      <c r="AO112" s="130"/>
      <c r="BH112" s="108">
        <f t="shared" si="90"/>
        <v>0</v>
      </c>
      <c r="BI112" s="108">
        <f t="shared" si="84"/>
        <v>0</v>
      </c>
      <c r="BJ112" s="22">
        <f t="shared" si="85"/>
        <v>0</v>
      </c>
      <c r="BK112" s="108">
        <f t="shared" si="67"/>
        <v>0</v>
      </c>
      <c r="BL112" s="2" t="e">
        <f>IF(AND(G67&gt;=$W$9,G67&lt;=$W$9+5),0,IF($C$9&gt;$AF$51,ROUND(BG66*IF(#REF!="",0,#REF!)/(DATEVALUE(CONCATENATE("01/01/",YEAR(AQ67)+1))-DATEVALUE(CONCATENATE("01/01/",YEAR(AQ67))))*(AQ67-AQ66),2),0))</f>
        <v>#REF!</v>
      </c>
    </row>
    <row r="113" spans="1:64" ht="13.8" x14ac:dyDescent="0.3">
      <c r="A113" s="178"/>
      <c r="B113" s="178"/>
      <c r="C113" s="184"/>
      <c r="D113" s="184"/>
      <c r="E113" s="184"/>
      <c r="W113" s="2" t="e">
        <f>IF(AND(G78&gt;=$W$9,G78&lt;=$W$9+5),0,IF($C$9&gt;$AF$51,ROUND(S77*#REF!/(DATEVALUE(CONCATENATE("01/01/",YEAR(H78)+1))-DATEVALUE(CONCATENATE("01/01/",YEAR(H78))))*(H78-H77),2),0))</f>
        <v>#REF!</v>
      </c>
      <c r="X113" s="34">
        <f t="shared" si="100"/>
        <v>0</v>
      </c>
      <c r="Y113" s="57">
        <f t="shared" si="99"/>
        <v>69835</v>
      </c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2" t="e">
        <f>IF(AND(Y70&gt;=$W$9,Y70&lt;=$W$9+5),0,IF($C$9&gt;$AF$51,ROUND(AI73*#REF!/(DATEVALUE(CONCATENATE("01/01/",YEAR(Z70)+1))-DATEVALUE(CONCATENATE("01/01/",YEAR(Z70))))*(Z70-Z69),2),0))</f>
        <v>#REF!</v>
      </c>
      <c r="AM113" s="34">
        <f t="shared" si="54"/>
        <v>0</v>
      </c>
      <c r="AN113" s="57">
        <f t="shared" ref="AN113:AN147" si="101">AN112+365</f>
        <v>68375</v>
      </c>
      <c r="AO113" s="130"/>
      <c r="BH113" s="108">
        <f t="shared" si="90"/>
        <v>0</v>
      </c>
      <c r="BI113" s="108">
        <f t="shared" si="84"/>
        <v>0</v>
      </c>
      <c r="BJ113" s="22">
        <f t="shared" si="85"/>
        <v>0</v>
      </c>
      <c r="BK113" s="108">
        <f t="shared" si="67"/>
        <v>0</v>
      </c>
      <c r="BL113" s="2" t="e">
        <f>IF(AND(G68&gt;=$W$9,G68&lt;=$W$9+5),0,IF($C$9&gt;$AF$51,ROUND(BG67*IF(#REF!="",0,#REF!)/(DATEVALUE(CONCATENATE("01/01/",YEAR(AQ68)+1))-DATEVALUE(CONCATENATE("01/01/",YEAR(AQ68))))*(AQ68-AQ67),2),0))</f>
        <v>#REF!</v>
      </c>
    </row>
    <row r="114" spans="1:64" ht="13.8" x14ac:dyDescent="0.3">
      <c r="A114" s="178"/>
      <c r="B114" s="178"/>
      <c r="C114" s="184"/>
      <c r="D114" s="184"/>
      <c r="E114" s="184"/>
      <c r="W114" s="2" t="e">
        <f>IF(AND(G79&gt;=$W$9,G79&lt;=$W$9+5),0,IF($C$9&gt;$AF$51,ROUND(S78*#REF!/(DATEVALUE(CONCATENATE("01/01/",YEAR(H79)+1))-DATEVALUE(CONCATENATE("01/01/",YEAR(H79))))*(H79-H78),2),0))</f>
        <v>#REF!</v>
      </c>
      <c r="X114" s="34">
        <f t="shared" si="100"/>
        <v>0</v>
      </c>
      <c r="Y114" s="57">
        <f>Y83+365</f>
        <v>59250</v>
      </c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2" t="e">
        <f>IF(AND(Y71&gt;=$W$9,Y71&lt;=$W$9+5),0,IF($C$9&gt;$AF$51,ROUND(AI74*#REF!/(DATEVALUE(CONCATENATE("01/01/",YEAR(Z71)+1))-DATEVALUE(CONCATENATE("01/01/",YEAR(Z71))))*(Z71-Z70),2),0))</f>
        <v>#REF!</v>
      </c>
      <c r="AM114" s="34">
        <f t="shared" ref="AM114:AM147" si="102">AT75</f>
        <v>0</v>
      </c>
      <c r="AN114" s="57">
        <f t="shared" si="101"/>
        <v>68740</v>
      </c>
      <c r="AO114" s="130"/>
      <c r="BH114" s="108">
        <f t="shared" si="90"/>
        <v>0</v>
      </c>
      <c r="BI114" s="108">
        <f t="shared" si="84"/>
        <v>0</v>
      </c>
      <c r="BJ114" s="22">
        <f t="shared" si="85"/>
        <v>0</v>
      </c>
      <c r="BK114" s="108">
        <f t="shared" si="67"/>
        <v>0</v>
      </c>
      <c r="BL114" s="2" t="e">
        <f>IF(AND(G69&gt;=$W$9,G69&lt;=$W$9+5),0,IF($C$9&gt;$AF$51,ROUND(BG68*IF(#REF!="",0,#REF!)/(DATEVALUE(CONCATENATE("01/01/",YEAR(AQ69)+1))-DATEVALUE(CONCATENATE("01/01/",YEAR(AQ69))))*(AQ69-AQ68),2),0))</f>
        <v>#REF!</v>
      </c>
    </row>
    <row r="115" spans="1:64" ht="13.8" x14ac:dyDescent="0.3">
      <c r="A115" s="178"/>
      <c r="B115" s="178"/>
      <c r="C115" s="184"/>
      <c r="D115" s="184"/>
      <c r="E115" s="184"/>
      <c r="W115" s="2" t="e">
        <f>IF(AND(G80&gt;=$W$9,G80&lt;=$W$9+5),0,IF($C$9&gt;$AF$51,ROUND(S79*#REF!/(DATEVALUE(CONCATENATE("01/01/",YEAR(H80)+1))-DATEVALUE(CONCATENATE("01/01/",YEAR(H80))))*(H80-H79),2),0))</f>
        <v>#REF!</v>
      </c>
      <c r="X115" s="34">
        <f t="shared" si="100"/>
        <v>0</v>
      </c>
      <c r="Y115" s="57">
        <f t="shared" si="99"/>
        <v>59615</v>
      </c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2" t="e">
        <f>IF(AND(Y72&gt;=$W$9,Y72&lt;=$W$9+5),0,IF($C$9&gt;$AF$51,ROUND(AI75*#REF!/(DATEVALUE(CONCATENATE("01/01/",YEAR(Z72)+1))-DATEVALUE(CONCATENATE("01/01/",YEAR(Z72))))*(Z72-Z71),2),0))</f>
        <v>#REF!</v>
      </c>
      <c r="AM115" s="34">
        <f t="shared" si="102"/>
        <v>0</v>
      </c>
      <c r="AN115" s="57">
        <f t="shared" si="101"/>
        <v>69105</v>
      </c>
      <c r="AO115" s="130"/>
      <c r="BH115" s="31"/>
      <c r="BI115" s="51"/>
      <c r="BJ115" s="29" t="s">
        <v>67</v>
      </c>
      <c r="BK115" s="152" t="e">
        <f>XIRR(BK7:BK114,BJ7:BJ114)</f>
        <v>#VALUE!</v>
      </c>
      <c r="BL115" s="2" t="e">
        <f>IF(AND(G70&gt;=$W$9,G70&lt;=$W$9+5),0,IF($C$9&gt;$AF$51,ROUND(BG69*IF(#REF!="",0,#REF!)/(DATEVALUE(CONCATENATE("01/01/",YEAR(AQ70)+1))-DATEVALUE(CONCATENATE("01/01/",YEAR(AQ70))))*(AQ70-AQ69),2),0))</f>
        <v>#REF!</v>
      </c>
    </row>
    <row r="116" spans="1:64" ht="13.8" x14ac:dyDescent="0.3">
      <c r="A116" s="178"/>
      <c r="B116" s="178"/>
      <c r="C116" s="184"/>
      <c r="D116" s="184"/>
      <c r="E116" s="184"/>
      <c r="W116" s="2" t="e">
        <f>IF(AND(G81&gt;=$W$9,G81&lt;=$W$9+5),0,IF($C$9&gt;$AF$51,ROUND(S80*#REF!/(DATEVALUE(CONCATENATE("01/01/",YEAR(H81)+1))-DATEVALUE(CONCATENATE("01/01/",YEAR(H81))))*(H81-H80),2),0))</f>
        <v>#REF!</v>
      </c>
      <c r="X116" s="34">
        <f t="shared" si="100"/>
        <v>0</v>
      </c>
      <c r="Y116" s="57">
        <f t="shared" si="99"/>
        <v>59980</v>
      </c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2" t="e">
        <f>IF(AND(Y73&gt;=$W$9,Y73&lt;=$W$9+5),0,IF($C$9&gt;$AF$51,ROUND(AI76*#REF!/(DATEVALUE(CONCATENATE("01/01/",YEAR(Z73)+1))-DATEVALUE(CONCATENATE("01/01/",YEAR(Z73))))*(Z73-Z72),2),0))</f>
        <v>#REF!</v>
      </c>
      <c r="AM116" s="34">
        <f t="shared" si="102"/>
        <v>0</v>
      </c>
      <c r="AN116" s="57">
        <f t="shared" si="101"/>
        <v>69470</v>
      </c>
      <c r="AO116" s="130"/>
      <c r="BL116" s="2" t="e">
        <f>IF(AND(G71&gt;=$W$9,G71&lt;=$W$9+5),0,IF($C$9&gt;$AF$51,ROUND(BG70*IF(#REF!="",0,#REF!)/(DATEVALUE(CONCATENATE("01/01/",YEAR(AQ71)+1))-DATEVALUE(CONCATENATE("01/01/",YEAR(AQ71))))*(AQ71-AQ70),2),0))</f>
        <v>#REF!</v>
      </c>
    </row>
    <row r="117" spans="1:64" ht="13.8" x14ac:dyDescent="0.3">
      <c r="A117" s="178"/>
      <c r="B117" s="178"/>
      <c r="C117" s="184"/>
      <c r="D117" s="184"/>
      <c r="E117" s="184"/>
      <c r="W117" s="2" t="e">
        <f>IF(AND(G82&gt;=$W$9,G82&lt;=$W$9+5),0,IF($C$9&gt;$AF$51,ROUND(S81*#REF!/(DATEVALUE(CONCATENATE("01/01/",YEAR(H82)+1))-DATEVALUE(CONCATENATE("01/01/",YEAR(H82))))*(H82-H81),2),0))</f>
        <v>#REF!</v>
      </c>
      <c r="X117" s="34">
        <f t="shared" si="100"/>
        <v>0</v>
      </c>
      <c r="Y117" s="57">
        <f t="shared" si="99"/>
        <v>60345</v>
      </c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2" t="e">
        <f>IF(AND(Y74&gt;=$W$9,Y74&lt;=$W$9+5),0,IF($C$9&gt;$AF$51,ROUND(AI77*#REF!/(DATEVALUE(CONCATENATE("01/01/",YEAR(Z74)+1))-DATEVALUE(CONCATENATE("01/01/",YEAR(Z74))))*(Z74-Z73),2),0))</f>
        <v>#REF!</v>
      </c>
      <c r="AM117" s="34">
        <f t="shared" si="102"/>
        <v>0</v>
      </c>
      <c r="AN117" s="57">
        <f t="shared" si="101"/>
        <v>69835</v>
      </c>
      <c r="AO117" s="130"/>
      <c r="BL117" s="2" t="e">
        <f>IF(AND(G72&gt;=$W$9,G72&lt;=$W$9+5),0,IF($C$9&gt;$AF$51,ROUND(BG71*IF(#REF!="",0,#REF!)/(DATEVALUE(CONCATENATE("01/01/",YEAR(AQ72)+1))-DATEVALUE(CONCATENATE("01/01/",YEAR(AQ72))))*(AQ72-AQ71),2),0))</f>
        <v>#REF!</v>
      </c>
    </row>
    <row r="118" spans="1:64" ht="13.8" x14ac:dyDescent="0.3">
      <c r="A118" s="178"/>
      <c r="B118" s="178"/>
      <c r="C118" s="184"/>
      <c r="D118" s="184"/>
      <c r="E118" s="184"/>
      <c r="W118" s="2" t="e">
        <f>IF(AND(G83&gt;=$W$9,G83&lt;=$W$9+5),0,IF($C$9&gt;$AF$51,ROUND(S82*#REF!/(DATEVALUE(CONCATENATE("01/01/",YEAR(H83)+1))-DATEVALUE(CONCATENATE("01/01/",YEAR(H83))))*(H83-H82),2),0))</f>
        <v>#REF!</v>
      </c>
      <c r="X118" s="34">
        <f t="shared" si="100"/>
        <v>0</v>
      </c>
      <c r="Y118" s="57">
        <f t="shared" si="99"/>
        <v>60710</v>
      </c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2" t="e">
        <f>IF(AND(Y75&gt;=$W$9,Y75&lt;=$W$9+5),0,IF($C$9&gt;$AF$51,ROUND(AI78*#REF!/(DATEVALUE(CONCATENATE("01/01/",YEAR(Z75)+1))-DATEVALUE(CONCATENATE("01/01/",YEAR(Z75))))*(Z75-Z74),2),0))</f>
        <v>#VALUE!</v>
      </c>
      <c r="AM118" s="34">
        <f t="shared" si="102"/>
        <v>0</v>
      </c>
      <c r="AN118" s="57">
        <f>AN87+365</f>
        <v>59250</v>
      </c>
      <c r="AO118" s="130"/>
      <c r="BL118" s="2" t="e">
        <f>IF(AND(G73&gt;=$W$9,G73&lt;=$W$9+5),0,IF($C$9&gt;$AF$51,ROUND(BG72*IF(#REF!="",0,#REF!)/(DATEVALUE(CONCATENATE("01/01/",YEAR(AQ73)+1))-DATEVALUE(CONCATENATE("01/01/",YEAR(AQ73))))*(AQ73-AQ72),2),0))</f>
        <v>#REF!</v>
      </c>
    </row>
    <row r="119" spans="1:64" ht="13.8" x14ac:dyDescent="0.3">
      <c r="A119" s="178"/>
      <c r="B119" s="178"/>
      <c r="C119" s="184"/>
      <c r="D119" s="184"/>
      <c r="E119" s="184"/>
      <c r="W119" s="2" t="e">
        <f>IF(AND(G84&gt;=$W$9,G84&lt;=$W$9+5),0,IF($C$9&gt;$AF$51,ROUND(S83*#REF!/(DATEVALUE(CONCATENATE("01/01/",YEAR(H84)+1))-DATEVALUE(CONCATENATE("01/01/",YEAR(H84))))*(H84-H83),2),0))</f>
        <v>#REF!</v>
      </c>
      <c r="X119" s="34">
        <f t="shared" si="100"/>
        <v>0</v>
      </c>
      <c r="Y119" s="57">
        <f t="shared" si="99"/>
        <v>61075</v>
      </c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2" t="e">
        <f>IF(AND(Y76&gt;=$W$9,Y76&lt;=$W$9+5),0,IF($C$9&gt;$AF$51,ROUND(AI79*#REF!/(DATEVALUE(CONCATENATE("01/01/",YEAR(Z76)+1))-DATEVALUE(CONCATENATE("01/01/",YEAR(Z76))))*(Z76-Z75),2),0))</f>
        <v>#REF!</v>
      </c>
      <c r="AM119" s="34">
        <f t="shared" si="102"/>
        <v>0</v>
      </c>
      <c r="AN119" s="57">
        <f t="shared" si="101"/>
        <v>59615</v>
      </c>
      <c r="AO119" s="130"/>
      <c r="BL119" s="2" t="e">
        <f>IF(AND(G74&gt;=$W$9,G74&lt;=$W$9+5),0,IF($C$9&gt;$AF$51,ROUND(BG73*IF(#REF!="",0,#REF!)/(DATEVALUE(CONCATENATE("01/01/",YEAR(AQ74)+1))-DATEVALUE(CONCATENATE("01/01/",YEAR(AQ74))))*(AQ74-AQ73),2),0))</f>
        <v>#REF!</v>
      </c>
    </row>
    <row r="120" spans="1:64" ht="13.8" x14ac:dyDescent="0.3">
      <c r="A120" s="178"/>
      <c r="B120" s="178"/>
      <c r="C120" s="184"/>
      <c r="D120" s="184"/>
      <c r="E120" s="184"/>
      <c r="W120" s="2" t="e">
        <f>IF(AND(G85&gt;=$W$9,G85&lt;=$W$9+5),0,IF($C$9&gt;$AF$51,ROUND(S84*#REF!/(DATEVALUE(CONCATENATE("01/01/",YEAR(H85)+1))-DATEVALUE(CONCATENATE("01/01/",YEAR(H85))))*(H85-H84),2),0))</f>
        <v>#REF!</v>
      </c>
      <c r="X120" s="34">
        <f t="shared" si="100"/>
        <v>0</v>
      </c>
      <c r="Y120" s="57">
        <f t="shared" si="99"/>
        <v>61440</v>
      </c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2" t="e">
        <f>IF(AND(Y77&gt;=$W$9,Y77&lt;=$W$9+5),0,IF($C$9&gt;$AF$51,ROUND(AI80*#REF!/(DATEVALUE(CONCATENATE("01/01/",YEAR(Z77)+1))-DATEVALUE(CONCATENATE("01/01/",YEAR(Z77))))*(Z77-Z76),2),0))</f>
        <v>#REF!</v>
      </c>
      <c r="AM120" s="34">
        <f t="shared" si="102"/>
        <v>0</v>
      </c>
      <c r="AN120" s="57">
        <f t="shared" si="101"/>
        <v>59980</v>
      </c>
      <c r="AO120" s="130"/>
      <c r="BL120" s="2" t="e">
        <f>IF(AND(G75&gt;=$W$9,G75&lt;=$W$9+5),0,IF($C$9&gt;$AF$51,ROUND(BG74*IF(#REF!="",0,#REF!)/(DATEVALUE(CONCATENATE("01/01/",YEAR(AQ75)+1))-DATEVALUE(CONCATENATE("01/01/",YEAR(AQ75))))*(AQ75-AQ74),2),0))</f>
        <v>#REF!</v>
      </c>
    </row>
    <row r="121" spans="1:64" ht="13.8" x14ac:dyDescent="0.3">
      <c r="A121" s="178"/>
      <c r="B121" s="178"/>
      <c r="C121" s="184"/>
      <c r="D121" s="184"/>
      <c r="E121" s="184"/>
      <c r="W121" s="2" t="e">
        <f>IF(AND(G86&gt;=$W$9,G86&lt;=$W$9+5),0,IF($C$9&gt;$AF$51,ROUND(S85*#REF!/(DATEVALUE(CONCATENATE("01/01/",YEAR(H86)+1))-DATEVALUE(CONCATENATE("01/01/",YEAR(H86))))*(H86-H85),2),0))</f>
        <v>#REF!</v>
      </c>
      <c r="X121" s="34">
        <f t="shared" si="100"/>
        <v>0</v>
      </c>
      <c r="Y121" s="57">
        <f t="shared" si="99"/>
        <v>61805</v>
      </c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2" t="e">
        <f>IF(AND(Y78&gt;=$W$9,Y78&lt;=$W$9+5),0,IF($C$9&gt;$AF$51,ROUND(AI81*#REF!/(DATEVALUE(CONCATENATE("01/01/",YEAR(Z78)+1))-DATEVALUE(CONCATENATE("01/01/",YEAR(Z78))))*(Z78-Z77),2),0))</f>
        <v>#REF!</v>
      </c>
      <c r="AM121" s="34">
        <f t="shared" si="102"/>
        <v>0</v>
      </c>
      <c r="AN121" s="57">
        <f t="shared" si="101"/>
        <v>60345</v>
      </c>
      <c r="AO121" s="130"/>
      <c r="BL121" s="2" t="e">
        <f>IF(AND(G76&gt;=$W$9,G76&lt;=$W$9+5),0,IF($C$9&gt;$AF$51,ROUND(BG75*IF(#REF!="",0,#REF!)/(DATEVALUE(CONCATENATE("01/01/",YEAR(AQ76)+1))-DATEVALUE(CONCATENATE("01/01/",YEAR(AQ76))))*(AQ76-AQ75),2),0))</f>
        <v>#REF!</v>
      </c>
    </row>
    <row r="122" spans="1:64" ht="13.8" x14ac:dyDescent="0.3">
      <c r="A122" s="178"/>
      <c r="B122" s="178"/>
      <c r="C122" s="184"/>
      <c r="D122" s="184"/>
      <c r="E122" s="184"/>
      <c r="W122" s="2" t="e">
        <f>IF(AND(G87&gt;=$W$9,G87&lt;=$W$9+5),0,IF($C$9&gt;$AF$51,ROUND(S86*#REF!/(DATEVALUE(CONCATENATE("01/01/",YEAR(H87)+1))-DATEVALUE(CONCATENATE("01/01/",YEAR(H87))))*(H87-H86),2),0))</f>
        <v>#REF!</v>
      </c>
      <c r="X122" s="34">
        <f t="shared" si="100"/>
        <v>0</v>
      </c>
      <c r="Y122" s="57">
        <f t="shared" si="99"/>
        <v>62170</v>
      </c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2" t="e">
        <f>IF(AND(Y79&gt;=$W$9,Y79&lt;=$W$9+5),0,IF($C$9&gt;$AF$51,ROUND(AI82*#REF!/(DATEVALUE(CONCATENATE("01/01/",YEAR(Z79)+1))-DATEVALUE(CONCATENATE("01/01/",YEAR(Z79))))*(Z79-Z78),2),0))</f>
        <v>#REF!</v>
      </c>
      <c r="AM122" s="34">
        <f t="shared" si="102"/>
        <v>0</v>
      </c>
      <c r="AN122" s="57">
        <f t="shared" si="101"/>
        <v>60710</v>
      </c>
      <c r="AO122" s="130"/>
      <c r="BL122" s="2" t="e">
        <f>IF(AND(G77&gt;=$W$9,G77&lt;=$W$9+5),0,IF($C$9&gt;$AF$51,ROUND(BG76*IF(#REF!="",0,#REF!)/(DATEVALUE(CONCATENATE("01/01/",YEAR(AQ77)+1))-DATEVALUE(CONCATENATE("01/01/",YEAR(AQ77))))*(AQ77-AQ76),2),0))</f>
        <v>#REF!</v>
      </c>
    </row>
    <row r="123" spans="1:64" ht="13.8" x14ac:dyDescent="0.3">
      <c r="A123" s="178"/>
      <c r="B123" s="178"/>
      <c r="C123" s="184"/>
      <c r="D123" s="184"/>
      <c r="E123" s="184"/>
      <c r="W123" s="2" t="e">
        <f>IF(AND(G88&gt;=$W$9,G88&lt;=$W$9+5),0,IF($C$9&gt;$AF$51,ROUND(S87*#REF!/(DATEVALUE(CONCATENATE("01/01/",YEAR(H88)+1))-DATEVALUE(CONCATENATE("01/01/",YEAR(H88))))*(H88-H87),2),0))</f>
        <v>#REF!</v>
      </c>
      <c r="X123" s="34">
        <f t="shared" si="100"/>
        <v>0</v>
      </c>
      <c r="Y123" s="57">
        <f t="shared" si="99"/>
        <v>62535</v>
      </c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2" t="e">
        <f>IF(AND(Y80&gt;=$W$9,Y80&lt;=$W$9+5),0,IF($C$9&gt;$AF$51,ROUND(AI83*#REF!/(DATEVALUE(CONCATENATE("01/01/",YEAR(Z80)+1))-DATEVALUE(CONCATENATE("01/01/",YEAR(Z80))))*(Z80-Z79),2),0))</f>
        <v>#REF!</v>
      </c>
      <c r="AM123" s="34">
        <f t="shared" si="102"/>
        <v>0</v>
      </c>
      <c r="AN123" s="57">
        <f t="shared" si="101"/>
        <v>61075</v>
      </c>
      <c r="AO123" s="130"/>
      <c r="BL123" s="2" t="e">
        <f>IF(AND(G78&gt;=$W$9,G78&lt;=$W$9+5),0,IF($C$9&gt;$AF$51,ROUND(BG77*IF(#REF!="",0,#REF!)/(DATEVALUE(CONCATENATE("01/01/",YEAR(AQ78)+1))-DATEVALUE(CONCATENATE("01/01/",YEAR(AQ78))))*(AQ78-AQ77),2),0))</f>
        <v>#REF!</v>
      </c>
    </row>
    <row r="124" spans="1:64" ht="13.8" x14ac:dyDescent="0.3">
      <c r="A124" s="178"/>
      <c r="B124" s="178"/>
      <c r="C124" s="184"/>
      <c r="D124" s="184"/>
      <c r="E124" s="184"/>
      <c r="W124" s="2" t="e">
        <f>IF(AND(G89&gt;=$W$9,G89&lt;=$W$9+5),0,IF($C$9&gt;$AF$51,ROUND(S88*#REF!/(DATEVALUE(CONCATENATE("01/01/",YEAR(H89)+1))-DATEVALUE(CONCATENATE("01/01/",YEAR(H89))))*(H89-H88),2),0))</f>
        <v>#REF!</v>
      </c>
      <c r="X124" s="34">
        <f t="shared" si="100"/>
        <v>0</v>
      </c>
      <c r="Y124" s="57">
        <f t="shared" si="99"/>
        <v>62900</v>
      </c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2" t="e">
        <f>IF(AND(Y81&gt;=$W$9,Y81&lt;=$W$9+5),0,IF($C$9&gt;$AF$51,ROUND(AI84*#REF!/(DATEVALUE(CONCATENATE("01/01/",YEAR(Z81)+1))-DATEVALUE(CONCATENATE("01/01/",YEAR(Z81))))*(Z81-Z80),2),0))</f>
        <v>#REF!</v>
      </c>
      <c r="AM124" s="34">
        <f t="shared" si="102"/>
        <v>0</v>
      </c>
      <c r="AN124" s="57">
        <f t="shared" si="101"/>
        <v>61440</v>
      </c>
      <c r="AO124" s="130"/>
      <c r="BL124" s="2" t="e">
        <f>IF(AND(G79&gt;=$W$9,G79&lt;=$W$9+5),0,IF($C$9&gt;$AF$51,ROUND(BG78*IF(#REF!="",0,#REF!)/(DATEVALUE(CONCATENATE("01/01/",YEAR(AQ79)+1))-DATEVALUE(CONCATENATE("01/01/",YEAR(AQ79))))*(AQ79-AQ78),2),0))</f>
        <v>#REF!</v>
      </c>
    </row>
    <row r="125" spans="1:64" ht="13.8" x14ac:dyDescent="0.3">
      <c r="A125" s="178"/>
      <c r="B125" s="178"/>
      <c r="C125" s="184"/>
      <c r="D125" s="184"/>
      <c r="E125" s="184"/>
      <c r="W125" s="2" t="e">
        <f>IF(AND(G90&gt;=$W$9,G90&lt;=$W$9+5),0,IF($C$9&gt;$AF$51,ROUND(S89*#REF!/(DATEVALUE(CONCATENATE("01/01/",YEAR(H90)+1))-DATEVALUE(CONCATENATE("01/01/",YEAR(H90))))*(H90-H89),2),0))</f>
        <v>#REF!</v>
      </c>
      <c r="X125" s="34">
        <f t="shared" si="100"/>
        <v>0</v>
      </c>
      <c r="Y125" s="57">
        <f t="shared" si="99"/>
        <v>63265</v>
      </c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2" t="e">
        <f>IF(AND(Y82&gt;=$W$9,Y82&lt;=$W$9+5),0,IF($C$9&gt;$AF$51,ROUND(AI85*#REF!/(DATEVALUE(CONCATENATE("01/01/",YEAR(Z82)+1))-DATEVALUE(CONCATENATE("01/01/",YEAR(Z82))))*(Z82-Z81),2),0))</f>
        <v>#REF!</v>
      </c>
      <c r="AM125" s="34">
        <f t="shared" si="102"/>
        <v>0</v>
      </c>
      <c r="AN125" s="57">
        <f t="shared" si="101"/>
        <v>61805</v>
      </c>
      <c r="AO125" s="130"/>
      <c r="BL125" s="2" t="e">
        <f>IF(AND(G80&gt;=$W$9,G80&lt;=$W$9+5),0,IF($C$9&gt;$AF$51,ROUND(BG79*IF(#REF!="",0,#REF!)/(DATEVALUE(CONCATENATE("01/01/",YEAR(AQ80)+1))-DATEVALUE(CONCATENATE("01/01/",YEAR(AQ80))))*(AQ80-AQ79),2),0))</f>
        <v>#REF!</v>
      </c>
    </row>
    <row r="126" spans="1:64" ht="13.8" x14ac:dyDescent="0.3">
      <c r="A126" s="178"/>
      <c r="B126" s="178"/>
      <c r="C126" s="184"/>
      <c r="D126" s="184"/>
      <c r="E126" s="184"/>
      <c r="W126" s="2" t="e">
        <f>IF(AND(G91&gt;=$W$9,G91&lt;=$W$9+5),0,IF($C$9&gt;$AF$51,ROUND(S90*#REF!/(DATEVALUE(CONCATENATE("01/01/",YEAR(H91)+1))-DATEVALUE(CONCATENATE("01/01/",YEAR(H91))))*(H91-H90),2),0))</f>
        <v>#REF!</v>
      </c>
      <c r="X126" s="34">
        <f t="shared" si="100"/>
        <v>0</v>
      </c>
      <c r="Y126" s="57">
        <f t="shared" si="99"/>
        <v>63630</v>
      </c>
      <c r="AC126" s="16"/>
      <c r="AD126" s="16"/>
      <c r="AE126" s="16"/>
      <c r="AF126" s="16"/>
      <c r="AG126" s="16"/>
      <c r="AH126" s="16"/>
      <c r="AI126" s="16"/>
      <c r="AJ126" s="16"/>
      <c r="AK126" s="16"/>
      <c r="AL126" s="2" t="e">
        <f>IF(AND(Y83&gt;=$W$9,Y83&lt;=$W$9+5),0,IF($C$9&gt;$AF$51,ROUND(AI86*#REF!/(DATEVALUE(CONCATENATE("01/01/",YEAR(Z83)+1))-DATEVALUE(CONCATENATE("01/01/",YEAR(Z83))))*(Z83-Z82),2),0))</f>
        <v>#REF!</v>
      </c>
      <c r="AM126" s="34">
        <f t="shared" si="102"/>
        <v>0</v>
      </c>
      <c r="AN126" s="57">
        <f t="shared" si="101"/>
        <v>62170</v>
      </c>
      <c r="AO126" s="130"/>
      <c r="BL126" s="2" t="e">
        <f>IF(AND(G81&gt;=$W$9,G81&lt;=$W$9+5),0,IF($C$9&gt;$AF$51,ROUND(BG80*IF(#REF!="",0,#REF!)/(DATEVALUE(CONCATENATE("01/01/",YEAR(AQ81)+1))-DATEVALUE(CONCATENATE("01/01/",YEAR(AQ81))))*(AQ81-AQ80),2),0))</f>
        <v>#REF!</v>
      </c>
    </row>
    <row r="127" spans="1:64" ht="13.8" x14ac:dyDescent="0.3">
      <c r="A127" s="178"/>
      <c r="B127" s="178"/>
      <c r="C127" s="184"/>
      <c r="D127" s="184"/>
      <c r="E127" s="184"/>
      <c r="W127" s="2" t="e">
        <f>IF(AND(G92&gt;=$W$9,G92&lt;=$W$9+5),0,IF($C$9&gt;$AF$51,ROUND(S91*#REF!/(DATEVALUE(CONCATENATE("01/01/",YEAR(H92)+1))-DATEVALUE(CONCATENATE("01/01/",YEAR(H92))))*(H92-H91),2),0))</f>
        <v>#REF!</v>
      </c>
      <c r="X127" s="34">
        <f t="shared" si="100"/>
        <v>0</v>
      </c>
      <c r="Y127" s="57">
        <f t="shared" si="99"/>
        <v>63995</v>
      </c>
      <c r="AC127" s="16"/>
      <c r="AD127" s="16"/>
      <c r="AE127" s="16"/>
      <c r="AF127" s="16"/>
      <c r="AG127" s="16"/>
      <c r="AH127" s="16"/>
      <c r="AI127" s="16"/>
      <c r="AJ127" s="16"/>
      <c r="AK127" s="16"/>
      <c r="AL127" s="2" t="e">
        <f>IF(AND(Y84&gt;=$W$9,Y84&lt;=$W$9+5),0,IF($C$9&gt;$AF$51,ROUND(AI87*#REF!/(DATEVALUE(CONCATENATE("01/01/",YEAR(Z84)+1))-DATEVALUE(CONCATENATE("01/01/",YEAR(Z84))))*(Z84-Z83),2),0))</f>
        <v>#REF!</v>
      </c>
      <c r="AM127" s="34">
        <f t="shared" si="102"/>
        <v>0</v>
      </c>
      <c r="AN127" s="57">
        <f t="shared" si="101"/>
        <v>62535</v>
      </c>
      <c r="BL127" s="2" t="e">
        <f>IF(AND(G82&gt;=$W$9,G82&lt;=$W$9+5),0,IF($C$9&gt;$AF$51,ROUND(BG81*IF(#REF!="",0,#REF!)/(DATEVALUE(CONCATENATE("01/01/",YEAR(AQ82)+1))-DATEVALUE(CONCATENATE("01/01/",YEAR(AQ82))))*(AQ82-AQ81),2),0))</f>
        <v>#REF!</v>
      </c>
    </row>
    <row r="128" spans="1:64" x14ac:dyDescent="0.25">
      <c r="W128" s="2" t="e">
        <f>IF(AND(G93&gt;=$W$9,G93&lt;=$W$9+5),0,IF($C$9&gt;$AF$51,ROUND(S92*#REF!/(DATEVALUE(CONCATENATE("01/01/",YEAR(H93)+1))-DATEVALUE(CONCATENATE("01/01/",YEAR(H93))))*(H93-H92),2),0))</f>
        <v>#REF!</v>
      </c>
      <c r="X128" s="34">
        <f t="shared" si="100"/>
        <v>0</v>
      </c>
      <c r="Y128" s="57">
        <f t="shared" si="99"/>
        <v>64360</v>
      </c>
      <c r="AC128" s="16"/>
      <c r="AD128" s="16"/>
      <c r="AE128" s="16"/>
      <c r="AF128" s="16"/>
      <c r="AG128" s="16"/>
      <c r="AH128" s="16"/>
      <c r="AI128" s="16"/>
      <c r="AJ128" s="16"/>
      <c r="AK128" s="60"/>
      <c r="AL128" s="2" t="e">
        <f>IF(AND(Y85&gt;=$W$9,Y85&lt;=$W$9+5),0,IF($C$9&gt;$AF$51,ROUND(AI88*#REF!/(DATEVALUE(CONCATENATE("01/01/",YEAR(Z85)+1))-DATEVALUE(CONCATENATE("01/01/",YEAR(Z85))))*(Z85-Z84),2),0))</f>
        <v>#REF!</v>
      </c>
      <c r="AM128" s="34">
        <f t="shared" si="102"/>
        <v>0</v>
      </c>
      <c r="AN128" s="57">
        <f t="shared" si="101"/>
        <v>62900</v>
      </c>
      <c r="BL128" s="2" t="e">
        <f>IF(AND(G83&gt;=$W$9,G83&lt;=$W$9+5),0,IF($C$9&gt;$AF$51,ROUND(BG82*IF(#REF!="",0,#REF!)/(DATEVALUE(CONCATENATE("01/01/",YEAR(AQ83)+1))-DATEVALUE(CONCATENATE("01/01/",YEAR(AQ83))))*(AQ83-AQ82),2),0))</f>
        <v>#REF!</v>
      </c>
    </row>
    <row r="129" spans="23:64" x14ac:dyDescent="0.25">
      <c r="W129" s="2" t="e">
        <f>IF(AND(G94&gt;=$W$9,G94&lt;=$W$9+5),0,IF($C$9&gt;$AF$51,ROUND(S93*#REF!/(DATEVALUE(CONCATENATE("01/01/",YEAR(H94)+1))-DATEVALUE(CONCATENATE("01/01/",YEAR(H94))))*(H94-H93),2),0))</f>
        <v>#REF!</v>
      </c>
      <c r="X129" s="34">
        <f t="shared" si="100"/>
        <v>0</v>
      </c>
      <c r="Y129" s="57">
        <f t="shared" si="99"/>
        <v>64725</v>
      </c>
      <c r="AC129" s="16"/>
      <c r="AD129" s="16"/>
      <c r="AE129" s="33"/>
      <c r="AF129" s="33"/>
      <c r="AG129" s="33"/>
      <c r="AH129" s="33"/>
      <c r="AI129" s="16"/>
      <c r="AL129" s="2" t="e">
        <f>IF(AND(Y86&gt;=$W$9,Y86&lt;=$W$9+5),0,IF($C$9&gt;$AF$51,ROUND(AI89*#REF!/(DATEVALUE(CONCATENATE("01/01/",YEAR(Z86)+1))-DATEVALUE(CONCATENATE("01/01/",YEAR(Z86))))*(Z86-Z85),2),0))</f>
        <v>#REF!</v>
      </c>
      <c r="AM129" s="34">
        <f t="shared" si="102"/>
        <v>0</v>
      </c>
      <c r="AN129" s="57">
        <f t="shared" si="101"/>
        <v>63265</v>
      </c>
      <c r="BL129" s="2" t="e">
        <f>IF(AND(G84&gt;=$W$9,G84&lt;=$W$9+5),0,IF($C$9&gt;$AF$51,ROUND(BG83*IF(#REF!="",0,#REF!)/(DATEVALUE(CONCATENATE("01/01/",YEAR(AQ84)+1))-DATEVALUE(CONCATENATE("01/01/",YEAR(AQ84))))*(AQ84-AQ83),2),0))</f>
        <v>#REF!</v>
      </c>
    </row>
    <row r="130" spans="23:64" x14ac:dyDescent="0.25">
      <c r="W130" s="2" t="e">
        <f>IF(AND(G95&gt;=$W$9,G95&lt;=$W$9+5),0,IF($C$9&gt;$AF$51,ROUND(S94*#REF!/(DATEVALUE(CONCATENATE("01/01/",YEAR(H95)+1))-DATEVALUE(CONCATENATE("01/01/",YEAR(H95))))*(H95-H94),2),0))</f>
        <v>#REF!</v>
      </c>
      <c r="X130" s="34">
        <f t="shared" si="100"/>
        <v>0</v>
      </c>
      <c r="Y130" s="57">
        <f t="shared" si="99"/>
        <v>65090</v>
      </c>
      <c r="AL130" s="2" t="e">
        <f>IF(AND(Y87&gt;=$W$9,Y87&lt;=$W$9+5),0,IF($C$9&gt;$AF$51,ROUND(AI90*#REF!/(DATEVALUE(CONCATENATE("01/01/",YEAR(Z87)+1))-DATEVALUE(CONCATENATE("01/01/",YEAR(Z87))))*(Z87-Z86),2),0))</f>
        <v>#REF!</v>
      </c>
      <c r="AM130" s="34">
        <f t="shared" si="102"/>
        <v>0</v>
      </c>
      <c r="AN130" s="57">
        <f t="shared" si="101"/>
        <v>63630</v>
      </c>
      <c r="BL130" s="2" t="e">
        <f>IF(AND(G85&gt;=$W$9,G85&lt;=$W$9+5),0,IF($C$9&gt;$AF$51,ROUND(BG84*IF(#REF!="",0,#REF!)/(DATEVALUE(CONCATENATE("01/01/",YEAR(AQ85)+1))-DATEVALUE(CONCATENATE("01/01/",YEAR(AQ85))))*(AQ85-AQ84),2),0))</f>
        <v>#REF!</v>
      </c>
    </row>
    <row r="131" spans="23:64" x14ac:dyDescent="0.25">
      <c r="W131" s="2" t="e">
        <f>IF(AND(G96&gt;=$W$9,G96&lt;=$W$9+5),0,IF($C$9&gt;$AF$51,ROUND(S95*#REF!/(DATEVALUE(CONCATENATE("01/01/",YEAR(H96)+1))-DATEVALUE(CONCATENATE("01/01/",YEAR(H96))))*(H96-H95),2),0))</f>
        <v>#REF!</v>
      </c>
      <c r="X131" s="34">
        <f t="shared" si="100"/>
        <v>0</v>
      </c>
      <c r="Y131" s="57">
        <f t="shared" si="99"/>
        <v>65455</v>
      </c>
      <c r="AL131" s="2" t="e">
        <f>IF(AND(Y88&gt;=$W$9,Y88&lt;=$W$9+5),0,IF($C$9&gt;$AF$51,ROUND(AI91*#REF!/(DATEVALUE(CONCATENATE("01/01/",YEAR(Z88)+1))-DATEVALUE(CONCATENATE("01/01/",YEAR(Z88))))*(Z88-Z87),2),0))</f>
        <v>#REF!</v>
      </c>
      <c r="AM131" s="34">
        <f t="shared" si="102"/>
        <v>0</v>
      </c>
      <c r="AN131" s="57">
        <f t="shared" si="101"/>
        <v>63995</v>
      </c>
      <c r="BL131" s="2" t="e">
        <f>IF(AND(G86&gt;=$W$9,G86&lt;=$W$9+5),0,IF($C$9&gt;$AF$51,ROUND(BG85*IF(#REF!="",0,#REF!)/(DATEVALUE(CONCATENATE("01/01/",YEAR(AQ86)+1))-DATEVALUE(CONCATENATE("01/01/",YEAR(AQ86))))*(AQ86-AQ85),2),0))</f>
        <v>#REF!</v>
      </c>
    </row>
    <row r="132" spans="23:64" x14ac:dyDescent="0.25">
      <c r="W132" s="2" t="e">
        <f>IF(AND(G97&gt;=$W$9,G97&lt;=$W$9+5),0,IF($C$9&gt;$AF$51,ROUND(S96*#REF!/(DATEVALUE(CONCATENATE("01/01/",YEAR(H97)+1))-DATEVALUE(CONCATENATE("01/01/",YEAR(H97))))*(H97-H96),2),0))</f>
        <v>#REF!</v>
      </c>
      <c r="X132" s="34">
        <f t="shared" si="100"/>
        <v>0</v>
      </c>
      <c r="Y132" s="57">
        <f t="shared" si="99"/>
        <v>65820</v>
      </c>
      <c r="AL132" s="2" t="e">
        <f>IF(AND(Y89&gt;=$W$9,Y89&lt;=$W$9+5),0,IF($C$9&gt;$AF$51,ROUND(AI92*#REF!/(DATEVALUE(CONCATENATE("01/01/",YEAR(Z89)+1))-DATEVALUE(CONCATENATE("01/01/",YEAR(Z89))))*(Z89-Z88),2),0))</f>
        <v>#REF!</v>
      </c>
      <c r="AM132" s="34">
        <f t="shared" si="102"/>
        <v>0</v>
      </c>
      <c r="AN132" s="57">
        <f t="shared" si="101"/>
        <v>64360</v>
      </c>
      <c r="BL132" s="2" t="e">
        <f>IF(AND(G87&gt;=$W$9,G87&lt;=$W$9+5),0,IF($C$9&gt;$AF$51,ROUND(BG86*IF(#REF!="",0,#REF!)/(DATEVALUE(CONCATENATE("01/01/",YEAR(AQ87)+1))-DATEVALUE(CONCATENATE("01/01/",YEAR(AQ87))))*(AQ87-AQ86),2),0))</f>
        <v>#REF!</v>
      </c>
    </row>
    <row r="133" spans="23:64" x14ac:dyDescent="0.25">
      <c r="W133" s="2" t="e">
        <f>IF(AND(G98&gt;=$W$9,G98&lt;=$W$9+5),0,IF($C$9&gt;$AF$51,ROUND(S97*#REF!/(DATEVALUE(CONCATENATE("01/01/",YEAR(H98)+1))-DATEVALUE(CONCATENATE("01/01/",YEAR(H98))))*(H98-H97),2),0))</f>
        <v>#REF!</v>
      </c>
      <c r="X133" s="34">
        <f t="shared" si="100"/>
        <v>0</v>
      </c>
      <c r="Y133" s="57">
        <f t="shared" si="99"/>
        <v>66185</v>
      </c>
      <c r="AL133" s="2" t="e">
        <f>IF(AND(Y90&gt;=$W$9,Y90&lt;=$W$9+5),0,IF($C$9&gt;$AF$51,ROUND(AI93*#REF!/(DATEVALUE(CONCATENATE("01/01/",YEAR(Z90)+1))-DATEVALUE(CONCATENATE("01/01/",YEAR(Z90))))*(Z90-Z89),2),0))</f>
        <v>#REF!</v>
      </c>
      <c r="AM133" s="34">
        <f t="shared" si="102"/>
        <v>0</v>
      </c>
      <c r="AN133" s="57">
        <f t="shared" si="101"/>
        <v>64725</v>
      </c>
      <c r="BL133" s="2" t="e">
        <f>IF(AND(G88&gt;=$W$9,G88&lt;=$W$9+5),0,IF($C$9&gt;$AF$51,ROUND(BG87*IF(#REF!="",0,#REF!)/(DATEVALUE(CONCATENATE("01/01/",YEAR(AQ88)+1))-DATEVALUE(CONCATENATE("01/01/",YEAR(AQ88))))*(AQ88-AQ87),2),0))</f>
        <v>#REF!</v>
      </c>
    </row>
    <row r="134" spans="23:64" x14ac:dyDescent="0.25">
      <c r="W134" s="2" t="e">
        <f>IF(AND(G99&gt;=$W$9,G99&lt;=$W$9+5),0,IF($C$9&gt;$AF$51,ROUND(S98*#REF!/(DATEVALUE(CONCATENATE("01/01/",YEAR(H99)+1))-DATEVALUE(CONCATENATE("01/01/",YEAR(H99))))*(H99-H98),2),0))</f>
        <v>#REF!</v>
      </c>
      <c r="X134" s="34">
        <f t="shared" si="100"/>
        <v>0</v>
      </c>
      <c r="Y134" s="57">
        <f t="shared" si="99"/>
        <v>66550</v>
      </c>
      <c r="AL134" s="2" t="e">
        <f>IF(AND(Y91&gt;=$W$9,Y91&lt;=$W$9+5),0,IF($C$9&gt;$AF$51,ROUND(AI94*#REF!/(DATEVALUE(CONCATENATE("01/01/",YEAR(Z91)+1))-DATEVALUE(CONCATENATE("01/01/",YEAR(Z91))))*(Z91-Z90),2),0))</f>
        <v>#REF!</v>
      </c>
      <c r="AM134" s="34">
        <f t="shared" si="102"/>
        <v>0</v>
      </c>
      <c r="AN134" s="57">
        <f t="shared" si="101"/>
        <v>65090</v>
      </c>
      <c r="BL134" s="2" t="e">
        <f>IF(AND(G89&gt;=$W$9,G89&lt;=$W$9+5),0,IF($C$9&gt;$AF$51,ROUND(BG88*IF(#REF!="",0,#REF!)/(DATEVALUE(CONCATENATE("01/01/",YEAR(AQ89)+1))-DATEVALUE(CONCATENATE("01/01/",YEAR(AQ89))))*(AQ89-AQ88),2),0))</f>
        <v>#REF!</v>
      </c>
    </row>
    <row r="135" spans="23:64" x14ac:dyDescent="0.25">
      <c r="W135" s="2" t="e">
        <f>IF(AND(G100&gt;=$W$9,G100&lt;=$W$9+5),0,IF($C$9&gt;$AF$51,ROUND(S99*#REF!/(DATEVALUE(CONCATENATE("01/01/",YEAR(H100)+1))-DATEVALUE(CONCATENATE("01/01/",YEAR(H100))))*(H100-H99),2),0))</f>
        <v>#REF!</v>
      </c>
      <c r="X135" s="34">
        <f t="shared" si="100"/>
        <v>0</v>
      </c>
      <c r="Y135" s="57">
        <f t="shared" si="99"/>
        <v>66915</v>
      </c>
      <c r="AL135" s="2" t="e">
        <f>IF(AND(Y92&gt;=$W$9,Y92&lt;=$W$9+5),0,IF($C$9&gt;$AF$51,ROUND(AI95*#REF!/(DATEVALUE(CONCATENATE("01/01/",YEAR(Z92)+1))-DATEVALUE(CONCATENATE("01/01/",YEAR(Z92))))*(Z92-Z91),2),0))</f>
        <v>#REF!</v>
      </c>
      <c r="AM135" s="34">
        <f t="shared" si="102"/>
        <v>0</v>
      </c>
      <c r="AN135" s="57">
        <f t="shared" si="101"/>
        <v>65455</v>
      </c>
      <c r="BL135" s="2" t="e">
        <f>IF(AND(G90&gt;=$W$9,G90&lt;=$W$9+5),0,IF($C$9&gt;$AF$51,ROUND(BG89*IF(#REF!="",0,#REF!)/(DATEVALUE(CONCATENATE("01/01/",YEAR(AQ90)+1))-DATEVALUE(CONCATENATE("01/01/",YEAR(AQ90))))*(AQ90-AQ89),2),0))</f>
        <v>#REF!</v>
      </c>
    </row>
    <row r="136" spans="23:64" x14ac:dyDescent="0.25">
      <c r="W136" s="2" t="e">
        <f>IF(AND(G101&gt;=$W$9,G101&lt;=$W$9+5),0,IF($C$9&gt;$AF$51,ROUND(S100*#REF!/(DATEVALUE(CONCATENATE("01/01/",YEAR(H101)+1))-DATEVALUE(CONCATENATE("01/01/",YEAR(H101))))*(H101-H100),2),0))</f>
        <v>#REF!</v>
      </c>
      <c r="X136" s="34">
        <f t="shared" si="100"/>
        <v>0</v>
      </c>
      <c r="Y136" s="57">
        <f t="shared" si="99"/>
        <v>67280</v>
      </c>
      <c r="AL136" s="2" t="e">
        <f>IF(AND(Y93&gt;=$W$9,Y93&lt;=$W$9+5),0,IF($C$9&gt;$AF$51,ROUND(AI96*#REF!/(DATEVALUE(CONCATENATE("01/01/",YEAR(Z93)+1))-DATEVALUE(CONCATENATE("01/01/",YEAR(Z93))))*(Z93-Z92),2),0))</f>
        <v>#REF!</v>
      </c>
      <c r="AM136" s="34">
        <f t="shared" si="102"/>
        <v>0</v>
      </c>
      <c r="AN136" s="57">
        <f t="shared" si="101"/>
        <v>65820</v>
      </c>
      <c r="BL136" s="2" t="e">
        <f>IF(AND(G91&gt;=$W$9,G91&lt;=$W$9+5),0,IF($C$9&gt;$AF$51,ROUND(BG90*IF(#REF!="",0,#REF!)/(DATEVALUE(CONCATENATE("01/01/",YEAR(AQ91)+1))-DATEVALUE(CONCATENATE("01/01/",YEAR(AQ91))))*(AQ91-AQ90),2),0))</f>
        <v>#REF!</v>
      </c>
    </row>
    <row r="137" spans="23:64" x14ac:dyDescent="0.25">
      <c r="W137" s="2" t="e">
        <f>IF(AND(G102&gt;=$W$9,G102&lt;=$W$9+5),0,IF($C$9&gt;$AF$51,ROUND(S101*#REF!/(DATEVALUE(CONCATENATE("01/01/",YEAR(H102)+1))-DATEVALUE(CONCATENATE("01/01/",YEAR(H102))))*(H102-H101),2),0))</f>
        <v>#REF!</v>
      </c>
      <c r="X137" s="34">
        <f t="shared" si="100"/>
        <v>0</v>
      </c>
      <c r="Y137" s="57">
        <f t="shared" si="99"/>
        <v>67645</v>
      </c>
      <c r="AL137" s="2" t="e">
        <f>IF(AND(Y94&gt;=$W$9,Y94&lt;=$W$9+5),0,IF($C$9&gt;$AF$51,ROUND(AI97*#REF!/(DATEVALUE(CONCATENATE("01/01/",YEAR(Z94)+1))-DATEVALUE(CONCATENATE("01/01/",YEAR(Z94))))*(Z94-Z93),2),0))</f>
        <v>#REF!</v>
      </c>
      <c r="AM137" s="34">
        <f t="shared" si="102"/>
        <v>0</v>
      </c>
      <c r="AN137" s="57">
        <f t="shared" si="101"/>
        <v>66185</v>
      </c>
      <c r="BL137" s="2" t="e">
        <f>IF(AND(G92&gt;=$W$9,G92&lt;=$W$9+5),0,IF($C$9&gt;$AF$51,ROUND(BG91*IF(#REF!="",0,#REF!)/(DATEVALUE(CONCATENATE("01/01/",YEAR(AQ92)+1))-DATEVALUE(CONCATENATE("01/01/",YEAR(AQ92))))*(AQ92-AQ91),2),0))</f>
        <v>#REF!</v>
      </c>
    </row>
    <row r="138" spans="23:64" x14ac:dyDescent="0.25">
      <c r="W138" s="2" t="e">
        <f>IF(AND(G103&gt;=$W$9,G103&lt;=$W$9+5),0,IF($C$9&gt;$AF$51,ROUND(S102*#REF!/(DATEVALUE(CONCATENATE("01/01/",YEAR(H103)+1))-DATEVALUE(CONCATENATE("01/01/",YEAR(H103))))*(H103-H102),2),0))</f>
        <v>#REF!</v>
      </c>
      <c r="X138" s="34">
        <f t="shared" si="100"/>
        <v>0</v>
      </c>
      <c r="Y138" s="57">
        <f t="shared" si="99"/>
        <v>68010</v>
      </c>
      <c r="AL138" s="2" t="e">
        <f>IF(AND(Y95&gt;=$W$9,Y95&lt;=$W$9+5),0,IF($C$9&gt;$AF$51,ROUND(AI98*#REF!/(DATEVALUE(CONCATENATE("01/01/",YEAR(Z95)+1))-DATEVALUE(CONCATENATE("01/01/",YEAR(Z95))))*(Z95-Z94),2),0))</f>
        <v>#REF!</v>
      </c>
      <c r="AM138" s="34">
        <f t="shared" si="102"/>
        <v>0</v>
      </c>
      <c r="AN138" s="57">
        <f t="shared" si="101"/>
        <v>66550</v>
      </c>
      <c r="BL138" s="2" t="e">
        <f>IF(AND(G93&gt;=$W$9,G93&lt;=$W$9+5),0,IF($C$9&gt;$AF$51,ROUND(BG92*IF(#REF!="",0,#REF!)/(DATEVALUE(CONCATENATE("01/01/",YEAR(AQ93)+1))-DATEVALUE(CONCATENATE("01/01/",YEAR(AQ93))))*(AQ93-AQ92),2),0))</f>
        <v>#REF!</v>
      </c>
    </row>
    <row r="139" spans="23:64" x14ac:dyDescent="0.25">
      <c r="W139" s="2" t="e">
        <f>IF(AND(G104&gt;=$W$9,G104&lt;=$W$9+5),0,IF($C$9&gt;$AF$51,ROUND(S103*#REF!/(DATEVALUE(CONCATENATE("01/01/",YEAR(H104)+1))-DATEVALUE(CONCATENATE("01/01/",YEAR(H104))))*(H104-H103),2),0))</f>
        <v>#REF!</v>
      </c>
      <c r="X139" s="34">
        <f t="shared" si="100"/>
        <v>0</v>
      </c>
      <c r="Y139" s="57">
        <f t="shared" si="99"/>
        <v>68375</v>
      </c>
      <c r="AL139" s="2" t="e">
        <f>IF(AND(Y96&gt;=$W$9,Y96&lt;=$W$9+5),0,IF($C$9&gt;$AF$51,ROUND(AI99*#REF!/(DATEVALUE(CONCATENATE("01/01/",YEAR(Z96)+1))-DATEVALUE(CONCATENATE("01/01/",YEAR(Z96))))*(Z96-Z95),2),0))</f>
        <v>#REF!</v>
      </c>
      <c r="AM139" s="34">
        <f t="shared" si="102"/>
        <v>0</v>
      </c>
      <c r="AN139" s="57">
        <f t="shared" si="101"/>
        <v>66915</v>
      </c>
      <c r="BL139" s="2" t="e">
        <f>IF(AND(G94&gt;=$W$9,G94&lt;=$W$9+5),0,IF($C$9&gt;$AF$51,ROUND(BG93*IF(#REF!="",0,#REF!)/(DATEVALUE(CONCATENATE("01/01/",YEAR(AQ94)+1))-DATEVALUE(CONCATENATE("01/01/",YEAR(AQ94))))*(AQ94-AQ93),2),0))</f>
        <v>#REF!</v>
      </c>
    </row>
    <row r="140" spans="23:64" x14ac:dyDescent="0.25">
      <c r="W140" s="2" t="e">
        <f>IF(AND(G105&gt;=$W$9,G105&lt;=$W$9+5),0,IF($C$9&gt;$AF$51,ROUND(S104*#REF!/(DATEVALUE(CONCATENATE("01/01/",YEAR(H105)+1))-DATEVALUE(CONCATENATE("01/01/",YEAR(H105))))*(H105-H104),2),0))</f>
        <v>#REF!</v>
      </c>
      <c r="X140" s="34">
        <f t="shared" si="100"/>
        <v>0</v>
      </c>
      <c r="Y140" s="57">
        <f t="shared" si="99"/>
        <v>68740</v>
      </c>
      <c r="AL140" s="2" t="e">
        <f>IF(AND(Y97&gt;=$W$9,Y97&lt;=$W$9+5),0,IF($C$9&gt;$AF$51,ROUND(AI100*#REF!/(DATEVALUE(CONCATENATE("01/01/",YEAR(Z97)+1))-DATEVALUE(CONCATENATE("01/01/",YEAR(Z97))))*(Z97-Z96),2),0))</f>
        <v>#REF!</v>
      </c>
      <c r="AM140" s="34">
        <f t="shared" si="102"/>
        <v>0</v>
      </c>
      <c r="AN140" s="57">
        <f t="shared" si="101"/>
        <v>67280</v>
      </c>
      <c r="BL140" s="2" t="e">
        <f>IF(AND(G95&gt;=$W$9,G95&lt;=$W$9+5),0,IF($C$9&gt;$AF$51,ROUND(BG94*IF(#REF!="",0,#REF!)/(DATEVALUE(CONCATENATE("01/01/",YEAR(AQ95)+1))-DATEVALUE(CONCATENATE("01/01/",YEAR(AQ95))))*(AQ95-AQ94),2),0))</f>
        <v>#REF!</v>
      </c>
    </row>
    <row r="141" spans="23:64" x14ac:dyDescent="0.25">
      <c r="W141" s="2" t="e">
        <f>IF(AND(G106&gt;=$W$9,G106&lt;=$W$9+5),0,IF($C$9&gt;$AF$51,ROUND(S105*#REF!/(DATEVALUE(CONCATENATE("01/01/",YEAR(H106)+1))-DATEVALUE(CONCATENATE("01/01/",YEAR(H106))))*(H106-H105),2),0))</f>
        <v>#REF!</v>
      </c>
      <c r="X141" s="34">
        <f t="shared" si="100"/>
        <v>0</v>
      </c>
      <c r="Y141" s="57">
        <f t="shared" si="99"/>
        <v>69105</v>
      </c>
      <c r="AL141" s="2" t="e">
        <f>IF(AND(Y98&gt;=$W$9,Y98&lt;=$W$9+5),0,IF($C$9&gt;$AF$51,ROUND(AI101*#REF!/(DATEVALUE(CONCATENATE("01/01/",YEAR(Z98)+1))-DATEVALUE(CONCATENATE("01/01/",YEAR(Z98))))*(Z98-Z97),2),0))</f>
        <v>#REF!</v>
      </c>
      <c r="AM141" s="34">
        <f t="shared" si="102"/>
        <v>0</v>
      </c>
      <c r="AN141" s="57">
        <f t="shared" si="101"/>
        <v>67645</v>
      </c>
      <c r="BL141" s="2" t="e">
        <f>IF(AND(G96&gt;=$W$9,G96&lt;=$W$9+5),0,IF($C$9&gt;$AF$51,ROUND(BG95*IF(#REF!="",0,#REF!)/(DATEVALUE(CONCATENATE("01/01/",YEAR(AQ96)+1))-DATEVALUE(CONCATENATE("01/01/",YEAR(AQ96))))*(AQ96-AQ95),2),0))</f>
        <v>#REF!</v>
      </c>
    </row>
    <row r="142" spans="23:64" x14ac:dyDescent="0.25">
      <c r="W142" s="2" t="e">
        <f>IF(AND(G107&gt;=$W$9,G107&lt;=$W$9+5),0,IF($C$9&gt;$AF$51,ROUND(S106*#REF!/(DATEVALUE(CONCATENATE("01/01/",YEAR(H107)+1))-DATEVALUE(CONCATENATE("01/01/",YEAR(H107))))*(H107-H106),2),0))</f>
        <v>#REF!</v>
      </c>
      <c r="X142" s="34">
        <f t="shared" si="100"/>
        <v>0</v>
      </c>
      <c r="Y142" s="57">
        <f t="shared" si="99"/>
        <v>69470</v>
      </c>
      <c r="AL142" s="2" t="e">
        <f>IF(AND(Y99&gt;=$W$9,Y99&lt;=$W$9+5),0,IF($C$9&gt;$AF$51,ROUND(AI102*#REF!/(DATEVALUE(CONCATENATE("01/01/",YEAR(Z99)+1))-DATEVALUE(CONCATENATE("01/01/",YEAR(Z99))))*(Z99-Z98),2),0))</f>
        <v>#REF!</v>
      </c>
      <c r="AM142" s="34">
        <f t="shared" si="102"/>
        <v>0</v>
      </c>
      <c r="AN142" s="57">
        <f t="shared" si="101"/>
        <v>68010</v>
      </c>
      <c r="BL142" s="2" t="e">
        <f>IF(AND(G97&gt;=$W$9,G97&lt;=$W$9+5),0,IF($C$9&gt;$AF$51,ROUND(BG96*IF(#REF!="",0,#REF!)/(DATEVALUE(CONCATENATE("01/01/",YEAR(AQ97)+1))-DATEVALUE(CONCATENATE("01/01/",YEAR(AQ97))))*(AQ97-AQ96),2),0))</f>
        <v>#REF!</v>
      </c>
    </row>
    <row r="143" spans="23:64" x14ac:dyDescent="0.25">
      <c r="W143" s="2" t="e">
        <f>IF(AND(G108&gt;=$W$9,G108&lt;=$W$9+5),0,IF($C$9&gt;$AF$51,ROUND(S107*#REF!/(DATEVALUE(CONCATENATE("01/01/",YEAR(H108)+1))-DATEVALUE(CONCATENATE("01/01/",YEAR(H108))))*(H108-H107),2),0))</f>
        <v>#REF!</v>
      </c>
      <c r="X143" s="34">
        <f>IF(K108 &gt; 0, $K$9, 0)</f>
        <v>0</v>
      </c>
      <c r="Y143" s="57">
        <f t="shared" si="99"/>
        <v>69835</v>
      </c>
      <c r="AL143" s="2" t="e">
        <f>IF(AND(Y100&gt;=$W$9,Y100&lt;=$W$9+5),0,IF($C$9&gt;$AF$51,ROUND(AI103*#REF!/(DATEVALUE(CONCATENATE("01/01/",YEAR(Z100)+1))-DATEVALUE(CONCATENATE("01/01/",YEAR(Z100))))*(Z100-Z99),2),0))</f>
        <v>#REF!</v>
      </c>
      <c r="AM143" s="34">
        <f t="shared" si="102"/>
        <v>0</v>
      </c>
      <c r="AN143" s="57">
        <f t="shared" si="101"/>
        <v>68375</v>
      </c>
      <c r="BL143" s="2" t="e">
        <f>IF(AND(G98&gt;=$W$9,G98&lt;=$W$9+5),0,IF($C$9&gt;$AF$51,ROUND(BG97*IF(#REF!="",0,#REF!)/(DATEVALUE(CONCATENATE("01/01/",YEAR(AQ98)+1))-DATEVALUE(CONCATENATE("01/01/",YEAR(AQ98))))*(AQ98-AQ97),2),0))</f>
        <v>#REF!</v>
      </c>
    </row>
    <row r="144" spans="23:64" x14ac:dyDescent="0.25">
      <c r="W144" s="35" t="e">
        <f>SUM(W44:W143)</f>
        <v>#REF!</v>
      </c>
      <c r="X144" s="35">
        <f>SUM(X44:X143)</f>
        <v>764554.7699999999</v>
      </c>
      <c r="Y144" s="154">
        <f>XIRR(X42:X143,Y42:Y143)*12</f>
        <v>9.2768990993499778E-2</v>
      </c>
      <c r="AL144" s="2" t="e">
        <f>IF(AND(Y101&gt;=$W$9,Y101&lt;=$W$9+5),0,IF($C$9&gt;$AF$51,ROUND(AI104*#REF!/(DATEVALUE(CONCATENATE("01/01/",YEAR(Z101)+1))-DATEVALUE(CONCATENATE("01/01/",YEAR(Z101))))*(Z101-Z100),2),0))</f>
        <v>#REF!</v>
      </c>
      <c r="AM144" s="34">
        <f t="shared" si="102"/>
        <v>0</v>
      </c>
      <c r="AN144" s="57">
        <f t="shared" si="101"/>
        <v>68740</v>
      </c>
      <c r="BL144" s="2" t="e">
        <f>IF(AND(G99&gt;=$W$9,G99&lt;=$W$9+5),0,IF($C$9&gt;$AF$51,ROUND(BG98*IF(#REF!="",0,#REF!)/(DATEVALUE(CONCATENATE("01/01/",YEAR(AQ99)+1))-DATEVALUE(CONCATENATE("01/01/",YEAR(AQ99))))*(AQ99-AQ98),2),0))</f>
        <v>#REF!</v>
      </c>
    </row>
    <row r="145" spans="24:64" x14ac:dyDescent="0.25">
      <c r="X145" s="34"/>
      <c r="Y145" s="57"/>
      <c r="AL145" s="2" t="e">
        <f>IF(AND(Y102&gt;=$W$9,Y102&lt;=$W$9+5),0,IF($C$9&gt;$AF$51,ROUND(AI105*#REF!/(DATEVALUE(CONCATENATE("01/01/",YEAR(Z102)+1))-DATEVALUE(CONCATENATE("01/01/",YEAR(Z102))))*(Z102-Z101),2),0))</f>
        <v>#REF!</v>
      </c>
      <c r="AM145" s="34">
        <f t="shared" si="102"/>
        <v>0</v>
      </c>
      <c r="AN145" s="57">
        <f t="shared" si="101"/>
        <v>69105</v>
      </c>
      <c r="BL145" s="2" t="e">
        <f>IF(AND(G100&gt;=$W$9,G100&lt;=$W$9+5),0,IF($C$9&gt;$AF$51,ROUND(BG99*IF(#REF!="",0,#REF!)/(DATEVALUE(CONCATENATE("01/01/",YEAR(AQ100)+1))-DATEVALUE(CONCATENATE("01/01/",YEAR(AQ100))))*(AQ100-AQ99),2),0))</f>
        <v>#REF!</v>
      </c>
    </row>
    <row r="146" spans="24:64" x14ac:dyDescent="0.25">
      <c r="X146" s="34"/>
      <c r="Y146" s="57"/>
      <c r="AL146" s="2" t="e">
        <f>IF(AND(Y103&gt;=$W$9,Y103&lt;=$W$9+5),0,IF($C$9&gt;$AF$51,ROUND(AI106*#REF!/(DATEVALUE(CONCATENATE("01/01/",YEAR(Z103)+1))-DATEVALUE(CONCATENATE("01/01/",YEAR(Z103))))*(Z103-Z102),2),0))</f>
        <v>#REF!</v>
      </c>
      <c r="AM146" s="34">
        <f t="shared" si="102"/>
        <v>0</v>
      </c>
      <c r="AN146" s="57">
        <f t="shared" si="101"/>
        <v>69470</v>
      </c>
      <c r="BL146" s="2" t="e">
        <f>IF(AND(G101&gt;=$W$9,G101&lt;=$W$9+5),0,IF($C$9&gt;$AF$51,ROUND(BG100*IF(#REF!="",0,#REF!)/(DATEVALUE(CONCATENATE("01/01/",YEAR(AQ101)+1))-DATEVALUE(CONCATENATE("01/01/",YEAR(AQ101))))*(AQ101-AQ100),2),0))</f>
        <v>#REF!</v>
      </c>
    </row>
    <row r="147" spans="24:64" x14ac:dyDescent="0.25">
      <c r="X147" s="34"/>
      <c r="Y147" s="57"/>
      <c r="AL147" s="2" t="e">
        <f>IF(AND(Y104&gt;=$W$9,Y104&lt;=$W$9+5),0,IF($C$9&gt;$AF$51,ROUND(AI107*#REF!/(DATEVALUE(CONCATENATE("01/01/",YEAR(Z104)+1))-DATEVALUE(CONCATENATE("01/01/",YEAR(Z104))))*(Z104-Z103),2),0))</f>
        <v>#REF!</v>
      </c>
      <c r="AM147" s="34">
        <f t="shared" si="102"/>
        <v>0</v>
      </c>
      <c r="AN147" s="57">
        <f t="shared" si="101"/>
        <v>69835</v>
      </c>
      <c r="BL147" s="2" t="e">
        <f>IF(AND(G102&gt;=$W$9,G102&lt;=$W$9+5),0,IF($C$9&gt;$AF$51,ROUND(BG101*IF(#REF!="",0,#REF!)/(DATEVALUE(CONCATENATE("01/01/",YEAR(AQ102)+1))-DATEVALUE(CONCATENATE("01/01/",YEAR(AQ102))))*(AQ102-AQ101),2),0))</f>
        <v>#REF!</v>
      </c>
    </row>
    <row r="148" spans="24:64" x14ac:dyDescent="0.25">
      <c r="X148" s="34"/>
      <c r="Y148" s="57"/>
      <c r="AL148" s="35" t="e">
        <f>SUM(AL48:AL147)</f>
        <v>#REF!</v>
      </c>
      <c r="AM148" s="35">
        <f>SUM(AM48:AM147)</f>
        <v>837639.37</v>
      </c>
      <c r="AN148" s="154">
        <f>XIRR(AM46:AM147,AN46:AN147)*12</f>
        <v>0.1546082139015198</v>
      </c>
      <c r="BL148" s="2" t="e">
        <f>IF(AND(G103&gt;=$W$9,G103&lt;=$W$9+5),0,IF($C$9&gt;$AF$51,ROUND(BG102*IF(#REF!="",0,#REF!)/(DATEVALUE(CONCATENATE("01/01/",YEAR(AQ103)+1))-DATEVALUE(CONCATENATE("01/01/",YEAR(AQ103))))*(AQ103-AQ102),2),0))</f>
        <v>#REF!</v>
      </c>
    </row>
    <row r="149" spans="24:64" x14ac:dyDescent="0.25">
      <c r="BL149" s="2" t="e">
        <f>IF(AND(G104&gt;=$W$9,G104&lt;=$W$9+5),0,IF($C$9&gt;$AF$51,ROUND(BG103*IF(#REF!="",0,#REF!)/(DATEVALUE(CONCATENATE("01/01/",YEAR(AQ104)+1))-DATEVALUE(CONCATENATE("01/01/",YEAR(AQ104))))*(AQ104-AQ103),2),0))</f>
        <v>#REF!</v>
      </c>
    </row>
    <row r="150" spans="24:64" x14ac:dyDescent="0.25">
      <c r="BL150" s="2" t="e">
        <f>IF(AND(G105&gt;=$W$9,G105&lt;=$W$9+5),0,IF($C$9&gt;$AF$51,ROUND(BG104*IF(#REF!="",0,#REF!)/(DATEVALUE(CONCATENATE("01/01/",YEAR(AQ105)+1))-DATEVALUE(CONCATENATE("01/01/",YEAR(AQ105))))*(AQ105-AQ104),2),0))</f>
        <v>#REF!</v>
      </c>
    </row>
    <row r="151" spans="24:64" x14ac:dyDescent="0.25">
      <c r="BL151" s="2" t="e">
        <f>IF(AND(G106&gt;=$W$9,G106&lt;=$W$9+5),0,IF($C$9&gt;$AF$51,ROUND(BG105*IF(#REF!="",0,#REF!)/(DATEVALUE(CONCATENATE("01/01/",YEAR(AQ106)+1))-DATEVALUE(CONCATENATE("01/01/",YEAR(AQ106))))*(AQ106-AQ105),2),0))</f>
        <v>#REF!</v>
      </c>
    </row>
    <row r="152" spans="24:64" x14ac:dyDescent="0.25">
      <c r="BL152" s="2" t="e">
        <f>IF(AND(G107&gt;=$W$9,G107&lt;=$W$9+5),0,IF($C$9&gt;$AF$51,ROUND(BG106*IF(#REF!="",0,#REF!)/(DATEVALUE(CONCATENATE("01/01/",YEAR(AQ107)+1))-DATEVALUE(CONCATENATE("01/01/",YEAR(AQ107))))*(AQ107-AQ106),2),0))</f>
        <v>#REF!</v>
      </c>
    </row>
    <row r="153" spans="24:64" x14ac:dyDescent="0.25">
      <c r="BL153" s="2" t="e">
        <f>IF(AND(G108&gt;=$W$9,G108&lt;=$W$9+5),0,IF($C$9&gt;$AF$51,ROUND(BG107*IF(#REF!="",0,#REF!)/(DATEVALUE(CONCATENATE("01/01/",YEAR(AQ108)+1))-DATEVALUE(CONCATENATE("01/01/",YEAR(AQ108))))*(AQ108-AQ107),2),0))</f>
        <v>#REF!</v>
      </c>
    </row>
    <row r="154" spans="24:64" x14ac:dyDescent="0.25">
      <c r="BL154" s="35" t="e">
        <f>SUM(BL54:BL153)</f>
        <v>#REF!</v>
      </c>
    </row>
  </sheetData>
  <sheetProtection sheet="1" selectLockedCells="1"/>
  <dataConsolidate/>
  <mergeCells count="82">
    <mergeCell ref="BN33:BN35"/>
    <mergeCell ref="A53:B53"/>
    <mergeCell ref="A36:B36"/>
    <mergeCell ref="A37:B37"/>
    <mergeCell ref="A43:A46"/>
    <mergeCell ref="A47:B47"/>
    <mergeCell ref="C47:E47"/>
    <mergeCell ref="A48:E48"/>
    <mergeCell ref="A49:B49"/>
    <mergeCell ref="C49:E49"/>
    <mergeCell ref="D36:E36"/>
    <mergeCell ref="C42:E42"/>
    <mergeCell ref="A54:B54"/>
    <mergeCell ref="A34:B34"/>
    <mergeCell ref="A29:B29"/>
    <mergeCell ref="A30:B30"/>
    <mergeCell ref="A31:B31"/>
    <mergeCell ref="A32:B32"/>
    <mergeCell ref="A33:B33"/>
    <mergeCell ref="A38:A41"/>
    <mergeCell ref="A42:B42"/>
    <mergeCell ref="A35:E35"/>
    <mergeCell ref="C34:E34"/>
    <mergeCell ref="A50:E50"/>
    <mergeCell ref="A51:A52"/>
    <mergeCell ref="BO13:BO14"/>
    <mergeCell ref="A14:A15"/>
    <mergeCell ref="A16:A18"/>
    <mergeCell ref="A22:E22"/>
    <mergeCell ref="A23:B23"/>
    <mergeCell ref="A19:E19"/>
    <mergeCell ref="A20:E20"/>
    <mergeCell ref="A21:B21"/>
    <mergeCell ref="A10:B10"/>
    <mergeCell ref="C10:D10"/>
    <mergeCell ref="BN10:BN11"/>
    <mergeCell ref="A28:B28"/>
    <mergeCell ref="A12:B12"/>
    <mergeCell ref="A13:B13"/>
    <mergeCell ref="BN13:BN14"/>
    <mergeCell ref="A24:B24"/>
    <mergeCell ref="A25:B25"/>
    <mergeCell ref="A26:B26"/>
    <mergeCell ref="A27:B27"/>
    <mergeCell ref="A9:B9"/>
    <mergeCell ref="C9:D9"/>
    <mergeCell ref="Q6:Q7"/>
    <mergeCell ref="S6:S7"/>
    <mergeCell ref="AP6:AP7"/>
    <mergeCell ref="T6:T7"/>
    <mergeCell ref="BO10:BO11"/>
    <mergeCell ref="A11:B11"/>
    <mergeCell ref="BN6:BT6"/>
    <mergeCell ref="A7:B7"/>
    <mergeCell ref="C7:D7"/>
    <mergeCell ref="BN7:BN8"/>
    <mergeCell ref="BO7:BO8"/>
    <mergeCell ref="BR7:BR8"/>
    <mergeCell ref="BS7:BS8"/>
    <mergeCell ref="BT7:BT8"/>
    <mergeCell ref="A8:B8"/>
    <mergeCell ref="AQ6:AQ7"/>
    <mergeCell ref="AR6:AR7"/>
    <mergeCell ref="AT6:AT7"/>
    <mergeCell ref="AU6:AU7"/>
    <mergeCell ref="AV6:AV7"/>
    <mergeCell ref="BN3:BT3"/>
    <mergeCell ref="A5:E5"/>
    <mergeCell ref="J6:J7"/>
    <mergeCell ref="A1:E2"/>
    <mergeCell ref="A3:E3"/>
    <mergeCell ref="G3:U4"/>
    <mergeCell ref="AP3:BH4"/>
    <mergeCell ref="A6:B6"/>
    <mergeCell ref="C6:D6"/>
    <mergeCell ref="G6:G7"/>
    <mergeCell ref="H6:H7"/>
    <mergeCell ref="I6:I7"/>
    <mergeCell ref="BG6:BG7"/>
    <mergeCell ref="K6:K7"/>
    <mergeCell ref="L6:L7"/>
    <mergeCell ref="M6:M7"/>
  </mergeCells>
  <conditionalFormatting sqref="D17">
    <cfRule type="cellIs" dxfId="8" priority="1" operator="notEqual">
      <formula>""</formula>
    </cfRule>
  </conditionalFormatting>
  <dataValidations count="5">
    <dataValidation type="list" allowBlank="1" showInputMessage="1" showErrorMessage="1" sqref="C12" xr:uid="{00000000-0002-0000-0D00-000000000000}">
      <formula1>$W$3:$AA$3</formula1>
    </dataValidation>
    <dataValidation type="list" allowBlank="1" showInputMessage="1" showErrorMessage="1" sqref="C14" xr:uid="{00000000-0002-0000-0D00-000001000000}">
      <formula1>$Y$28:$Z$28</formula1>
    </dataValidation>
    <dataValidation type="list" allowBlank="1" showInputMessage="1" showErrorMessage="1" sqref="C11" xr:uid="{00000000-0002-0000-0D00-000002000000}">
      <formula1>$W$39:$AE$39</formula1>
    </dataValidation>
    <dataValidation type="list" allowBlank="1" showInputMessage="1" showErrorMessage="1" sqref="C8" xr:uid="{00000000-0002-0000-0D00-000003000000}">
      <formula1>$AC$59:$AG$59</formula1>
    </dataValidation>
    <dataValidation type="list" allowBlank="1" showInputMessage="1" showErrorMessage="1" sqref="C37" xr:uid="{00000000-0002-0000-0D00-000004000000}">
      <formula1>"Да,Нет"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1" fitToWidth="2" orientation="portrait" r:id="rId1"/>
  <colBreaks count="1" manualBreakCount="1">
    <brk id="5" max="108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5000000}">
          <x14:formula1>
            <xm:f>'Для Прайм'!$B$1:$D$1</xm:f>
          </x14:formula1>
          <xm:sqref>C10:D10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TU154"/>
  <sheetViews>
    <sheetView showGridLines="0" view="pageBreakPreview" zoomScale="70" zoomScaleNormal="90" zoomScaleSheetLayoutView="70" workbookViewId="0">
      <selection activeCell="C11" sqref="C11"/>
    </sheetView>
  </sheetViews>
  <sheetFormatPr defaultColWidth="8.6640625" defaultRowHeight="13.2" x14ac:dyDescent="0.25"/>
  <cols>
    <col min="1" max="1" width="38" style="2" customWidth="1"/>
    <col min="2" max="2" width="36.6640625" style="2" customWidth="1"/>
    <col min="3" max="3" width="19.6640625" style="1" customWidth="1"/>
    <col min="4" max="4" width="13.33203125" style="1" customWidth="1"/>
    <col min="5" max="5" width="25" style="1" customWidth="1"/>
    <col min="6" max="6" width="5.44140625" style="1" customWidth="1"/>
    <col min="7" max="7" width="7.6640625" style="1" customWidth="1"/>
    <col min="8" max="9" width="10.6640625" style="1" customWidth="1"/>
    <col min="10" max="10" width="16.33203125" style="1" customWidth="1"/>
    <col min="11" max="11" width="15.44140625" style="1" customWidth="1"/>
    <col min="12" max="12" width="14" style="2" customWidth="1"/>
    <col min="13" max="13" width="14.109375" style="1" customWidth="1"/>
    <col min="14" max="16" width="15" style="3" hidden="1" customWidth="1"/>
    <col min="17" max="17" width="17.109375" style="3" customWidth="1"/>
    <col min="18" max="18" width="15" style="3" hidden="1" customWidth="1"/>
    <col min="19" max="20" width="14" style="2" customWidth="1"/>
    <col min="21" max="21" width="11.109375" style="2" hidden="1" customWidth="1"/>
    <col min="22" max="22" width="11.44140625" style="44" hidden="1" customWidth="1"/>
    <col min="23" max="23" width="17.6640625" style="2" hidden="1" customWidth="1"/>
    <col min="24" max="24" width="18.33203125" style="2" hidden="1" customWidth="1"/>
    <col min="25" max="25" width="13.109375" style="2" hidden="1" customWidth="1"/>
    <col min="26" max="26" width="20" style="2" hidden="1" customWidth="1"/>
    <col min="27" max="27" width="19.6640625" style="2" hidden="1" customWidth="1"/>
    <col min="28" max="28" width="17.44140625" style="2" hidden="1" customWidth="1"/>
    <col min="29" max="29" width="33.6640625" style="2" hidden="1" customWidth="1"/>
    <col min="30" max="30" width="19" style="2" hidden="1" customWidth="1"/>
    <col min="31" max="31" width="32.44140625" style="3" hidden="1" customWidth="1"/>
    <col min="32" max="32" width="31.109375" style="3" hidden="1" customWidth="1"/>
    <col min="33" max="33" width="14.44140625" style="3" hidden="1" customWidth="1"/>
    <col min="34" max="34" width="17" style="3" hidden="1" customWidth="1"/>
    <col min="35" max="35" width="13.44140625" style="2" hidden="1" customWidth="1"/>
    <col min="36" max="36" width="14.44140625" style="2" hidden="1" customWidth="1"/>
    <col min="37" max="37" width="14.44140625" style="57" hidden="1" customWidth="1"/>
    <col min="38" max="41" width="14.44140625" style="2" hidden="1" customWidth="1"/>
    <col min="42" max="42" width="7.6640625" style="2" customWidth="1"/>
    <col min="43" max="46" width="14.44140625" style="2" customWidth="1"/>
    <col min="47" max="47" width="13.6640625" style="2" customWidth="1"/>
    <col min="48" max="48" width="15.6640625" style="2" customWidth="1"/>
    <col min="49" max="49" width="12" style="2" hidden="1" customWidth="1"/>
    <col min="50" max="51" width="13.6640625" style="2" hidden="1" customWidth="1"/>
    <col min="52" max="52" width="10.6640625" style="2" hidden="1" customWidth="1"/>
    <col min="53" max="58" width="8.6640625" style="2" hidden="1" customWidth="1"/>
    <col min="59" max="59" width="14" style="2" customWidth="1"/>
    <col min="60" max="60" width="8.6640625" style="2" hidden="1" customWidth="1"/>
    <col min="61" max="61" width="11.44140625" style="2" hidden="1" customWidth="1"/>
    <col min="62" max="62" width="1.33203125" style="1" customWidth="1"/>
    <col min="63" max="64" width="1.109375" style="2" customWidth="1"/>
    <col min="65" max="65" width="3.6640625" style="2" customWidth="1"/>
    <col min="66" max="66" width="24.109375" style="2" customWidth="1"/>
    <col min="67" max="67" width="3.6640625" style="2" customWidth="1"/>
    <col min="68" max="68" width="41.44140625" style="2" customWidth="1"/>
    <col min="69" max="69" width="4.44140625" style="2" customWidth="1"/>
    <col min="70" max="70" width="18" style="2" customWidth="1"/>
    <col min="71" max="71" width="4.6640625" style="2" customWidth="1"/>
    <col min="72" max="72" width="7.6640625" style="2" customWidth="1"/>
    <col min="73" max="84" width="8.6640625" style="2" customWidth="1"/>
    <col min="85" max="16384" width="8.6640625" style="2"/>
  </cols>
  <sheetData>
    <row r="1" spans="1:72" ht="12.75" customHeight="1" x14ac:dyDescent="0.4">
      <c r="A1" s="946" t="s">
        <v>332</v>
      </c>
      <c r="B1" s="947"/>
      <c r="C1" s="947"/>
      <c r="D1" s="947"/>
      <c r="E1" s="948"/>
      <c r="F1" s="227"/>
      <c r="G1" s="2"/>
      <c r="H1" s="2"/>
      <c r="I1" s="2"/>
      <c r="J1" s="2"/>
      <c r="K1" s="2"/>
      <c r="M1" s="2"/>
      <c r="N1" s="2"/>
      <c r="O1" s="2"/>
      <c r="P1" s="2"/>
      <c r="Q1" s="2"/>
      <c r="R1" s="2"/>
      <c r="V1" s="2"/>
      <c r="AE1" s="2"/>
      <c r="AF1" s="2"/>
      <c r="AG1" s="2"/>
      <c r="AH1" s="2"/>
      <c r="AK1" s="62" t="s">
        <v>52</v>
      </c>
      <c r="AL1" s="86" t="str">
        <f>IF($C$12=$AG$3,$AG$4,IF($C$12=$AH$3,$AH$4,IF($C$12=$AI$3,$AI$4,IF($C$12=$AJ$3,$AJ$4,IF($C$12=$AK$3,$AK$4,IF($C$12=$AL$3,$AL$4,""))))))</f>
        <v/>
      </c>
      <c r="AN1" s="65"/>
      <c r="BJ1" s="2"/>
    </row>
    <row r="2" spans="1:72" ht="34.950000000000003" customHeight="1" x14ac:dyDescent="0.4">
      <c r="A2" s="949"/>
      <c r="B2" s="950"/>
      <c r="C2" s="950"/>
      <c r="D2" s="950"/>
      <c r="E2" s="951"/>
      <c r="F2" s="227"/>
      <c r="G2" s="2"/>
      <c r="H2" s="2"/>
      <c r="I2" s="2"/>
      <c r="J2" s="2"/>
      <c r="K2" s="2"/>
      <c r="M2" s="2"/>
      <c r="N2" s="2"/>
      <c r="O2" s="2"/>
      <c r="P2" s="2"/>
      <c r="Q2" s="2"/>
      <c r="R2" s="2"/>
      <c r="V2" s="2"/>
      <c r="AE2" s="2" t="s">
        <v>47</v>
      </c>
      <c r="AF2" s="2"/>
      <c r="AG2" s="2"/>
      <c r="AH2" s="2"/>
      <c r="BJ2" s="2"/>
    </row>
    <row r="3" spans="1:72" ht="25.95" customHeight="1" x14ac:dyDescent="0.3">
      <c r="A3" s="864" t="s">
        <v>196</v>
      </c>
      <c r="B3" s="865"/>
      <c r="C3" s="865"/>
      <c r="D3" s="865"/>
      <c r="E3" s="866"/>
      <c r="F3" s="310"/>
      <c r="G3" s="943" t="str">
        <f>CONCATENATE("ГРАФИК ПЛАТЕЖЕЙ - ТАРИФ ПРАЙМ",IF(C16="Да"," + ПАКЕТ ПОЧЕТНЫЙ КЛИЕНТ",""))</f>
        <v>ГРАФИК ПЛАТЕЖЕЙ - ТАРИФ ПРАЙМ + ПАКЕТ ПОЧЕТНЫЙ КЛИЕНТ</v>
      </c>
      <c r="H3" s="943"/>
      <c r="I3" s="943"/>
      <c r="J3" s="943"/>
      <c r="K3" s="943"/>
      <c r="L3" s="943"/>
      <c r="M3" s="943"/>
      <c r="N3" s="943"/>
      <c r="O3" s="943"/>
      <c r="P3" s="943"/>
      <c r="Q3" s="943"/>
      <c r="R3" s="943"/>
      <c r="S3" s="943"/>
      <c r="T3" s="943"/>
      <c r="U3" s="943"/>
      <c r="V3" s="146"/>
      <c r="W3" s="63" t="s">
        <v>33</v>
      </c>
      <c r="X3" s="63" t="s">
        <v>159</v>
      </c>
      <c r="Y3" s="63" t="s">
        <v>72</v>
      </c>
      <c r="Z3" s="63" t="s">
        <v>73</v>
      </c>
      <c r="AA3" s="63" t="s">
        <v>74</v>
      </c>
      <c r="AB3" s="63"/>
      <c r="AC3" s="63" t="s">
        <v>159</v>
      </c>
      <c r="AD3" s="63"/>
      <c r="AE3" s="63"/>
      <c r="AF3" s="63"/>
      <c r="AG3" s="87"/>
      <c r="AH3" s="87"/>
      <c r="AI3" s="87"/>
      <c r="AJ3" s="87"/>
      <c r="AK3" s="87"/>
      <c r="AL3" s="87"/>
      <c r="AM3" s="63"/>
      <c r="AN3" s="63"/>
      <c r="AO3" s="63"/>
      <c r="AP3" s="875" t="str">
        <f>CONCATENATE("ГРАФИК ПЛАТЕЖЕЙ - ТАРИФ ПРАЙМ БЕЗ ПАКЕТА ПОЧЕТНЫЙ КЛИЕНТ",IF(D16="Да"," + пакет Почетный Клиент",""))</f>
        <v>ГРАФИК ПЛАТЕЖЕЙ - ТАРИФ ПРАЙМ БЕЗ ПАКЕТА ПОЧЕТНЫЙ КЛИЕНТ</v>
      </c>
      <c r="AQ3" s="875"/>
      <c r="AR3" s="875"/>
      <c r="AS3" s="875"/>
      <c r="AT3" s="875"/>
      <c r="AU3" s="875"/>
      <c r="AV3" s="875"/>
      <c r="AW3" s="875"/>
      <c r="AX3" s="875"/>
      <c r="AY3" s="875"/>
      <c r="AZ3" s="875"/>
      <c r="BA3" s="875"/>
      <c r="BB3" s="875"/>
      <c r="BC3" s="875"/>
      <c r="BD3" s="875"/>
      <c r="BE3" s="875"/>
      <c r="BF3" s="875"/>
      <c r="BG3" s="875"/>
      <c r="BH3" s="875"/>
      <c r="BI3" s="102"/>
      <c r="BJ3" s="102"/>
      <c r="BK3" s="102"/>
      <c r="BN3" s="826" t="s">
        <v>94</v>
      </c>
      <c r="BO3" s="826"/>
      <c r="BP3" s="826"/>
      <c r="BQ3" s="826"/>
      <c r="BR3" s="826"/>
      <c r="BS3" s="826"/>
      <c r="BT3" s="826"/>
    </row>
    <row r="4" spans="1:72" ht="13.5" hidden="1" customHeight="1" x14ac:dyDescent="0.2">
      <c r="A4" s="187"/>
      <c r="B4" s="185"/>
      <c r="C4" s="521"/>
      <c r="D4" s="185"/>
      <c r="E4" s="188"/>
      <c r="F4" s="228"/>
      <c r="G4" s="943"/>
      <c r="H4" s="943"/>
      <c r="I4" s="943"/>
      <c r="J4" s="943"/>
      <c r="K4" s="943"/>
      <c r="L4" s="943"/>
      <c r="M4" s="943"/>
      <c r="N4" s="943"/>
      <c r="O4" s="943"/>
      <c r="P4" s="943"/>
      <c r="Q4" s="943"/>
      <c r="R4" s="943"/>
      <c r="S4" s="943"/>
      <c r="T4" s="943"/>
      <c r="U4" s="943"/>
      <c r="V4" s="146"/>
      <c r="W4" s="15">
        <v>0.159</v>
      </c>
      <c r="X4" s="15">
        <f t="shared" ref="X4:AA7" si="0">$W4-2%</f>
        <v>0.13900000000000001</v>
      </c>
      <c r="Y4" s="15">
        <f t="shared" si="0"/>
        <v>0.13900000000000001</v>
      </c>
      <c r="Z4" s="15">
        <f t="shared" si="0"/>
        <v>0.13900000000000001</v>
      </c>
      <c r="AA4" s="15">
        <f t="shared" si="0"/>
        <v>0.13900000000000001</v>
      </c>
      <c r="AB4" s="15"/>
      <c r="AC4" s="63" t="s">
        <v>72</v>
      </c>
      <c r="AD4" s="147"/>
      <c r="AE4" s="147"/>
      <c r="AF4" s="147"/>
      <c r="AG4" s="148"/>
      <c r="AH4" s="148"/>
      <c r="AI4" s="148"/>
      <c r="AJ4" s="148"/>
      <c r="AK4" s="148"/>
      <c r="AL4" s="148"/>
      <c r="AM4" s="147"/>
      <c r="AN4" s="147"/>
      <c r="AO4" s="147"/>
      <c r="AP4" s="875"/>
      <c r="AQ4" s="875"/>
      <c r="AR4" s="875"/>
      <c r="AS4" s="875"/>
      <c r="AT4" s="875"/>
      <c r="AU4" s="875"/>
      <c r="AV4" s="875"/>
      <c r="AW4" s="875"/>
      <c r="AX4" s="875"/>
      <c r="AY4" s="875"/>
      <c r="AZ4" s="875"/>
      <c r="BA4" s="875"/>
      <c r="BB4" s="875"/>
      <c r="BC4" s="875"/>
      <c r="BD4" s="875"/>
      <c r="BE4" s="875"/>
      <c r="BF4" s="875"/>
      <c r="BG4" s="875"/>
      <c r="BH4" s="875"/>
      <c r="BI4" s="102"/>
      <c r="BJ4" s="102"/>
      <c r="BK4" s="102"/>
      <c r="BL4" s="57"/>
    </row>
    <row r="5" spans="1:72" ht="13.5" hidden="1" customHeight="1" thickBot="1" x14ac:dyDescent="0.25">
      <c r="A5" s="869"/>
      <c r="B5" s="870"/>
      <c r="C5" s="870"/>
      <c r="D5" s="870"/>
      <c r="E5" s="871"/>
      <c r="F5" s="229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49"/>
      <c r="W5" s="15">
        <v>0.17499999999999999</v>
      </c>
      <c r="X5" s="15">
        <f t="shared" si="0"/>
        <v>0.155</v>
      </c>
      <c r="Y5" s="15">
        <f t="shared" si="0"/>
        <v>0.155</v>
      </c>
      <c r="Z5" s="15">
        <f t="shared" si="0"/>
        <v>0.155</v>
      </c>
      <c r="AA5" s="15">
        <f t="shared" si="0"/>
        <v>0.155</v>
      </c>
      <c r="AB5" s="15"/>
      <c r="AC5" s="63" t="s">
        <v>73</v>
      </c>
      <c r="AD5" s="147"/>
      <c r="AE5" s="147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2"/>
      <c r="BJ5" s="117"/>
      <c r="BK5" s="102"/>
      <c r="BL5" s="57"/>
    </row>
    <row r="6" spans="1:72" ht="25.95" customHeight="1" thickBot="1" x14ac:dyDescent="0.3">
      <c r="A6" s="839" t="s">
        <v>164</v>
      </c>
      <c r="B6" s="839"/>
      <c r="C6" s="839" t="s">
        <v>165</v>
      </c>
      <c r="D6" s="839"/>
      <c r="E6" s="189" t="s">
        <v>166</v>
      </c>
      <c r="F6" s="230"/>
      <c r="G6" s="825" t="s">
        <v>148</v>
      </c>
      <c r="H6" s="825" t="s">
        <v>187</v>
      </c>
      <c r="I6" s="825" t="s">
        <v>188</v>
      </c>
      <c r="J6" s="825" t="s">
        <v>189</v>
      </c>
      <c r="K6" s="825" t="s">
        <v>190</v>
      </c>
      <c r="L6" s="825" t="s">
        <v>191</v>
      </c>
      <c r="M6" s="825" t="s">
        <v>192</v>
      </c>
      <c r="N6" s="238"/>
      <c r="O6" s="238"/>
      <c r="P6" s="238"/>
      <c r="Q6" s="825" t="s">
        <v>195</v>
      </c>
      <c r="R6" s="238"/>
      <c r="S6" s="825" t="s">
        <v>193</v>
      </c>
      <c r="T6" s="825" t="s">
        <v>289</v>
      </c>
      <c r="U6" s="195"/>
      <c r="V6" s="49"/>
      <c r="W6" s="15">
        <v>0.17899999999999999</v>
      </c>
      <c r="X6" s="15">
        <f t="shared" si="0"/>
        <v>0.159</v>
      </c>
      <c r="Y6" s="15">
        <f t="shared" si="0"/>
        <v>0.159</v>
      </c>
      <c r="Z6" s="15">
        <f t="shared" si="0"/>
        <v>0.159</v>
      </c>
      <c r="AA6" s="15">
        <f t="shared" si="0"/>
        <v>0.159</v>
      </c>
      <c r="AB6" s="15"/>
      <c r="AC6" s="63" t="s">
        <v>74</v>
      </c>
      <c r="AD6" s="147"/>
      <c r="AE6" s="147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878" t="s">
        <v>148</v>
      </c>
      <c r="AQ6" s="878" t="s">
        <v>187</v>
      </c>
      <c r="AR6" s="878" t="s">
        <v>188</v>
      </c>
      <c r="AS6" s="543"/>
      <c r="AT6" s="878" t="s">
        <v>194</v>
      </c>
      <c r="AU6" s="878" t="s">
        <v>191</v>
      </c>
      <c r="AV6" s="878" t="s">
        <v>192</v>
      </c>
      <c r="AW6" s="528"/>
      <c r="AX6" s="528"/>
      <c r="AY6" s="528"/>
      <c r="AZ6" s="528"/>
      <c r="BA6" s="528"/>
      <c r="BB6" s="528"/>
      <c r="BC6" s="528"/>
      <c r="BD6" s="528"/>
      <c r="BE6" s="528"/>
      <c r="BF6" s="528"/>
      <c r="BG6" s="878" t="s">
        <v>193</v>
      </c>
      <c r="BH6" s="103"/>
      <c r="BI6" s="102"/>
      <c r="BJ6" s="117"/>
      <c r="BK6" s="102"/>
      <c r="BL6" s="57"/>
      <c r="BN6" s="827" t="s">
        <v>95</v>
      </c>
      <c r="BO6" s="827"/>
      <c r="BP6" s="827"/>
      <c r="BQ6" s="827"/>
      <c r="BR6" s="827"/>
      <c r="BS6" s="827"/>
      <c r="BT6" s="827"/>
    </row>
    <row r="7" spans="1:72" ht="28.95" customHeight="1" x14ac:dyDescent="0.6">
      <c r="A7" s="841" t="s">
        <v>200</v>
      </c>
      <c r="B7" s="841"/>
      <c r="C7" s="522">
        <v>300000</v>
      </c>
      <c r="D7" s="509"/>
      <c r="E7" s="510"/>
      <c r="F7" s="231"/>
      <c r="G7" s="825"/>
      <c r="H7" s="825"/>
      <c r="I7" s="825"/>
      <c r="J7" s="825"/>
      <c r="K7" s="825"/>
      <c r="L7" s="825"/>
      <c r="M7" s="825"/>
      <c r="N7" s="237" t="s">
        <v>36</v>
      </c>
      <c r="O7" s="237" t="s">
        <v>39</v>
      </c>
      <c r="P7" s="237" t="s">
        <v>38</v>
      </c>
      <c r="Q7" s="825"/>
      <c r="R7" s="326" t="s">
        <v>40</v>
      </c>
      <c r="S7" s="825"/>
      <c r="T7" s="825"/>
      <c r="U7" s="196" t="s">
        <v>32</v>
      </c>
      <c r="V7" s="150" t="s">
        <v>31</v>
      </c>
      <c r="W7" s="15">
        <v>0.19900000000000001</v>
      </c>
      <c r="X7" s="15">
        <f t="shared" si="0"/>
        <v>0.17900000000000002</v>
      </c>
      <c r="Y7" s="15">
        <f t="shared" si="0"/>
        <v>0.17900000000000002</v>
      </c>
      <c r="Z7" s="15">
        <f t="shared" si="0"/>
        <v>0.17900000000000002</v>
      </c>
      <c r="AA7" s="15">
        <f t="shared" si="0"/>
        <v>0.17900000000000002</v>
      </c>
      <c r="AB7" s="15"/>
      <c r="AC7" s="101"/>
      <c r="AD7" s="147"/>
      <c r="AE7" s="147"/>
      <c r="AF7" s="101"/>
      <c r="AG7" s="101"/>
      <c r="AH7" s="101"/>
      <c r="AI7" s="101"/>
      <c r="AJ7" s="101"/>
      <c r="AK7" s="101"/>
      <c r="AL7" s="101"/>
      <c r="AM7" s="101"/>
      <c r="AN7" s="101"/>
      <c r="AO7" s="151">
        <f>SUM(AO9:AO108)</f>
        <v>60</v>
      </c>
      <c r="AP7" s="878"/>
      <c r="AQ7" s="878"/>
      <c r="AR7" s="878"/>
      <c r="AS7" s="544" t="s">
        <v>156</v>
      </c>
      <c r="AT7" s="878"/>
      <c r="AU7" s="878"/>
      <c r="AV7" s="878"/>
      <c r="AW7" s="527" t="s">
        <v>36</v>
      </c>
      <c r="AX7" s="527" t="s">
        <v>39</v>
      </c>
      <c r="AY7" s="527" t="s">
        <v>38</v>
      </c>
      <c r="AZ7" s="527" t="s">
        <v>158</v>
      </c>
      <c r="BA7" s="527" t="s">
        <v>40</v>
      </c>
      <c r="BB7" s="527"/>
      <c r="BC7" s="527"/>
      <c r="BD7" s="527"/>
      <c r="BE7" s="527"/>
      <c r="BF7" s="527"/>
      <c r="BG7" s="878"/>
      <c r="BH7" s="163" t="s">
        <v>32</v>
      </c>
      <c r="BI7" s="104" t="s">
        <v>31</v>
      </c>
      <c r="BJ7" s="153">
        <f>BJ8</f>
        <v>44441</v>
      </c>
      <c r="BK7" s="108">
        <f>K8</f>
        <v>-359400</v>
      </c>
      <c r="BL7" s="61"/>
      <c r="BN7" s="830" t="s">
        <v>84</v>
      </c>
      <c r="BO7" s="828" t="s">
        <v>85</v>
      </c>
      <c r="BP7" s="127" t="s">
        <v>86</v>
      </c>
      <c r="BQ7" s="124" t="s">
        <v>88</v>
      </c>
      <c r="BR7" s="834" t="s">
        <v>9</v>
      </c>
      <c r="BS7" s="836" t="s">
        <v>89</v>
      </c>
      <c r="BT7" s="832">
        <v>1</v>
      </c>
    </row>
    <row r="8" spans="1:72" ht="18" customHeight="1" thickBot="1" x14ac:dyDescent="0.65">
      <c r="A8" s="841" t="s">
        <v>276</v>
      </c>
      <c r="B8" s="841"/>
      <c r="C8" s="502" t="s">
        <v>111</v>
      </c>
      <c r="D8" s="511" t="str">
        <f>C8</f>
        <v>Максимум</v>
      </c>
      <c r="E8" s="510"/>
      <c r="F8" s="231"/>
      <c r="G8" s="253"/>
      <c r="H8" s="240">
        <f>C9</f>
        <v>44441</v>
      </c>
      <c r="I8" s="240"/>
      <c r="J8" s="240"/>
      <c r="K8" s="241">
        <f>-C22</f>
        <v>-359400</v>
      </c>
      <c r="L8" s="242"/>
      <c r="M8" s="243"/>
      <c r="N8" s="243"/>
      <c r="O8" s="243"/>
      <c r="P8" s="243"/>
      <c r="Q8" s="243"/>
      <c r="R8" s="243"/>
      <c r="S8" s="239">
        <f>C22</f>
        <v>359400</v>
      </c>
      <c r="T8" s="466"/>
      <c r="U8" s="197"/>
      <c r="V8" s="36"/>
      <c r="W8" s="15"/>
      <c r="X8" s="15"/>
      <c r="Y8" s="15"/>
      <c r="Z8" s="15"/>
      <c r="AA8" s="15"/>
      <c r="AB8" s="15"/>
      <c r="AC8" s="15"/>
      <c r="AD8" s="147">
        <f>IF(OR($C$8="Гарантия стандарт",$C$8="Гарантия пакет"),AB4,W4)</f>
        <v>0.159</v>
      </c>
      <c r="AE8" s="147">
        <f>IF(OR($D$8="Гарантия стандарт",$D$8="Гарантия пакет"),AB4,W4)</f>
        <v>0.159</v>
      </c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255"/>
      <c r="AQ8" s="256">
        <f>C9</f>
        <v>44441</v>
      </c>
      <c r="AR8" s="256"/>
      <c r="AS8" s="256"/>
      <c r="AT8" s="257">
        <f>-D22</f>
        <v>-359400</v>
      </c>
      <c r="AU8" s="258"/>
      <c r="AV8" s="259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60">
        <f>D22</f>
        <v>359400</v>
      </c>
      <c r="BH8" s="106"/>
      <c r="BI8" s="108"/>
      <c r="BJ8" s="22">
        <f>H8</f>
        <v>44441</v>
      </c>
      <c r="BK8" s="104">
        <f>$C$24</f>
        <v>59400</v>
      </c>
      <c r="BN8" s="831"/>
      <c r="BO8" s="829"/>
      <c r="BP8" s="125" t="s">
        <v>87</v>
      </c>
      <c r="BQ8" s="126" t="s">
        <v>88</v>
      </c>
      <c r="BR8" s="835"/>
      <c r="BS8" s="837"/>
      <c r="BT8" s="833"/>
    </row>
    <row r="9" spans="1:72" ht="16.95" customHeight="1" thickBot="1" x14ac:dyDescent="0.3">
      <c r="A9" s="841" t="s">
        <v>199</v>
      </c>
      <c r="B9" s="841"/>
      <c r="C9" s="523">
        <v>44441</v>
      </c>
      <c r="D9" s="512"/>
      <c r="E9" s="510"/>
      <c r="F9" s="231"/>
      <c r="G9" s="244">
        <f>1</f>
        <v>1</v>
      </c>
      <c r="H9" s="245">
        <f t="shared" ref="H9:H72" si="1">IF((OR(DAY($AD$54)=29,DAY($AD$54)=30,DAY($AD$54)=31)),(EDATE($C$9-3,G9)),(IF((OR(DAY($AD$54)=1,DAY($AD$54)=2,DAY($AD$54)=3)),(EDATE($C$9,G9)+3),EDATE($C$9,G9))))</f>
        <v>44474</v>
      </c>
      <c r="I9" s="246">
        <f>IF(AND($W$9=1,G9&gt;=$W$9,G9&lt;=$W$9+5),0%,$C$13)</f>
        <v>0</v>
      </c>
      <c r="J9" s="247">
        <f>K9+Q9</f>
        <v>7000</v>
      </c>
      <c r="K9" s="242">
        <f t="shared" ref="K9:K14" si="2">IF(AND($W$9=1,G9&gt;=$W$9,G9&lt;=$W$9+5),$W$10,IF(AND(S8+N9+L9&gt;K8,K8&lt;&gt;0),$C$23,IF(S8=0,0,S8+N9+L9+L10)))</f>
        <v>0</v>
      </c>
      <c r="L9" s="242">
        <f>IF(AND($W$9=1,G9&gt;=$W$9,G9&lt;=$W$9+5),0,IF($C$9&gt;$AF$51,ROUND(S8*I9*((H9-DATE(YEAR(H9),MONTH(H9),1)+1)/(DATE(YEAR(H9)+1,1,1)-DATE(YEAR(H9),1,1))+(EOMONTH(H8,0)-H8)/(DATE(YEAR(H8)+1,1,1)-DATE(YEAR(H8),1,1))),2),0))</f>
        <v>0</v>
      </c>
      <c r="M9" s="242">
        <f>IF(S8=0,0,IF(S8+N9+L9&gt;K8,K9-L9-N9,S8))</f>
        <v>0</v>
      </c>
      <c r="N9" s="242">
        <f t="shared" ref="N9:N40" si="3">IF(P9-Q9&gt;$C$23,$C$23-L9,IF(V9=0,0,R9)+$AI$51)</f>
        <v>0</v>
      </c>
      <c r="O9" s="242">
        <v>0</v>
      </c>
      <c r="P9" s="242">
        <f>L9+Q9</f>
        <v>7000</v>
      </c>
      <c r="Q9" s="242">
        <f>IF(OR($C$8="Нет",$C$16="Нет"),0,IF($C$17="Серебряный",3600,IF($C$17="Золотой",5000,IF($C$17="Платиновый",7000,""))))</f>
        <v>7000</v>
      </c>
      <c r="R9" s="242">
        <f>IF(V9=0,0,0)</f>
        <v>0</v>
      </c>
      <c r="S9" s="242">
        <f>S8-M9-T9</f>
        <v>359400</v>
      </c>
      <c r="T9" s="467"/>
      <c r="U9" s="198">
        <f>C10</f>
        <v>60</v>
      </c>
      <c r="V9" s="36">
        <f>U9</f>
        <v>60</v>
      </c>
      <c r="W9" s="130">
        <f>IF($C$8="Нет",0,1)</f>
        <v>1</v>
      </c>
      <c r="X9" s="15"/>
      <c r="Y9" s="15"/>
      <c r="Z9" s="15"/>
      <c r="AA9" s="15"/>
      <c r="AB9" s="15"/>
      <c r="AC9" s="132"/>
      <c r="AD9" s="147">
        <f>IF(OR($C$8="Гарантия стандарт",$C$8="Гарантия пакет"),AB5,W5)</f>
        <v>0.17499999999999999</v>
      </c>
      <c r="AE9" s="147">
        <f>IF(OR($D$8="Гарантия стандарт",$D$8="Гарантия пакет"),AB5,W5)</f>
        <v>0.17499999999999999</v>
      </c>
      <c r="AF9" s="15"/>
      <c r="AG9" s="15"/>
      <c r="AH9" s="15"/>
      <c r="AI9" s="15"/>
      <c r="AJ9" s="15"/>
      <c r="AK9" s="15"/>
      <c r="AL9" s="15"/>
      <c r="AM9" s="15"/>
      <c r="AN9" s="15"/>
      <c r="AO9" s="130">
        <f>IF(OR(AT9="",AT9=0),0,1)</f>
        <v>1</v>
      </c>
      <c r="AP9" s="261">
        <f>1</f>
        <v>1</v>
      </c>
      <c r="AQ9" s="262">
        <f t="shared" ref="AQ9:AQ72" si="4">IF((OR(DAY($AD$54)=29,DAY($AD$54)=30,DAY($AD$54)=31)),(EDATE($C$9-3,AP9)),(IF((OR(DAY($AD$54)=1,DAY($AD$54)=2,DAY($AD$54)=3)),(EDATE($C$9,AP9)+3),EDATE($C$9,AP9))))</f>
        <v>44474</v>
      </c>
      <c r="AR9" s="263">
        <f t="shared" ref="AR9:AR14" si="5">$D$13</f>
        <v>0.13900000000000001</v>
      </c>
      <c r="AS9" s="258">
        <f>AT9+AZ9</f>
        <v>8360</v>
      </c>
      <c r="AT9" s="258">
        <f t="shared" ref="AT9:AT40" si="6">IF(AND(BG8+AW9+AU9&gt;AT8,AT8&lt;&gt;0),IF($D$16="Да",$AL$36,$D$23),IF(BG8=0,0,BG8+AW9+AU9+AU10))</f>
        <v>8360</v>
      </c>
      <c r="AU9" s="258">
        <f>IF($C$9&gt;$AF$51,ROUND(BG8*AR9*((AQ9-DATE(YEAR(AQ9),MONTH(AQ9),1)+1)/(DATE(YEAR(AQ9)+1,1,1)-DATE(YEAR(AQ9),1,1))+(EOMONTH(AQ8,0)-AQ8)/(DATE(YEAR(AQ8)+1,1,1)-DATE(YEAR(AQ8),1,1))),2),0)</f>
        <v>4516.62</v>
      </c>
      <c r="AV9" s="258">
        <f>IF(BI9=0,0,IF(BI9=1,BG8,IF(BG8+AW9+AU9&gt;AT8,AT9-AU9-AW9,BG8)))</f>
        <v>3843.38</v>
      </c>
      <c r="AW9" s="258">
        <f t="shared" ref="AW9:AW40" si="7">IF(AY9-AZ9&gt;$D$23,$D$23-AU9,IF(BI9=0,0,BA9)+BX57)</f>
        <v>0</v>
      </c>
      <c r="AX9" s="258"/>
      <c r="AY9" s="258">
        <f>AU9+AZ9</f>
        <v>4516.62</v>
      </c>
      <c r="AZ9" s="258">
        <f t="shared" ref="AZ9:AZ20" si="8">IF($D$16="Нет",0,IF($D$17="Серебряный",1800,IF($D$17="Золотой",2500,IF($D$17="Платиновый",3500,""))))</f>
        <v>0</v>
      </c>
      <c r="BA9" s="258">
        <f>IF(BI9=0,0,0)</f>
        <v>0</v>
      </c>
      <c r="BB9" s="258"/>
      <c r="BC9" s="258"/>
      <c r="BD9" s="258"/>
      <c r="BE9" s="258"/>
      <c r="BF9" s="258"/>
      <c r="BG9" s="258">
        <f>IF(OR(BI9=1,BG8=0),0,BG8-AV9)</f>
        <v>355556.62</v>
      </c>
      <c r="BH9" s="108">
        <f>C10</f>
        <v>60</v>
      </c>
      <c r="BI9" s="108">
        <f>BH9</f>
        <v>60</v>
      </c>
      <c r="BJ9" s="22">
        <f>H9</f>
        <v>44474</v>
      </c>
      <c r="BK9" s="108">
        <f t="shared" ref="BK9:BK72" si="9">K9</f>
        <v>0</v>
      </c>
    </row>
    <row r="10" spans="1:72" ht="18" customHeight="1" x14ac:dyDescent="0.25">
      <c r="A10" s="846" t="s">
        <v>198</v>
      </c>
      <c r="B10" s="846"/>
      <c r="C10" s="359">
        <v>60</v>
      </c>
      <c r="D10" s="513"/>
      <c r="E10" s="510"/>
      <c r="F10" s="231"/>
      <c r="G10" s="244">
        <f>G9+1</f>
        <v>2</v>
      </c>
      <c r="H10" s="245">
        <f t="shared" si="1"/>
        <v>44505</v>
      </c>
      <c r="I10" s="246">
        <f t="shared" ref="I10:I14" si="10">IF(AND($W$9=1,G10&gt;=$W$9,G10&lt;=$W$9+5),0%,$C$13)</f>
        <v>0</v>
      </c>
      <c r="J10" s="247">
        <f t="shared" ref="J10:J73" si="11">K10+Q10</f>
        <v>7000</v>
      </c>
      <c r="K10" s="242">
        <f t="shared" si="2"/>
        <v>0</v>
      </c>
      <c r="L10" s="242">
        <f t="shared" ref="L10:L14" si="12">IF(AND($W$9=1,G10&gt;=$W$9,G10&lt;=$W$9+5),0,IF($C$9&gt;$AF$51,ROUND(S9*I10*((H10-DATE(YEAR(H10),MONTH(H10),1)+1)/(DATE(YEAR(H10)+1,1,1)-DATE(YEAR(H10),1,1))+(EOMONTH(H9,0)-H9)/(DATE(YEAR(H9)+1,1,1)-DATE(YEAR(H9),1,1))),2),0))</f>
        <v>0</v>
      </c>
      <c r="M10" s="242">
        <f t="shared" ref="M10:M73" si="13">IF(S9=0,0,IF(S9+N10+L10&gt;K9,K10-L10-N10,S9))</f>
        <v>0</v>
      </c>
      <c r="N10" s="242">
        <f t="shared" si="3"/>
        <v>0</v>
      </c>
      <c r="O10" s="242">
        <v>0</v>
      </c>
      <c r="P10" s="242">
        <f>L10+Q10</f>
        <v>7000</v>
      </c>
      <c r="Q10" s="242">
        <f t="shared" ref="Q10:Q14" si="14">IF(OR($C$8="Нет",$C$16="Нет"),0,IF($C$17="Серебряный",3600,IF($C$17="Золотой",5000,IF($C$17="Платиновый",7000,""))))</f>
        <v>7000</v>
      </c>
      <c r="R10" s="242">
        <f t="shared" ref="R10:R73" si="15">IF(V10=0,0,0)</f>
        <v>0</v>
      </c>
      <c r="S10" s="242">
        <f t="shared" ref="S10:S73" si="16">S9-M10-T10</f>
        <v>359400</v>
      </c>
      <c r="T10" s="467"/>
      <c r="U10" s="198">
        <f>IF((U9-1)&lt;0,0,U9-1)</f>
        <v>59</v>
      </c>
      <c r="V10" s="36">
        <f t="shared" ref="V10:V73" si="17">U10</f>
        <v>59</v>
      </c>
      <c r="W10" s="54">
        <f>ROUND(S8*0%,-2)</f>
        <v>0</v>
      </c>
      <c r="X10" s="54">
        <f>ROUND(S8*0.5%,0)</f>
        <v>1797</v>
      </c>
      <c r="Y10" s="15"/>
      <c r="Z10" s="15"/>
      <c r="AA10" s="15"/>
      <c r="AB10" s="15"/>
      <c r="AC10" s="15"/>
      <c r="AD10" s="147">
        <f>IF(OR($C$8="Гарантия стандарт",$C$8="Гарантия пакет"),AB6,W6)</f>
        <v>0.17899999999999999</v>
      </c>
      <c r="AE10" s="147">
        <f>IF(OR($D$8="Гарантия стандарт",$D$8="Гарантия пакет"),AB6,W6)</f>
        <v>0.17899999999999999</v>
      </c>
      <c r="AF10" s="15"/>
      <c r="AG10" s="15"/>
      <c r="AH10" s="15"/>
      <c r="AI10" s="15"/>
      <c r="AJ10" s="15"/>
      <c r="AK10" s="15"/>
      <c r="AL10" s="15"/>
      <c r="AM10" s="15"/>
      <c r="AN10" s="15"/>
      <c r="AO10" s="130">
        <f t="shared" ref="AO10:AO73" si="18">IF(OR(AT10="",AT10=0),0,1)</f>
        <v>1</v>
      </c>
      <c r="AP10" s="261">
        <f>AP9+1</f>
        <v>2</v>
      </c>
      <c r="AQ10" s="262">
        <f t="shared" si="4"/>
        <v>44505</v>
      </c>
      <c r="AR10" s="263">
        <f t="shared" si="5"/>
        <v>0.13900000000000001</v>
      </c>
      <c r="AS10" s="258">
        <f t="shared" ref="AS10:AS73" si="19">AT10+AZ10</f>
        <v>8360</v>
      </c>
      <c r="AT10" s="258">
        <f t="shared" si="6"/>
        <v>8360</v>
      </c>
      <c r="AU10" s="258">
        <f t="shared" ref="AU10:AU73" si="20">IF($C$9&gt;$AF$51,ROUND(BG9*AR10*((AQ10-DATE(YEAR(AQ10),MONTH(AQ10),1)+1)/(DATE(YEAR(AQ10)+1,1,1)-DATE(YEAR(AQ10),1,1))+(EOMONTH(AQ9,0)-AQ9)/(DATE(YEAR(AQ9)+1,1,1)-DATE(YEAR(AQ9),1,1))),2),0)</f>
        <v>4197.5200000000004</v>
      </c>
      <c r="AV10" s="258">
        <f t="shared" ref="AV10:AV73" si="21">IF(BI10=0,0,IF(BI10=1,BG9,IF(BG9+AW10+AU10&gt;AT9,AT10-AU10-AW10,BG9)))</f>
        <v>4162.4799999999996</v>
      </c>
      <c r="AW10" s="258">
        <f t="shared" si="7"/>
        <v>0</v>
      </c>
      <c r="AX10" s="258">
        <v>0</v>
      </c>
      <c r="AY10" s="258">
        <f t="shared" ref="AY10:AY85" si="22">AU10+AZ10</f>
        <v>4197.5200000000004</v>
      </c>
      <c r="AZ10" s="258">
        <f t="shared" si="8"/>
        <v>0</v>
      </c>
      <c r="BA10" s="258">
        <f t="shared" ref="BA10:BA18" si="23">IF(BI10=0,0,0)</f>
        <v>0</v>
      </c>
      <c r="BB10" s="258"/>
      <c r="BC10" s="258"/>
      <c r="BD10" s="258"/>
      <c r="BE10" s="258"/>
      <c r="BF10" s="258"/>
      <c r="BG10" s="258">
        <f t="shared" ref="BG10:BG73" si="24">IF(OR(BI10=1,BG9=0),0,BG9-AV10)</f>
        <v>351394.14</v>
      </c>
      <c r="BH10" s="108">
        <f>IF((BH9-1)&lt;0,0,BH9-1)</f>
        <v>59</v>
      </c>
      <c r="BI10" s="108">
        <f>BH10</f>
        <v>59</v>
      </c>
      <c r="BJ10" s="22">
        <f>H10</f>
        <v>44505</v>
      </c>
      <c r="BK10" s="108">
        <f t="shared" si="9"/>
        <v>0</v>
      </c>
      <c r="BN10" s="830" t="s">
        <v>90</v>
      </c>
      <c r="BO10" s="828" t="s">
        <v>85</v>
      </c>
      <c r="BP10" s="129" t="s">
        <v>84</v>
      </c>
    </row>
    <row r="11" spans="1:72" ht="18" customHeight="1" thickBot="1" x14ac:dyDescent="0.3">
      <c r="A11" s="882" t="s">
        <v>172</v>
      </c>
      <c r="B11" s="882"/>
      <c r="C11" s="503">
        <v>0.13900000000000001</v>
      </c>
      <c r="D11" s="271">
        <f>C11</f>
        <v>0.13900000000000001</v>
      </c>
      <c r="E11" s="514"/>
      <c r="F11" s="232"/>
      <c r="G11" s="244">
        <f>G10+1</f>
        <v>3</v>
      </c>
      <c r="H11" s="245">
        <f t="shared" si="1"/>
        <v>44535</v>
      </c>
      <c r="I11" s="246">
        <f t="shared" si="10"/>
        <v>0</v>
      </c>
      <c r="J11" s="247">
        <f t="shared" si="11"/>
        <v>7000</v>
      </c>
      <c r="K11" s="242">
        <f t="shared" si="2"/>
        <v>0</v>
      </c>
      <c r="L11" s="242">
        <f t="shared" si="12"/>
        <v>0</v>
      </c>
      <c r="M11" s="242">
        <f t="shared" si="13"/>
        <v>0</v>
      </c>
      <c r="N11" s="242">
        <f t="shared" si="3"/>
        <v>0</v>
      </c>
      <c r="O11" s="242">
        <v>0</v>
      </c>
      <c r="P11" s="242">
        <f t="shared" ref="P11:P85" si="25">L11+Q11</f>
        <v>7000</v>
      </c>
      <c r="Q11" s="242">
        <f t="shared" si="14"/>
        <v>7000</v>
      </c>
      <c r="R11" s="242">
        <f t="shared" si="15"/>
        <v>0</v>
      </c>
      <c r="S11" s="242">
        <f t="shared" si="16"/>
        <v>359400</v>
      </c>
      <c r="T11" s="467"/>
      <c r="U11" s="198">
        <f>IF((U10-1)&lt;0,0,U10-1)</f>
        <v>58</v>
      </c>
      <c r="V11" s="36">
        <f t="shared" si="17"/>
        <v>58</v>
      </c>
      <c r="W11" s="15"/>
      <c r="X11" s="15"/>
      <c r="Y11" s="15"/>
      <c r="Z11" s="15"/>
      <c r="AA11" s="15"/>
      <c r="AB11" s="15"/>
      <c r="AC11" s="15"/>
      <c r="AD11" s="147"/>
      <c r="AE11" s="147"/>
      <c r="AF11" s="15"/>
      <c r="AG11" s="15"/>
      <c r="AH11" s="15"/>
      <c r="AI11" s="15"/>
      <c r="AJ11" s="15"/>
      <c r="AK11" s="15"/>
      <c r="AL11" s="15"/>
      <c r="AM11" s="3"/>
      <c r="AN11" s="175"/>
      <c r="AO11" s="130">
        <f t="shared" si="18"/>
        <v>1</v>
      </c>
      <c r="AP11" s="261">
        <f>AP10+1</f>
        <v>3</v>
      </c>
      <c r="AQ11" s="262">
        <f t="shared" si="4"/>
        <v>44535</v>
      </c>
      <c r="AR11" s="263">
        <f t="shared" si="5"/>
        <v>0.13900000000000001</v>
      </c>
      <c r="AS11" s="258">
        <f t="shared" si="19"/>
        <v>8360</v>
      </c>
      <c r="AT11" s="258">
        <f t="shared" si="6"/>
        <v>8360</v>
      </c>
      <c r="AU11" s="258">
        <f t="shared" si="20"/>
        <v>4014.56</v>
      </c>
      <c r="AV11" s="258">
        <f>IF(BI11=0,0,IF(BI11=1,BG10,IF(BG10+AW11+AU11&gt;AT10,AT11-AU11-AW11,BG10)))</f>
        <v>4345.4400000000005</v>
      </c>
      <c r="AW11" s="258">
        <f t="shared" si="7"/>
        <v>0</v>
      </c>
      <c r="AX11" s="258">
        <v>0</v>
      </c>
      <c r="AY11" s="258">
        <f t="shared" si="22"/>
        <v>4014.56</v>
      </c>
      <c r="AZ11" s="258">
        <f t="shared" si="8"/>
        <v>0</v>
      </c>
      <c r="BA11" s="258">
        <f t="shared" si="23"/>
        <v>0</v>
      </c>
      <c r="BB11" s="258"/>
      <c r="BC11" s="258"/>
      <c r="BD11" s="258"/>
      <c r="BE11" s="258"/>
      <c r="BF11" s="258"/>
      <c r="BG11" s="258">
        <f>IF(OR(BI11=1,BG10=0),0,BG10-AV11)</f>
        <v>347048.7</v>
      </c>
      <c r="BH11" s="108">
        <f>IF((BH10-1)&lt;0,0,BH10-1)</f>
        <v>58</v>
      </c>
      <c r="BI11" s="108">
        <f t="shared" ref="BI11:BI74" si="26">BH11</f>
        <v>58</v>
      </c>
      <c r="BJ11" s="22">
        <f t="shared" ref="BJ11:BJ74" si="27">H11</f>
        <v>44535</v>
      </c>
      <c r="BK11" s="108">
        <f t="shared" si="9"/>
        <v>0</v>
      </c>
      <c r="BN11" s="831"/>
      <c r="BO11" s="829"/>
      <c r="BP11" s="128" t="s">
        <v>91</v>
      </c>
    </row>
    <row r="12" spans="1:72" ht="18" customHeight="1" thickBot="1" x14ac:dyDescent="0.3">
      <c r="A12" s="882" t="s">
        <v>173</v>
      </c>
      <c r="B12" s="882"/>
      <c r="C12" s="504" t="s">
        <v>33</v>
      </c>
      <c r="D12" s="473" t="str">
        <f>C12</f>
        <v>Базовый</v>
      </c>
      <c r="E12" s="514"/>
      <c r="F12" s="232"/>
      <c r="G12" s="244">
        <f t="shared" ref="G12:G75" si="28">G11+1</f>
        <v>4</v>
      </c>
      <c r="H12" s="245">
        <f t="shared" si="1"/>
        <v>44566</v>
      </c>
      <c r="I12" s="246">
        <f t="shared" si="10"/>
        <v>0</v>
      </c>
      <c r="J12" s="247">
        <f t="shared" si="11"/>
        <v>7000</v>
      </c>
      <c r="K12" s="242">
        <f t="shared" si="2"/>
        <v>0</v>
      </c>
      <c r="L12" s="242">
        <f t="shared" si="12"/>
        <v>0</v>
      </c>
      <c r="M12" s="242">
        <f t="shared" si="13"/>
        <v>0</v>
      </c>
      <c r="N12" s="242">
        <f t="shared" si="3"/>
        <v>0</v>
      </c>
      <c r="O12" s="242">
        <v>0</v>
      </c>
      <c r="P12" s="242">
        <f t="shared" si="25"/>
        <v>7000</v>
      </c>
      <c r="Q12" s="242">
        <f t="shared" si="14"/>
        <v>7000</v>
      </c>
      <c r="R12" s="242">
        <f t="shared" si="15"/>
        <v>0</v>
      </c>
      <c r="S12" s="242">
        <f t="shared" si="16"/>
        <v>359400</v>
      </c>
      <c r="T12" s="467"/>
      <c r="U12" s="198">
        <f t="shared" ref="U12:U75" si="29">IF((U11-1)&lt;0,0,U11-1)</f>
        <v>57</v>
      </c>
      <c r="V12" s="36">
        <f t="shared" si="17"/>
        <v>57</v>
      </c>
      <c r="W12" s="15"/>
      <c r="X12" s="15"/>
      <c r="Y12" s="15"/>
      <c r="Z12" s="15"/>
      <c r="AA12" s="15"/>
      <c r="AB12" s="15"/>
      <c r="AC12" s="15"/>
      <c r="AD12" s="147">
        <f>IF(OR($C$8="Гарантия стандарт",$C$8="Гарантия пакет"),AB8,W7)</f>
        <v>0.19900000000000001</v>
      </c>
      <c r="AE12" s="147">
        <f>IF(OR($D$8="Гарантия стандарт",$D$8="Гарантия пакет"),AB8,W7)</f>
        <v>0.19900000000000001</v>
      </c>
      <c r="AF12" s="15"/>
      <c r="AG12" s="15"/>
      <c r="AH12" s="15"/>
      <c r="AI12" s="15"/>
      <c r="AJ12" s="15"/>
      <c r="AK12" s="15"/>
      <c r="AL12" s="15"/>
      <c r="AN12" s="57"/>
      <c r="AO12" s="130">
        <f t="shared" si="18"/>
        <v>1</v>
      </c>
      <c r="AP12" s="261">
        <f t="shared" ref="AP12:AP75" si="30">AP11+1</f>
        <v>4</v>
      </c>
      <c r="AQ12" s="262">
        <f t="shared" si="4"/>
        <v>44566</v>
      </c>
      <c r="AR12" s="263">
        <f t="shared" si="5"/>
        <v>0.13900000000000001</v>
      </c>
      <c r="AS12" s="258">
        <f t="shared" si="19"/>
        <v>8360</v>
      </c>
      <c r="AT12" s="258">
        <f t="shared" si="6"/>
        <v>8360</v>
      </c>
      <c r="AU12" s="258">
        <f t="shared" si="20"/>
        <v>4097.08</v>
      </c>
      <c r="AV12" s="258">
        <f t="shared" si="21"/>
        <v>4262.92</v>
      </c>
      <c r="AW12" s="258">
        <f t="shared" si="7"/>
        <v>0</v>
      </c>
      <c r="AX12" s="258">
        <v>0</v>
      </c>
      <c r="AY12" s="258">
        <f t="shared" si="22"/>
        <v>4097.08</v>
      </c>
      <c r="AZ12" s="258">
        <f t="shared" si="8"/>
        <v>0</v>
      </c>
      <c r="BA12" s="258">
        <f t="shared" si="23"/>
        <v>0</v>
      </c>
      <c r="BB12" s="258"/>
      <c r="BC12" s="258"/>
      <c r="BD12" s="258"/>
      <c r="BE12" s="258"/>
      <c r="BF12" s="258"/>
      <c r="BG12" s="258">
        <f t="shared" si="24"/>
        <v>342785.78</v>
      </c>
      <c r="BH12" s="108">
        <f t="shared" ref="BH12:BH75" si="31">IF((BH11-1)&lt;0,0,BH11-1)</f>
        <v>57</v>
      </c>
      <c r="BI12" s="108">
        <f t="shared" si="26"/>
        <v>57</v>
      </c>
      <c r="BJ12" s="22">
        <f t="shared" si="27"/>
        <v>44566</v>
      </c>
      <c r="BK12" s="108">
        <f t="shared" si="9"/>
        <v>0</v>
      </c>
    </row>
    <row r="13" spans="1:72" ht="18" customHeight="1" x14ac:dyDescent="0.25">
      <c r="A13" s="882" t="s">
        <v>171</v>
      </c>
      <c r="B13" s="882"/>
      <c r="C13" s="360">
        <f>IF(OR(C8="Гарантия стандарт",C8="Гарантия пакет",C12="Базовый"),C11,C11-2%)</f>
        <v>0.13900000000000001</v>
      </c>
      <c r="D13" s="271">
        <f>IF(OR(D8="Гарантия стандарт",D8="Гарантия пакет",D12="Базовый"),D11,D11-2%)</f>
        <v>0.13900000000000001</v>
      </c>
      <c r="E13" s="514"/>
      <c r="F13" s="232"/>
      <c r="G13" s="244">
        <f t="shared" si="28"/>
        <v>5</v>
      </c>
      <c r="H13" s="245">
        <f t="shared" si="1"/>
        <v>44597</v>
      </c>
      <c r="I13" s="246">
        <f t="shared" si="10"/>
        <v>0</v>
      </c>
      <c r="J13" s="247">
        <f t="shared" si="11"/>
        <v>7000</v>
      </c>
      <c r="K13" s="242">
        <f t="shared" si="2"/>
        <v>0</v>
      </c>
      <c r="L13" s="242">
        <f t="shared" si="12"/>
        <v>0</v>
      </c>
      <c r="M13" s="242">
        <f t="shared" si="13"/>
        <v>0</v>
      </c>
      <c r="N13" s="242">
        <f t="shared" si="3"/>
        <v>0</v>
      </c>
      <c r="O13" s="242">
        <v>0</v>
      </c>
      <c r="P13" s="242">
        <f t="shared" si="25"/>
        <v>7000</v>
      </c>
      <c r="Q13" s="242">
        <f t="shared" si="14"/>
        <v>7000</v>
      </c>
      <c r="R13" s="242">
        <f t="shared" si="15"/>
        <v>0</v>
      </c>
      <c r="S13" s="242">
        <f t="shared" si="16"/>
        <v>359400</v>
      </c>
      <c r="T13" s="467"/>
      <c r="U13" s="198">
        <f>IF((U12-1)&lt;0,0,U12-1)</f>
        <v>56</v>
      </c>
      <c r="V13" s="36">
        <f>U13</f>
        <v>56</v>
      </c>
      <c r="W13" s="15"/>
      <c r="X13" s="15"/>
      <c r="Y13" s="15"/>
      <c r="Z13" s="15"/>
      <c r="AA13" s="15"/>
      <c r="AB13" s="15"/>
      <c r="AC13" s="15"/>
      <c r="AD13" s="62" t="e">
        <f>INDEX(AD4:AD12,MATCH(C11,$W$4:$W$7,0))</f>
        <v>#N/A</v>
      </c>
      <c r="AE13" s="62" t="e">
        <f>INDEX(AE4:AE12,MATCH(D13,$W$4:$W$7,0))</f>
        <v>#N/A</v>
      </c>
      <c r="AF13" s="15"/>
      <c r="AG13" s="15"/>
      <c r="AH13" s="15"/>
      <c r="AI13" s="15"/>
      <c r="AJ13" s="15"/>
      <c r="AK13" s="15"/>
      <c r="AL13" s="15"/>
      <c r="AO13" s="130">
        <f t="shared" si="18"/>
        <v>1</v>
      </c>
      <c r="AP13" s="264">
        <f>AP12+1</f>
        <v>5</v>
      </c>
      <c r="AQ13" s="265">
        <f t="shared" si="4"/>
        <v>44597</v>
      </c>
      <c r="AR13" s="263">
        <f t="shared" si="5"/>
        <v>0.13900000000000001</v>
      </c>
      <c r="AS13" s="258">
        <f t="shared" si="19"/>
        <v>8360</v>
      </c>
      <c r="AT13" s="258">
        <f t="shared" si="6"/>
        <v>8360</v>
      </c>
      <c r="AU13" s="258">
        <f t="shared" si="20"/>
        <v>4046.75</v>
      </c>
      <c r="AV13" s="258">
        <f t="shared" si="21"/>
        <v>4313.25</v>
      </c>
      <c r="AW13" s="258">
        <f t="shared" si="7"/>
        <v>0</v>
      </c>
      <c r="AX13" s="258">
        <v>0</v>
      </c>
      <c r="AY13" s="258">
        <f t="shared" si="22"/>
        <v>4046.75</v>
      </c>
      <c r="AZ13" s="258">
        <f t="shared" si="8"/>
        <v>0</v>
      </c>
      <c r="BA13" s="258">
        <f t="shared" si="23"/>
        <v>0</v>
      </c>
      <c r="BB13" s="258"/>
      <c r="BC13" s="258"/>
      <c r="BD13" s="258"/>
      <c r="BE13" s="258"/>
      <c r="BF13" s="258"/>
      <c r="BG13" s="258">
        <f t="shared" si="24"/>
        <v>338472.53</v>
      </c>
      <c r="BH13" s="108">
        <f t="shared" si="31"/>
        <v>56</v>
      </c>
      <c r="BI13" s="108">
        <f t="shared" si="26"/>
        <v>56</v>
      </c>
      <c r="BJ13" s="22">
        <f t="shared" si="27"/>
        <v>44597</v>
      </c>
      <c r="BK13" s="108">
        <f t="shared" si="9"/>
        <v>0</v>
      </c>
      <c r="BN13" s="830" t="s">
        <v>92</v>
      </c>
      <c r="BO13" s="828" t="s">
        <v>85</v>
      </c>
      <c r="BP13" s="129" t="s">
        <v>90</v>
      </c>
    </row>
    <row r="14" spans="1:72" ht="19.5" customHeight="1" thickBot="1" x14ac:dyDescent="0.3">
      <c r="A14" s="879" t="s">
        <v>168</v>
      </c>
      <c r="B14" s="419" t="s">
        <v>102</v>
      </c>
      <c r="C14" s="359" t="s">
        <v>29</v>
      </c>
      <c r="D14" s="515" t="str">
        <f>C14</f>
        <v>нет</v>
      </c>
      <c r="E14" s="510"/>
      <c r="F14" s="231"/>
      <c r="G14" s="248">
        <f t="shared" si="28"/>
        <v>6</v>
      </c>
      <c r="H14" s="249">
        <f t="shared" si="1"/>
        <v>44625</v>
      </c>
      <c r="I14" s="250">
        <f t="shared" si="10"/>
        <v>0</v>
      </c>
      <c r="J14" s="251">
        <f t="shared" si="11"/>
        <v>7000</v>
      </c>
      <c r="K14" s="252">
        <f t="shared" si="2"/>
        <v>0</v>
      </c>
      <c r="L14" s="252">
        <f t="shared" si="12"/>
        <v>0</v>
      </c>
      <c r="M14" s="252">
        <f t="shared" si="13"/>
        <v>0</v>
      </c>
      <c r="N14" s="252">
        <f t="shared" si="3"/>
        <v>0</v>
      </c>
      <c r="O14" s="252">
        <v>0</v>
      </c>
      <c r="P14" s="252">
        <f t="shared" si="25"/>
        <v>7000</v>
      </c>
      <c r="Q14" s="252">
        <f t="shared" si="14"/>
        <v>7000</v>
      </c>
      <c r="R14" s="252">
        <f t="shared" si="15"/>
        <v>0</v>
      </c>
      <c r="S14" s="252">
        <f t="shared" si="16"/>
        <v>359400</v>
      </c>
      <c r="T14" s="468"/>
      <c r="U14" s="198">
        <f>IF((U13-1)&lt;0,0,U13-1)</f>
        <v>55</v>
      </c>
      <c r="V14" s="36">
        <f t="shared" si="17"/>
        <v>55</v>
      </c>
      <c r="W14" s="84">
        <v>9.9000000000000005E-2</v>
      </c>
      <c r="X14" s="84">
        <v>7.9000000000000001E-2</v>
      </c>
      <c r="Y14" s="84">
        <v>7.9000000000000001E-2</v>
      </c>
      <c r="Z14" s="84">
        <v>7.9000000000000001E-2</v>
      </c>
      <c r="AA14" s="84">
        <v>7.9000000000000001E-2</v>
      </c>
      <c r="AB14" s="15"/>
      <c r="AC14" s="15"/>
      <c r="AE14" s="15">
        <f>IF(OR(D$8="Гарантия стандарт",D$8="Гарантия пакет"),AE13,D13)</f>
        <v>0.13900000000000001</v>
      </c>
      <c r="AF14" s="15"/>
      <c r="AG14" s="15"/>
      <c r="AH14" s="15"/>
      <c r="AI14" s="15"/>
      <c r="AJ14" s="15"/>
      <c r="AK14" s="15"/>
      <c r="AL14" s="15"/>
      <c r="AN14" s="57"/>
      <c r="AO14" s="130">
        <f t="shared" si="18"/>
        <v>1</v>
      </c>
      <c r="AP14" s="261">
        <f>AP13+1</f>
        <v>6</v>
      </c>
      <c r="AQ14" s="262">
        <f t="shared" si="4"/>
        <v>44625</v>
      </c>
      <c r="AR14" s="263">
        <f t="shared" si="5"/>
        <v>0.13900000000000001</v>
      </c>
      <c r="AS14" s="258">
        <f t="shared" si="19"/>
        <v>8360</v>
      </c>
      <c r="AT14" s="258">
        <f t="shared" si="6"/>
        <v>8360</v>
      </c>
      <c r="AU14" s="258">
        <f t="shared" si="20"/>
        <v>3609.14</v>
      </c>
      <c r="AV14" s="258">
        <f t="shared" si="21"/>
        <v>4750.8600000000006</v>
      </c>
      <c r="AW14" s="258">
        <f t="shared" si="7"/>
        <v>0</v>
      </c>
      <c r="AX14" s="258">
        <v>0</v>
      </c>
      <c r="AY14" s="258">
        <f t="shared" si="22"/>
        <v>3609.14</v>
      </c>
      <c r="AZ14" s="258">
        <f t="shared" si="8"/>
        <v>0</v>
      </c>
      <c r="BA14" s="258">
        <f t="shared" si="23"/>
        <v>0</v>
      </c>
      <c r="BB14" s="258"/>
      <c r="BC14" s="258"/>
      <c r="BD14" s="258"/>
      <c r="BE14" s="258"/>
      <c r="BF14" s="258"/>
      <c r="BG14" s="258">
        <f t="shared" si="24"/>
        <v>333721.67000000004</v>
      </c>
      <c r="BH14" s="108">
        <f t="shared" si="31"/>
        <v>55</v>
      </c>
      <c r="BI14" s="108">
        <f t="shared" si="26"/>
        <v>55</v>
      </c>
      <c r="BJ14" s="22">
        <f t="shared" si="27"/>
        <v>44625</v>
      </c>
      <c r="BK14" s="108">
        <f t="shared" si="9"/>
        <v>0</v>
      </c>
      <c r="BN14" s="831"/>
      <c r="BO14" s="829"/>
      <c r="BP14" s="128" t="s">
        <v>93</v>
      </c>
    </row>
    <row r="15" spans="1:72" ht="20.25" customHeight="1" x14ac:dyDescent="0.25">
      <c r="A15" s="880"/>
      <c r="B15" s="418" t="s">
        <v>182</v>
      </c>
      <c r="C15" s="505" t="str">
        <f>IF(C14="нет","",IF(OR(C8="Гарантия стандарт",C8="Гарантия плюс",C8="Гарантия пакет"),$AG$37,$AB$34))</f>
        <v/>
      </c>
      <c r="D15" s="515" t="str">
        <f>IF(D14="нет","",IF(OR(D8="Гарантия стандарт",D8="Гарантия плюс",D8="Гарантия пакет"),$AG$37,$AB$34))</f>
        <v/>
      </c>
      <c r="E15" s="510"/>
      <c r="F15" s="231"/>
      <c r="G15" s="244">
        <f t="shared" si="28"/>
        <v>7</v>
      </c>
      <c r="H15" s="245">
        <f t="shared" si="1"/>
        <v>44656</v>
      </c>
      <c r="I15" s="246">
        <f t="shared" ref="I15:I20" si="32">IF(AND($C$16="Да",$C$8&lt;&gt;"Нет"),$AG$37,$C$13)</f>
        <v>9.9000000000000005E-2</v>
      </c>
      <c r="J15" s="242">
        <f t="shared" si="11"/>
        <v>7860</v>
      </c>
      <c r="K15" s="242">
        <f>IF(AND(G15&gt;=$W$9,G15&lt;=$W$9+5),$W$10,IF(S14+N15+L15&gt;K14,IF(AND($C$16="Да",$C$8&lt;&gt;"Нет"),$AF$37,$C$23),IF(S14=0,0,S14+N15+L15+L16)))</f>
        <v>7860</v>
      </c>
      <c r="L15" s="242">
        <f>IF(AND(G15&gt;=$W$9,G15&lt;=$W$9+5),0,IF($C$9&gt;$AF$51,ROUND(S14*I15*((H15-DATE(YEAR(H15),MONTH(H15),1)+1)/(DATE(YEAR(H15)+1,1,1)-DATE(YEAR(H15),1,1))+(EOMONTH(H14,0)-H14)/(DATE(YEAR(H14)+1,1,1)-DATE(YEAR(H14),1,1))),2),0))</f>
        <v>3021.91</v>
      </c>
      <c r="M15" s="242">
        <f t="shared" si="13"/>
        <v>4838.09</v>
      </c>
      <c r="N15" s="242">
        <f t="shared" si="3"/>
        <v>0</v>
      </c>
      <c r="O15" s="242">
        <v>0</v>
      </c>
      <c r="P15" s="242">
        <f t="shared" si="25"/>
        <v>3021.91</v>
      </c>
      <c r="Q15" s="242">
        <f t="shared" ref="Q15:Q78" si="33">IF(V15=0,0,0)</f>
        <v>0</v>
      </c>
      <c r="R15" s="242">
        <f t="shared" si="15"/>
        <v>0</v>
      </c>
      <c r="S15" s="242">
        <f t="shared" si="16"/>
        <v>354561.91</v>
      </c>
      <c r="T15" s="467"/>
      <c r="U15" s="198">
        <f t="shared" si="29"/>
        <v>54</v>
      </c>
      <c r="V15" s="36">
        <f t="shared" si="17"/>
        <v>54</v>
      </c>
      <c r="W15" s="112">
        <v>0</v>
      </c>
      <c r="X15" s="112">
        <v>7.9000000000000001E-2</v>
      </c>
      <c r="Y15" s="112">
        <v>7.9000000000000001E-2</v>
      </c>
      <c r="Z15" s="112">
        <v>7.9000000000000001E-2</v>
      </c>
      <c r="AA15" s="112">
        <v>7.9000000000000001E-2</v>
      </c>
      <c r="AB15" s="15"/>
      <c r="AC15" s="15"/>
      <c r="AD15" s="15" t="str">
        <f>IF(OR(C8="Гарантия стандарт",C8="Гарантия плюс",C8="Гарантия пакет"),AD13,"")</f>
        <v/>
      </c>
      <c r="AE15" s="15" t="str">
        <f>IF(OR(D8="Гарантия стандарт",D8="Гарантия плюс",D8="Гарантия пакет"),AE13,"")</f>
        <v/>
      </c>
      <c r="AF15" s="15"/>
      <c r="AG15" s="15"/>
      <c r="AH15" s="15"/>
      <c r="AI15" s="15"/>
      <c r="AJ15" s="15"/>
      <c r="AK15" s="15"/>
      <c r="AL15" s="15"/>
      <c r="AO15" s="130">
        <f t="shared" si="18"/>
        <v>1</v>
      </c>
      <c r="AP15" s="261">
        <f t="shared" si="30"/>
        <v>7</v>
      </c>
      <c r="AQ15" s="262">
        <f t="shared" si="4"/>
        <v>44656</v>
      </c>
      <c r="AR15" s="263">
        <f t="shared" ref="AR15:AR32" si="34">IF($D$16="Да",$AM$37,$D$13)</f>
        <v>0.13900000000000001</v>
      </c>
      <c r="AS15" s="258">
        <f t="shared" si="19"/>
        <v>8360</v>
      </c>
      <c r="AT15" s="258">
        <f t="shared" si="6"/>
        <v>8360</v>
      </c>
      <c r="AU15" s="258">
        <f t="shared" si="20"/>
        <v>3939.74</v>
      </c>
      <c r="AV15" s="258">
        <f t="shared" si="21"/>
        <v>4420.26</v>
      </c>
      <c r="AW15" s="258">
        <f t="shared" si="7"/>
        <v>0</v>
      </c>
      <c r="AX15" s="258">
        <v>0</v>
      </c>
      <c r="AY15" s="258">
        <f t="shared" si="22"/>
        <v>3939.74</v>
      </c>
      <c r="AZ15" s="258">
        <f t="shared" si="8"/>
        <v>0</v>
      </c>
      <c r="BA15" s="258">
        <f t="shared" si="23"/>
        <v>0</v>
      </c>
      <c r="BB15" s="258"/>
      <c r="BC15" s="258"/>
      <c r="BD15" s="258"/>
      <c r="BE15" s="258"/>
      <c r="BF15" s="258"/>
      <c r="BG15" s="258">
        <f t="shared" si="24"/>
        <v>329301.41000000003</v>
      </c>
      <c r="BH15" s="108">
        <f t="shared" si="31"/>
        <v>54</v>
      </c>
      <c r="BI15" s="108">
        <f t="shared" si="26"/>
        <v>54</v>
      </c>
      <c r="BJ15" s="22">
        <f t="shared" si="27"/>
        <v>44656</v>
      </c>
      <c r="BK15" s="108">
        <f t="shared" si="9"/>
        <v>7860</v>
      </c>
    </row>
    <row r="16" spans="1:72" ht="19.2" customHeight="1" x14ac:dyDescent="0.25">
      <c r="A16" s="881" t="s">
        <v>169</v>
      </c>
      <c r="B16" s="186" t="s">
        <v>170</v>
      </c>
      <c r="C16" s="506" t="s">
        <v>179</v>
      </c>
      <c r="D16" s="473" t="s">
        <v>178</v>
      </c>
      <c r="E16" s="514"/>
      <c r="F16" s="232"/>
      <c r="G16" s="244">
        <f t="shared" si="28"/>
        <v>8</v>
      </c>
      <c r="H16" s="245">
        <f t="shared" si="1"/>
        <v>44686</v>
      </c>
      <c r="I16" s="246">
        <f t="shared" si="32"/>
        <v>9.9000000000000005E-2</v>
      </c>
      <c r="J16" s="242">
        <f t="shared" si="11"/>
        <v>7860</v>
      </c>
      <c r="K16" s="242">
        <f t="shared" ref="K16:K21" si="35">IF(AND(G16&gt;=$W$9,G16&lt;=$W$9+5),$W$10,IF(AND(S15+N16+L16&gt;K15,K15&lt;&gt;0),IF(AND($C$16="Да",$C$8&lt;&gt;"Нет"),$AF$37,$C$23),IF(S15=0,0,S15+N16+L16+L17)))</f>
        <v>7860</v>
      </c>
      <c r="L16" s="242">
        <f t="shared" ref="L16:L79" si="36">IF(AND(G16&gt;=$W$9,G16&lt;=$W$9+5),0,IF($C$9&gt;$AF$51,ROUND(S15*I16*((H16-DATE(YEAR(H16),MONTH(H16),1)+1)/(DATE(YEAR(H16)+1,1,1)-DATE(YEAR(H16),1,1))+(EOMONTH(H15,0)-H15)/(DATE(YEAR(H15)+1,1,1)-DATE(YEAR(H15),1,1))),2),0))</f>
        <v>2885.07</v>
      </c>
      <c r="M16" s="242">
        <f>IF(S15=0,0,IF(S15+N16+L16&gt;K15,K16-L16-N16,S15))</f>
        <v>4974.93</v>
      </c>
      <c r="N16" s="242">
        <f t="shared" si="3"/>
        <v>0</v>
      </c>
      <c r="O16" s="242">
        <v>0</v>
      </c>
      <c r="P16" s="242">
        <f t="shared" si="25"/>
        <v>2885.07</v>
      </c>
      <c r="Q16" s="242">
        <f t="shared" si="33"/>
        <v>0</v>
      </c>
      <c r="R16" s="242">
        <f t="shared" si="15"/>
        <v>0</v>
      </c>
      <c r="S16" s="242">
        <f t="shared" si="16"/>
        <v>349586.98</v>
      </c>
      <c r="T16" s="467"/>
      <c r="U16" s="198">
        <f t="shared" si="29"/>
        <v>53</v>
      </c>
      <c r="V16" s="36">
        <f t="shared" si="17"/>
        <v>53</v>
      </c>
      <c r="W16" s="101"/>
      <c r="X16" s="101"/>
      <c r="Y16" s="101"/>
      <c r="Z16" s="101"/>
      <c r="AA16" s="101"/>
      <c r="AB16" s="112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O16" s="130">
        <f t="shared" si="18"/>
        <v>1</v>
      </c>
      <c r="AP16" s="261">
        <f t="shared" si="30"/>
        <v>8</v>
      </c>
      <c r="AQ16" s="262">
        <f t="shared" si="4"/>
        <v>44686</v>
      </c>
      <c r="AR16" s="263">
        <f t="shared" si="34"/>
        <v>0.13900000000000001</v>
      </c>
      <c r="AS16" s="258">
        <f t="shared" si="19"/>
        <v>8360</v>
      </c>
      <c r="AT16" s="258">
        <f t="shared" si="6"/>
        <v>8360</v>
      </c>
      <c r="AU16" s="258">
        <f t="shared" si="20"/>
        <v>3762.16</v>
      </c>
      <c r="AV16" s="258">
        <f t="shared" si="21"/>
        <v>4597.84</v>
      </c>
      <c r="AW16" s="258">
        <f t="shared" si="7"/>
        <v>0</v>
      </c>
      <c r="AX16" s="258">
        <v>0</v>
      </c>
      <c r="AY16" s="258">
        <f t="shared" si="22"/>
        <v>3762.16</v>
      </c>
      <c r="AZ16" s="258">
        <f t="shared" si="8"/>
        <v>0</v>
      </c>
      <c r="BA16" s="258">
        <f t="shared" si="23"/>
        <v>0</v>
      </c>
      <c r="BB16" s="258"/>
      <c r="BC16" s="258"/>
      <c r="BD16" s="258"/>
      <c r="BE16" s="258"/>
      <c r="BF16" s="258"/>
      <c r="BG16" s="258">
        <f t="shared" si="24"/>
        <v>324703.57</v>
      </c>
      <c r="BH16" s="108">
        <f t="shared" si="31"/>
        <v>53</v>
      </c>
      <c r="BI16" s="108">
        <f t="shared" si="26"/>
        <v>53</v>
      </c>
      <c r="BJ16" s="22">
        <f t="shared" si="27"/>
        <v>44686</v>
      </c>
      <c r="BK16" s="108">
        <f t="shared" si="9"/>
        <v>7860</v>
      </c>
    </row>
    <row r="17" spans="1:393" ht="19.95" customHeight="1" x14ac:dyDescent="0.25">
      <c r="A17" s="881"/>
      <c r="B17" s="186" t="s">
        <v>183</v>
      </c>
      <c r="C17" s="507" t="str">
        <f>IF(C16="Да",IF(AND($C$22&gt;=100000,$C$22&lt;200000),"Серебряный",IF(AND($C$22&gt;=200000,$C$22&lt;300000),"Золотой",IF(AND($C$22&gt;=300000,$C$7&lt;=6000000),"Платиновый",""))),"")</f>
        <v>Платиновый</v>
      </c>
      <c r="D17" s="473" t="str">
        <f>IF(D16="Да",IF(AND($D$22&gt;=100000,$D$22&lt;200000),"Серебряный",IF(AND($D$22&gt;=200000,$D$22&lt;300000),"Золотой",IF(AND($D$22&gt;=300000,$C$7&lt;=500000),"Платиновый",""))),"")</f>
        <v/>
      </c>
      <c r="E17" s="514"/>
      <c r="F17" s="232"/>
      <c r="G17" s="244">
        <f t="shared" si="28"/>
        <v>9</v>
      </c>
      <c r="H17" s="245">
        <f t="shared" si="1"/>
        <v>44717</v>
      </c>
      <c r="I17" s="246">
        <f t="shared" si="32"/>
        <v>9.9000000000000005E-2</v>
      </c>
      <c r="J17" s="242">
        <f t="shared" si="11"/>
        <v>7860</v>
      </c>
      <c r="K17" s="242">
        <f t="shared" si="35"/>
        <v>7860</v>
      </c>
      <c r="L17" s="242">
        <f t="shared" si="36"/>
        <v>2939.4</v>
      </c>
      <c r="M17" s="242">
        <f t="shared" si="13"/>
        <v>4920.6000000000004</v>
      </c>
      <c r="N17" s="242">
        <f t="shared" si="3"/>
        <v>0</v>
      </c>
      <c r="O17" s="242">
        <v>0</v>
      </c>
      <c r="P17" s="242">
        <f t="shared" si="25"/>
        <v>2939.4</v>
      </c>
      <c r="Q17" s="242">
        <f t="shared" si="33"/>
        <v>0</v>
      </c>
      <c r="R17" s="242">
        <f t="shared" si="15"/>
        <v>0</v>
      </c>
      <c r="S17" s="242">
        <f t="shared" si="16"/>
        <v>344666.38</v>
      </c>
      <c r="T17" s="467"/>
      <c r="U17" s="198">
        <f t="shared" si="29"/>
        <v>52</v>
      </c>
      <c r="V17" s="36">
        <f t="shared" si="17"/>
        <v>52</v>
      </c>
      <c r="W17" s="101"/>
      <c r="X17" s="101"/>
      <c r="Y17" s="101"/>
      <c r="Z17" s="101"/>
      <c r="AA17" s="101"/>
      <c r="AB17" s="84">
        <v>0.129</v>
      </c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O17" s="130">
        <f t="shared" si="18"/>
        <v>1</v>
      </c>
      <c r="AP17" s="261">
        <f t="shared" si="30"/>
        <v>9</v>
      </c>
      <c r="AQ17" s="262">
        <f t="shared" si="4"/>
        <v>44717</v>
      </c>
      <c r="AR17" s="263">
        <f t="shared" si="34"/>
        <v>0.13900000000000001</v>
      </c>
      <c r="AS17" s="258">
        <f t="shared" si="19"/>
        <v>8360</v>
      </c>
      <c r="AT17" s="258">
        <f t="shared" si="6"/>
        <v>8360</v>
      </c>
      <c r="AU17" s="258">
        <f t="shared" si="20"/>
        <v>3833.28</v>
      </c>
      <c r="AV17" s="258">
        <f t="shared" si="21"/>
        <v>4526.7199999999993</v>
      </c>
      <c r="AW17" s="258">
        <f t="shared" si="7"/>
        <v>0</v>
      </c>
      <c r="AX17" s="258">
        <v>0</v>
      </c>
      <c r="AY17" s="258">
        <f t="shared" si="22"/>
        <v>3833.28</v>
      </c>
      <c r="AZ17" s="258">
        <f t="shared" si="8"/>
        <v>0</v>
      </c>
      <c r="BA17" s="258">
        <f t="shared" si="23"/>
        <v>0</v>
      </c>
      <c r="BB17" s="258"/>
      <c r="BC17" s="258"/>
      <c r="BD17" s="258"/>
      <c r="BE17" s="258"/>
      <c r="BF17" s="258"/>
      <c r="BG17" s="258">
        <f t="shared" si="24"/>
        <v>320176.85000000003</v>
      </c>
      <c r="BH17" s="108">
        <f t="shared" si="31"/>
        <v>52</v>
      </c>
      <c r="BI17" s="108">
        <f t="shared" si="26"/>
        <v>52</v>
      </c>
      <c r="BJ17" s="22">
        <f t="shared" si="27"/>
        <v>44717</v>
      </c>
      <c r="BK17" s="108">
        <f t="shared" si="9"/>
        <v>7860</v>
      </c>
    </row>
    <row r="18" spans="1:393" ht="19.95" customHeight="1" x14ac:dyDescent="0.25">
      <c r="A18" s="881"/>
      <c r="B18" s="186" t="s">
        <v>184</v>
      </c>
      <c r="C18" s="508">
        <f>IF($C$17="Серебряный",3600,IF($C$17="Золотой",5000,IF($C$17="Платиновый",7000,"")))</f>
        <v>7000</v>
      </c>
      <c r="D18" s="473" t="str">
        <f>IF($D$17="Серебряный",1800,IF($D$17="Золотой",2500,IF($D$17="Платиновый",3500,"")))</f>
        <v/>
      </c>
      <c r="E18" s="514"/>
      <c r="F18" s="232"/>
      <c r="G18" s="244">
        <f t="shared" si="28"/>
        <v>10</v>
      </c>
      <c r="H18" s="245">
        <f t="shared" si="1"/>
        <v>44747</v>
      </c>
      <c r="I18" s="246">
        <f t="shared" si="32"/>
        <v>9.9000000000000005E-2</v>
      </c>
      <c r="J18" s="242">
        <f t="shared" si="11"/>
        <v>7860</v>
      </c>
      <c r="K18" s="242">
        <f t="shared" si="35"/>
        <v>7860</v>
      </c>
      <c r="L18" s="242">
        <f t="shared" si="36"/>
        <v>2804.55</v>
      </c>
      <c r="M18" s="242">
        <f t="shared" si="13"/>
        <v>5055.45</v>
      </c>
      <c r="N18" s="242">
        <f t="shared" si="3"/>
        <v>0</v>
      </c>
      <c r="O18" s="242">
        <v>0</v>
      </c>
      <c r="P18" s="242">
        <f t="shared" si="25"/>
        <v>2804.55</v>
      </c>
      <c r="Q18" s="242">
        <f t="shared" si="33"/>
        <v>0</v>
      </c>
      <c r="R18" s="242">
        <f t="shared" si="15"/>
        <v>0</v>
      </c>
      <c r="S18" s="242">
        <f t="shared" si="16"/>
        <v>339610.93</v>
      </c>
      <c r="T18" s="467"/>
      <c r="U18" s="198">
        <f t="shared" si="29"/>
        <v>51</v>
      </c>
      <c r="V18" s="36">
        <f t="shared" si="17"/>
        <v>51</v>
      </c>
      <c r="W18" s="84">
        <v>8.9999999999999993E-3</v>
      </c>
      <c r="X18" s="84">
        <v>8.9999999999999993E-3</v>
      </c>
      <c r="Y18" s="84">
        <v>8.9999999999999993E-3</v>
      </c>
      <c r="Z18" s="84">
        <v>8.9999999999999993E-3</v>
      </c>
      <c r="AA18" s="84">
        <v>8.9999999999999993E-3</v>
      </c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O18" s="130">
        <f t="shared" si="18"/>
        <v>1</v>
      </c>
      <c r="AP18" s="261">
        <f t="shared" si="30"/>
        <v>10</v>
      </c>
      <c r="AQ18" s="262">
        <f t="shared" si="4"/>
        <v>44747</v>
      </c>
      <c r="AR18" s="263">
        <f t="shared" si="34"/>
        <v>0.13900000000000001</v>
      </c>
      <c r="AS18" s="258">
        <f t="shared" si="19"/>
        <v>8360</v>
      </c>
      <c r="AT18" s="258">
        <f t="shared" si="6"/>
        <v>8360</v>
      </c>
      <c r="AU18" s="258">
        <f t="shared" si="20"/>
        <v>3657.91</v>
      </c>
      <c r="AV18" s="258">
        <f t="shared" si="21"/>
        <v>4702.09</v>
      </c>
      <c r="AW18" s="258">
        <f t="shared" si="7"/>
        <v>0</v>
      </c>
      <c r="AX18" s="258">
        <v>0</v>
      </c>
      <c r="AY18" s="258">
        <f t="shared" si="22"/>
        <v>3657.91</v>
      </c>
      <c r="AZ18" s="258">
        <f t="shared" si="8"/>
        <v>0</v>
      </c>
      <c r="BA18" s="258">
        <f t="shared" si="23"/>
        <v>0</v>
      </c>
      <c r="BB18" s="258"/>
      <c r="BC18" s="258"/>
      <c r="BD18" s="258"/>
      <c r="BE18" s="258"/>
      <c r="BF18" s="258"/>
      <c r="BG18" s="258">
        <f t="shared" si="24"/>
        <v>315474.76</v>
      </c>
      <c r="BH18" s="108">
        <f t="shared" si="31"/>
        <v>51</v>
      </c>
      <c r="BI18" s="108">
        <f t="shared" si="26"/>
        <v>51</v>
      </c>
      <c r="BJ18" s="22">
        <f t="shared" si="27"/>
        <v>44747</v>
      </c>
      <c r="BK18" s="108">
        <f t="shared" si="9"/>
        <v>7860</v>
      </c>
    </row>
    <row r="19" spans="1:393" ht="28.2" customHeight="1" x14ac:dyDescent="0.25">
      <c r="A19" s="893" t="s">
        <v>303</v>
      </c>
      <c r="B19" s="893"/>
      <c r="C19" s="893"/>
      <c r="D19" s="893"/>
      <c r="E19" s="893"/>
      <c r="F19" s="233"/>
      <c r="G19" s="244">
        <f t="shared" si="28"/>
        <v>11</v>
      </c>
      <c r="H19" s="245">
        <f t="shared" si="1"/>
        <v>44778</v>
      </c>
      <c r="I19" s="246">
        <f t="shared" si="32"/>
        <v>9.9000000000000005E-2</v>
      </c>
      <c r="J19" s="242">
        <f t="shared" si="11"/>
        <v>7860</v>
      </c>
      <c r="K19" s="242">
        <f t="shared" si="35"/>
        <v>7860</v>
      </c>
      <c r="L19" s="242">
        <f t="shared" si="36"/>
        <v>2855.52</v>
      </c>
      <c r="M19" s="242">
        <f t="shared" si="13"/>
        <v>5004.4799999999996</v>
      </c>
      <c r="N19" s="242">
        <f t="shared" si="3"/>
        <v>0</v>
      </c>
      <c r="O19" s="242">
        <v>0</v>
      </c>
      <c r="P19" s="242">
        <f t="shared" si="25"/>
        <v>2855.52</v>
      </c>
      <c r="Q19" s="242">
        <f t="shared" si="33"/>
        <v>0</v>
      </c>
      <c r="R19" s="242">
        <f t="shared" si="15"/>
        <v>0</v>
      </c>
      <c r="S19" s="242">
        <f t="shared" si="16"/>
        <v>334606.45</v>
      </c>
      <c r="T19" s="467"/>
      <c r="U19" s="198">
        <f>IF((U18-1)&lt;0,0,U18-1)</f>
        <v>50</v>
      </c>
      <c r="V19" s="36">
        <f t="shared" si="17"/>
        <v>50</v>
      </c>
      <c r="W19" s="84">
        <v>1.9E-2</v>
      </c>
      <c r="X19" s="84">
        <v>1.9E-2</v>
      </c>
      <c r="Y19" s="84">
        <v>1.9E-2</v>
      </c>
      <c r="Z19" s="84">
        <v>1.9E-2</v>
      </c>
      <c r="AA19" s="84">
        <v>1.9E-2</v>
      </c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O19" s="130">
        <f t="shared" si="18"/>
        <v>1</v>
      </c>
      <c r="AP19" s="261">
        <f>AP18+1</f>
        <v>11</v>
      </c>
      <c r="AQ19" s="262">
        <f t="shared" si="4"/>
        <v>44778</v>
      </c>
      <c r="AR19" s="263">
        <f t="shared" si="34"/>
        <v>0.13900000000000001</v>
      </c>
      <c r="AS19" s="258">
        <f t="shared" si="19"/>
        <v>8360</v>
      </c>
      <c r="AT19" s="258">
        <f t="shared" si="6"/>
        <v>8360</v>
      </c>
      <c r="AU19" s="258">
        <f t="shared" si="20"/>
        <v>3724.33</v>
      </c>
      <c r="AV19" s="258">
        <f t="shared" si="21"/>
        <v>4635.67</v>
      </c>
      <c r="AW19" s="258">
        <f t="shared" si="7"/>
        <v>0</v>
      </c>
      <c r="AX19" s="258">
        <v>0</v>
      </c>
      <c r="AY19" s="258">
        <f t="shared" si="22"/>
        <v>3724.33</v>
      </c>
      <c r="AZ19" s="258">
        <f t="shared" si="8"/>
        <v>0</v>
      </c>
      <c r="BA19" s="258">
        <f>IF(BI25=0,0,0)</f>
        <v>0</v>
      </c>
      <c r="BB19" s="258"/>
      <c r="BC19" s="258"/>
      <c r="BD19" s="258"/>
      <c r="BE19" s="258"/>
      <c r="BF19" s="258"/>
      <c r="BG19" s="258">
        <f t="shared" si="24"/>
        <v>310839.09000000003</v>
      </c>
      <c r="BH19" s="108">
        <f t="shared" si="31"/>
        <v>50</v>
      </c>
      <c r="BI19" s="108">
        <f t="shared" si="26"/>
        <v>50</v>
      </c>
      <c r="BJ19" s="22">
        <f t="shared" si="27"/>
        <v>44778</v>
      </c>
      <c r="BK19" s="108">
        <f t="shared" si="9"/>
        <v>7860</v>
      </c>
    </row>
    <row r="20" spans="1:393" ht="16.95" customHeight="1" thickBot="1" x14ac:dyDescent="0.3">
      <c r="A20" s="888" t="s">
        <v>309</v>
      </c>
      <c r="B20" s="888"/>
      <c r="C20" s="888"/>
      <c r="D20" s="888"/>
      <c r="E20" s="888"/>
      <c r="F20" s="224"/>
      <c r="G20" s="248">
        <f t="shared" si="28"/>
        <v>12</v>
      </c>
      <c r="H20" s="249">
        <f t="shared" si="1"/>
        <v>44809</v>
      </c>
      <c r="I20" s="246">
        <f t="shared" si="32"/>
        <v>9.9000000000000005E-2</v>
      </c>
      <c r="J20" s="252">
        <f t="shared" si="11"/>
        <v>7860</v>
      </c>
      <c r="K20" s="252">
        <f t="shared" si="35"/>
        <v>7860</v>
      </c>
      <c r="L20" s="252">
        <f t="shared" si="36"/>
        <v>2813.44</v>
      </c>
      <c r="M20" s="252">
        <f t="shared" si="13"/>
        <v>5046.5599999999995</v>
      </c>
      <c r="N20" s="252">
        <f t="shared" si="3"/>
        <v>0</v>
      </c>
      <c r="O20" s="252">
        <v>0</v>
      </c>
      <c r="P20" s="252">
        <f t="shared" si="25"/>
        <v>2813.44</v>
      </c>
      <c r="Q20" s="252">
        <f t="shared" si="33"/>
        <v>0</v>
      </c>
      <c r="R20" s="252">
        <f t="shared" si="15"/>
        <v>0</v>
      </c>
      <c r="S20" s="252">
        <f t="shared" si="16"/>
        <v>329559.89</v>
      </c>
      <c r="T20" s="468"/>
      <c r="U20" s="198">
        <f>IF((U19-1)&lt;0,0,U19-1)</f>
        <v>49</v>
      </c>
      <c r="V20" s="36">
        <f t="shared" si="17"/>
        <v>49</v>
      </c>
      <c r="W20" s="122">
        <v>2.9000000000000001E-2</v>
      </c>
      <c r="X20" s="122">
        <v>2.9000000000000001E-2</v>
      </c>
      <c r="Y20" s="122">
        <v>2.9000000000000001E-2</v>
      </c>
      <c r="Z20" s="122">
        <v>2.9000000000000001E-2</v>
      </c>
      <c r="AA20" s="122">
        <v>2.9000000000000001E-2</v>
      </c>
      <c r="AB20" s="15">
        <v>4.9000000000000002E-2</v>
      </c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3"/>
      <c r="AN20" s="113"/>
      <c r="AO20" s="130">
        <f t="shared" si="18"/>
        <v>1</v>
      </c>
      <c r="AP20" s="264">
        <f>AP19+1</f>
        <v>12</v>
      </c>
      <c r="AQ20" s="265">
        <f t="shared" si="4"/>
        <v>44809</v>
      </c>
      <c r="AR20" s="263">
        <f t="shared" si="34"/>
        <v>0.13900000000000001</v>
      </c>
      <c r="AS20" s="258">
        <f t="shared" si="19"/>
        <v>8360</v>
      </c>
      <c r="AT20" s="258">
        <f t="shared" si="6"/>
        <v>8360</v>
      </c>
      <c r="AU20" s="258">
        <f t="shared" si="20"/>
        <v>3669.6</v>
      </c>
      <c r="AV20" s="258">
        <f t="shared" si="21"/>
        <v>4690.3999999999996</v>
      </c>
      <c r="AW20" s="258">
        <f t="shared" si="7"/>
        <v>0</v>
      </c>
      <c r="AX20" s="258">
        <v>0</v>
      </c>
      <c r="AY20" s="258">
        <f t="shared" si="22"/>
        <v>3669.6</v>
      </c>
      <c r="AZ20" s="258">
        <f t="shared" si="8"/>
        <v>0</v>
      </c>
      <c r="BA20" s="258">
        <f t="shared" ref="BA20:BA83" si="37">IF(BI26=0,0,0)</f>
        <v>0</v>
      </c>
      <c r="BB20" s="258"/>
      <c r="BC20" s="258"/>
      <c r="BD20" s="258"/>
      <c r="BE20" s="258"/>
      <c r="BF20" s="258"/>
      <c r="BG20" s="258">
        <f t="shared" si="24"/>
        <v>306148.69</v>
      </c>
      <c r="BH20" s="108">
        <f t="shared" si="31"/>
        <v>49</v>
      </c>
      <c r="BI20" s="108">
        <f t="shared" si="26"/>
        <v>49</v>
      </c>
      <c r="BJ20" s="22">
        <f t="shared" si="27"/>
        <v>44809</v>
      </c>
      <c r="BK20" s="108">
        <f t="shared" si="9"/>
        <v>7860</v>
      </c>
    </row>
    <row r="21" spans="1:393" ht="38.25" customHeight="1" x14ac:dyDescent="0.25">
      <c r="A21" s="944" t="s">
        <v>174</v>
      </c>
      <c r="B21" s="944"/>
      <c r="C21" s="945"/>
      <c r="D21" s="496"/>
      <c r="E21" s="496"/>
      <c r="F21" s="224"/>
      <c r="G21" s="244">
        <f t="shared" si="28"/>
        <v>13</v>
      </c>
      <c r="H21" s="245">
        <f t="shared" si="1"/>
        <v>44839</v>
      </c>
      <c r="I21" s="246">
        <f>IF(AND($C$16="Да",$C$8&lt;&gt;"Нет"),$AG$37,$C$13)</f>
        <v>9.9000000000000005E-2</v>
      </c>
      <c r="J21" s="242">
        <f>K21+Q21</f>
        <v>7860</v>
      </c>
      <c r="K21" s="242">
        <f t="shared" si="35"/>
        <v>7860</v>
      </c>
      <c r="L21" s="242">
        <f t="shared" si="36"/>
        <v>2681.62</v>
      </c>
      <c r="M21" s="242">
        <f t="shared" si="13"/>
        <v>5178.38</v>
      </c>
      <c r="N21" s="242">
        <f t="shared" si="3"/>
        <v>0</v>
      </c>
      <c r="O21" s="242">
        <v>0</v>
      </c>
      <c r="P21" s="242">
        <f t="shared" si="25"/>
        <v>2681.62</v>
      </c>
      <c r="Q21" s="242">
        <f t="shared" si="33"/>
        <v>0</v>
      </c>
      <c r="R21" s="242">
        <f t="shared" si="15"/>
        <v>0</v>
      </c>
      <c r="S21" s="242">
        <f t="shared" si="16"/>
        <v>324381.51</v>
      </c>
      <c r="T21" s="467"/>
      <c r="U21" s="198">
        <f>IF((U20-1)&lt;0,0,U20-1)</f>
        <v>48</v>
      </c>
      <c r="V21" s="36">
        <f t="shared" si="17"/>
        <v>48</v>
      </c>
      <c r="W21" s="84">
        <v>4.9000000000000002E-2</v>
      </c>
      <c r="X21" s="84">
        <v>4.9000000000000002E-2</v>
      </c>
      <c r="Y21" s="84">
        <v>4.9000000000000002E-2</v>
      </c>
      <c r="Z21" s="84">
        <v>4.9000000000000002E-2</v>
      </c>
      <c r="AA21" s="84">
        <v>4.9000000000000002E-2</v>
      </c>
      <c r="AB21" s="115"/>
      <c r="AC21" s="84">
        <v>0.129</v>
      </c>
      <c r="AD21" s="84">
        <v>0.129</v>
      </c>
      <c r="AE21" s="84">
        <v>0.129</v>
      </c>
      <c r="AF21" s="84">
        <v>0.129</v>
      </c>
      <c r="AG21" s="84">
        <v>0.129</v>
      </c>
      <c r="AH21" s="84">
        <v>0.129</v>
      </c>
      <c r="AI21" s="84">
        <v>0.129</v>
      </c>
      <c r="AJ21" s="84">
        <v>0.129</v>
      </c>
      <c r="AK21" s="84">
        <v>0.129</v>
      </c>
      <c r="AL21" s="84">
        <v>0.129</v>
      </c>
      <c r="AM21" s="3"/>
      <c r="AN21" s="3"/>
      <c r="AO21" s="130">
        <f t="shared" si="18"/>
        <v>1</v>
      </c>
      <c r="AP21" s="261">
        <f>AP20+1</f>
        <v>13</v>
      </c>
      <c r="AQ21" s="262">
        <f t="shared" si="4"/>
        <v>44839</v>
      </c>
      <c r="AR21" s="263">
        <f t="shared" si="34"/>
        <v>0.13900000000000001</v>
      </c>
      <c r="AS21" s="258">
        <f t="shared" si="19"/>
        <v>8360</v>
      </c>
      <c r="AT21" s="258">
        <f t="shared" si="6"/>
        <v>8360</v>
      </c>
      <c r="AU21" s="258">
        <f t="shared" si="20"/>
        <v>3497.64</v>
      </c>
      <c r="AV21" s="258">
        <f t="shared" si="21"/>
        <v>4862.3600000000006</v>
      </c>
      <c r="AW21" s="258">
        <f t="shared" si="7"/>
        <v>0</v>
      </c>
      <c r="AX21" s="258">
        <v>0</v>
      </c>
      <c r="AY21" s="258">
        <f t="shared" si="22"/>
        <v>3497.64</v>
      </c>
      <c r="AZ21" s="258">
        <f t="shared" ref="AZ21:AZ84" si="38">IF(BI27=0,0,0)</f>
        <v>0</v>
      </c>
      <c r="BA21" s="258">
        <f t="shared" si="37"/>
        <v>0</v>
      </c>
      <c r="BB21" s="258"/>
      <c r="BC21" s="258"/>
      <c r="BD21" s="258"/>
      <c r="BE21" s="258"/>
      <c r="BF21" s="258"/>
      <c r="BG21" s="258">
        <f t="shared" si="24"/>
        <v>301286.33</v>
      </c>
      <c r="BH21" s="108">
        <f t="shared" si="31"/>
        <v>48</v>
      </c>
      <c r="BI21" s="108">
        <f t="shared" si="26"/>
        <v>48</v>
      </c>
      <c r="BJ21" s="22">
        <f t="shared" si="27"/>
        <v>44839</v>
      </c>
      <c r="BK21" s="108">
        <f t="shared" si="9"/>
        <v>7860</v>
      </c>
    </row>
    <row r="22" spans="1:393" ht="34.200000000000003" customHeight="1" x14ac:dyDescent="0.25">
      <c r="A22" s="896" t="str">
        <f>IF(AND($C$8&lt;&gt;"Нет",$D$8&lt;&gt;"Нет",$C$14&lt;&gt;"Нет"),"Сумма кредита с ФЗ + Почетный Клиент + Всё под контролем, руб.",IF(AND($C$8&lt;&gt;"Нет",$D$8&lt;&gt;"Нет",$C$14&lt;&gt;"Да"),"Сумма кредита с учетом Финансовой защиты, руб.",IF(AND($D$8&lt;&gt;"Нет",$C$14&lt;&gt;"Нет"),"Сумма кредита с учетом пакета услуг Всё под контролем, руб.","Сумма кредита, руб.")))</f>
        <v>Сумма кредита с учетом Финансовой защиты, руб.</v>
      </c>
      <c r="B22" s="896"/>
      <c r="C22" s="516">
        <f>$C$7+(IF($C$8="Нет",0,IF($C$24&lt;&gt;"",$C$24,0))+IF(C14="Нет",0,IF(C14="Да",C15,0)))</f>
        <v>359400</v>
      </c>
      <c r="D22" s="473">
        <f>$C$7+(IF($D$8="Нет",0,IF($D$24&lt;&gt;"",$D$24,0))+IF(D14="Нет",0,IF(D14="Да",D15,0)))</f>
        <v>359400</v>
      </c>
      <c r="E22" s="224">
        <f>C22-D22</f>
        <v>0</v>
      </c>
      <c r="F22" s="225"/>
      <c r="G22" s="244">
        <f t="shared" si="28"/>
        <v>14</v>
      </c>
      <c r="H22" s="245">
        <f t="shared" si="1"/>
        <v>44870</v>
      </c>
      <c r="I22" s="246">
        <f t="shared" ref="I22:I32" si="39">IF(AND($C$16="Да",$C$8&lt;&gt;"Нет"),$AG$37,$C$13)</f>
        <v>9.9000000000000005E-2</v>
      </c>
      <c r="J22" s="242">
        <f t="shared" si="11"/>
        <v>7860</v>
      </c>
      <c r="K22" s="242">
        <f t="shared" ref="K22:K32" si="40">IF(AND(G22&gt;=$W$9,G22&lt;=$W$9+5),$W$10,IF(AND(S21+N22+L22&gt;K21,K21&lt;&gt;0),IF(AND($C$16="Да",$C$8&lt;&gt;"Нет"),$AF$37,$C$23),IF(S21=0,0,S21+N22+L22+L23)))</f>
        <v>7860</v>
      </c>
      <c r="L22" s="242">
        <f t="shared" si="36"/>
        <v>2727.47</v>
      </c>
      <c r="M22" s="242">
        <f t="shared" si="13"/>
        <v>5132.5300000000007</v>
      </c>
      <c r="N22" s="242">
        <f t="shared" si="3"/>
        <v>0</v>
      </c>
      <c r="O22" s="242">
        <v>0</v>
      </c>
      <c r="P22" s="242">
        <f t="shared" si="25"/>
        <v>2727.47</v>
      </c>
      <c r="Q22" s="242">
        <f t="shared" si="33"/>
        <v>0</v>
      </c>
      <c r="R22" s="242">
        <f t="shared" si="15"/>
        <v>0</v>
      </c>
      <c r="S22" s="242">
        <f t="shared" si="16"/>
        <v>319248.98</v>
      </c>
      <c r="T22" s="467"/>
      <c r="U22" s="198">
        <f t="shared" si="29"/>
        <v>47</v>
      </c>
      <c r="V22" s="36">
        <f t="shared" si="17"/>
        <v>47</v>
      </c>
      <c r="W22" s="84">
        <v>6.9000000000000006E-2</v>
      </c>
      <c r="X22" s="84">
        <v>6.9000000000000006E-2</v>
      </c>
      <c r="Y22" s="84">
        <v>6.9000000000000006E-2</v>
      </c>
      <c r="Z22" s="84">
        <v>6.9000000000000006E-2</v>
      </c>
      <c r="AA22" s="84">
        <v>6.9000000000000006E-2</v>
      </c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O22" s="130">
        <f t="shared" si="18"/>
        <v>1</v>
      </c>
      <c r="AP22" s="261">
        <f t="shared" si="30"/>
        <v>14</v>
      </c>
      <c r="AQ22" s="262">
        <f t="shared" si="4"/>
        <v>44870</v>
      </c>
      <c r="AR22" s="263">
        <f t="shared" si="34"/>
        <v>0.13900000000000001</v>
      </c>
      <c r="AS22" s="258">
        <f t="shared" si="19"/>
        <v>8360</v>
      </c>
      <c r="AT22" s="258">
        <f t="shared" si="6"/>
        <v>8360</v>
      </c>
      <c r="AU22" s="258">
        <f t="shared" si="20"/>
        <v>3556.83</v>
      </c>
      <c r="AV22" s="258">
        <f t="shared" si="21"/>
        <v>4803.17</v>
      </c>
      <c r="AW22" s="258">
        <f t="shared" si="7"/>
        <v>0</v>
      </c>
      <c r="AX22" s="258">
        <v>0</v>
      </c>
      <c r="AY22" s="258">
        <f t="shared" si="22"/>
        <v>3556.83</v>
      </c>
      <c r="AZ22" s="258">
        <f t="shared" si="38"/>
        <v>0</v>
      </c>
      <c r="BA22" s="258">
        <f t="shared" si="37"/>
        <v>0</v>
      </c>
      <c r="BB22" s="258"/>
      <c r="BC22" s="258"/>
      <c r="BD22" s="258"/>
      <c r="BE22" s="258"/>
      <c r="BF22" s="258"/>
      <c r="BG22" s="258">
        <f t="shared" si="24"/>
        <v>296483.16000000003</v>
      </c>
      <c r="BH22" s="108">
        <f t="shared" si="31"/>
        <v>47</v>
      </c>
      <c r="BI22" s="108">
        <f t="shared" si="26"/>
        <v>47</v>
      </c>
      <c r="BJ22" s="22">
        <f t="shared" si="27"/>
        <v>44870</v>
      </c>
      <c r="BK22" s="108">
        <f t="shared" si="9"/>
        <v>7860</v>
      </c>
    </row>
    <row r="23" spans="1:393" ht="19.2" customHeight="1" x14ac:dyDescent="0.25">
      <c r="A23" s="852" t="str">
        <f>IF(AND($C$8&lt;&gt;"Нет",$D$8&lt;&gt;"Нет",$C$14&lt;&gt;"Нет"),"Платеж с учетом Финансовой защиты + пакета услуг Всё под контролем, руб.",IF(AND($C$8&lt;&gt;"Нет",$D$8&lt;&gt;"Нет",$C$14&lt;&gt;"Да"),"Платеж с учетом Финансовой защиты, руб.",IF(AND($D$8&lt;&gt;"Нет",$C$14&lt;&gt;"Нет"),"Платеж с учетом пакета услуг Всё под контролем, руб.","Платеж, руб.")))</f>
        <v>Платеж с учетом Финансовой защиты, руб.</v>
      </c>
      <c r="B23" s="852"/>
      <c r="C23" s="516">
        <f>ROUNDUP(AH36/AH33*C22/AG47,0)*AG47</f>
        <v>8360</v>
      </c>
      <c r="D23" s="473">
        <f>ROUNDUP(AI36/AH33*D22/AG47,0)*AG47</f>
        <v>8360</v>
      </c>
      <c r="E23" s="224">
        <f>C23-D23</f>
        <v>0</v>
      </c>
      <c r="F23" s="226"/>
      <c r="G23" s="244">
        <f t="shared" si="28"/>
        <v>15</v>
      </c>
      <c r="H23" s="245">
        <f t="shared" si="1"/>
        <v>44900</v>
      </c>
      <c r="I23" s="246">
        <f t="shared" si="39"/>
        <v>9.9000000000000005E-2</v>
      </c>
      <c r="J23" s="242">
        <f t="shared" si="11"/>
        <v>7860</v>
      </c>
      <c r="K23" s="242">
        <f t="shared" si="40"/>
        <v>7860</v>
      </c>
      <c r="L23" s="242">
        <f t="shared" si="36"/>
        <v>2597.7199999999998</v>
      </c>
      <c r="M23" s="242">
        <f t="shared" si="13"/>
        <v>5262.2800000000007</v>
      </c>
      <c r="N23" s="242">
        <f t="shared" si="3"/>
        <v>0</v>
      </c>
      <c r="O23" s="242">
        <v>0</v>
      </c>
      <c r="P23" s="242">
        <f t="shared" si="25"/>
        <v>2597.7199999999998</v>
      </c>
      <c r="Q23" s="242">
        <f t="shared" si="33"/>
        <v>0</v>
      </c>
      <c r="R23" s="242">
        <f t="shared" si="15"/>
        <v>0</v>
      </c>
      <c r="S23" s="242">
        <f t="shared" si="16"/>
        <v>313986.69999999995</v>
      </c>
      <c r="T23" s="467"/>
      <c r="U23" s="198">
        <f t="shared" si="29"/>
        <v>46</v>
      </c>
      <c r="V23" s="36">
        <f t="shared" si="17"/>
        <v>46</v>
      </c>
      <c r="W23" s="2">
        <v>1</v>
      </c>
      <c r="X23" s="2">
        <v>1</v>
      </c>
      <c r="Y23" s="3">
        <v>1</v>
      </c>
      <c r="Z23" s="2">
        <v>1</v>
      </c>
      <c r="AA23" s="3">
        <v>1</v>
      </c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O23" s="130">
        <f t="shared" si="18"/>
        <v>1</v>
      </c>
      <c r="AP23" s="261">
        <f t="shared" si="30"/>
        <v>15</v>
      </c>
      <c r="AQ23" s="262">
        <f t="shared" si="4"/>
        <v>44900</v>
      </c>
      <c r="AR23" s="263">
        <f t="shared" si="34"/>
        <v>0.13900000000000001</v>
      </c>
      <c r="AS23" s="258">
        <f t="shared" si="19"/>
        <v>8360</v>
      </c>
      <c r="AT23" s="258">
        <f t="shared" si="6"/>
        <v>8360</v>
      </c>
      <c r="AU23" s="258">
        <f t="shared" si="20"/>
        <v>3387.22</v>
      </c>
      <c r="AV23" s="258">
        <f t="shared" si="21"/>
        <v>4972.7800000000007</v>
      </c>
      <c r="AW23" s="258">
        <f t="shared" si="7"/>
        <v>0</v>
      </c>
      <c r="AX23" s="258">
        <v>0</v>
      </c>
      <c r="AY23" s="258">
        <f t="shared" si="22"/>
        <v>3387.22</v>
      </c>
      <c r="AZ23" s="258">
        <f t="shared" si="38"/>
        <v>0</v>
      </c>
      <c r="BA23" s="258">
        <f t="shared" si="37"/>
        <v>0</v>
      </c>
      <c r="BB23" s="258"/>
      <c r="BC23" s="258"/>
      <c r="BD23" s="258"/>
      <c r="BE23" s="258"/>
      <c r="BF23" s="258"/>
      <c r="BG23" s="258">
        <f t="shared" si="24"/>
        <v>291510.38</v>
      </c>
      <c r="BH23" s="108">
        <f t="shared" si="31"/>
        <v>46</v>
      </c>
      <c r="BI23" s="108">
        <f t="shared" si="26"/>
        <v>46</v>
      </c>
      <c r="BJ23" s="22">
        <f t="shared" si="27"/>
        <v>44900</v>
      </c>
      <c r="BK23" s="108">
        <f t="shared" si="9"/>
        <v>7860</v>
      </c>
    </row>
    <row r="24" spans="1:393" ht="18" customHeight="1" x14ac:dyDescent="0.25">
      <c r="A24" s="846" t="s">
        <v>285</v>
      </c>
      <c r="B24" s="846"/>
      <c r="C24" s="508">
        <f>IF(C8="Гарантия пакет",(AH65*AH79+AI65*AI79),INDEX($AC$79:$AI$79,MATCH(C$8,$AC$59:$AJ$59,0))*C25)*(MIN($C$10,60))</f>
        <v>59400</v>
      </c>
      <c r="D24" s="473">
        <f>IF(D8="Гарантия пакет",(AH65*AH79+AI65*AI79),INDEX($AC$79:$AI$79,MATCH(D$8,$AC$59:$AJ$59,0))*D25)*$C$10</f>
        <v>59400</v>
      </c>
      <c r="E24" s="226">
        <f>C24-D24</f>
        <v>0</v>
      </c>
      <c r="F24" s="226"/>
      <c r="G24" s="244">
        <f t="shared" si="28"/>
        <v>16</v>
      </c>
      <c r="H24" s="245">
        <f t="shared" si="1"/>
        <v>44931</v>
      </c>
      <c r="I24" s="246">
        <f t="shared" si="39"/>
        <v>9.9000000000000005E-2</v>
      </c>
      <c r="J24" s="242">
        <f t="shared" si="11"/>
        <v>7860</v>
      </c>
      <c r="K24" s="242">
        <f t="shared" si="40"/>
        <v>7860</v>
      </c>
      <c r="L24" s="242">
        <f t="shared" si="36"/>
        <v>2640.07</v>
      </c>
      <c r="M24" s="242">
        <f t="shared" si="13"/>
        <v>5219.93</v>
      </c>
      <c r="N24" s="242">
        <f t="shared" si="3"/>
        <v>0</v>
      </c>
      <c r="O24" s="242">
        <v>0</v>
      </c>
      <c r="P24" s="242">
        <f t="shared" si="25"/>
        <v>2640.07</v>
      </c>
      <c r="Q24" s="242">
        <f t="shared" si="33"/>
        <v>0</v>
      </c>
      <c r="R24" s="242">
        <f t="shared" si="15"/>
        <v>0</v>
      </c>
      <c r="S24" s="242">
        <f t="shared" si="16"/>
        <v>308766.76999999996</v>
      </c>
      <c r="T24" s="467"/>
      <c r="U24" s="198">
        <f t="shared" si="29"/>
        <v>45</v>
      </c>
      <c r="V24" s="36">
        <f t="shared" si="17"/>
        <v>45</v>
      </c>
      <c r="AB24" s="3">
        <v>1</v>
      </c>
      <c r="AC24" s="15">
        <v>4.9000000000000002E-2</v>
      </c>
      <c r="AD24" s="15">
        <v>4.9000000000000002E-2</v>
      </c>
      <c r="AE24" s="15">
        <v>4.9000000000000002E-2</v>
      </c>
      <c r="AF24" s="80">
        <v>6.9000000000000006E-2</v>
      </c>
      <c r="AG24" s="80">
        <v>6.9000000000000006E-2</v>
      </c>
      <c r="AH24" s="80">
        <v>6.9000000000000006E-2</v>
      </c>
      <c r="AI24" s="80">
        <v>6.9000000000000006E-2</v>
      </c>
      <c r="AJ24" s="80">
        <v>6.9000000000000006E-2</v>
      </c>
      <c r="AK24" s="80">
        <v>6.9000000000000006E-2</v>
      </c>
      <c r="AL24" s="80">
        <v>6.9000000000000006E-2</v>
      </c>
      <c r="AO24" s="130">
        <f t="shared" si="18"/>
        <v>1</v>
      </c>
      <c r="AP24" s="261">
        <f t="shared" si="30"/>
        <v>16</v>
      </c>
      <c r="AQ24" s="262">
        <f t="shared" si="4"/>
        <v>44931</v>
      </c>
      <c r="AR24" s="263">
        <f t="shared" si="34"/>
        <v>0.13900000000000001</v>
      </c>
      <c r="AS24" s="258">
        <f t="shared" si="19"/>
        <v>8360</v>
      </c>
      <c r="AT24" s="258">
        <f t="shared" si="6"/>
        <v>8360</v>
      </c>
      <c r="AU24" s="258">
        <f t="shared" si="20"/>
        <v>3441.42</v>
      </c>
      <c r="AV24" s="258">
        <f t="shared" si="21"/>
        <v>4918.58</v>
      </c>
      <c r="AW24" s="258">
        <f t="shared" si="7"/>
        <v>0</v>
      </c>
      <c r="AX24" s="258">
        <v>0</v>
      </c>
      <c r="AY24" s="258">
        <f t="shared" si="22"/>
        <v>3441.42</v>
      </c>
      <c r="AZ24" s="258">
        <f t="shared" si="38"/>
        <v>0</v>
      </c>
      <c r="BA24" s="258">
        <f t="shared" si="37"/>
        <v>0</v>
      </c>
      <c r="BB24" s="258"/>
      <c r="BC24" s="258"/>
      <c r="BD24" s="258"/>
      <c r="BE24" s="258"/>
      <c r="BF24" s="258"/>
      <c r="BG24" s="258">
        <f t="shared" si="24"/>
        <v>286591.8</v>
      </c>
      <c r="BH24" s="108">
        <f t="shared" si="31"/>
        <v>45</v>
      </c>
      <c r="BI24" s="108">
        <f t="shared" si="26"/>
        <v>45</v>
      </c>
      <c r="BJ24" s="22">
        <f t="shared" si="27"/>
        <v>44931</v>
      </c>
      <c r="BK24" s="108">
        <f t="shared" si="9"/>
        <v>7860</v>
      </c>
    </row>
    <row r="25" spans="1:393" ht="18" customHeight="1" x14ac:dyDescent="0.25">
      <c r="A25" s="846" t="s">
        <v>100</v>
      </c>
      <c r="B25" s="891"/>
      <c r="C25" s="517">
        <f>IF(C8="Нет",0,IF(C8=AC59,AC65,IF(C8=AD59,AD65,IF(C8=AF59,AF65,IF(C8=AG59,AG65,IF(C8=AE59,AE65,IF(C8=AH59,AH65,IF(C8=AI59,AI65,IF(C8=AJ59,AJ65,Y23)))))))))</f>
        <v>3.0000000000000001E-3</v>
      </c>
      <c r="D25" s="473">
        <f>IF(D8=AC59,AC65,IF(D8=AD59,AD65,IF(D8=AF59,AF65,IF(D8=AG59,AG65,IF(D8=AE59,AE65,IF(D8=AH59,AH65,IF(D8=AI59,AI65,IF(D8=AJ59,AJ65,Y23))))))))</f>
        <v>3.0000000000000001E-3</v>
      </c>
      <c r="E25" s="225"/>
      <c r="F25" s="226"/>
      <c r="G25" s="244">
        <f t="shared" si="28"/>
        <v>17</v>
      </c>
      <c r="H25" s="245">
        <f t="shared" si="1"/>
        <v>44962</v>
      </c>
      <c r="I25" s="246">
        <f t="shared" si="39"/>
        <v>9.9000000000000005E-2</v>
      </c>
      <c r="J25" s="242">
        <f t="shared" si="11"/>
        <v>7860</v>
      </c>
      <c r="K25" s="242">
        <f t="shared" si="40"/>
        <v>7860</v>
      </c>
      <c r="L25" s="242">
        <f t="shared" si="36"/>
        <v>2596.1799999999998</v>
      </c>
      <c r="M25" s="242">
        <f t="shared" si="13"/>
        <v>5263.82</v>
      </c>
      <c r="N25" s="242">
        <f t="shared" si="3"/>
        <v>0</v>
      </c>
      <c r="O25" s="242">
        <v>0</v>
      </c>
      <c r="P25" s="242">
        <f t="shared" si="25"/>
        <v>2596.1799999999998</v>
      </c>
      <c r="Q25" s="242">
        <f t="shared" si="33"/>
        <v>0</v>
      </c>
      <c r="R25" s="242">
        <f t="shared" si="15"/>
        <v>0</v>
      </c>
      <c r="S25" s="242">
        <f t="shared" si="16"/>
        <v>303502.94999999995</v>
      </c>
      <c r="T25" s="467"/>
      <c r="U25" s="198">
        <f t="shared" si="29"/>
        <v>44</v>
      </c>
      <c r="V25" s="36">
        <f t="shared" si="17"/>
        <v>44</v>
      </c>
      <c r="W25" s="2">
        <v>0</v>
      </c>
      <c r="X25" s="2">
        <v>1</v>
      </c>
      <c r="Y25" s="2">
        <v>2</v>
      </c>
      <c r="Z25" s="2">
        <v>3</v>
      </c>
      <c r="AA25" s="2">
        <v>4</v>
      </c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6"/>
      <c r="AN25" s="116"/>
      <c r="AO25" s="130">
        <f t="shared" si="18"/>
        <v>1</v>
      </c>
      <c r="AP25" s="266">
        <f t="shared" si="30"/>
        <v>17</v>
      </c>
      <c r="AQ25" s="265">
        <f t="shared" si="4"/>
        <v>44962</v>
      </c>
      <c r="AR25" s="263">
        <f t="shared" si="34"/>
        <v>0.13900000000000001</v>
      </c>
      <c r="AS25" s="258">
        <f t="shared" si="19"/>
        <v>8360</v>
      </c>
      <c r="AT25" s="258">
        <f t="shared" si="6"/>
        <v>8360</v>
      </c>
      <c r="AU25" s="258">
        <f t="shared" si="20"/>
        <v>3383.35</v>
      </c>
      <c r="AV25" s="258">
        <f t="shared" si="21"/>
        <v>4976.6499999999996</v>
      </c>
      <c r="AW25" s="258">
        <f t="shared" si="7"/>
        <v>0</v>
      </c>
      <c r="AX25" s="258">
        <v>0</v>
      </c>
      <c r="AY25" s="258">
        <f t="shared" si="22"/>
        <v>3383.35</v>
      </c>
      <c r="AZ25" s="258">
        <f t="shared" si="38"/>
        <v>0</v>
      </c>
      <c r="BA25" s="258">
        <f t="shared" si="37"/>
        <v>0</v>
      </c>
      <c r="BB25" s="258"/>
      <c r="BC25" s="258"/>
      <c r="BD25" s="258"/>
      <c r="BE25" s="258"/>
      <c r="BF25" s="258"/>
      <c r="BG25" s="258">
        <f t="shared" si="24"/>
        <v>281615.14999999997</v>
      </c>
      <c r="BH25" s="108">
        <f t="shared" si="31"/>
        <v>44</v>
      </c>
      <c r="BI25" s="108">
        <f t="shared" si="26"/>
        <v>44</v>
      </c>
      <c r="BJ25" s="22">
        <f t="shared" si="27"/>
        <v>44962</v>
      </c>
      <c r="BK25" s="108">
        <f t="shared" si="9"/>
        <v>7860</v>
      </c>
    </row>
    <row r="26" spans="1:393" ht="18" customHeight="1" x14ac:dyDescent="0.25">
      <c r="A26" s="846" t="s">
        <v>325</v>
      </c>
      <c r="B26" s="846"/>
      <c r="C26" s="508">
        <f>IF(C8="Гарантия пакет",(AH65*AH79+AI65*AI79),INDEX($AC$79:$AI$79,MATCH(C$8,$AC$59:$AJ$59,0)))</f>
        <v>330000</v>
      </c>
      <c r="D26" s="473">
        <f>IF(D8="Гарантия пакет",(AH65*AH79+AI65*AI79),INDEX($AC$79:$AI$79,MATCH(D$8,$AC$59:$AJ$59,0)))</f>
        <v>330000</v>
      </c>
      <c r="E26" s="226">
        <f t="shared" ref="E26:E32" si="41">C26-D26</f>
        <v>0</v>
      </c>
      <c r="F26" s="192"/>
      <c r="G26" s="244">
        <f t="shared" si="28"/>
        <v>18</v>
      </c>
      <c r="H26" s="245">
        <f t="shared" si="1"/>
        <v>44990</v>
      </c>
      <c r="I26" s="246">
        <f t="shared" si="39"/>
        <v>9.9000000000000005E-2</v>
      </c>
      <c r="J26" s="242">
        <f t="shared" si="11"/>
        <v>7860</v>
      </c>
      <c r="K26" s="242">
        <f t="shared" si="40"/>
        <v>7860</v>
      </c>
      <c r="L26" s="242">
        <f t="shared" si="36"/>
        <v>2304.96</v>
      </c>
      <c r="M26" s="242">
        <f t="shared" si="13"/>
        <v>5555.04</v>
      </c>
      <c r="N26" s="242">
        <f t="shared" si="3"/>
        <v>0</v>
      </c>
      <c r="O26" s="242">
        <v>0</v>
      </c>
      <c r="P26" s="242">
        <f t="shared" si="25"/>
        <v>2304.96</v>
      </c>
      <c r="Q26" s="242">
        <f t="shared" si="33"/>
        <v>0</v>
      </c>
      <c r="R26" s="242">
        <f t="shared" si="15"/>
        <v>0</v>
      </c>
      <c r="S26" s="242">
        <f t="shared" si="16"/>
        <v>297947.90999999997</v>
      </c>
      <c r="T26" s="467"/>
      <c r="U26" s="198">
        <f t="shared" si="29"/>
        <v>43</v>
      </c>
      <c r="V26" s="36">
        <f t="shared" si="17"/>
        <v>43</v>
      </c>
      <c r="AB26" s="13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O26" s="130">
        <f t="shared" si="18"/>
        <v>1</v>
      </c>
      <c r="AP26" s="261">
        <f t="shared" si="30"/>
        <v>18</v>
      </c>
      <c r="AQ26" s="262">
        <f t="shared" si="4"/>
        <v>44990</v>
      </c>
      <c r="AR26" s="263">
        <f t="shared" si="34"/>
        <v>0.13900000000000001</v>
      </c>
      <c r="AS26" s="258">
        <f t="shared" si="19"/>
        <v>8360</v>
      </c>
      <c r="AT26" s="258">
        <f t="shared" si="6"/>
        <v>8360</v>
      </c>
      <c r="AU26" s="258">
        <f t="shared" si="20"/>
        <v>3002.87</v>
      </c>
      <c r="AV26" s="258">
        <f t="shared" si="21"/>
        <v>5357.13</v>
      </c>
      <c r="AW26" s="258">
        <f t="shared" si="7"/>
        <v>0</v>
      </c>
      <c r="AX26" s="258">
        <v>0</v>
      </c>
      <c r="AY26" s="258">
        <f t="shared" si="22"/>
        <v>3002.87</v>
      </c>
      <c r="AZ26" s="258">
        <f t="shared" si="38"/>
        <v>0</v>
      </c>
      <c r="BA26" s="258">
        <f t="shared" si="37"/>
        <v>0</v>
      </c>
      <c r="BB26" s="258"/>
      <c r="BC26" s="258"/>
      <c r="BD26" s="258"/>
      <c r="BE26" s="258"/>
      <c r="BF26" s="258"/>
      <c r="BG26" s="258">
        <f t="shared" si="24"/>
        <v>276258.01999999996</v>
      </c>
      <c r="BH26" s="108">
        <f t="shared" si="31"/>
        <v>43</v>
      </c>
      <c r="BI26" s="108">
        <f t="shared" si="26"/>
        <v>43</v>
      </c>
      <c r="BJ26" s="22">
        <f t="shared" si="27"/>
        <v>44990</v>
      </c>
      <c r="BK26" s="108">
        <f t="shared" si="9"/>
        <v>7860</v>
      </c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97"/>
      <c r="DW26" s="97"/>
      <c r="DX26" s="97"/>
      <c r="DY26" s="97"/>
      <c r="DZ26" s="97"/>
      <c r="EA26" s="97"/>
      <c r="EB26" s="97"/>
      <c r="EC26" s="97"/>
      <c r="ED26" s="97"/>
      <c r="EE26" s="97"/>
      <c r="EF26" s="97"/>
      <c r="EG26" s="97"/>
      <c r="EH26" s="97"/>
      <c r="EI26" s="97"/>
      <c r="EJ26" s="97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97"/>
      <c r="FC26" s="97"/>
      <c r="FD26" s="97"/>
      <c r="FE26" s="97"/>
      <c r="FF26" s="97"/>
      <c r="FG26" s="97"/>
      <c r="FH26" s="97"/>
      <c r="FI26" s="97"/>
      <c r="FJ26" s="97"/>
      <c r="FK26" s="97"/>
      <c r="FL26" s="97"/>
      <c r="FM26" s="97"/>
      <c r="FN26" s="97"/>
      <c r="FO26" s="97"/>
      <c r="FP26" s="97"/>
      <c r="FQ26" s="97"/>
      <c r="FR26" s="97"/>
      <c r="FS26" s="97"/>
      <c r="FT26" s="97"/>
      <c r="FU26" s="97"/>
      <c r="FV26" s="97"/>
      <c r="FW26" s="97"/>
      <c r="FX26" s="97"/>
      <c r="FY26" s="97"/>
      <c r="FZ26" s="97"/>
      <c r="GA26" s="97"/>
      <c r="GB26" s="97"/>
      <c r="GC26" s="97"/>
      <c r="GD26" s="97"/>
      <c r="GE26" s="97"/>
      <c r="GF26" s="97"/>
      <c r="GG26" s="97"/>
      <c r="GH26" s="97"/>
      <c r="GI26" s="97"/>
      <c r="GJ26" s="97"/>
      <c r="GK26" s="97"/>
      <c r="GL26" s="97"/>
      <c r="GM26" s="97"/>
      <c r="GN26" s="97"/>
      <c r="GO26" s="97"/>
      <c r="GP26" s="97"/>
      <c r="GQ26" s="97"/>
      <c r="GR26" s="97"/>
      <c r="GS26" s="97"/>
      <c r="GT26" s="97"/>
      <c r="GU26" s="97"/>
      <c r="GV26" s="97"/>
      <c r="GW26" s="97"/>
      <c r="GX26" s="97"/>
      <c r="GY26" s="97"/>
      <c r="GZ26" s="97"/>
      <c r="HA26" s="97"/>
      <c r="HB26" s="97"/>
      <c r="HC26" s="97"/>
      <c r="HD26" s="97"/>
      <c r="HE26" s="97"/>
      <c r="HF26" s="97"/>
      <c r="HG26" s="97"/>
      <c r="HH26" s="97"/>
      <c r="HI26" s="97"/>
      <c r="HJ26" s="97"/>
      <c r="HK26" s="97"/>
      <c r="HL26" s="97"/>
      <c r="HM26" s="97"/>
      <c r="HN26" s="97"/>
      <c r="HO26" s="97"/>
      <c r="HP26" s="97"/>
      <c r="HQ26" s="97"/>
      <c r="HR26" s="97"/>
      <c r="HS26" s="97"/>
      <c r="HT26" s="97"/>
      <c r="HU26" s="97"/>
      <c r="HV26" s="97"/>
      <c r="HW26" s="97"/>
      <c r="HX26" s="97"/>
      <c r="HY26" s="97"/>
      <c r="HZ26" s="97"/>
      <c r="IA26" s="97"/>
      <c r="IB26" s="97"/>
      <c r="IC26" s="97"/>
      <c r="ID26" s="97"/>
      <c r="IE26" s="97"/>
      <c r="IF26" s="97"/>
      <c r="IG26" s="97"/>
      <c r="IH26" s="97"/>
      <c r="II26" s="97"/>
      <c r="IJ26" s="97"/>
      <c r="IK26" s="97"/>
      <c r="IL26" s="97"/>
      <c r="IM26" s="97"/>
      <c r="IN26" s="97"/>
      <c r="IO26" s="97"/>
      <c r="IP26" s="97"/>
      <c r="IQ26" s="97"/>
      <c r="IR26" s="97"/>
      <c r="IS26" s="97"/>
      <c r="IT26" s="97"/>
      <c r="IU26" s="97"/>
      <c r="IV26" s="97"/>
      <c r="IW26" s="97"/>
      <c r="IX26" s="97"/>
      <c r="IY26" s="97"/>
      <c r="IZ26" s="97"/>
      <c r="JA26" s="97"/>
      <c r="JB26" s="97"/>
      <c r="JC26" s="97"/>
      <c r="JD26" s="97"/>
      <c r="JE26" s="97"/>
      <c r="JF26" s="97"/>
      <c r="JG26" s="97"/>
      <c r="JH26" s="97"/>
      <c r="JI26" s="97"/>
      <c r="JJ26" s="97"/>
      <c r="JK26" s="97"/>
      <c r="JL26" s="97"/>
      <c r="JM26" s="97"/>
      <c r="JN26" s="97"/>
      <c r="JO26" s="97"/>
      <c r="JP26" s="97"/>
      <c r="JQ26" s="97"/>
      <c r="JR26" s="97"/>
      <c r="JS26" s="97"/>
      <c r="JT26" s="97"/>
      <c r="JU26" s="97"/>
      <c r="JV26" s="97"/>
      <c r="JW26" s="97"/>
      <c r="JX26" s="97"/>
      <c r="JY26" s="97"/>
      <c r="JZ26" s="97"/>
      <c r="KA26" s="97"/>
      <c r="KB26" s="97"/>
      <c r="KC26" s="97"/>
      <c r="KD26" s="97"/>
      <c r="KE26" s="97"/>
      <c r="KF26" s="97"/>
      <c r="KG26" s="97"/>
      <c r="KH26" s="97"/>
      <c r="KI26" s="97"/>
      <c r="KJ26" s="97"/>
      <c r="KK26" s="97"/>
      <c r="KL26" s="97"/>
      <c r="KM26" s="97"/>
      <c r="KN26" s="97"/>
      <c r="KO26" s="97"/>
      <c r="KP26" s="97"/>
      <c r="KQ26" s="97"/>
      <c r="KR26" s="97"/>
      <c r="KS26" s="97"/>
      <c r="KT26" s="97"/>
      <c r="KU26" s="97"/>
      <c r="KV26" s="97"/>
      <c r="KW26" s="97"/>
      <c r="KX26" s="97"/>
      <c r="KY26" s="97"/>
      <c r="KZ26" s="97"/>
      <c r="LA26" s="97"/>
      <c r="LB26" s="97"/>
      <c r="LC26" s="97"/>
      <c r="LD26" s="97"/>
      <c r="LE26" s="97"/>
      <c r="LF26" s="97"/>
      <c r="LG26" s="97"/>
      <c r="LH26" s="97"/>
      <c r="LI26" s="97"/>
      <c r="LJ26" s="97"/>
      <c r="LK26" s="97"/>
      <c r="LL26" s="97"/>
      <c r="LM26" s="97"/>
      <c r="LN26" s="97"/>
      <c r="LO26" s="97"/>
      <c r="LP26" s="97"/>
      <c r="LQ26" s="97"/>
      <c r="LR26" s="97"/>
      <c r="LS26" s="97"/>
      <c r="LT26" s="97"/>
      <c r="LU26" s="97"/>
      <c r="LV26" s="97"/>
      <c r="LW26" s="97"/>
      <c r="LX26" s="97"/>
      <c r="LY26" s="97"/>
      <c r="LZ26" s="97"/>
      <c r="MA26" s="97"/>
      <c r="MB26" s="97"/>
      <c r="MC26" s="97"/>
      <c r="MD26" s="97"/>
      <c r="ME26" s="97"/>
      <c r="MF26" s="97"/>
      <c r="MG26" s="97"/>
      <c r="MH26" s="97"/>
      <c r="MI26" s="97"/>
      <c r="MJ26" s="97"/>
      <c r="MK26" s="97"/>
      <c r="ML26" s="97"/>
      <c r="MM26" s="97"/>
      <c r="MN26" s="97"/>
      <c r="MO26" s="97"/>
      <c r="MP26" s="97"/>
      <c r="MQ26" s="97"/>
      <c r="MR26" s="97"/>
      <c r="MS26" s="97"/>
      <c r="MT26" s="97"/>
      <c r="MU26" s="97"/>
      <c r="MV26" s="97"/>
      <c r="MW26" s="97"/>
      <c r="MX26" s="97"/>
      <c r="MY26" s="97"/>
      <c r="MZ26" s="97"/>
      <c r="NA26" s="97"/>
      <c r="NB26" s="97"/>
      <c r="NC26" s="97"/>
      <c r="ND26" s="97"/>
      <c r="NE26" s="97"/>
      <c r="NF26" s="97"/>
      <c r="NG26" s="97"/>
      <c r="NH26" s="97"/>
      <c r="NI26" s="97"/>
      <c r="NJ26" s="97"/>
      <c r="NK26" s="97"/>
      <c r="NL26" s="97"/>
      <c r="NM26" s="97"/>
      <c r="NN26" s="97"/>
      <c r="NO26" s="97"/>
      <c r="NP26" s="97"/>
      <c r="NQ26" s="97"/>
      <c r="NR26" s="97"/>
      <c r="NS26" s="97"/>
      <c r="NT26" s="97"/>
      <c r="NU26" s="97"/>
      <c r="NV26" s="97"/>
      <c r="NW26" s="97"/>
      <c r="NX26" s="97"/>
      <c r="NY26" s="97"/>
      <c r="NZ26" s="97"/>
      <c r="OA26" s="97"/>
      <c r="OB26" s="97"/>
      <c r="OC26" s="97"/>
    </row>
    <row r="27" spans="1:393" ht="16.95" customHeight="1" x14ac:dyDescent="0.25">
      <c r="A27" s="846" t="s">
        <v>310</v>
      </c>
      <c r="B27" s="846"/>
      <c r="C27" s="508">
        <f>C24/$C$10</f>
        <v>990</v>
      </c>
      <c r="D27" s="473">
        <f>D24/$C$10</f>
        <v>990</v>
      </c>
      <c r="E27" s="226">
        <f t="shared" si="41"/>
        <v>0</v>
      </c>
      <c r="F27" s="192"/>
      <c r="G27" s="244">
        <f t="shared" si="28"/>
        <v>19</v>
      </c>
      <c r="H27" s="245">
        <f t="shared" si="1"/>
        <v>45021</v>
      </c>
      <c r="I27" s="246">
        <f t="shared" si="39"/>
        <v>9.9000000000000005E-2</v>
      </c>
      <c r="J27" s="242">
        <f t="shared" si="11"/>
        <v>7860</v>
      </c>
      <c r="K27" s="242">
        <f t="shared" si="40"/>
        <v>7860</v>
      </c>
      <c r="L27" s="242">
        <f t="shared" si="36"/>
        <v>2505.21</v>
      </c>
      <c r="M27" s="242">
        <f t="shared" si="13"/>
        <v>5354.79</v>
      </c>
      <c r="N27" s="242">
        <f t="shared" si="3"/>
        <v>0</v>
      </c>
      <c r="O27" s="242">
        <v>0</v>
      </c>
      <c r="P27" s="242">
        <f t="shared" si="25"/>
        <v>2505.21</v>
      </c>
      <c r="Q27" s="242">
        <f t="shared" si="33"/>
        <v>0</v>
      </c>
      <c r="R27" s="242">
        <f t="shared" si="15"/>
        <v>0</v>
      </c>
      <c r="S27" s="242">
        <f t="shared" si="16"/>
        <v>292593.12</v>
      </c>
      <c r="T27" s="467"/>
      <c r="U27" s="198">
        <f t="shared" si="29"/>
        <v>42</v>
      </c>
      <c r="V27" s="36">
        <f t="shared" si="17"/>
        <v>42</v>
      </c>
      <c r="W27" s="16"/>
      <c r="X27" s="16"/>
      <c r="Y27" s="57"/>
      <c r="AB27" s="13" t="s">
        <v>79</v>
      </c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O27" s="130">
        <f t="shared" si="18"/>
        <v>1</v>
      </c>
      <c r="AP27" s="261">
        <f t="shared" si="30"/>
        <v>19</v>
      </c>
      <c r="AQ27" s="262">
        <f t="shared" si="4"/>
        <v>45021</v>
      </c>
      <c r="AR27" s="263">
        <f t="shared" si="34"/>
        <v>0.13900000000000001</v>
      </c>
      <c r="AS27" s="258">
        <f t="shared" si="19"/>
        <v>8360</v>
      </c>
      <c r="AT27" s="258">
        <f t="shared" si="6"/>
        <v>8360</v>
      </c>
      <c r="AU27" s="258">
        <f t="shared" si="20"/>
        <v>3261.36</v>
      </c>
      <c r="AV27" s="258">
        <f t="shared" si="21"/>
        <v>5098.6399999999994</v>
      </c>
      <c r="AW27" s="258">
        <f t="shared" si="7"/>
        <v>0</v>
      </c>
      <c r="AX27" s="258">
        <v>0</v>
      </c>
      <c r="AY27" s="258">
        <f t="shared" si="22"/>
        <v>3261.36</v>
      </c>
      <c r="AZ27" s="258">
        <f t="shared" si="38"/>
        <v>0</v>
      </c>
      <c r="BA27" s="258">
        <f t="shared" si="37"/>
        <v>0</v>
      </c>
      <c r="BB27" s="258"/>
      <c r="BC27" s="258"/>
      <c r="BD27" s="258"/>
      <c r="BE27" s="258"/>
      <c r="BF27" s="258"/>
      <c r="BG27" s="258">
        <f t="shared" si="24"/>
        <v>271159.37999999995</v>
      </c>
      <c r="BH27" s="108">
        <f t="shared" si="31"/>
        <v>42</v>
      </c>
      <c r="BI27" s="108">
        <f t="shared" si="26"/>
        <v>42</v>
      </c>
      <c r="BJ27" s="22">
        <f t="shared" si="27"/>
        <v>45021</v>
      </c>
      <c r="BK27" s="108">
        <f t="shared" si="9"/>
        <v>7860</v>
      </c>
    </row>
    <row r="28" spans="1:393" ht="22.5" customHeight="1" x14ac:dyDescent="0.25">
      <c r="A28" s="846" t="s">
        <v>311</v>
      </c>
      <c r="B28" s="846"/>
      <c r="C28" s="354">
        <f>ROUND($C$27/30.4,2)</f>
        <v>32.57</v>
      </c>
      <c r="D28" s="473">
        <f>ROUND($D$27/30.4,2)</f>
        <v>32.57</v>
      </c>
      <c r="E28" s="226">
        <f t="shared" si="41"/>
        <v>0</v>
      </c>
      <c r="F28" s="190"/>
      <c r="G28" s="244">
        <f t="shared" si="28"/>
        <v>20</v>
      </c>
      <c r="H28" s="245">
        <f t="shared" si="1"/>
        <v>45051</v>
      </c>
      <c r="I28" s="246">
        <f t="shared" si="39"/>
        <v>9.9000000000000005E-2</v>
      </c>
      <c r="J28" s="242">
        <f t="shared" si="11"/>
        <v>7860</v>
      </c>
      <c r="K28" s="242">
        <f t="shared" si="40"/>
        <v>7860</v>
      </c>
      <c r="L28" s="242">
        <f t="shared" si="36"/>
        <v>2380.83</v>
      </c>
      <c r="M28" s="242">
        <f t="shared" si="13"/>
        <v>5479.17</v>
      </c>
      <c r="N28" s="242">
        <f t="shared" si="3"/>
        <v>0</v>
      </c>
      <c r="O28" s="242">
        <v>0</v>
      </c>
      <c r="P28" s="242">
        <f t="shared" si="25"/>
        <v>2380.83</v>
      </c>
      <c r="Q28" s="242">
        <f t="shared" si="33"/>
        <v>0</v>
      </c>
      <c r="R28" s="242">
        <f t="shared" si="15"/>
        <v>0</v>
      </c>
      <c r="S28" s="242">
        <f t="shared" si="16"/>
        <v>287113.95</v>
      </c>
      <c r="T28" s="467"/>
      <c r="U28" s="198">
        <f t="shared" si="29"/>
        <v>41</v>
      </c>
      <c r="V28" s="36">
        <f t="shared" si="17"/>
        <v>41</v>
      </c>
      <c r="W28" s="138" t="s">
        <v>104</v>
      </c>
      <c r="X28" s="139"/>
      <c r="Y28" s="139" t="s">
        <v>20</v>
      </c>
      <c r="Z28" s="139" t="s">
        <v>29</v>
      </c>
      <c r="AA28" s="139"/>
      <c r="AB28" s="13" t="s">
        <v>80</v>
      </c>
      <c r="AC28" s="3">
        <v>1</v>
      </c>
      <c r="AD28" s="3">
        <v>1</v>
      </c>
      <c r="AE28" s="3">
        <v>1</v>
      </c>
      <c r="AF28" s="81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O28" s="130">
        <f t="shared" si="18"/>
        <v>1</v>
      </c>
      <c r="AP28" s="261">
        <f t="shared" si="30"/>
        <v>20</v>
      </c>
      <c r="AQ28" s="262">
        <f t="shared" si="4"/>
        <v>45051</v>
      </c>
      <c r="AR28" s="263">
        <f t="shared" si="34"/>
        <v>0.13900000000000001</v>
      </c>
      <c r="AS28" s="258">
        <f t="shared" si="19"/>
        <v>8360</v>
      </c>
      <c r="AT28" s="258">
        <f t="shared" si="6"/>
        <v>8360</v>
      </c>
      <c r="AU28" s="258">
        <f t="shared" si="20"/>
        <v>3097.9</v>
      </c>
      <c r="AV28" s="258">
        <f t="shared" si="21"/>
        <v>5262.1</v>
      </c>
      <c r="AW28" s="258">
        <f t="shared" si="7"/>
        <v>0</v>
      </c>
      <c r="AX28" s="258">
        <v>0</v>
      </c>
      <c r="AY28" s="258">
        <f t="shared" si="22"/>
        <v>3097.9</v>
      </c>
      <c r="AZ28" s="258">
        <f t="shared" si="38"/>
        <v>0</v>
      </c>
      <c r="BA28" s="258">
        <f t="shared" si="37"/>
        <v>0</v>
      </c>
      <c r="BB28" s="258"/>
      <c r="BC28" s="258"/>
      <c r="BD28" s="258"/>
      <c r="BE28" s="258"/>
      <c r="BF28" s="258"/>
      <c r="BG28" s="258">
        <f t="shared" si="24"/>
        <v>265897.27999999997</v>
      </c>
      <c r="BH28" s="108">
        <f t="shared" si="31"/>
        <v>41</v>
      </c>
      <c r="BI28" s="108">
        <f t="shared" si="26"/>
        <v>41</v>
      </c>
      <c r="BJ28" s="22">
        <f t="shared" si="27"/>
        <v>45051</v>
      </c>
      <c r="BK28" s="108">
        <f t="shared" si="9"/>
        <v>7860</v>
      </c>
    </row>
    <row r="29" spans="1:393" ht="19.5" customHeight="1" x14ac:dyDescent="0.3">
      <c r="A29" s="846" t="s">
        <v>75</v>
      </c>
      <c r="B29" s="846"/>
      <c r="C29" s="194">
        <f>L109</f>
        <v>93831.97</v>
      </c>
      <c r="D29" s="473">
        <f>AU109</f>
        <v>141530.14999999997</v>
      </c>
      <c r="E29" s="274">
        <f t="shared" si="41"/>
        <v>-47698.179999999964</v>
      </c>
      <c r="F29" s="234"/>
      <c r="G29" s="244">
        <f t="shared" si="28"/>
        <v>21</v>
      </c>
      <c r="H29" s="245">
        <f t="shared" si="1"/>
        <v>45082</v>
      </c>
      <c r="I29" s="246">
        <f t="shared" si="39"/>
        <v>9.9000000000000005E-2</v>
      </c>
      <c r="J29" s="242">
        <f t="shared" si="11"/>
        <v>7860</v>
      </c>
      <c r="K29" s="242">
        <f t="shared" si="40"/>
        <v>7860</v>
      </c>
      <c r="L29" s="242">
        <f t="shared" si="36"/>
        <v>2414.12</v>
      </c>
      <c r="M29" s="242">
        <f t="shared" si="13"/>
        <v>5445.88</v>
      </c>
      <c r="N29" s="242">
        <f t="shared" si="3"/>
        <v>0</v>
      </c>
      <c r="O29" s="242">
        <v>0</v>
      </c>
      <c r="P29" s="242">
        <f t="shared" si="25"/>
        <v>2414.12</v>
      </c>
      <c r="Q29" s="242">
        <f t="shared" si="33"/>
        <v>0</v>
      </c>
      <c r="R29" s="242">
        <f t="shared" si="15"/>
        <v>0</v>
      </c>
      <c r="S29" s="242">
        <f t="shared" si="16"/>
        <v>281668.07</v>
      </c>
      <c r="T29" s="467"/>
      <c r="U29" s="198">
        <f t="shared" si="29"/>
        <v>40</v>
      </c>
      <c r="V29" s="36">
        <f t="shared" si="17"/>
        <v>40</v>
      </c>
      <c r="W29" s="140" t="s">
        <v>106</v>
      </c>
      <c r="X29" s="140" t="s">
        <v>107</v>
      </c>
      <c r="Y29" s="140" t="s">
        <v>108</v>
      </c>
      <c r="Z29" s="140" t="s">
        <v>109</v>
      </c>
      <c r="AA29" s="140" t="s">
        <v>110</v>
      </c>
      <c r="AE29" s="82"/>
      <c r="AF29" s="2"/>
      <c r="AG29" s="2"/>
      <c r="AH29" s="2"/>
      <c r="AI29" s="3"/>
      <c r="AJ29" s="3"/>
      <c r="AK29" s="3"/>
      <c r="AL29" s="3"/>
      <c r="AO29" s="130">
        <f t="shared" si="18"/>
        <v>1</v>
      </c>
      <c r="AP29" s="261">
        <f t="shared" si="30"/>
        <v>21</v>
      </c>
      <c r="AQ29" s="262">
        <f t="shared" si="4"/>
        <v>45082</v>
      </c>
      <c r="AR29" s="263">
        <f t="shared" si="34"/>
        <v>0.13900000000000001</v>
      </c>
      <c r="AS29" s="258">
        <f t="shared" si="19"/>
        <v>8360</v>
      </c>
      <c r="AT29" s="258">
        <f t="shared" si="6"/>
        <v>8360</v>
      </c>
      <c r="AU29" s="258">
        <f t="shared" si="20"/>
        <v>3139.04</v>
      </c>
      <c r="AV29" s="258">
        <f t="shared" si="21"/>
        <v>5220.96</v>
      </c>
      <c r="AW29" s="258">
        <f t="shared" si="7"/>
        <v>0</v>
      </c>
      <c r="AX29" s="258">
        <v>0</v>
      </c>
      <c r="AY29" s="258">
        <f t="shared" si="22"/>
        <v>3139.04</v>
      </c>
      <c r="AZ29" s="258">
        <f t="shared" si="38"/>
        <v>0</v>
      </c>
      <c r="BA29" s="258">
        <f t="shared" si="37"/>
        <v>0</v>
      </c>
      <c r="BB29" s="258"/>
      <c r="BC29" s="258"/>
      <c r="BD29" s="258"/>
      <c r="BE29" s="258"/>
      <c r="BF29" s="258"/>
      <c r="BG29" s="258">
        <f t="shared" si="24"/>
        <v>260676.31999999998</v>
      </c>
      <c r="BH29" s="108">
        <f t="shared" si="31"/>
        <v>40</v>
      </c>
      <c r="BI29" s="108">
        <f t="shared" si="26"/>
        <v>40</v>
      </c>
      <c r="BJ29" s="22">
        <f t="shared" si="27"/>
        <v>45082</v>
      </c>
      <c r="BK29" s="108">
        <f t="shared" si="9"/>
        <v>7860</v>
      </c>
    </row>
    <row r="30" spans="1:393" ht="17.25" customHeight="1" x14ac:dyDescent="0.3">
      <c r="A30" s="846" t="s">
        <v>290</v>
      </c>
      <c r="B30" s="846"/>
      <c r="C30" s="194">
        <f>IF(C18="",0,C18*6)</f>
        <v>42000</v>
      </c>
      <c r="D30" s="473">
        <f>IF(D18="",0,D18*12)</f>
        <v>0</v>
      </c>
      <c r="E30" s="274">
        <f t="shared" si="41"/>
        <v>42000</v>
      </c>
      <c r="F30" s="235"/>
      <c r="G30" s="244">
        <f>G29+1</f>
        <v>22</v>
      </c>
      <c r="H30" s="245">
        <f t="shared" si="1"/>
        <v>45112</v>
      </c>
      <c r="I30" s="246">
        <f t="shared" si="39"/>
        <v>9.9000000000000005E-2</v>
      </c>
      <c r="J30" s="242">
        <f t="shared" si="11"/>
        <v>7860</v>
      </c>
      <c r="K30" s="242">
        <f t="shared" si="40"/>
        <v>7860</v>
      </c>
      <c r="L30" s="242">
        <f t="shared" si="36"/>
        <v>2291.9299999999998</v>
      </c>
      <c r="M30" s="242">
        <f t="shared" si="13"/>
        <v>5568.07</v>
      </c>
      <c r="N30" s="242">
        <f t="shared" si="3"/>
        <v>0</v>
      </c>
      <c r="O30" s="242">
        <v>0</v>
      </c>
      <c r="P30" s="242">
        <f t="shared" si="25"/>
        <v>2291.9299999999998</v>
      </c>
      <c r="Q30" s="242">
        <f t="shared" si="33"/>
        <v>0</v>
      </c>
      <c r="R30" s="242">
        <f t="shared" si="15"/>
        <v>0</v>
      </c>
      <c r="S30" s="242">
        <f t="shared" si="16"/>
        <v>276100</v>
      </c>
      <c r="T30" s="467"/>
      <c r="U30" s="198">
        <f>IF((U29-1)&lt;0,0,U29-1)</f>
        <v>39</v>
      </c>
      <c r="V30" s="36">
        <f t="shared" si="17"/>
        <v>39</v>
      </c>
      <c r="W30" s="141">
        <v>13</v>
      </c>
      <c r="X30" s="142">
        <v>19</v>
      </c>
      <c r="Y30" s="142">
        <v>31</v>
      </c>
      <c r="Z30" s="141">
        <v>43</v>
      </c>
      <c r="AA30" s="141">
        <v>55</v>
      </c>
      <c r="AC30" s="13" t="s">
        <v>47</v>
      </c>
      <c r="AD30" s="2" t="s">
        <v>35</v>
      </c>
      <c r="AE30" s="82" t="s">
        <v>35</v>
      </c>
      <c r="AF30" s="2" t="s">
        <v>35</v>
      </c>
      <c r="AG30" s="2" t="s">
        <v>35</v>
      </c>
      <c r="AH30" s="2" t="s">
        <v>35</v>
      </c>
      <c r="AK30" s="2"/>
      <c r="AO30" s="130">
        <f t="shared" si="18"/>
        <v>1</v>
      </c>
      <c r="AP30" s="261">
        <f>AP29+1</f>
        <v>22</v>
      </c>
      <c r="AQ30" s="262">
        <f t="shared" si="4"/>
        <v>45112</v>
      </c>
      <c r="AR30" s="263">
        <f t="shared" si="34"/>
        <v>0.13900000000000001</v>
      </c>
      <c r="AS30" s="258">
        <f t="shared" si="19"/>
        <v>8360</v>
      </c>
      <c r="AT30" s="258">
        <f t="shared" si="6"/>
        <v>8360</v>
      </c>
      <c r="AU30" s="258">
        <f t="shared" si="20"/>
        <v>2978.14</v>
      </c>
      <c r="AV30" s="258">
        <f>IF(BI30=0,0,IF(BI30=1,BG29,IF(BG29+AW30+AU30&gt;AT29,AT30-AU30-AW30,BG29)))</f>
        <v>5381.8600000000006</v>
      </c>
      <c r="AW30" s="258">
        <f t="shared" si="7"/>
        <v>0</v>
      </c>
      <c r="AX30" s="258">
        <v>0</v>
      </c>
      <c r="AY30" s="258">
        <f t="shared" si="22"/>
        <v>2978.14</v>
      </c>
      <c r="AZ30" s="258">
        <f t="shared" si="38"/>
        <v>0</v>
      </c>
      <c r="BA30" s="258">
        <f t="shared" si="37"/>
        <v>0</v>
      </c>
      <c r="BB30" s="258"/>
      <c r="BC30" s="258"/>
      <c r="BD30" s="258"/>
      <c r="BE30" s="258"/>
      <c r="BF30" s="258"/>
      <c r="BG30" s="258">
        <f>IF(OR(BI30=1,BG29=0),0,BG29-AV30)</f>
        <v>255294.45999999996</v>
      </c>
      <c r="BH30" s="108">
        <f>IF((BH29-1)&lt;0,0,BH29-1)</f>
        <v>39</v>
      </c>
      <c r="BI30" s="108">
        <f t="shared" si="26"/>
        <v>39</v>
      </c>
      <c r="BJ30" s="22">
        <f t="shared" si="27"/>
        <v>45112</v>
      </c>
      <c r="BK30" s="108">
        <f t="shared" si="9"/>
        <v>7860</v>
      </c>
    </row>
    <row r="31" spans="1:393" ht="16.5" customHeight="1" x14ac:dyDescent="0.25">
      <c r="A31" s="846" t="s">
        <v>157</v>
      </c>
      <c r="B31" s="846"/>
      <c r="C31" s="199">
        <f>J109</f>
        <v>495231.97</v>
      </c>
      <c r="D31" s="473">
        <f>AT109</f>
        <v>500930.14999999991</v>
      </c>
      <c r="E31" s="473">
        <f t="shared" si="41"/>
        <v>-5698.1799999999348</v>
      </c>
      <c r="F31" s="236"/>
      <c r="G31" s="244">
        <f t="shared" si="28"/>
        <v>23</v>
      </c>
      <c r="H31" s="245">
        <f t="shared" si="1"/>
        <v>45143</v>
      </c>
      <c r="I31" s="246">
        <f t="shared" si="39"/>
        <v>9.9000000000000005E-2</v>
      </c>
      <c r="J31" s="242">
        <f t="shared" si="11"/>
        <v>7860</v>
      </c>
      <c r="K31" s="242">
        <f t="shared" si="40"/>
        <v>7860</v>
      </c>
      <c r="L31" s="242">
        <f t="shared" si="36"/>
        <v>2321.5100000000002</v>
      </c>
      <c r="M31" s="242">
        <f t="shared" si="13"/>
        <v>5538.49</v>
      </c>
      <c r="N31" s="242">
        <f t="shared" si="3"/>
        <v>0</v>
      </c>
      <c r="O31" s="242">
        <v>0</v>
      </c>
      <c r="P31" s="242">
        <f t="shared" si="25"/>
        <v>2321.5100000000002</v>
      </c>
      <c r="Q31" s="242">
        <f t="shared" si="33"/>
        <v>0</v>
      </c>
      <c r="R31" s="242">
        <f t="shared" si="15"/>
        <v>0</v>
      </c>
      <c r="S31" s="242">
        <f t="shared" si="16"/>
        <v>270561.51</v>
      </c>
      <c r="T31" s="467"/>
      <c r="U31" s="198">
        <f t="shared" si="29"/>
        <v>38</v>
      </c>
      <c r="V31" s="36">
        <f t="shared" si="17"/>
        <v>38</v>
      </c>
      <c r="W31" s="142">
        <v>18</v>
      </c>
      <c r="X31" s="142">
        <v>30</v>
      </c>
      <c r="Y31" s="142">
        <v>42</v>
      </c>
      <c r="Z31" s="142">
        <v>54</v>
      </c>
      <c r="AA31" s="142">
        <v>60</v>
      </c>
      <c r="AC31" s="15">
        <f>IF(C12=W3,W17,IF(C12=Y3,Y17,IF(C12=Z3,Z17,IF(C12=AA3,AA17,IF(C12=X3,X17,)))))</f>
        <v>0</v>
      </c>
      <c r="AD31" s="15">
        <v>0</v>
      </c>
      <c r="AE31" s="2">
        <v>0</v>
      </c>
      <c r="AF31" s="2">
        <v>0</v>
      </c>
      <c r="AG31" s="2">
        <v>0</v>
      </c>
      <c r="AH31" s="2"/>
      <c r="AK31" s="2"/>
      <c r="AO31" s="130">
        <f t="shared" si="18"/>
        <v>1</v>
      </c>
      <c r="AP31" s="261">
        <f t="shared" si="30"/>
        <v>23</v>
      </c>
      <c r="AQ31" s="262">
        <f t="shared" si="4"/>
        <v>45143</v>
      </c>
      <c r="AR31" s="263">
        <f t="shared" si="34"/>
        <v>0.13900000000000001</v>
      </c>
      <c r="AS31" s="258">
        <f t="shared" si="19"/>
        <v>8360</v>
      </c>
      <c r="AT31" s="258">
        <f t="shared" si="6"/>
        <v>8360</v>
      </c>
      <c r="AU31" s="258">
        <f t="shared" si="20"/>
        <v>3013.87</v>
      </c>
      <c r="AV31" s="258">
        <f t="shared" si="21"/>
        <v>5346.13</v>
      </c>
      <c r="AW31" s="258">
        <f t="shared" si="7"/>
        <v>0</v>
      </c>
      <c r="AX31" s="258">
        <v>0</v>
      </c>
      <c r="AY31" s="258">
        <f t="shared" si="22"/>
        <v>3013.87</v>
      </c>
      <c r="AZ31" s="258">
        <f t="shared" si="38"/>
        <v>0</v>
      </c>
      <c r="BA31" s="258">
        <f t="shared" si="37"/>
        <v>0</v>
      </c>
      <c r="BB31" s="258"/>
      <c r="BC31" s="258"/>
      <c r="BD31" s="258"/>
      <c r="BE31" s="258"/>
      <c r="BF31" s="258"/>
      <c r="BG31" s="258">
        <f t="shared" si="24"/>
        <v>249948.32999999996</v>
      </c>
      <c r="BH31" s="108">
        <f t="shared" si="31"/>
        <v>38</v>
      </c>
      <c r="BI31" s="108">
        <f t="shared" si="26"/>
        <v>38</v>
      </c>
      <c r="BJ31" s="22">
        <f t="shared" si="27"/>
        <v>45143</v>
      </c>
      <c r="BK31" s="108">
        <f t="shared" si="9"/>
        <v>7860</v>
      </c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116"/>
      <c r="FX31" s="116"/>
      <c r="FY31" s="116"/>
      <c r="FZ31" s="116"/>
      <c r="GA31" s="116"/>
      <c r="GB31" s="116"/>
      <c r="GC31" s="116"/>
      <c r="GD31" s="116"/>
      <c r="GE31" s="116"/>
      <c r="GF31" s="116"/>
      <c r="GG31" s="116"/>
      <c r="GH31" s="116"/>
      <c r="GI31" s="116"/>
      <c r="GJ31" s="116"/>
      <c r="GK31" s="116"/>
      <c r="GL31" s="116"/>
      <c r="GM31" s="116"/>
      <c r="GN31" s="116"/>
      <c r="GO31" s="116"/>
      <c r="GP31" s="116"/>
      <c r="GQ31" s="116"/>
      <c r="GR31" s="116"/>
      <c r="GS31" s="116"/>
      <c r="GT31" s="116"/>
      <c r="GU31" s="116"/>
      <c r="GV31" s="116"/>
      <c r="GW31" s="116"/>
      <c r="GX31" s="116"/>
      <c r="GY31" s="116"/>
      <c r="GZ31" s="116"/>
      <c r="HA31" s="116"/>
      <c r="HB31" s="116"/>
      <c r="HC31" s="116"/>
      <c r="HD31" s="116"/>
      <c r="HE31" s="116"/>
      <c r="HF31" s="116"/>
      <c r="HG31" s="116"/>
      <c r="HH31" s="116"/>
      <c r="HI31" s="116"/>
      <c r="HJ31" s="116"/>
      <c r="HK31" s="116"/>
      <c r="HL31" s="116"/>
      <c r="HM31" s="116"/>
      <c r="HN31" s="116"/>
      <c r="HO31" s="116"/>
      <c r="HP31" s="116"/>
      <c r="HQ31" s="116"/>
      <c r="HR31" s="116"/>
      <c r="HS31" s="116"/>
      <c r="HT31" s="116"/>
      <c r="HU31" s="116"/>
      <c r="HV31" s="116"/>
      <c r="HW31" s="116"/>
      <c r="HX31" s="116"/>
      <c r="HY31" s="116"/>
      <c r="HZ31" s="116"/>
      <c r="IA31" s="116"/>
      <c r="IB31" s="116"/>
      <c r="IC31" s="116"/>
      <c r="ID31" s="116"/>
      <c r="IE31" s="116"/>
      <c r="IF31" s="116"/>
      <c r="IG31" s="116"/>
      <c r="IH31" s="116"/>
      <c r="II31" s="116"/>
      <c r="IJ31" s="116"/>
      <c r="IK31" s="116"/>
      <c r="IL31" s="116"/>
      <c r="IM31" s="116"/>
      <c r="IN31" s="116"/>
      <c r="IO31" s="116"/>
      <c r="IP31" s="116"/>
      <c r="IQ31" s="116"/>
      <c r="IR31" s="116"/>
      <c r="IS31" s="116"/>
      <c r="IT31" s="116"/>
      <c r="IU31" s="116"/>
      <c r="IV31" s="116"/>
      <c r="IW31" s="116"/>
      <c r="IX31" s="116"/>
      <c r="IY31" s="116"/>
      <c r="IZ31" s="116"/>
      <c r="JA31" s="116"/>
      <c r="JB31" s="116"/>
      <c r="JC31" s="116"/>
      <c r="JD31" s="116"/>
      <c r="JE31" s="116"/>
      <c r="JF31" s="116"/>
      <c r="JG31" s="116"/>
      <c r="JH31" s="116"/>
      <c r="JI31" s="116"/>
      <c r="JJ31" s="116"/>
      <c r="JK31" s="116"/>
      <c r="JL31" s="116"/>
      <c r="JM31" s="116"/>
      <c r="JN31" s="116"/>
      <c r="JO31" s="116"/>
      <c r="JP31" s="116"/>
      <c r="JQ31" s="116"/>
      <c r="JR31" s="116"/>
      <c r="JS31" s="116"/>
      <c r="JT31" s="116"/>
      <c r="JU31" s="116"/>
      <c r="JV31" s="116"/>
      <c r="JW31" s="116"/>
      <c r="JX31" s="116"/>
      <c r="JY31" s="116"/>
      <c r="JZ31" s="116"/>
      <c r="KA31" s="116"/>
      <c r="KB31" s="116"/>
      <c r="KC31" s="116"/>
      <c r="KD31" s="116"/>
      <c r="KE31" s="116"/>
      <c r="KF31" s="116"/>
      <c r="KG31" s="116"/>
      <c r="KH31" s="116"/>
      <c r="KI31" s="116"/>
      <c r="KJ31" s="116"/>
      <c r="KK31" s="116"/>
      <c r="KL31" s="116"/>
      <c r="KM31" s="116"/>
      <c r="KN31" s="116"/>
      <c r="KO31" s="116"/>
      <c r="KP31" s="116"/>
      <c r="KQ31" s="116"/>
      <c r="KR31" s="116"/>
      <c r="KS31" s="116"/>
      <c r="KT31" s="116"/>
      <c r="KU31" s="116"/>
      <c r="KV31" s="116"/>
      <c r="KW31" s="116"/>
      <c r="KX31" s="116"/>
      <c r="KY31" s="116"/>
      <c r="KZ31" s="116"/>
      <c r="LA31" s="116"/>
      <c r="LB31" s="116"/>
      <c r="LC31" s="116"/>
      <c r="LD31" s="116"/>
      <c r="LE31" s="116"/>
      <c r="LF31" s="116"/>
      <c r="LG31" s="116"/>
      <c r="LH31" s="116"/>
      <c r="LI31" s="116"/>
      <c r="LJ31" s="116"/>
      <c r="LK31" s="116"/>
      <c r="LL31" s="116"/>
      <c r="LM31" s="116"/>
      <c r="LN31" s="116"/>
      <c r="LO31" s="116"/>
      <c r="LP31" s="116"/>
      <c r="LQ31" s="116"/>
      <c r="LR31" s="116"/>
      <c r="LS31" s="116"/>
      <c r="LT31" s="116"/>
      <c r="LU31" s="116"/>
      <c r="LV31" s="116"/>
      <c r="LW31" s="116"/>
      <c r="LX31" s="116"/>
      <c r="LY31" s="116"/>
      <c r="LZ31" s="116"/>
      <c r="MA31" s="116"/>
      <c r="MB31" s="116"/>
      <c r="MC31" s="116"/>
      <c r="MD31" s="116"/>
      <c r="ME31" s="116"/>
      <c r="MF31" s="116"/>
      <c r="MG31" s="116"/>
      <c r="MH31" s="116"/>
      <c r="MI31" s="116"/>
      <c r="MJ31" s="116"/>
      <c r="MK31" s="116"/>
      <c r="ML31" s="116"/>
      <c r="MM31" s="116"/>
      <c r="MN31" s="116"/>
      <c r="MO31" s="116"/>
      <c r="MP31" s="116"/>
      <c r="MQ31" s="116"/>
      <c r="MR31" s="116"/>
      <c r="MS31" s="116"/>
      <c r="MT31" s="116"/>
      <c r="MU31" s="116"/>
      <c r="MV31" s="116"/>
      <c r="MW31" s="116"/>
      <c r="MX31" s="116"/>
      <c r="MY31" s="116"/>
      <c r="MZ31" s="116"/>
      <c r="NA31" s="116"/>
      <c r="NB31" s="116"/>
      <c r="NC31" s="116"/>
      <c r="ND31" s="116"/>
      <c r="NE31" s="116"/>
      <c r="NF31" s="116"/>
      <c r="NG31" s="116"/>
      <c r="NH31" s="116"/>
      <c r="NI31" s="116"/>
      <c r="NJ31" s="116"/>
      <c r="NK31" s="116"/>
      <c r="NL31" s="116"/>
      <c r="NM31" s="116"/>
      <c r="NN31" s="116"/>
      <c r="NO31" s="116"/>
      <c r="NP31" s="116"/>
      <c r="NQ31" s="116"/>
    </row>
    <row r="32" spans="1:393" ht="37.5" customHeight="1" thickBot="1" x14ac:dyDescent="0.3">
      <c r="A32" s="941" t="s">
        <v>302</v>
      </c>
      <c r="B32" s="941"/>
      <c r="C32" s="518">
        <f>C29+C30</f>
        <v>135831.97</v>
      </c>
      <c r="D32" s="519">
        <f>D29+D30</f>
        <v>141530.14999999997</v>
      </c>
      <c r="E32" s="520">
        <f t="shared" si="41"/>
        <v>-5698.1799999999639</v>
      </c>
      <c r="F32" s="191"/>
      <c r="G32" s="248">
        <f t="shared" si="28"/>
        <v>24</v>
      </c>
      <c r="H32" s="249">
        <f t="shared" si="1"/>
        <v>45174</v>
      </c>
      <c r="I32" s="250">
        <f t="shared" si="39"/>
        <v>9.9000000000000005E-2</v>
      </c>
      <c r="J32" s="252">
        <f t="shared" si="11"/>
        <v>7860</v>
      </c>
      <c r="K32" s="252">
        <f t="shared" si="40"/>
        <v>7860</v>
      </c>
      <c r="L32" s="252">
        <f t="shared" si="36"/>
        <v>2274.94</v>
      </c>
      <c r="M32" s="252">
        <f t="shared" si="13"/>
        <v>5585.0599999999995</v>
      </c>
      <c r="N32" s="252">
        <f t="shared" si="3"/>
        <v>0</v>
      </c>
      <c r="O32" s="252">
        <v>0</v>
      </c>
      <c r="P32" s="252">
        <f t="shared" si="25"/>
        <v>2274.94</v>
      </c>
      <c r="Q32" s="252">
        <f t="shared" si="33"/>
        <v>0</v>
      </c>
      <c r="R32" s="252">
        <f t="shared" si="15"/>
        <v>0</v>
      </c>
      <c r="S32" s="252">
        <f t="shared" si="16"/>
        <v>264976.45</v>
      </c>
      <c r="T32" s="468"/>
      <c r="U32" s="198">
        <f t="shared" si="29"/>
        <v>37</v>
      </c>
      <c r="V32" s="36">
        <f t="shared" si="17"/>
        <v>37</v>
      </c>
      <c r="W32" s="142">
        <v>2400</v>
      </c>
      <c r="X32" s="142">
        <v>2900</v>
      </c>
      <c r="Y32" s="142">
        <v>3900</v>
      </c>
      <c r="Z32" s="142">
        <v>4900</v>
      </c>
      <c r="AA32" s="142">
        <v>5900</v>
      </c>
      <c r="AC32" s="15" t="e">
        <f>IF(#REF!=W3,W17,IF(#REF!=Y3,Y17,IF(#REF!=Z3,Z17,IF(#REF!=AA3,AA17,IF(#REF!=X3,X17,)))))</f>
        <v>#REF!</v>
      </c>
      <c r="AD32" s="15">
        <v>0</v>
      </c>
      <c r="AE32" s="15"/>
      <c r="AF32" s="2"/>
      <c r="AG32" s="2"/>
      <c r="AH32" s="2"/>
      <c r="AK32" s="2"/>
      <c r="AN32" s="16"/>
      <c r="AO32" s="130">
        <f t="shared" si="18"/>
        <v>1</v>
      </c>
      <c r="AP32" s="261">
        <f t="shared" si="30"/>
        <v>24</v>
      </c>
      <c r="AQ32" s="262">
        <f t="shared" si="4"/>
        <v>45174</v>
      </c>
      <c r="AR32" s="263">
        <f t="shared" si="34"/>
        <v>0.13900000000000001</v>
      </c>
      <c r="AS32" s="258">
        <f t="shared" si="19"/>
        <v>8360</v>
      </c>
      <c r="AT32" s="258">
        <f t="shared" si="6"/>
        <v>8360</v>
      </c>
      <c r="AU32" s="258">
        <f t="shared" si="20"/>
        <v>2950.76</v>
      </c>
      <c r="AV32" s="258">
        <f t="shared" si="21"/>
        <v>5409.24</v>
      </c>
      <c r="AW32" s="258">
        <f t="shared" si="7"/>
        <v>0</v>
      </c>
      <c r="AX32" s="258">
        <v>0</v>
      </c>
      <c r="AY32" s="258">
        <f t="shared" si="22"/>
        <v>2950.76</v>
      </c>
      <c r="AZ32" s="258">
        <f t="shared" si="38"/>
        <v>0</v>
      </c>
      <c r="BA32" s="258">
        <f t="shared" si="37"/>
        <v>0</v>
      </c>
      <c r="BB32" s="258"/>
      <c r="BC32" s="258"/>
      <c r="BD32" s="258"/>
      <c r="BE32" s="258"/>
      <c r="BF32" s="258"/>
      <c r="BG32" s="258">
        <f t="shared" si="24"/>
        <v>244539.08999999997</v>
      </c>
      <c r="BH32" s="108">
        <f t="shared" si="31"/>
        <v>37</v>
      </c>
      <c r="BI32" s="108">
        <f t="shared" si="26"/>
        <v>37</v>
      </c>
      <c r="BJ32" s="22">
        <f t="shared" si="27"/>
        <v>45174</v>
      </c>
      <c r="BK32" s="108">
        <f t="shared" si="9"/>
        <v>7860</v>
      </c>
    </row>
    <row r="33" spans="1:1217" ht="51.75" customHeight="1" x14ac:dyDescent="0.25">
      <c r="A33" s="974" t="s">
        <v>293</v>
      </c>
      <c r="B33" s="974"/>
      <c r="C33" s="994" t="str">
        <f>IF(C8="Нет","Для снижения ставки и активации льготного периода предложи подключить ФЗ",IF(E32&lt;0,CONCATENATE(ROUND(D32-C32,0)," рублей"),"Для экономии по кредиту предложи Клиенту увеличить срок и / или сумму кредита"))</f>
        <v>5698 рублей</v>
      </c>
      <c r="D33" s="994"/>
      <c r="E33" s="994"/>
      <c r="F33" s="191"/>
      <c r="G33" s="244">
        <f t="shared" si="28"/>
        <v>25</v>
      </c>
      <c r="H33" s="245">
        <f t="shared" si="1"/>
        <v>45204</v>
      </c>
      <c r="I33" s="246">
        <f>IF(AND($C$16="Да",$C$8&lt;&gt;"Нет"),$AG$38,$C$13)</f>
        <v>9.9000000000000005E-2</v>
      </c>
      <c r="J33" s="242">
        <f t="shared" si="11"/>
        <v>7860</v>
      </c>
      <c r="K33" s="242">
        <f t="shared" ref="K33:K44" si="42">IF(AND(G33&gt;=$W$9,G33&lt;=$W$9+5),$W$10,IF(AND(S32+N33+L33&gt;K32,K32&lt;&gt;0),IF(AND($C$16="Да",$C$8&lt;&gt;"Нет"),$AF$38,$C$23),IF(S32=0,0,S32+N33+L33+L34)))</f>
        <v>7860</v>
      </c>
      <c r="L33" s="242">
        <f t="shared" si="36"/>
        <v>2156.11</v>
      </c>
      <c r="M33" s="242">
        <f t="shared" si="13"/>
        <v>5703.8899999999994</v>
      </c>
      <c r="N33" s="242">
        <f t="shared" si="3"/>
        <v>0</v>
      </c>
      <c r="O33" s="242">
        <v>0</v>
      </c>
      <c r="P33" s="242">
        <f t="shared" si="25"/>
        <v>2156.11</v>
      </c>
      <c r="Q33" s="242">
        <f t="shared" si="33"/>
        <v>0</v>
      </c>
      <c r="R33" s="242">
        <f t="shared" si="15"/>
        <v>0</v>
      </c>
      <c r="S33" s="242">
        <f t="shared" si="16"/>
        <v>259272.56</v>
      </c>
      <c r="T33" s="467"/>
      <c r="U33" s="198">
        <f t="shared" si="29"/>
        <v>36</v>
      </c>
      <c r="V33" s="36">
        <f t="shared" si="17"/>
        <v>36</v>
      </c>
      <c r="W33" s="158">
        <v>1400</v>
      </c>
      <c r="X33" s="158">
        <v>1900</v>
      </c>
      <c r="Y33" s="158">
        <v>2900</v>
      </c>
      <c r="Z33" s="158">
        <v>3900</v>
      </c>
      <c r="AA33" s="158">
        <v>4900</v>
      </c>
      <c r="AE33" s="15"/>
      <c r="AF33" s="173">
        <f>$C$23-AG33</f>
        <v>10</v>
      </c>
      <c r="AG33" s="2">
        <f>ROUNDUP(((S20)*AG37/12*(1+AG37/12)^(U21)/((1+AG37/12)^(U21)-1)+S20/10000*IF(U21&lt;11,20,IF(U21&lt;34,0.7,IF(U21&lt;58,0.3,0.1)))*IF(AG37&lt;0.3,AG37/0.2,AG37/0.1))/AG47,0)*AG47</f>
        <v>8350</v>
      </c>
      <c r="AH33" s="16">
        <v>6000000</v>
      </c>
      <c r="AM33" s="16"/>
      <c r="AN33" s="16"/>
      <c r="AO33" s="130">
        <f t="shared" si="18"/>
        <v>1</v>
      </c>
      <c r="AP33" s="261">
        <f t="shared" si="30"/>
        <v>25</v>
      </c>
      <c r="AQ33" s="262">
        <f t="shared" si="4"/>
        <v>45204</v>
      </c>
      <c r="AR33" s="263">
        <f t="shared" ref="AR33:AR44" si="43">IF($D$16="Да",$AM$38,$D$13)</f>
        <v>0.13900000000000001</v>
      </c>
      <c r="AS33" s="258">
        <f t="shared" si="19"/>
        <v>8360</v>
      </c>
      <c r="AT33" s="258">
        <f t="shared" si="6"/>
        <v>8360</v>
      </c>
      <c r="AU33" s="258">
        <f t="shared" si="20"/>
        <v>2793.78</v>
      </c>
      <c r="AV33" s="258">
        <f t="shared" si="21"/>
        <v>5566.2199999999993</v>
      </c>
      <c r="AW33" s="258">
        <f t="shared" si="7"/>
        <v>0</v>
      </c>
      <c r="AX33" s="258">
        <v>0</v>
      </c>
      <c r="AY33" s="258">
        <f t="shared" si="22"/>
        <v>2793.78</v>
      </c>
      <c r="AZ33" s="258">
        <f t="shared" si="38"/>
        <v>0</v>
      </c>
      <c r="BA33" s="258">
        <f t="shared" si="37"/>
        <v>0</v>
      </c>
      <c r="BB33" s="258"/>
      <c r="BC33" s="258"/>
      <c r="BD33" s="258"/>
      <c r="BE33" s="258"/>
      <c r="BF33" s="258"/>
      <c r="BG33" s="258">
        <f t="shared" si="24"/>
        <v>238972.86999999997</v>
      </c>
      <c r="BH33" s="108">
        <f t="shared" si="31"/>
        <v>36</v>
      </c>
      <c r="BI33" s="108">
        <f t="shared" si="26"/>
        <v>36</v>
      </c>
      <c r="BJ33" s="22">
        <f t="shared" si="27"/>
        <v>45204</v>
      </c>
      <c r="BK33" s="108">
        <f t="shared" si="9"/>
        <v>7860</v>
      </c>
      <c r="BN33" s="853"/>
      <c r="BP33" s="131"/>
    </row>
    <row r="34" spans="1:1217" ht="13.5" customHeight="1" thickBot="1" x14ac:dyDescent="0.3">
      <c r="A34" s="977" t="s">
        <v>312</v>
      </c>
      <c r="B34" s="977"/>
      <c r="C34" s="977"/>
      <c r="D34" s="977"/>
      <c r="E34" s="977"/>
      <c r="F34" s="191"/>
      <c r="G34" s="244">
        <f t="shared" si="28"/>
        <v>26</v>
      </c>
      <c r="H34" s="245">
        <f t="shared" si="1"/>
        <v>45235</v>
      </c>
      <c r="I34" s="246">
        <f t="shared" ref="I34:I44" si="44">IF(AND($C$16="Да",$C$8&lt;&gt;"Нет"),$AG$38,$C$13)</f>
        <v>9.9000000000000005E-2</v>
      </c>
      <c r="J34" s="242">
        <f t="shared" si="11"/>
        <v>7860</v>
      </c>
      <c r="K34" s="242">
        <f t="shared" si="42"/>
        <v>7860</v>
      </c>
      <c r="L34" s="242">
        <f t="shared" si="36"/>
        <v>2180.02</v>
      </c>
      <c r="M34" s="242">
        <f t="shared" si="13"/>
        <v>5679.98</v>
      </c>
      <c r="N34" s="242">
        <f t="shared" si="3"/>
        <v>0</v>
      </c>
      <c r="O34" s="242">
        <v>0</v>
      </c>
      <c r="P34" s="242">
        <f t="shared" si="25"/>
        <v>2180.02</v>
      </c>
      <c r="Q34" s="242">
        <f t="shared" si="33"/>
        <v>0</v>
      </c>
      <c r="R34" s="242">
        <f t="shared" si="15"/>
        <v>0</v>
      </c>
      <c r="S34" s="242">
        <f t="shared" si="16"/>
        <v>253592.58</v>
      </c>
      <c r="T34" s="467"/>
      <c r="U34" s="198">
        <f t="shared" si="29"/>
        <v>35</v>
      </c>
      <c r="V34" s="36">
        <f t="shared" si="17"/>
        <v>35</v>
      </c>
      <c r="AB34" s="2">
        <f>IF(C10 &lt;=W31,W33,IF(C10 &lt;=X31,X33,IF(C10 &lt;=Y31,Y33,IF(C10 &lt;=Z31,Z33,AA33))))</f>
        <v>4900</v>
      </c>
      <c r="AE34" s="2"/>
      <c r="AF34" s="16"/>
      <c r="AG34" s="16"/>
      <c r="AH34" s="16"/>
      <c r="AM34" s="16"/>
      <c r="AN34" s="16"/>
      <c r="AO34" s="130">
        <f t="shared" si="18"/>
        <v>1</v>
      </c>
      <c r="AP34" s="261">
        <f t="shared" si="30"/>
        <v>26</v>
      </c>
      <c r="AQ34" s="262">
        <f t="shared" si="4"/>
        <v>45235</v>
      </c>
      <c r="AR34" s="263">
        <f t="shared" si="43"/>
        <v>0.13900000000000001</v>
      </c>
      <c r="AS34" s="258">
        <f t="shared" si="19"/>
        <v>8360</v>
      </c>
      <c r="AT34" s="258">
        <f t="shared" si="6"/>
        <v>8360</v>
      </c>
      <c r="AU34" s="258">
        <f t="shared" si="20"/>
        <v>2821.19</v>
      </c>
      <c r="AV34" s="258">
        <f t="shared" si="21"/>
        <v>5538.8099999999995</v>
      </c>
      <c r="AW34" s="258">
        <f t="shared" si="7"/>
        <v>0</v>
      </c>
      <c r="AX34" s="258">
        <v>0</v>
      </c>
      <c r="AY34" s="258">
        <f t="shared" si="22"/>
        <v>2821.19</v>
      </c>
      <c r="AZ34" s="258">
        <f t="shared" si="38"/>
        <v>0</v>
      </c>
      <c r="BA34" s="258">
        <f t="shared" si="37"/>
        <v>0</v>
      </c>
      <c r="BB34" s="258"/>
      <c r="BC34" s="258"/>
      <c r="BD34" s="258"/>
      <c r="BE34" s="258"/>
      <c r="BF34" s="258"/>
      <c r="BG34" s="258">
        <f t="shared" si="24"/>
        <v>233434.05999999997</v>
      </c>
      <c r="BH34" s="108">
        <f t="shared" si="31"/>
        <v>35</v>
      </c>
      <c r="BI34" s="108">
        <f t="shared" si="26"/>
        <v>35</v>
      </c>
      <c r="BJ34" s="22">
        <f t="shared" si="27"/>
        <v>45235</v>
      </c>
      <c r="BK34" s="108">
        <f t="shared" si="9"/>
        <v>7860</v>
      </c>
      <c r="BN34" s="853"/>
    </row>
    <row r="35" spans="1:1217" ht="18.75" customHeight="1" x14ac:dyDescent="0.25">
      <c r="A35" s="979" t="s">
        <v>294</v>
      </c>
      <c r="B35" s="971"/>
      <c r="C35" s="487" t="s">
        <v>179</v>
      </c>
      <c r="D35" s="991" t="s">
        <v>304</v>
      </c>
      <c r="E35" s="992"/>
      <c r="F35" s="191"/>
      <c r="G35" s="244">
        <f t="shared" si="28"/>
        <v>27</v>
      </c>
      <c r="H35" s="245">
        <f t="shared" si="1"/>
        <v>45265</v>
      </c>
      <c r="I35" s="246">
        <f t="shared" si="44"/>
        <v>9.9000000000000005E-2</v>
      </c>
      <c r="J35" s="242">
        <f t="shared" si="11"/>
        <v>7860</v>
      </c>
      <c r="K35" s="242">
        <f t="shared" si="42"/>
        <v>7860</v>
      </c>
      <c r="L35" s="242">
        <f t="shared" si="36"/>
        <v>2063.48</v>
      </c>
      <c r="M35" s="242">
        <f t="shared" si="13"/>
        <v>5796.52</v>
      </c>
      <c r="N35" s="242">
        <f t="shared" si="3"/>
        <v>0</v>
      </c>
      <c r="O35" s="242">
        <v>0</v>
      </c>
      <c r="P35" s="242">
        <f t="shared" si="25"/>
        <v>2063.48</v>
      </c>
      <c r="Q35" s="242">
        <f t="shared" si="33"/>
        <v>0</v>
      </c>
      <c r="R35" s="242">
        <f t="shared" si="15"/>
        <v>0</v>
      </c>
      <c r="S35" s="242">
        <f t="shared" si="16"/>
        <v>247796.06</v>
      </c>
      <c r="T35" s="467"/>
      <c r="U35" s="198">
        <f t="shared" si="29"/>
        <v>34</v>
      </c>
      <c r="V35" s="36">
        <f t="shared" si="17"/>
        <v>34</v>
      </c>
      <c r="AE35" s="15"/>
      <c r="AF35" s="47">
        <f>ROUNDUP(AH35/AH33*C7/1,0)*1</f>
        <v>500</v>
      </c>
      <c r="AG35" s="169">
        <v>0.04</v>
      </c>
      <c r="AH35" s="16">
        <f>IF(AG35=3%,INDEX(W40:AE40,MATCH($C$11,$W$39:$AE$39,0)),IF(AG35=4%,INDEX(W37:AE37,MATCH($C$11,$W$36:$AE$36,0)),0))</f>
        <v>10000</v>
      </c>
      <c r="AL35" s="47">
        <f>ROUNDUP(AH35/AH33*C7/1,0)*1</f>
        <v>500</v>
      </c>
      <c r="AM35" s="169">
        <v>0.04</v>
      </c>
      <c r="AN35" s="16"/>
      <c r="AO35" s="130">
        <f t="shared" si="18"/>
        <v>1</v>
      </c>
      <c r="AP35" s="261">
        <f t="shared" si="30"/>
        <v>27</v>
      </c>
      <c r="AQ35" s="262">
        <f t="shared" si="4"/>
        <v>45265</v>
      </c>
      <c r="AR35" s="263">
        <f t="shared" si="43"/>
        <v>0.13900000000000001</v>
      </c>
      <c r="AS35" s="258">
        <f t="shared" si="19"/>
        <v>8360</v>
      </c>
      <c r="AT35" s="258">
        <f t="shared" si="6"/>
        <v>8360</v>
      </c>
      <c r="AU35" s="258">
        <f t="shared" si="20"/>
        <v>2666.9</v>
      </c>
      <c r="AV35" s="258">
        <f t="shared" si="21"/>
        <v>5693.1</v>
      </c>
      <c r="AW35" s="258">
        <f t="shared" si="7"/>
        <v>0</v>
      </c>
      <c r="AX35" s="258">
        <v>0</v>
      </c>
      <c r="AY35" s="258">
        <f t="shared" si="22"/>
        <v>2666.9</v>
      </c>
      <c r="AZ35" s="258">
        <f t="shared" si="38"/>
        <v>0</v>
      </c>
      <c r="BA35" s="258">
        <f t="shared" si="37"/>
        <v>0</v>
      </c>
      <c r="BB35" s="258"/>
      <c r="BC35" s="258"/>
      <c r="BD35" s="258"/>
      <c r="BE35" s="258"/>
      <c r="BF35" s="258"/>
      <c r="BG35" s="258">
        <f t="shared" si="24"/>
        <v>227740.95999999996</v>
      </c>
      <c r="BH35" s="108">
        <f t="shared" si="31"/>
        <v>34</v>
      </c>
      <c r="BI35" s="108">
        <f t="shared" si="26"/>
        <v>34</v>
      </c>
      <c r="BJ35" s="22">
        <f t="shared" si="27"/>
        <v>45265</v>
      </c>
      <c r="BK35" s="108">
        <f t="shared" si="9"/>
        <v>7860</v>
      </c>
      <c r="BN35" s="853"/>
    </row>
    <row r="36" spans="1:1217" ht="16.5" customHeight="1" x14ac:dyDescent="0.3">
      <c r="A36" s="979" t="s">
        <v>295</v>
      </c>
      <c r="B36" s="971"/>
      <c r="C36" s="397" t="s">
        <v>47</v>
      </c>
      <c r="D36" s="184"/>
      <c r="E36" s="184"/>
      <c r="F36" s="178"/>
      <c r="G36" s="244">
        <f t="shared" si="28"/>
        <v>28</v>
      </c>
      <c r="H36" s="245">
        <f t="shared" si="1"/>
        <v>45296</v>
      </c>
      <c r="I36" s="246">
        <f t="shared" si="44"/>
        <v>9.9000000000000005E-2</v>
      </c>
      <c r="J36" s="242">
        <f t="shared" si="11"/>
        <v>7860</v>
      </c>
      <c r="K36" s="242">
        <f t="shared" si="42"/>
        <v>7860</v>
      </c>
      <c r="L36" s="242">
        <f t="shared" si="36"/>
        <v>2082.61</v>
      </c>
      <c r="M36" s="242">
        <f t="shared" si="13"/>
        <v>5777.3899999999994</v>
      </c>
      <c r="N36" s="242">
        <f t="shared" si="3"/>
        <v>0</v>
      </c>
      <c r="O36" s="242">
        <v>0</v>
      </c>
      <c r="P36" s="242">
        <f t="shared" si="25"/>
        <v>2082.61</v>
      </c>
      <c r="Q36" s="242">
        <f t="shared" si="33"/>
        <v>0</v>
      </c>
      <c r="R36" s="242">
        <f t="shared" si="15"/>
        <v>0</v>
      </c>
      <c r="S36" s="242">
        <f t="shared" si="16"/>
        <v>242018.66999999998</v>
      </c>
      <c r="T36" s="467"/>
      <c r="U36" s="198">
        <f t="shared" si="29"/>
        <v>33</v>
      </c>
      <c r="V36" s="36">
        <f t="shared" si="17"/>
        <v>33</v>
      </c>
      <c r="W36" s="15">
        <v>0.11899999999999999</v>
      </c>
      <c r="X36" s="101">
        <v>0.129</v>
      </c>
      <c r="Y36" s="484">
        <v>0.13900000000000001</v>
      </c>
      <c r="Z36" s="101">
        <v>0.14899999999999999</v>
      </c>
      <c r="AA36" s="484">
        <v>0.159</v>
      </c>
      <c r="AB36" s="15">
        <v>0.19900000000000001</v>
      </c>
      <c r="AC36" s="169">
        <v>0.17899999999999999</v>
      </c>
      <c r="AD36" s="15">
        <v>0.189</v>
      </c>
      <c r="AE36" s="15">
        <v>0.19900000000000001</v>
      </c>
      <c r="AF36" s="47">
        <f>C23</f>
        <v>8360</v>
      </c>
      <c r="AG36" s="15">
        <f>IF(OR(C$8="Гарантия стандарт",C$8="Гарантия пакет"),AD13,C11)</f>
        <v>0.13900000000000001</v>
      </c>
      <c r="AH36" s="16">
        <f>IF(AG35=3%,INDEX(W41:AE41,MATCH($C$11,$W$39:$AE$39,0)),IF(AG35=4%,INDEX(W38:AE38,MATCH($C$11,$W$36:$AE$36,0)),0))</f>
        <v>139400</v>
      </c>
      <c r="AI36" s="2">
        <f>INDEX(W41:AE41,MATCH($D$11,$W$39:$AE$39,0))</f>
        <v>139400</v>
      </c>
      <c r="AL36" s="47">
        <f>D23</f>
        <v>8360</v>
      </c>
      <c r="AM36" s="15">
        <f>IF(OR(D$8="Гарантия стандарт",D$8="Гарантия пакет"),AD13,D11)</f>
        <v>0.13900000000000001</v>
      </c>
      <c r="AN36" s="16"/>
      <c r="AO36" s="130">
        <f t="shared" si="18"/>
        <v>1</v>
      </c>
      <c r="AP36" s="261">
        <f t="shared" si="30"/>
        <v>28</v>
      </c>
      <c r="AQ36" s="262">
        <f t="shared" si="4"/>
        <v>45296</v>
      </c>
      <c r="AR36" s="263">
        <f t="shared" si="43"/>
        <v>0.13900000000000001</v>
      </c>
      <c r="AS36" s="258">
        <f t="shared" si="19"/>
        <v>8360</v>
      </c>
      <c r="AT36" s="258">
        <f t="shared" si="6"/>
        <v>8360</v>
      </c>
      <c r="AU36" s="258">
        <f t="shared" si="20"/>
        <v>2687.41</v>
      </c>
      <c r="AV36" s="258">
        <f t="shared" si="21"/>
        <v>5672.59</v>
      </c>
      <c r="AW36" s="258">
        <f t="shared" si="7"/>
        <v>0</v>
      </c>
      <c r="AX36" s="258">
        <v>0</v>
      </c>
      <c r="AY36" s="258">
        <f t="shared" si="22"/>
        <v>2687.41</v>
      </c>
      <c r="AZ36" s="258">
        <f t="shared" si="38"/>
        <v>0</v>
      </c>
      <c r="BA36" s="258">
        <f t="shared" si="37"/>
        <v>0</v>
      </c>
      <c r="BB36" s="258"/>
      <c r="BC36" s="258"/>
      <c r="BD36" s="258"/>
      <c r="BE36" s="258"/>
      <c r="BF36" s="258"/>
      <c r="BG36" s="258">
        <f t="shared" si="24"/>
        <v>222068.36999999997</v>
      </c>
      <c r="BH36" s="108">
        <f t="shared" si="31"/>
        <v>33</v>
      </c>
      <c r="BI36" s="108">
        <f t="shared" si="26"/>
        <v>33</v>
      </c>
      <c r="BJ36" s="22">
        <f t="shared" si="27"/>
        <v>45296</v>
      </c>
      <c r="BK36" s="108">
        <f t="shared" si="9"/>
        <v>7860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  <c r="AMK36" s="16"/>
      <c r="AML36" s="16"/>
      <c r="AMM36" s="16"/>
      <c r="AMN36" s="16"/>
      <c r="AMO36" s="16"/>
      <c r="AMP36" s="16"/>
      <c r="AMQ36" s="16"/>
      <c r="AMR36" s="16"/>
      <c r="AMS36" s="16"/>
      <c r="AMT36" s="16"/>
      <c r="AMU36" s="16"/>
      <c r="AMV36" s="16"/>
      <c r="AMW36" s="16"/>
      <c r="AMX36" s="16"/>
      <c r="AMY36" s="16"/>
      <c r="AMZ36" s="16"/>
      <c r="ANA36" s="16"/>
      <c r="ANB36" s="16"/>
      <c r="ANC36" s="16"/>
      <c r="AND36" s="16"/>
      <c r="ANE36" s="16"/>
      <c r="ANF36" s="16"/>
      <c r="ANG36" s="16"/>
      <c r="ANH36" s="16"/>
      <c r="ANI36" s="16"/>
      <c r="ANJ36" s="16"/>
      <c r="ANK36" s="16"/>
      <c r="ANL36" s="16"/>
      <c r="ANM36" s="16"/>
      <c r="ANN36" s="16"/>
      <c r="ANO36" s="16"/>
      <c r="ANP36" s="16"/>
      <c r="ANQ36" s="16"/>
      <c r="ANR36" s="16"/>
      <c r="ANS36" s="16"/>
      <c r="ANT36" s="16"/>
      <c r="ANU36" s="16"/>
      <c r="ANV36" s="16"/>
      <c r="ANW36" s="16"/>
      <c r="ANX36" s="16"/>
      <c r="ANY36" s="16"/>
      <c r="ANZ36" s="16"/>
      <c r="AOA36" s="16"/>
      <c r="AOB36" s="16"/>
      <c r="AOC36" s="16"/>
      <c r="AOD36" s="16"/>
      <c r="AOE36" s="16"/>
      <c r="AOF36" s="16"/>
      <c r="AOG36" s="16"/>
      <c r="AOH36" s="16"/>
      <c r="AOI36" s="16"/>
      <c r="AOJ36" s="16"/>
      <c r="AOK36" s="16"/>
      <c r="AOL36" s="16"/>
      <c r="AOM36" s="16"/>
      <c r="AON36" s="16"/>
      <c r="AOO36" s="16"/>
      <c r="AOP36" s="16"/>
      <c r="AOQ36" s="16"/>
      <c r="AOR36" s="16"/>
      <c r="AOS36" s="16"/>
      <c r="AOT36" s="16"/>
      <c r="AOU36" s="16"/>
      <c r="AOV36" s="16"/>
      <c r="AOW36" s="16"/>
      <c r="AOX36" s="16"/>
      <c r="AOY36" s="16"/>
      <c r="AOZ36" s="16"/>
      <c r="APA36" s="16"/>
      <c r="APB36" s="16"/>
      <c r="APC36" s="16"/>
      <c r="APD36" s="16"/>
      <c r="APE36" s="16"/>
      <c r="APF36" s="16"/>
      <c r="APG36" s="16"/>
      <c r="APH36" s="16"/>
      <c r="API36" s="16"/>
      <c r="APJ36" s="16"/>
      <c r="APK36" s="16"/>
      <c r="APL36" s="16"/>
      <c r="APM36" s="16"/>
      <c r="APN36" s="16"/>
      <c r="APO36" s="16"/>
      <c r="APP36" s="16"/>
      <c r="APQ36" s="16"/>
      <c r="APR36" s="16"/>
      <c r="APS36" s="16"/>
      <c r="APT36" s="16"/>
      <c r="APU36" s="16"/>
      <c r="APV36" s="16"/>
      <c r="APW36" s="16"/>
      <c r="APX36" s="16"/>
      <c r="APY36" s="16"/>
      <c r="APZ36" s="16"/>
      <c r="AQA36" s="16"/>
      <c r="AQB36" s="16"/>
      <c r="AQC36" s="16"/>
      <c r="AQD36" s="16"/>
      <c r="AQE36" s="16"/>
      <c r="AQF36" s="16"/>
      <c r="AQG36" s="16"/>
      <c r="AQH36" s="16"/>
      <c r="AQI36" s="16"/>
      <c r="AQJ36" s="16"/>
      <c r="AQK36" s="16"/>
      <c r="AQL36" s="16"/>
      <c r="AQM36" s="16"/>
      <c r="AQN36" s="16"/>
      <c r="AQO36" s="16"/>
      <c r="AQP36" s="16"/>
      <c r="AQQ36" s="16"/>
      <c r="AQR36" s="16"/>
      <c r="AQS36" s="16"/>
      <c r="AQT36" s="16"/>
      <c r="AQU36" s="16"/>
      <c r="AQV36" s="16"/>
      <c r="AQW36" s="16"/>
      <c r="AQX36" s="16"/>
      <c r="AQY36" s="16"/>
      <c r="AQZ36" s="16"/>
      <c r="ARA36" s="16"/>
      <c r="ARB36" s="16"/>
      <c r="ARC36" s="16"/>
      <c r="ARD36" s="16"/>
      <c r="ARE36" s="16"/>
      <c r="ARF36" s="16"/>
      <c r="ARG36" s="16"/>
      <c r="ARH36" s="16"/>
      <c r="ARI36" s="16"/>
      <c r="ARJ36" s="16"/>
      <c r="ARK36" s="16"/>
      <c r="ARL36" s="16"/>
      <c r="ARM36" s="16"/>
      <c r="ARN36" s="16"/>
      <c r="ARO36" s="16"/>
      <c r="ARP36" s="16"/>
      <c r="ARQ36" s="16"/>
      <c r="ARR36" s="16"/>
      <c r="ARS36" s="16"/>
      <c r="ART36" s="16"/>
      <c r="ARU36" s="16"/>
      <c r="ARV36" s="16"/>
      <c r="ARW36" s="16"/>
      <c r="ARX36" s="16"/>
      <c r="ARY36" s="16"/>
      <c r="ARZ36" s="16"/>
      <c r="ASA36" s="16"/>
      <c r="ASB36" s="16"/>
      <c r="ASC36" s="16"/>
      <c r="ASD36" s="16"/>
      <c r="ASE36" s="16"/>
      <c r="ASF36" s="16"/>
      <c r="ASG36" s="16"/>
      <c r="ASH36" s="16"/>
      <c r="ASI36" s="16"/>
      <c r="ASJ36" s="16"/>
      <c r="ASK36" s="16"/>
      <c r="ASL36" s="16"/>
      <c r="ASM36" s="16"/>
      <c r="ASN36" s="16"/>
      <c r="ASO36" s="16"/>
      <c r="ASP36" s="16"/>
      <c r="ASQ36" s="16"/>
      <c r="ASR36" s="16"/>
      <c r="ASS36" s="16"/>
      <c r="AST36" s="16"/>
      <c r="ASU36" s="16"/>
      <c r="ASV36" s="16"/>
      <c r="ASW36" s="16"/>
      <c r="ASX36" s="16"/>
      <c r="ASY36" s="16"/>
      <c r="ASZ36" s="16"/>
      <c r="ATA36" s="16"/>
      <c r="ATB36" s="16"/>
      <c r="ATC36" s="16"/>
      <c r="ATD36" s="16"/>
      <c r="ATE36" s="16"/>
      <c r="ATF36" s="16"/>
      <c r="ATG36" s="16"/>
      <c r="ATH36" s="16"/>
      <c r="ATI36" s="16"/>
      <c r="ATJ36" s="16"/>
      <c r="ATK36" s="16"/>
      <c r="ATL36" s="16"/>
      <c r="ATM36" s="16"/>
      <c r="ATN36" s="16"/>
      <c r="ATO36" s="16"/>
      <c r="ATP36" s="16"/>
      <c r="ATQ36" s="16"/>
      <c r="ATR36" s="16"/>
      <c r="ATS36" s="16"/>
      <c r="ATT36" s="16"/>
      <c r="ATU36" s="16"/>
    </row>
    <row r="37" spans="1:1217" s="16" customFormat="1" ht="16.5" customHeight="1" x14ac:dyDescent="0.3">
      <c r="A37" s="975" t="s">
        <v>315</v>
      </c>
      <c r="B37" s="347" t="s">
        <v>296</v>
      </c>
      <c r="C37" s="474">
        <v>30000</v>
      </c>
      <c r="D37" s="472">
        <f>IF($C$36="Да",C37*(1%+1%),C37*(1%+0%))</f>
        <v>600</v>
      </c>
      <c r="E37" s="501" t="s">
        <v>300</v>
      </c>
      <c r="F37" s="178"/>
      <c r="G37" s="244">
        <f t="shared" si="28"/>
        <v>29</v>
      </c>
      <c r="H37" s="245">
        <f t="shared" si="1"/>
        <v>45327</v>
      </c>
      <c r="I37" s="246">
        <f t="shared" si="44"/>
        <v>9.9000000000000005E-2</v>
      </c>
      <c r="J37" s="242">
        <f t="shared" si="11"/>
        <v>7860</v>
      </c>
      <c r="K37" s="242">
        <f t="shared" si="42"/>
        <v>7860</v>
      </c>
      <c r="L37" s="242">
        <f t="shared" si="36"/>
        <v>2029.39</v>
      </c>
      <c r="M37" s="242">
        <f t="shared" si="13"/>
        <v>5830.61</v>
      </c>
      <c r="N37" s="242">
        <f t="shared" si="3"/>
        <v>0</v>
      </c>
      <c r="O37" s="242">
        <v>0</v>
      </c>
      <c r="P37" s="242">
        <f t="shared" si="25"/>
        <v>2029.39</v>
      </c>
      <c r="Q37" s="242">
        <f t="shared" si="33"/>
        <v>0</v>
      </c>
      <c r="R37" s="242">
        <f t="shared" si="15"/>
        <v>0</v>
      </c>
      <c r="S37" s="242">
        <f t="shared" si="16"/>
        <v>236188.06</v>
      </c>
      <c r="T37" s="467"/>
      <c r="U37" s="198">
        <f t="shared" si="29"/>
        <v>32</v>
      </c>
      <c r="V37" s="36">
        <f t="shared" si="17"/>
        <v>32</v>
      </c>
      <c r="W37" s="16">
        <f>INDEX('Для Перспективы'!$B$6:$D$6,MATCH($C$10,'Для Перспективы'!$B$1:$D$1,0))</f>
        <v>5500</v>
      </c>
      <c r="X37" s="16">
        <f>INDEX('Для Перспективы'!$B$8:$F$8,MATCH($C$10,'Для Перспективы'!$B$1:$F$1,0))</f>
        <v>10000</v>
      </c>
      <c r="Y37" s="16">
        <f>INDEX('Для Перспективы'!$B$10:$F$10,MATCH($C$10,'Для Перспективы'!$B$1:$F$1,0))</f>
        <v>10000</v>
      </c>
      <c r="Z37" s="16">
        <f>INDEX('Для Перспективы'!$B$12:$F$12,MATCH($C$10,'Для Перспективы'!$B$1:$F$1,0))</f>
        <v>10000</v>
      </c>
      <c r="AA37" s="16">
        <f>INDEX('Для Перспективы'!$B$14:$F$14,MATCH($C$10,'Для Перспективы'!$B$1:$F$1,0))</f>
        <v>11000</v>
      </c>
      <c r="AB37" s="16">
        <f>INDEX('Для Перспективы'!$B$22:$D$22,MATCH($C$10,'Для Перспективы'!$B$1:$D$1,0))</f>
        <v>11000</v>
      </c>
      <c r="AC37" s="16">
        <f>INDEX('Для Перспективы'!$B$20:$F$20,MATCH($C$10,'Для Перспективы'!$B$1:$F$1,0))</f>
        <v>11000</v>
      </c>
      <c r="AD37" s="16">
        <f>INDEX('Для Перспективы'!$B$6:$F$6,MATCH($C$10,'Для Перспективы'!$B$1:$F$1,0))</f>
        <v>5500</v>
      </c>
      <c r="AE37" s="16">
        <f>INDEX('Для Перспективы'!$B$6:$F$6,MATCH($C$10,'Для Перспективы'!$B$1:$F$1,0))</f>
        <v>5500</v>
      </c>
      <c r="AF37" s="47">
        <f>IF(AG37=AG36,AF36,AF36-$AF$35)</f>
        <v>7860</v>
      </c>
      <c r="AG37" s="169">
        <f>AG36-$AG$35</f>
        <v>9.9000000000000005E-2</v>
      </c>
      <c r="AI37" s="2"/>
      <c r="AJ37" s="2"/>
      <c r="AK37" s="57"/>
      <c r="AL37" s="47">
        <f>AL36-$AL$35</f>
        <v>7860</v>
      </c>
      <c r="AM37" s="169">
        <f>AM36-$AM$35</f>
        <v>9.9000000000000005E-2</v>
      </c>
      <c r="AO37" s="130">
        <f t="shared" si="18"/>
        <v>1</v>
      </c>
      <c r="AP37" s="261">
        <f t="shared" si="30"/>
        <v>29</v>
      </c>
      <c r="AQ37" s="262">
        <f t="shared" si="4"/>
        <v>45327</v>
      </c>
      <c r="AR37" s="263">
        <f t="shared" si="43"/>
        <v>0.13900000000000001</v>
      </c>
      <c r="AS37" s="258">
        <f t="shared" si="19"/>
        <v>8360</v>
      </c>
      <c r="AT37" s="258">
        <f t="shared" si="6"/>
        <v>8360</v>
      </c>
      <c r="AU37" s="258">
        <f t="shared" si="20"/>
        <v>2614.46</v>
      </c>
      <c r="AV37" s="258">
        <f t="shared" si="21"/>
        <v>5745.54</v>
      </c>
      <c r="AW37" s="258">
        <f t="shared" si="7"/>
        <v>0</v>
      </c>
      <c r="AX37" s="258">
        <v>0</v>
      </c>
      <c r="AY37" s="258">
        <f t="shared" si="22"/>
        <v>2614.46</v>
      </c>
      <c r="AZ37" s="258">
        <f t="shared" si="38"/>
        <v>0</v>
      </c>
      <c r="BA37" s="258">
        <f t="shared" si="37"/>
        <v>0</v>
      </c>
      <c r="BB37" s="258"/>
      <c r="BC37" s="258"/>
      <c r="BD37" s="258"/>
      <c r="BE37" s="258"/>
      <c r="BF37" s="258"/>
      <c r="BG37" s="258">
        <f t="shared" si="24"/>
        <v>216322.82999999996</v>
      </c>
      <c r="BH37" s="108">
        <f t="shared" si="31"/>
        <v>32</v>
      </c>
      <c r="BI37" s="108">
        <f t="shared" si="26"/>
        <v>32</v>
      </c>
      <c r="BJ37" s="22">
        <f t="shared" si="27"/>
        <v>45327</v>
      </c>
      <c r="BK37" s="108">
        <f t="shared" si="9"/>
        <v>7860</v>
      </c>
    </row>
    <row r="38" spans="1:1217" s="16" customFormat="1" ht="16.5" customHeight="1" x14ac:dyDescent="0.3">
      <c r="A38" s="975"/>
      <c r="B38" s="347" t="s">
        <v>297</v>
      </c>
      <c r="C38" s="474">
        <v>10000</v>
      </c>
      <c r="D38" s="472">
        <f>IF($C$36="Да",C38*(1%+3%),C38*(1%+0%))</f>
        <v>400</v>
      </c>
      <c r="E38" s="501" t="s">
        <v>300</v>
      </c>
      <c r="F38" s="178"/>
      <c r="G38" s="244">
        <f t="shared" si="28"/>
        <v>30</v>
      </c>
      <c r="H38" s="245">
        <f t="shared" si="1"/>
        <v>45356</v>
      </c>
      <c r="I38" s="246">
        <f t="shared" si="44"/>
        <v>9.9000000000000005E-2</v>
      </c>
      <c r="J38" s="242">
        <f t="shared" si="11"/>
        <v>7860</v>
      </c>
      <c r="K38" s="242">
        <f t="shared" si="42"/>
        <v>7860</v>
      </c>
      <c r="L38" s="242">
        <f t="shared" si="36"/>
        <v>1852.72</v>
      </c>
      <c r="M38" s="242">
        <f t="shared" si="13"/>
        <v>6007.28</v>
      </c>
      <c r="N38" s="242">
        <f t="shared" si="3"/>
        <v>0</v>
      </c>
      <c r="O38" s="242">
        <v>0</v>
      </c>
      <c r="P38" s="242">
        <f t="shared" si="25"/>
        <v>1852.72</v>
      </c>
      <c r="Q38" s="242">
        <f t="shared" si="33"/>
        <v>0</v>
      </c>
      <c r="R38" s="242">
        <f t="shared" si="15"/>
        <v>0</v>
      </c>
      <c r="S38" s="242">
        <f t="shared" si="16"/>
        <v>230180.78</v>
      </c>
      <c r="T38" s="467"/>
      <c r="U38" s="198">
        <f t="shared" si="29"/>
        <v>31</v>
      </c>
      <c r="V38" s="36">
        <f t="shared" si="17"/>
        <v>31</v>
      </c>
      <c r="W38" s="16">
        <f>INDEX('Для Перспективы'!B7:D7,MATCH($C$10,'Для Перспективы'!$B$1:$D$1,0))</f>
        <v>134000</v>
      </c>
      <c r="X38" s="16">
        <f>INDEX('Для Перспективы'!$B$9:$F$9,MATCH($C$10,'Для Перспективы'!$B$1:$F$1,0))</f>
        <v>136300</v>
      </c>
      <c r="Y38" s="16">
        <f>INDEX('Для Перспективы'!$B$11:$F$11,MATCH($C$10,'Для Перспективы'!$B$1:$F$1,0))</f>
        <v>139400</v>
      </c>
      <c r="Z38" s="16">
        <f>INDEX('Для Перспективы'!$B$13:$F$13,MATCH($C$10,'Для Перспективы'!$B$1:$F$1,0))</f>
        <v>142500</v>
      </c>
      <c r="AA38" s="16">
        <f>INDEX('Для Перспективы'!$B$15:$F$15,MATCH($C$10,'Для Перспективы'!$B$1:$F$1,0))</f>
        <v>145800</v>
      </c>
      <c r="AB38" s="16">
        <f>INDEX('Для Перспективы'!$B$23:$D$23,MATCH($C$10,'Для Перспективы'!$B$1:$D$1,0))</f>
        <v>158700</v>
      </c>
      <c r="AC38" s="16">
        <f>INDEX('Для Перспективы'!$B$11:$D$11,MATCH($C$10,'Для Перспективы'!$B$1:$D$1,0))</f>
        <v>139400</v>
      </c>
      <c r="AD38" s="16">
        <f>INDEX('Для Перспективы'!$B$11:$D$11,MATCH($C$10,'Для Перспективы'!$B$1:$D$1,0))</f>
        <v>139400</v>
      </c>
      <c r="AE38" s="16" t="e">
        <f>INDEX('Для Перспективы'!$G21:$I21,MATCH($C$10,'Для Перспективы'!$G$1:$I$1,0))</f>
        <v>#N/A</v>
      </c>
      <c r="AF38" s="47">
        <f t="shared" ref="AF38:AF40" si="45">IF(AG38=AG37,AF37,AF37-$AF$35)</f>
        <v>7860</v>
      </c>
      <c r="AG38" s="169">
        <f>AG36-$AG$35</f>
        <v>9.9000000000000005E-2</v>
      </c>
      <c r="AI38" s="2"/>
      <c r="AJ38" s="2"/>
      <c r="AK38" s="57"/>
      <c r="AL38" s="47">
        <f>AL36-$AL$35</f>
        <v>7860</v>
      </c>
      <c r="AM38" s="169">
        <f>AM36-$AM$35</f>
        <v>9.9000000000000005E-2</v>
      </c>
      <c r="AN38" s="63"/>
      <c r="AO38" s="130">
        <f t="shared" si="18"/>
        <v>1</v>
      </c>
      <c r="AP38" s="261">
        <f t="shared" si="30"/>
        <v>30</v>
      </c>
      <c r="AQ38" s="262">
        <f t="shared" si="4"/>
        <v>45356</v>
      </c>
      <c r="AR38" s="263">
        <f t="shared" si="43"/>
        <v>0.13900000000000001</v>
      </c>
      <c r="AS38" s="258">
        <f t="shared" si="19"/>
        <v>8360</v>
      </c>
      <c r="AT38" s="258">
        <f t="shared" si="6"/>
        <v>8360</v>
      </c>
      <c r="AU38" s="258">
        <f t="shared" si="20"/>
        <v>2382.5100000000002</v>
      </c>
      <c r="AV38" s="258">
        <f t="shared" si="21"/>
        <v>5977.49</v>
      </c>
      <c r="AW38" s="258">
        <f t="shared" si="7"/>
        <v>0</v>
      </c>
      <c r="AX38" s="258">
        <v>0</v>
      </c>
      <c r="AY38" s="258">
        <f t="shared" si="22"/>
        <v>2382.5100000000002</v>
      </c>
      <c r="AZ38" s="258">
        <f t="shared" si="38"/>
        <v>0</v>
      </c>
      <c r="BA38" s="258">
        <f t="shared" si="37"/>
        <v>0</v>
      </c>
      <c r="BB38" s="258"/>
      <c r="BC38" s="258"/>
      <c r="BD38" s="258"/>
      <c r="BE38" s="258"/>
      <c r="BF38" s="258"/>
      <c r="BG38" s="258">
        <f t="shared" si="24"/>
        <v>210345.33999999997</v>
      </c>
      <c r="BH38" s="108">
        <f t="shared" si="31"/>
        <v>31</v>
      </c>
      <c r="BI38" s="108">
        <f t="shared" si="26"/>
        <v>31</v>
      </c>
      <c r="BJ38" s="22">
        <f t="shared" si="27"/>
        <v>45356</v>
      </c>
      <c r="BK38" s="108">
        <f t="shared" si="9"/>
        <v>7860</v>
      </c>
    </row>
    <row r="39" spans="1:1217" s="16" customFormat="1" ht="12" customHeight="1" x14ac:dyDescent="0.3">
      <c r="A39" s="975"/>
      <c r="B39" s="347" t="s">
        <v>298</v>
      </c>
      <c r="C39" s="474">
        <v>10000</v>
      </c>
      <c r="D39" s="472">
        <f>IF($C$36="Да",C39*(1%+3%),C39*(1%+0%))</f>
        <v>400</v>
      </c>
      <c r="E39" s="501" t="s">
        <v>300</v>
      </c>
      <c r="F39" s="178"/>
      <c r="G39" s="244">
        <f t="shared" si="28"/>
        <v>31</v>
      </c>
      <c r="H39" s="245">
        <f t="shared" si="1"/>
        <v>45387</v>
      </c>
      <c r="I39" s="246">
        <f t="shared" si="44"/>
        <v>9.9000000000000005E-2</v>
      </c>
      <c r="J39" s="242">
        <f t="shared" si="11"/>
        <v>7860</v>
      </c>
      <c r="K39" s="242">
        <f t="shared" si="42"/>
        <v>7860</v>
      </c>
      <c r="L39" s="242">
        <f t="shared" si="36"/>
        <v>1930.12</v>
      </c>
      <c r="M39" s="242">
        <f t="shared" si="13"/>
        <v>5929.88</v>
      </c>
      <c r="N39" s="242">
        <f t="shared" si="3"/>
        <v>0</v>
      </c>
      <c r="O39" s="242">
        <v>0</v>
      </c>
      <c r="P39" s="242">
        <f t="shared" si="25"/>
        <v>1930.12</v>
      </c>
      <c r="Q39" s="242">
        <f t="shared" si="33"/>
        <v>0</v>
      </c>
      <c r="R39" s="242">
        <f t="shared" si="15"/>
        <v>0</v>
      </c>
      <c r="S39" s="242">
        <f t="shared" si="16"/>
        <v>224250.9</v>
      </c>
      <c r="T39" s="467"/>
      <c r="U39" s="198">
        <f t="shared" si="29"/>
        <v>30</v>
      </c>
      <c r="V39" s="36">
        <f t="shared" si="17"/>
        <v>30</v>
      </c>
      <c r="W39" s="15">
        <v>0.11899999999999999</v>
      </c>
      <c r="X39" s="101">
        <v>0.129</v>
      </c>
      <c r="Y39" s="484">
        <v>0.13900000000000001</v>
      </c>
      <c r="Z39" s="101">
        <v>0.14899999999999999</v>
      </c>
      <c r="AA39" s="484">
        <v>0.159</v>
      </c>
      <c r="AB39" s="15">
        <v>0.19900000000000001</v>
      </c>
      <c r="AC39" s="169">
        <v>0.17899999999999999</v>
      </c>
      <c r="AD39" s="15">
        <v>0.189</v>
      </c>
      <c r="AE39" s="15">
        <v>0.19900000000000001</v>
      </c>
      <c r="AF39" s="47">
        <f t="shared" si="45"/>
        <v>7860</v>
      </c>
      <c r="AG39" s="169">
        <f>AG36-$AG$35</f>
        <v>9.9000000000000005E-2</v>
      </c>
      <c r="AI39" s="2"/>
      <c r="AJ39" s="2"/>
      <c r="AK39" s="57"/>
      <c r="AL39" s="47">
        <f>AL36-$AL$35</f>
        <v>7860</v>
      </c>
      <c r="AM39" s="169">
        <f>AM36-$AM$35</f>
        <v>9.9000000000000005E-2</v>
      </c>
      <c r="AN39" s="15"/>
      <c r="AO39" s="130">
        <f t="shared" si="18"/>
        <v>1</v>
      </c>
      <c r="AP39" s="261">
        <f t="shared" si="30"/>
        <v>31</v>
      </c>
      <c r="AQ39" s="262">
        <f t="shared" si="4"/>
        <v>45387</v>
      </c>
      <c r="AR39" s="263">
        <f t="shared" si="43"/>
        <v>0.13900000000000001</v>
      </c>
      <c r="AS39" s="258">
        <f t="shared" si="19"/>
        <v>8360</v>
      </c>
      <c r="AT39" s="258">
        <f t="shared" si="6"/>
        <v>8360</v>
      </c>
      <c r="AU39" s="258">
        <f t="shared" si="20"/>
        <v>2476.44</v>
      </c>
      <c r="AV39" s="258">
        <f t="shared" si="21"/>
        <v>5883.5599999999995</v>
      </c>
      <c r="AW39" s="258">
        <f t="shared" si="7"/>
        <v>0</v>
      </c>
      <c r="AX39" s="258">
        <v>0</v>
      </c>
      <c r="AY39" s="258">
        <f t="shared" si="22"/>
        <v>2476.44</v>
      </c>
      <c r="AZ39" s="258">
        <f t="shared" si="38"/>
        <v>0</v>
      </c>
      <c r="BA39" s="258">
        <f t="shared" si="37"/>
        <v>0</v>
      </c>
      <c r="BB39" s="258"/>
      <c r="BC39" s="258"/>
      <c r="BD39" s="258"/>
      <c r="BE39" s="258"/>
      <c r="BF39" s="258"/>
      <c r="BG39" s="258">
        <f t="shared" si="24"/>
        <v>204461.77999999997</v>
      </c>
      <c r="BH39" s="108">
        <f t="shared" si="31"/>
        <v>30</v>
      </c>
      <c r="BI39" s="108">
        <f t="shared" si="26"/>
        <v>30</v>
      </c>
      <c r="BJ39" s="22">
        <f t="shared" si="27"/>
        <v>45387</v>
      </c>
      <c r="BK39" s="108">
        <f t="shared" si="9"/>
        <v>7860</v>
      </c>
    </row>
    <row r="40" spans="1:1217" s="16" customFormat="1" ht="13.95" customHeight="1" x14ac:dyDescent="0.3">
      <c r="A40" s="975"/>
      <c r="B40" s="347" t="s">
        <v>299</v>
      </c>
      <c r="C40" s="474">
        <v>200000</v>
      </c>
      <c r="D40" s="472">
        <f>IF($C$36="Да",C40*(3%+1%),C40*(3%+0%))</f>
        <v>8000</v>
      </c>
      <c r="E40" s="501" t="s">
        <v>300</v>
      </c>
      <c r="F40" s="178"/>
      <c r="G40" s="244">
        <f t="shared" si="28"/>
        <v>32</v>
      </c>
      <c r="H40" s="245">
        <f t="shared" si="1"/>
        <v>45417</v>
      </c>
      <c r="I40" s="246">
        <f t="shared" si="44"/>
        <v>9.9000000000000005E-2</v>
      </c>
      <c r="J40" s="242">
        <f t="shared" si="11"/>
        <v>7860</v>
      </c>
      <c r="K40" s="242">
        <f t="shared" si="42"/>
        <v>7860</v>
      </c>
      <c r="L40" s="242">
        <f t="shared" si="36"/>
        <v>1819.74</v>
      </c>
      <c r="M40" s="242">
        <f t="shared" si="13"/>
        <v>6040.26</v>
      </c>
      <c r="N40" s="242">
        <f t="shared" si="3"/>
        <v>0</v>
      </c>
      <c r="O40" s="242">
        <v>0</v>
      </c>
      <c r="P40" s="242">
        <f t="shared" si="25"/>
        <v>1819.74</v>
      </c>
      <c r="Q40" s="242">
        <f t="shared" si="33"/>
        <v>0</v>
      </c>
      <c r="R40" s="242">
        <f t="shared" si="15"/>
        <v>0</v>
      </c>
      <c r="S40" s="242">
        <f t="shared" si="16"/>
        <v>218210.63999999998</v>
      </c>
      <c r="T40" s="467"/>
      <c r="U40" s="198">
        <f t="shared" si="29"/>
        <v>29</v>
      </c>
      <c r="V40" s="36">
        <f t="shared" si="17"/>
        <v>29</v>
      </c>
      <c r="W40" s="16">
        <f>INDEX('Для Перспективы'!B2:D2,MATCH($C$10,'Для Перспективы'!$B$1:$D$1,0))</f>
        <v>4000</v>
      </c>
      <c r="X40" s="16">
        <f>INDEX('Для Перспективы'!B8:F8,MATCH($C$10,'Для Перспективы'!$B$1:$F$1,0))</f>
        <v>10000</v>
      </c>
      <c r="Y40" s="16">
        <f>INDEX('Для Перспективы'!B10:F10,MATCH($C$10,'Для Перспективы'!$B$1:$F$1,0))</f>
        <v>10000</v>
      </c>
      <c r="Z40" s="16">
        <f>INDEX('Для Перспективы'!B12:F12,MATCH($C$10,'Для Перспективы'!$B$1:$F$1,0))</f>
        <v>10000</v>
      </c>
      <c r="AA40" s="16">
        <f>INDEX('Для Перспективы'!B14:F14,MATCH($C$10,'Для Перспективы'!$B$1:$F$1,0))</f>
        <v>11000</v>
      </c>
      <c r="AB40" s="16">
        <f>INDEX('Для Перспективы'!B14:D14,MATCH($C$10,'Для Перспективы'!$B$1:$D$1,0))</f>
        <v>11000</v>
      </c>
      <c r="AC40" s="16">
        <f>INDEX('Для Перспективы'!B16:D16,MATCH($C$10,'Для Перспективы'!$B$1:$D$1,0))</f>
        <v>11000</v>
      </c>
      <c r="AD40" s="16">
        <f>INDEX('Для Перспективы'!B18:D18,MATCH($C$10,'Для Перспективы'!$B$1:$D$1,0))</f>
        <v>8000</v>
      </c>
      <c r="AE40" s="16">
        <f>INDEX('Для Перспективы'!B20:D20,MATCH($C$10,'Для Перспективы'!$B$1:$D$1,0))</f>
        <v>11000</v>
      </c>
      <c r="AF40" s="47">
        <f t="shared" si="45"/>
        <v>7860</v>
      </c>
      <c r="AG40" s="169">
        <f>AG36-$AG$35</f>
        <v>9.9000000000000005E-2</v>
      </c>
      <c r="AI40" s="2"/>
      <c r="AJ40" s="2"/>
      <c r="AK40" s="57"/>
      <c r="AL40" s="47">
        <f>AL36-$AL$35</f>
        <v>7860</v>
      </c>
      <c r="AM40" s="169">
        <f>AM36-$AM$35</f>
        <v>9.9000000000000005E-2</v>
      </c>
      <c r="AN40" s="15"/>
      <c r="AO40" s="130">
        <f t="shared" si="18"/>
        <v>1</v>
      </c>
      <c r="AP40" s="261">
        <f t="shared" si="30"/>
        <v>32</v>
      </c>
      <c r="AQ40" s="262">
        <f t="shared" si="4"/>
        <v>45417</v>
      </c>
      <c r="AR40" s="263">
        <f t="shared" si="43"/>
        <v>0.13900000000000001</v>
      </c>
      <c r="AS40" s="258">
        <f t="shared" si="19"/>
        <v>8360</v>
      </c>
      <c r="AT40" s="258">
        <f t="shared" si="6"/>
        <v>8360</v>
      </c>
      <c r="AU40" s="258">
        <f t="shared" si="20"/>
        <v>2329.52</v>
      </c>
      <c r="AV40" s="258">
        <f t="shared" si="21"/>
        <v>6030.48</v>
      </c>
      <c r="AW40" s="258">
        <f t="shared" si="7"/>
        <v>0</v>
      </c>
      <c r="AX40" s="258">
        <v>0</v>
      </c>
      <c r="AY40" s="258">
        <f t="shared" si="22"/>
        <v>2329.52</v>
      </c>
      <c r="AZ40" s="258">
        <f t="shared" si="38"/>
        <v>0</v>
      </c>
      <c r="BA40" s="258">
        <f t="shared" si="37"/>
        <v>0</v>
      </c>
      <c r="BB40" s="258"/>
      <c r="BC40" s="258"/>
      <c r="BD40" s="258"/>
      <c r="BE40" s="258"/>
      <c r="BF40" s="258"/>
      <c r="BG40" s="258">
        <f t="shared" si="24"/>
        <v>198431.29999999996</v>
      </c>
      <c r="BH40" s="108">
        <f t="shared" si="31"/>
        <v>29</v>
      </c>
      <c r="BI40" s="108">
        <f t="shared" si="26"/>
        <v>29</v>
      </c>
      <c r="BJ40" s="22">
        <f t="shared" si="27"/>
        <v>45417</v>
      </c>
      <c r="BK40" s="108">
        <f t="shared" si="9"/>
        <v>7860</v>
      </c>
    </row>
    <row r="41" spans="1:1217" s="16" customFormat="1" ht="39" customHeight="1" x14ac:dyDescent="0.3">
      <c r="A41" s="976" t="s">
        <v>313</v>
      </c>
      <c r="B41" s="848"/>
      <c r="C41" s="982" t="str">
        <f>CONCATENATE(MIN((C37*1%+C38*1%+C39*1%+C40*3%),IF($C$17="Серебряный",10000,IF($C$17="Золотой",15000,IF($C$17="Платиновый",20000,""))))+MIN((C37*1%+C38*3%+C39*3%+C40*1%),5000)," рублей")</f>
        <v>9400 рублей</v>
      </c>
      <c r="D41" s="982"/>
      <c r="E41" s="993"/>
      <c r="F41" s="178"/>
      <c r="G41" s="244">
        <f t="shared" si="28"/>
        <v>33</v>
      </c>
      <c r="H41" s="245">
        <f t="shared" si="1"/>
        <v>45448</v>
      </c>
      <c r="I41" s="246">
        <f t="shared" si="44"/>
        <v>9.9000000000000005E-2</v>
      </c>
      <c r="J41" s="242">
        <f t="shared" si="11"/>
        <v>7860</v>
      </c>
      <c r="K41" s="242">
        <f t="shared" si="42"/>
        <v>7860</v>
      </c>
      <c r="L41" s="242">
        <f t="shared" si="36"/>
        <v>1829.75</v>
      </c>
      <c r="M41" s="242">
        <f t="shared" si="13"/>
        <v>6030.25</v>
      </c>
      <c r="N41" s="242">
        <f t="shared" ref="N41:N72" si="46">IF(P41-Q41&gt;$C$23,$C$23-L41,IF(V41=0,0,R41)+$AI$51)</f>
        <v>0</v>
      </c>
      <c r="O41" s="242">
        <v>0</v>
      </c>
      <c r="P41" s="242">
        <f t="shared" si="25"/>
        <v>1829.75</v>
      </c>
      <c r="Q41" s="242">
        <f t="shared" si="33"/>
        <v>0</v>
      </c>
      <c r="R41" s="242">
        <f t="shared" si="15"/>
        <v>0</v>
      </c>
      <c r="S41" s="242">
        <f t="shared" si="16"/>
        <v>212180.38999999998</v>
      </c>
      <c r="T41" s="467"/>
      <c r="U41" s="198">
        <f t="shared" si="29"/>
        <v>28</v>
      </c>
      <c r="V41" s="36">
        <f t="shared" si="17"/>
        <v>28</v>
      </c>
      <c r="W41" s="16">
        <f>INDEX('Для Перспективы'!B3:D3,MATCH($C$10,'Для Перспективы'!$B$1:$D$1,0))</f>
        <v>128000</v>
      </c>
      <c r="X41" s="16">
        <f>INDEX('Для Перспективы'!B9:F9,MATCH($C$10,'Для Перспективы'!$B$1:$F$1,0))</f>
        <v>136300</v>
      </c>
      <c r="Y41" s="16">
        <f>INDEX('Для Перспективы'!B11:F11,MATCH($C$10,'Для Перспективы'!$B$1:$F$1,0))</f>
        <v>139400</v>
      </c>
      <c r="Z41" s="16">
        <f>INDEX('Для Перспективы'!B13:F13,MATCH($C$10,'Для Перспективы'!$B$1:$F$1,0))</f>
        <v>142500</v>
      </c>
      <c r="AA41" s="16">
        <f>INDEX('Для Перспективы'!B15:F15,MATCH($C$10,'Для Перспективы'!$B$1:$F$1,0))</f>
        <v>145800</v>
      </c>
      <c r="AB41" s="16">
        <f>INDEX('Для Перспективы'!B15:D15,MATCH($C$10,'Для Перспективы'!$B$1:$D$1,0))</f>
        <v>145800</v>
      </c>
      <c r="AC41" s="16">
        <f>INDEX('Для Перспективы'!B17:D17,MATCH($C$10,'Для Перспективы'!$B$1:$D$1,0))</f>
        <v>148900</v>
      </c>
      <c r="AD41" s="16">
        <f>INDEX('Для Перспективы'!B19:D19,MATCH($C$10,'Для Перспективы'!$B$1:$D$1,0))</f>
        <v>151980</v>
      </c>
      <c r="AE41" s="16">
        <f>INDEX('Для Перспективы'!B21:D21,MATCH($C$10,'Для Перспективы'!$B$1:$D$1,0))</f>
        <v>152200</v>
      </c>
      <c r="AF41" s="3"/>
      <c r="AG41" s="3"/>
      <c r="AH41" s="3"/>
      <c r="AI41" s="2"/>
      <c r="AJ41" s="2"/>
      <c r="AK41" s="57"/>
      <c r="AL41" s="2"/>
      <c r="AM41" s="15"/>
      <c r="AN41" s="15"/>
      <c r="AO41" s="130">
        <f t="shared" si="18"/>
        <v>1</v>
      </c>
      <c r="AP41" s="261">
        <f t="shared" si="30"/>
        <v>33</v>
      </c>
      <c r="AQ41" s="262">
        <f t="shared" si="4"/>
        <v>45448</v>
      </c>
      <c r="AR41" s="263">
        <f t="shared" si="43"/>
        <v>0.13900000000000001</v>
      </c>
      <c r="AS41" s="258">
        <f t="shared" si="19"/>
        <v>8360</v>
      </c>
      <c r="AT41" s="258">
        <f t="shared" ref="AT41:AT72" si="47">IF(AND(BG40+AW41+AU41&gt;AT40,AT40&lt;&gt;0),IF($D$16="Да",$AL$36,$D$23),IF(BG40=0,0,BG40+AW41+AU41+AU42))</f>
        <v>8360</v>
      </c>
      <c r="AU41" s="258">
        <f t="shared" si="20"/>
        <v>2336.1799999999998</v>
      </c>
      <c r="AV41" s="258">
        <f t="shared" si="21"/>
        <v>6023.82</v>
      </c>
      <c r="AW41" s="258">
        <f t="shared" ref="AW41:AW72" si="48">IF(AY41-AZ41&gt;$D$23,$D$23-AU41,IF(BI41=0,0,BA41)+BX89)</f>
        <v>0</v>
      </c>
      <c r="AX41" s="258">
        <v>0</v>
      </c>
      <c r="AY41" s="258">
        <f t="shared" si="22"/>
        <v>2336.1799999999998</v>
      </c>
      <c r="AZ41" s="258">
        <f t="shared" si="38"/>
        <v>0</v>
      </c>
      <c r="BA41" s="258">
        <f t="shared" si="37"/>
        <v>0</v>
      </c>
      <c r="BB41" s="258"/>
      <c r="BC41" s="258"/>
      <c r="BD41" s="258"/>
      <c r="BE41" s="258"/>
      <c r="BF41" s="258"/>
      <c r="BG41" s="258">
        <f t="shared" si="24"/>
        <v>192407.47999999995</v>
      </c>
      <c r="BH41" s="108">
        <f t="shared" si="31"/>
        <v>28</v>
      </c>
      <c r="BI41" s="108">
        <f t="shared" si="26"/>
        <v>28</v>
      </c>
      <c r="BJ41" s="22">
        <f t="shared" si="27"/>
        <v>45448</v>
      </c>
      <c r="BK41" s="108">
        <f t="shared" si="9"/>
        <v>7860</v>
      </c>
    </row>
    <row r="42" spans="1:1217" s="16" customFormat="1" ht="18.75" customHeight="1" x14ac:dyDescent="0.3">
      <c r="A42" s="980" t="s">
        <v>316</v>
      </c>
      <c r="B42" s="488" t="s">
        <v>296</v>
      </c>
      <c r="C42" s="474">
        <v>10000</v>
      </c>
      <c r="D42" s="472">
        <f>IF($C$36="Да",C42*(1%+1%),C42*(1%+0%))</f>
        <v>200</v>
      </c>
      <c r="E42" s="471" t="s">
        <v>300</v>
      </c>
      <c r="F42" s="178"/>
      <c r="G42" s="244">
        <f t="shared" si="28"/>
        <v>34</v>
      </c>
      <c r="H42" s="245">
        <f t="shared" si="1"/>
        <v>45478</v>
      </c>
      <c r="I42" s="246">
        <f t="shared" si="44"/>
        <v>9.9000000000000005E-2</v>
      </c>
      <c r="J42" s="242">
        <f t="shared" si="11"/>
        <v>7860</v>
      </c>
      <c r="K42" s="242">
        <f t="shared" si="42"/>
        <v>7860</v>
      </c>
      <c r="L42" s="242">
        <f t="shared" si="36"/>
        <v>1721.79</v>
      </c>
      <c r="M42" s="242">
        <f t="shared" si="13"/>
        <v>6138.21</v>
      </c>
      <c r="N42" s="242">
        <f t="shared" si="46"/>
        <v>0</v>
      </c>
      <c r="O42" s="242">
        <v>0</v>
      </c>
      <c r="P42" s="242">
        <f t="shared" si="25"/>
        <v>1721.79</v>
      </c>
      <c r="Q42" s="242">
        <f t="shared" si="33"/>
        <v>0</v>
      </c>
      <c r="R42" s="242">
        <f t="shared" si="15"/>
        <v>0</v>
      </c>
      <c r="S42" s="242">
        <f t="shared" si="16"/>
        <v>206042.18</v>
      </c>
      <c r="T42" s="467"/>
      <c r="U42" s="198">
        <f t="shared" si="29"/>
        <v>27</v>
      </c>
      <c r="V42" s="36">
        <f t="shared" si="17"/>
        <v>27</v>
      </c>
      <c r="W42" s="2"/>
      <c r="X42" s="18">
        <f>K8</f>
        <v>-359400</v>
      </c>
      <c r="Y42" s="57">
        <f>H8</f>
        <v>44441</v>
      </c>
      <c r="Z42" s="2"/>
      <c r="AA42" s="2"/>
      <c r="AB42" s="2"/>
      <c r="AF42" s="2"/>
      <c r="AG42" s="2"/>
      <c r="AH42" s="2"/>
      <c r="AI42" s="2"/>
      <c r="AJ42" s="2"/>
      <c r="AK42" s="57"/>
      <c r="AL42" s="2"/>
      <c r="AM42" s="15"/>
      <c r="AN42" s="15"/>
      <c r="AO42" s="130">
        <f t="shared" si="18"/>
        <v>1</v>
      </c>
      <c r="AP42" s="261">
        <f t="shared" si="30"/>
        <v>34</v>
      </c>
      <c r="AQ42" s="262">
        <f t="shared" si="4"/>
        <v>45478</v>
      </c>
      <c r="AR42" s="263">
        <f t="shared" si="43"/>
        <v>0.13900000000000001</v>
      </c>
      <c r="AS42" s="258">
        <f t="shared" si="19"/>
        <v>8360</v>
      </c>
      <c r="AT42" s="258">
        <f t="shared" si="47"/>
        <v>8360</v>
      </c>
      <c r="AU42" s="258">
        <f t="shared" si="20"/>
        <v>2192.1799999999998</v>
      </c>
      <c r="AV42" s="258">
        <f t="shared" si="21"/>
        <v>6167.82</v>
      </c>
      <c r="AW42" s="258">
        <f t="shared" si="48"/>
        <v>0</v>
      </c>
      <c r="AX42" s="258">
        <v>0</v>
      </c>
      <c r="AY42" s="258">
        <f t="shared" si="22"/>
        <v>2192.1799999999998</v>
      </c>
      <c r="AZ42" s="258">
        <f t="shared" si="38"/>
        <v>0</v>
      </c>
      <c r="BA42" s="258">
        <f t="shared" si="37"/>
        <v>0</v>
      </c>
      <c r="BB42" s="258"/>
      <c r="BC42" s="258"/>
      <c r="BD42" s="258"/>
      <c r="BE42" s="258"/>
      <c r="BF42" s="258"/>
      <c r="BG42" s="258">
        <f t="shared" si="24"/>
        <v>186239.65999999995</v>
      </c>
      <c r="BH42" s="108">
        <f t="shared" si="31"/>
        <v>27</v>
      </c>
      <c r="BI42" s="108">
        <f t="shared" si="26"/>
        <v>27</v>
      </c>
      <c r="BJ42" s="22">
        <f t="shared" si="27"/>
        <v>45478</v>
      </c>
      <c r="BK42" s="108">
        <f t="shared" si="9"/>
        <v>7860</v>
      </c>
    </row>
    <row r="43" spans="1:1217" s="16" customFormat="1" x14ac:dyDescent="0.3">
      <c r="A43" s="981"/>
      <c r="B43" s="347" t="s">
        <v>297</v>
      </c>
      <c r="C43" s="474">
        <v>5000</v>
      </c>
      <c r="D43" s="472">
        <f>IF($C$36="Да",C43*(1%+3%),C43*(1%+0%))</f>
        <v>200</v>
      </c>
      <c r="E43" s="471" t="s">
        <v>300</v>
      </c>
      <c r="F43" s="178"/>
      <c r="G43" s="244">
        <f t="shared" si="28"/>
        <v>35</v>
      </c>
      <c r="H43" s="245">
        <f t="shared" si="1"/>
        <v>45509</v>
      </c>
      <c r="I43" s="246">
        <f t="shared" si="44"/>
        <v>9.9000000000000005E-2</v>
      </c>
      <c r="J43" s="242">
        <f t="shared" si="11"/>
        <v>7860</v>
      </c>
      <c r="K43" s="242">
        <f t="shared" si="42"/>
        <v>7860</v>
      </c>
      <c r="L43" s="242">
        <f t="shared" si="36"/>
        <v>1727.71</v>
      </c>
      <c r="M43" s="242">
        <f t="shared" si="13"/>
        <v>6132.29</v>
      </c>
      <c r="N43" s="242">
        <f t="shared" si="46"/>
        <v>0</v>
      </c>
      <c r="O43" s="242">
        <v>0</v>
      </c>
      <c r="P43" s="242">
        <f t="shared" si="25"/>
        <v>1727.71</v>
      </c>
      <c r="Q43" s="242">
        <f t="shared" si="33"/>
        <v>0</v>
      </c>
      <c r="R43" s="242">
        <f t="shared" si="15"/>
        <v>0</v>
      </c>
      <c r="S43" s="242">
        <f t="shared" si="16"/>
        <v>199909.88999999998</v>
      </c>
      <c r="T43" s="467"/>
      <c r="U43" s="198">
        <f t="shared" si="29"/>
        <v>26</v>
      </c>
      <c r="V43" s="36">
        <f t="shared" si="17"/>
        <v>26</v>
      </c>
      <c r="X43" s="34">
        <f>IF(OR(C8="Гарантия стандарт",C8="Гарантия пакет"),AH65*AH79*$C$10,0)</f>
        <v>0</v>
      </c>
      <c r="Y43" s="57">
        <f>H8</f>
        <v>44441</v>
      </c>
      <c r="Z43" s="5" t="s">
        <v>11</v>
      </c>
      <c r="AA43" s="4"/>
      <c r="AB43" s="37"/>
      <c r="AF43" s="2"/>
      <c r="AG43" s="2"/>
      <c r="AH43" s="2"/>
      <c r="AI43" s="2"/>
      <c r="AJ43" s="2"/>
      <c r="AK43" s="57"/>
      <c r="AL43" s="2"/>
      <c r="AM43" s="15"/>
      <c r="AN43" s="15"/>
      <c r="AO43" s="130">
        <f t="shared" si="18"/>
        <v>1</v>
      </c>
      <c r="AP43" s="261">
        <f t="shared" si="30"/>
        <v>35</v>
      </c>
      <c r="AQ43" s="262">
        <f t="shared" si="4"/>
        <v>45509</v>
      </c>
      <c r="AR43" s="263">
        <f t="shared" si="43"/>
        <v>0.13900000000000001</v>
      </c>
      <c r="AS43" s="258">
        <f t="shared" si="19"/>
        <v>8360</v>
      </c>
      <c r="AT43" s="258">
        <f t="shared" si="47"/>
        <v>8360</v>
      </c>
      <c r="AU43" s="258">
        <f t="shared" si="20"/>
        <v>2192.64</v>
      </c>
      <c r="AV43" s="258">
        <f t="shared" si="21"/>
        <v>6167.3600000000006</v>
      </c>
      <c r="AW43" s="258">
        <f t="shared" si="48"/>
        <v>0</v>
      </c>
      <c r="AX43" s="258">
        <v>0</v>
      </c>
      <c r="AY43" s="258">
        <f t="shared" si="22"/>
        <v>2192.64</v>
      </c>
      <c r="AZ43" s="258">
        <f t="shared" si="38"/>
        <v>0</v>
      </c>
      <c r="BA43" s="258">
        <f t="shared" si="37"/>
        <v>0</v>
      </c>
      <c r="BB43" s="258"/>
      <c r="BC43" s="258"/>
      <c r="BD43" s="258"/>
      <c r="BE43" s="258"/>
      <c r="BF43" s="258"/>
      <c r="BG43" s="258">
        <f t="shared" si="24"/>
        <v>180072.29999999993</v>
      </c>
      <c r="BH43" s="108">
        <f t="shared" si="31"/>
        <v>26</v>
      </c>
      <c r="BI43" s="108">
        <f t="shared" si="26"/>
        <v>26</v>
      </c>
      <c r="BJ43" s="22">
        <f t="shared" si="27"/>
        <v>45509</v>
      </c>
      <c r="BK43" s="108">
        <f t="shared" si="9"/>
        <v>7860</v>
      </c>
    </row>
    <row r="44" spans="1:1217" s="16" customFormat="1" ht="15.75" customHeight="1" thickBot="1" x14ac:dyDescent="0.35">
      <c r="A44" s="981"/>
      <c r="B44" s="347" t="s">
        <v>298</v>
      </c>
      <c r="C44" s="474">
        <v>5000</v>
      </c>
      <c r="D44" s="472">
        <f>IF($C$36="Да",C44*(1%+3%),C44*(1%+0%))</f>
        <v>200</v>
      </c>
      <c r="E44" s="471" t="s">
        <v>300</v>
      </c>
      <c r="F44" s="178"/>
      <c r="G44" s="248">
        <f t="shared" si="28"/>
        <v>36</v>
      </c>
      <c r="H44" s="249">
        <f t="shared" si="1"/>
        <v>45540</v>
      </c>
      <c r="I44" s="250">
        <f t="shared" si="44"/>
        <v>9.9000000000000005E-2</v>
      </c>
      <c r="J44" s="252">
        <f t="shared" si="11"/>
        <v>7860</v>
      </c>
      <c r="K44" s="252">
        <f t="shared" si="42"/>
        <v>7860</v>
      </c>
      <c r="L44" s="252">
        <f t="shared" si="36"/>
        <v>1676.29</v>
      </c>
      <c r="M44" s="252">
        <f t="shared" si="13"/>
        <v>6183.71</v>
      </c>
      <c r="N44" s="252">
        <f t="shared" si="46"/>
        <v>0</v>
      </c>
      <c r="O44" s="252">
        <v>0</v>
      </c>
      <c r="P44" s="252">
        <f t="shared" si="25"/>
        <v>1676.29</v>
      </c>
      <c r="Q44" s="252">
        <f t="shared" si="33"/>
        <v>0</v>
      </c>
      <c r="R44" s="252">
        <f t="shared" si="15"/>
        <v>0</v>
      </c>
      <c r="S44" s="252">
        <f t="shared" si="16"/>
        <v>193726.18</v>
      </c>
      <c r="T44" s="468"/>
      <c r="U44" s="198">
        <f t="shared" si="29"/>
        <v>25</v>
      </c>
      <c r="V44" s="36">
        <f t="shared" si="17"/>
        <v>25</v>
      </c>
      <c r="W44" s="2">
        <f>IF(AND(G9&gt;=$W$9,G9&lt;=$W$9+5),0,IF($C$9&gt;$AF$51,ROUND(S8*#REF!/(DATEVALUE(CONCATENATE("01/01/",YEAR(H9)+1))-DATEVALUE(CONCATENATE("01/01/",YEAR(H9))))*(H9-H8),2),0))</f>
        <v>0</v>
      </c>
      <c r="X44" s="34">
        <f>K9</f>
        <v>0</v>
      </c>
      <c r="Y44" s="57">
        <f>Y43+365</f>
        <v>44806</v>
      </c>
      <c r="Z44" s="8" t="s">
        <v>10</v>
      </c>
      <c r="AA44" s="8"/>
      <c r="AB44" s="37"/>
      <c r="AF44" s="3"/>
      <c r="AG44" s="3"/>
      <c r="AH44" s="3"/>
      <c r="AI44" s="2"/>
      <c r="AJ44" s="2"/>
      <c r="AK44" s="57"/>
      <c r="AL44" s="2"/>
      <c r="AM44" s="15"/>
      <c r="AN44" s="3"/>
      <c r="AO44" s="130">
        <f t="shared" si="18"/>
        <v>1</v>
      </c>
      <c r="AP44" s="261">
        <f t="shared" si="30"/>
        <v>36</v>
      </c>
      <c r="AQ44" s="262">
        <f t="shared" si="4"/>
        <v>45540</v>
      </c>
      <c r="AR44" s="263">
        <f t="shared" si="43"/>
        <v>0.13900000000000001</v>
      </c>
      <c r="AS44" s="258">
        <f t="shared" si="19"/>
        <v>8360</v>
      </c>
      <c r="AT44" s="258">
        <f t="shared" si="47"/>
        <v>8360</v>
      </c>
      <c r="AU44" s="258">
        <f t="shared" si="20"/>
        <v>2120.0300000000002</v>
      </c>
      <c r="AV44" s="258">
        <f t="shared" si="21"/>
        <v>6239.9699999999993</v>
      </c>
      <c r="AW44" s="258">
        <f t="shared" si="48"/>
        <v>0</v>
      </c>
      <c r="AX44" s="258">
        <v>0</v>
      </c>
      <c r="AY44" s="258">
        <f t="shared" si="22"/>
        <v>2120.0300000000002</v>
      </c>
      <c r="AZ44" s="258">
        <f t="shared" si="38"/>
        <v>0</v>
      </c>
      <c r="BA44" s="258">
        <f t="shared" si="37"/>
        <v>0</v>
      </c>
      <c r="BB44" s="258"/>
      <c r="BC44" s="258"/>
      <c r="BD44" s="258"/>
      <c r="BE44" s="258"/>
      <c r="BF44" s="258"/>
      <c r="BG44" s="258">
        <f t="shared" si="24"/>
        <v>173832.32999999993</v>
      </c>
      <c r="BH44" s="108">
        <f t="shared" si="31"/>
        <v>25</v>
      </c>
      <c r="BI44" s="108">
        <f t="shared" si="26"/>
        <v>25</v>
      </c>
      <c r="BJ44" s="22">
        <f t="shared" si="27"/>
        <v>45540</v>
      </c>
      <c r="BK44" s="108">
        <f t="shared" si="9"/>
        <v>7860</v>
      </c>
    </row>
    <row r="45" spans="1:1217" s="16" customFormat="1" ht="16.95" customHeight="1" x14ac:dyDescent="0.3">
      <c r="A45" s="981"/>
      <c r="B45" s="347" t="s">
        <v>299</v>
      </c>
      <c r="C45" s="474">
        <v>10000</v>
      </c>
      <c r="D45" s="472">
        <f>IF($C$36="Да",C45*(3%+1%),C45*(3%+0%))</f>
        <v>400</v>
      </c>
      <c r="E45" s="471" t="s">
        <v>300</v>
      </c>
      <c r="F45" s="178"/>
      <c r="G45" s="244">
        <f t="shared" si="28"/>
        <v>37</v>
      </c>
      <c r="H45" s="245">
        <f t="shared" si="1"/>
        <v>45570</v>
      </c>
      <c r="I45" s="246">
        <f>IF(AND($C$16="Да",$C$8&lt;&gt;"Нет"),$AG$39,$C$13)</f>
        <v>9.9000000000000005E-2</v>
      </c>
      <c r="J45" s="242">
        <f t="shared" si="11"/>
        <v>7860</v>
      </c>
      <c r="K45" s="242">
        <f t="shared" ref="K45:K56" si="49">IF(AND(G45&gt;=$W$9,G45&lt;=$W$9+5),$W$10,IF(AND(S44+N45+L45&gt;K44,K44&lt;&gt;0),IF(AND($C$16="Да",$C$8&lt;&gt;"Нет"),$AF$39,$C$23),IF(S44=0,0,S44+N45+L45+L46)))</f>
        <v>7860</v>
      </c>
      <c r="L45" s="242">
        <f t="shared" si="36"/>
        <v>1572.04</v>
      </c>
      <c r="M45" s="242">
        <f t="shared" si="13"/>
        <v>6287.96</v>
      </c>
      <c r="N45" s="242">
        <f t="shared" si="46"/>
        <v>0</v>
      </c>
      <c r="O45" s="242">
        <v>0</v>
      </c>
      <c r="P45" s="242">
        <f t="shared" si="25"/>
        <v>1572.04</v>
      </c>
      <c r="Q45" s="242">
        <f t="shared" si="33"/>
        <v>0</v>
      </c>
      <c r="R45" s="242">
        <f t="shared" si="15"/>
        <v>0</v>
      </c>
      <c r="S45" s="242">
        <f t="shared" si="16"/>
        <v>187438.22</v>
      </c>
      <c r="T45" s="467"/>
      <c r="U45" s="198">
        <f t="shared" si="29"/>
        <v>24</v>
      </c>
      <c r="V45" s="36">
        <f t="shared" si="17"/>
        <v>24</v>
      </c>
      <c r="W45" s="2">
        <f>IF(AND(G10&gt;=$W$9,G10&lt;=$W$9+5),0,IF($C$9&gt;$AF$51,ROUND(S9*#REF!/(DATEVALUE(CONCATENATE("01/01/",YEAR(H10)+1))-DATEVALUE(CONCATENATE("01/01/",YEAR(H10))))*(H10-H9),2),0))</f>
        <v>0</v>
      </c>
      <c r="X45" s="34">
        <f>IF(K10 &gt; 0, K10, 0)</f>
        <v>0</v>
      </c>
      <c r="Y45" s="57">
        <f t="shared" ref="Y45:Y108" si="50">Y44+365</f>
        <v>45171</v>
      </c>
      <c r="Z45" s="8" t="s">
        <v>8</v>
      </c>
      <c r="AA45" s="8"/>
      <c r="AB45" s="37"/>
      <c r="AF45" s="3"/>
      <c r="AG45" s="3"/>
      <c r="AH45" s="3"/>
      <c r="AI45" s="2"/>
      <c r="AJ45" s="2"/>
      <c r="AK45" s="57"/>
      <c r="AL45" s="2"/>
      <c r="AM45" s="3"/>
      <c r="AO45" s="130">
        <f t="shared" si="18"/>
        <v>1</v>
      </c>
      <c r="AP45" s="261">
        <f t="shared" si="30"/>
        <v>37</v>
      </c>
      <c r="AQ45" s="262">
        <f t="shared" si="4"/>
        <v>45570</v>
      </c>
      <c r="AR45" s="263">
        <f t="shared" ref="AR45:AR56" si="51">IF($D$16="Да",$AM$39,$D$13)</f>
        <v>0.13900000000000001</v>
      </c>
      <c r="AS45" s="258">
        <f t="shared" si="19"/>
        <v>8360</v>
      </c>
      <c r="AT45" s="258">
        <f t="shared" si="47"/>
        <v>8360</v>
      </c>
      <c r="AU45" s="258">
        <f t="shared" si="20"/>
        <v>1980.55</v>
      </c>
      <c r="AV45" s="258">
        <f t="shared" si="21"/>
        <v>6379.45</v>
      </c>
      <c r="AW45" s="258">
        <f t="shared" si="48"/>
        <v>0</v>
      </c>
      <c r="AX45" s="258">
        <v>0</v>
      </c>
      <c r="AY45" s="258">
        <f t="shared" si="22"/>
        <v>1980.55</v>
      </c>
      <c r="AZ45" s="258">
        <f t="shared" si="38"/>
        <v>0</v>
      </c>
      <c r="BA45" s="258">
        <f t="shared" si="37"/>
        <v>0</v>
      </c>
      <c r="BB45" s="258"/>
      <c r="BC45" s="258"/>
      <c r="BD45" s="258"/>
      <c r="BE45" s="258"/>
      <c r="BF45" s="258"/>
      <c r="BG45" s="258">
        <f t="shared" si="24"/>
        <v>167452.87999999992</v>
      </c>
      <c r="BH45" s="108">
        <f t="shared" si="31"/>
        <v>24</v>
      </c>
      <c r="BI45" s="108">
        <f t="shared" si="26"/>
        <v>24</v>
      </c>
      <c r="BJ45" s="22">
        <f t="shared" si="27"/>
        <v>45570</v>
      </c>
      <c r="BK45" s="108">
        <f t="shared" si="9"/>
        <v>7860</v>
      </c>
    </row>
    <row r="46" spans="1:1217" s="16" customFormat="1" ht="41.25" customHeight="1" x14ac:dyDescent="0.3">
      <c r="A46" s="976" t="s">
        <v>314</v>
      </c>
      <c r="B46" s="848"/>
      <c r="C46" s="982" t="str">
        <f>CONCATENATE(MIN((C42*1%+C43*1%+C44*1%+C45*3%),IF(C17="Серебряный",10000,IF(C17="Золотой",15000,IF(C17="Платиновый",20000,""))))+MIN((C42*1%+C43*3%+C44*3%+C45*1%),5000)," рублей")</f>
        <v>1000 рублей</v>
      </c>
      <c r="D46" s="982"/>
      <c r="E46" s="993"/>
      <c r="F46" s="178"/>
      <c r="G46" s="244">
        <f t="shared" si="28"/>
        <v>38</v>
      </c>
      <c r="H46" s="245">
        <f t="shared" si="1"/>
        <v>45601</v>
      </c>
      <c r="I46" s="246">
        <f t="shared" ref="I46:I56" si="52">IF(AND($C$16="Да",$C$8&lt;&gt;"Нет"),$AG$39,$C$13)</f>
        <v>9.9000000000000005E-2</v>
      </c>
      <c r="J46" s="242">
        <f t="shared" si="11"/>
        <v>7860</v>
      </c>
      <c r="K46" s="242">
        <f t="shared" si="49"/>
        <v>7860</v>
      </c>
      <c r="L46" s="242">
        <f t="shared" si="36"/>
        <v>1571.72</v>
      </c>
      <c r="M46" s="242">
        <f t="shared" si="13"/>
        <v>6288.28</v>
      </c>
      <c r="N46" s="242">
        <f t="shared" si="46"/>
        <v>0</v>
      </c>
      <c r="O46" s="242">
        <v>0</v>
      </c>
      <c r="P46" s="242">
        <f t="shared" si="25"/>
        <v>1571.72</v>
      </c>
      <c r="Q46" s="242">
        <f t="shared" si="33"/>
        <v>0</v>
      </c>
      <c r="R46" s="242">
        <f t="shared" si="15"/>
        <v>0</v>
      </c>
      <c r="S46" s="242">
        <f t="shared" si="16"/>
        <v>181149.94</v>
      </c>
      <c r="T46" s="467"/>
      <c r="U46" s="198">
        <f t="shared" si="29"/>
        <v>23</v>
      </c>
      <c r="V46" s="36">
        <f t="shared" si="17"/>
        <v>23</v>
      </c>
      <c r="W46" s="2">
        <f>IF(AND(G11&gt;=$W$9,G11&lt;=$W$9+5),0,IF($C$9&gt;$AF$51,ROUND(S10*#REF!/(DATEVALUE(CONCATENATE("01/01/",YEAR(H11)+1))-DATEVALUE(CONCATENATE("01/01/",YEAR(H11))))*(H11-H10),2),0))</f>
        <v>0</v>
      </c>
      <c r="X46" s="34">
        <f t="shared" ref="X46:X109" si="53">IF(K11 &gt; 0, K11, 0)</f>
        <v>0</v>
      </c>
      <c r="Y46" s="57">
        <f t="shared" si="50"/>
        <v>45536</v>
      </c>
      <c r="Z46" s="5" t="s">
        <v>1</v>
      </c>
      <c r="AA46" s="8"/>
      <c r="AB46" s="40"/>
      <c r="AC46" s="2"/>
      <c r="AD46" s="2"/>
      <c r="AE46" s="3"/>
      <c r="AF46" s="3"/>
      <c r="AG46" s="3"/>
      <c r="AH46" s="3"/>
      <c r="AI46" s="2"/>
      <c r="AJ46" s="2"/>
      <c r="AK46" s="57"/>
      <c r="AL46" s="2"/>
      <c r="AM46" s="18">
        <f>AT8</f>
        <v>-359400</v>
      </c>
      <c r="AN46" s="57">
        <f>AQ8</f>
        <v>44441</v>
      </c>
      <c r="AO46" s="130">
        <f t="shared" si="18"/>
        <v>1</v>
      </c>
      <c r="AP46" s="261">
        <f t="shared" si="30"/>
        <v>38</v>
      </c>
      <c r="AQ46" s="262">
        <f t="shared" si="4"/>
        <v>45601</v>
      </c>
      <c r="AR46" s="263">
        <f t="shared" si="51"/>
        <v>0.13900000000000001</v>
      </c>
      <c r="AS46" s="258">
        <f t="shared" si="19"/>
        <v>8360</v>
      </c>
      <c r="AT46" s="258">
        <f t="shared" si="47"/>
        <v>8360</v>
      </c>
      <c r="AU46" s="258">
        <f t="shared" si="20"/>
        <v>1971.46</v>
      </c>
      <c r="AV46" s="258">
        <f t="shared" si="21"/>
        <v>6388.54</v>
      </c>
      <c r="AW46" s="258">
        <f t="shared" si="48"/>
        <v>0</v>
      </c>
      <c r="AX46" s="258">
        <v>0</v>
      </c>
      <c r="AY46" s="258">
        <f t="shared" si="22"/>
        <v>1971.46</v>
      </c>
      <c r="AZ46" s="258">
        <f t="shared" si="38"/>
        <v>0</v>
      </c>
      <c r="BA46" s="258">
        <f t="shared" si="37"/>
        <v>0</v>
      </c>
      <c r="BB46" s="258"/>
      <c r="BC46" s="258"/>
      <c r="BD46" s="258"/>
      <c r="BE46" s="258"/>
      <c r="BF46" s="258"/>
      <c r="BG46" s="258">
        <f t="shared" si="24"/>
        <v>161064.33999999991</v>
      </c>
      <c r="BH46" s="108">
        <f t="shared" si="31"/>
        <v>23</v>
      </c>
      <c r="BI46" s="108">
        <f t="shared" si="26"/>
        <v>23</v>
      </c>
      <c r="BJ46" s="22">
        <f t="shared" si="27"/>
        <v>45601</v>
      </c>
      <c r="BK46" s="108">
        <f t="shared" si="9"/>
        <v>7860</v>
      </c>
    </row>
    <row r="47" spans="1:1217" s="16" customFormat="1" ht="30.75" customHeight="1" x14ac:dyDescent="0.3">
      <c r="A47" s="995" t="s">
        <v>301</v>
      </c>
      <c r="B47" s="995"/>
      <c r="C47" s="995"/>
      <c r="D47" s="495"/>
      <c r="E47" s="495"/>
      <c r="F47" s="178"/>
      <c r="G47" s="244">
        <f t="shared" si="28"/>
        <v>39</v>
      </c>
      <c r="H47" s="245">
        <f t="shared" si="1"/>
        <v>45631</v>
      </c>
      <c r="I47" s="246">
        <f t="shared" si="52"/>
        <v>9.9000000000000005E-2</v>
      </c>
      <c r="J47" s="242">
        <f t="shared" si="11"/>
        <v>7860</v>
      </c>
      <c r="K47" s="242">
        <f t="shared" si="49"/>
        <v>7860</v>
      </c>
      <c r="L47" s="242">
        <f t="shared" si="36"/>
        <v>1469.99</v>
      </c>
      <c r="M47" s="242">
        <f t="shared" si="13"/>
        <v>6390.01</v>
      </c>
      <c r="N47" s="242">
        <f t="shared" si="46"/>
        <v>0</v>
      </c>
      <c r="O47" s="242">
        <v>0</v>
      </c>
      <c r="P47" s="242">
        <f t="shared" si="25"/>
        <v>1469.99</v>
      </c>
      <c r="Q47" s="242">
        <f t="shared" si="33"/>
        <v>0</v>
      </c>
      <c r="R47" s="242">
        <f t="shared" si="15"/>
        <v>0</v>
      </c>
      <c r="S47" s="242">
        <f t="shared" si="16"/>
        <v>174759.93</v>
      </c>
      <c r="T47" s="467"/>
      <c r="U47" s="198">
        <f t="shared" si="29"/>
        <v>22</v>
      </c>
      <c r="V47" s="36">
        <f t="shared" si="17"/>
        <v>22</v>
      </c>
      <c r="W47" s="2">
        <f>IF(AND(G12&gt;=$W$9,G12&lt;=$W$9+5),0,IF($C$9&gt;$AF$51,ROUND(S11*#REF!/(DATEVALUE(CONCATENATE("01/01/",YEAR(H12)+1))-DATEVALUE(CONCATENATE("01/01/",YEAR(H12))))*(H12-H11),2),0))</f>
        <v>0</v>
      </c>
      <c r="X47" s="34">
        <f t="shared" si="53"/>
        <v>0</v>
      </c>
      <c r="Y47" s="57">
        <f t="shared" si="50"/>
        <v>45901</v>
      </c>
      <c r="Z47" s="5" t="s">
        <v>42</v>
      </c>
      <c r="AA47" s="8"/>
      <c r="AB47" s="17">
        <f>AC51/C7</f>
        <v>0.66976716666666636</v>
      </c>
      <c r="AC47" s="38">
        <v>0</v>
      </c>
      <c r="AD47" s="1" t="s">
        <v>20</v>
      </c>
      <c r="AE47" s="6" t="s">
        <v>15</v>
      </c>
      <c r="AF47" s="6"/>
      <c r="AG47" s="6">
        <f>IF(S8&gt;=200000,10,1)</f>
        <v>10</v>
      </c>
      <c r="AH47" s="27">
        <v>41274</v>
      </c>
      <c r="AI47" s="2">
        <v>6</v>
      </c>
      <c r="AJ47" s="2"/>
      <c r="AK47" s="2"/>
      <c r="AM47" s="34">
        <f>IF(OR(D8="Гарантия стандарт",D8="Гарантия пакет"),AH65*AH79*$C$10,0)</f>
        <v>0</v>
      </c>
      <c r="AN47" s="57">
        <f>AQ8</f>
        <v>44441</v>
      </c>
      <c r="AO47" s="130">
        <f t="shared" si="18"/>
        <v>1</v>
      </c>
      <c r="AP47" s="261">
        <f t="shared" si="30"/>
        <v>39</v>
      </c>
      <c r="AQ47" s="262">
        <f t="shared" si="4"/>
        <v>45631</v>
      </c>
      <c r="AR47" s="263">
        <f t="shared" si="51"/>
        <v>0.13900000000000001</v>
      </c>
      <c r="AS47" s="258">
        <f t="shared" si="19"/>
        <v>8360</v>
      </c>
      <c r="AT47" s="258">
        <f t="shared" si="47"/>
        <v>8360</v>
      </c>
      <c r="AU47" s="258">
        <f t="shared" si="20"/>
        <v>1835.08</v>
      </c>
      <c r="AV47" s="258">
        <f t="shared" si="21"/>
        <v>6524.92</v>
      </c>
      <c r="AW47" s="258">
        <f t="shared" si="48"/>
        <v>0</v>
      </c>
      <c r="AX47" s="258">
        <v>0</v>
      </c>
      <c r="AY47" s="258">
        <f t="shared" si="22"/>
        <v>1835.08</v>
      </c>
      <c r="AZ47" s="258">
        <f t="shared" si="38"/>
        <v>0</v>
      </c>
      <c r="BA47" s="258">
        <f t="shared" si="37"/>
        <v>0</v>
      </c>
      <c r="BB47" s="258"/>
      <c r="BC47" s="258"/>
      <c r="BD47" s="258"/>
      <c r="BE47" s="258"/>
      <c r="BF47" s="258"/>
      <c r="BG47" s="258">
        <f t="shared" si="24"/>
        <v>154539.4199999999</v>
      </c>
      <c r="BH47" s="108">
        <f t="shared" si="31"/>
        <v>22</v>
      </c>
      <c r="BI47" s="108">
        <f t="shared" si="26"/>
        <v>22</v>
      </c>
      <c r="BJ47" s="22">
        <f t="shared" si="27"/>
        <v>45631</v>
      </c>
      <c r="BK47" s="108">
        <f t="shared" si="9"/>
        <v>7860</v>
      </c>
    </row>
    <row r="48" spans="1:1217" s="16" customFormat="1" ht="44.25" customHeight="1" x14ac:dyDescent="0.3">
      <c r="A48" s="986" t="s">
        <v>308</v>
      </c>
      <c r="B48" s="987"/>
      <c r="C48" s="988" t="str">
        <f>CONCATENATE(ROUND(D32-C32,0)+MIN((C37*1%+C38*1%+C39*1%+C40*3%),IF($C$17="Серебряный",10000,IF($C$17="Золотой",15000,IF($C$17="Платиновый",20000,""))))+MIN((C37*1%+C38*3%+C39*3%+C40*1%),5000)+(MIN((C42*1%+C43*1%+C44*1%+C45*3%),IF(C17="Серебряный",10000,IF(C17="Золотой",15000,IF(C17="Платиновый",20000,""))))*13+MIN((C42*1%+C43*3%+C44*3%+C45*1%),5000)*13)," рублей")</f>
        <v>28098 рублей</v>
      </c>
      <c r="D48" s="988"/>
      <c r="E48" s="996"/>
      <c r="F48" s="178"/>
      <c r="G48" s="244">
        <f t="shared" si="28"/>
        <v>40</v>
      </c>
      <c r="H48" s="245">
        <f t="shared" si="1"/>
        <v>45662</v>
      </c>
      <c r="I48" s="246">
        <f t="shared" si="52"/>
        <v>9.9000000000000005E-2</v>
      </c>
      <c r="J48" s="242">
        <f t="shared" si="11"/>
        <v>7860</v>
      </c>
      <c r="K48" s="242">
        <f t="shared" si="49"/>
        <v>7860</v>
      </c>
      <c r="L48" s="242">
        <f t="shared" si="36"/>
        <v>1466.05</v>
      </c>
      <c r="M48" s="242">
        <f t="shared" si="13"/>
        <v>6393.95</v>
      </c>
      <c r="N48" s="242">
        <f t="shared" si="46"/>
        <v>0</v>
      </c>
      <c r="O48" s="242">
        <v>0</v>
      </c>
      <c r="P48" s="242">
        <f t="shared" si="25"/>
        <v>1466.05</v>
      </c>
      <c r="Q48" s="242">
        <f t="shared" si="33"/>
        <v>0</v>
      </c>
      <c r="R48" s="242">
        <f t="shared" si="15"/>
        <v>0</v>
      </c>
      <c r="S48" s="242">
        <f t="shared" si="16"/>
        <v>168365.97999999998</v>
      </c>
      <c r="T48" s="467"/>
      <c r="U48" s="198">
        <f t="shared" si="29"/>
        <v>21</v>
      </c>
      <c r="V48" s="36">
        <f t="shared" si="17"/>
        <v>21</v>
      </c>
      <c r="W48" s="2">
        <f>IF(AND(G13&gt;=$W$9,G13&lt;=$W$9+5),0,IF($C$9&gt;$AF$51,ROUND(S12*#REF!/(DATEVALUE(CONCATENATE("01/01/",YEAR(H13)+1))-DATEVALUE(CONCATENATE("01/01/",YEAR(H13))))*(H13-H12),2),0))</f>
        <v>0</v>
      </c>
      <c r="X48" s="34">
        <f t="shared" si="53"/>
        <v>0</v>
      </c>
      <c r="Y48" s="57">
        <f t="shared" si="50"/>
        <v>46266</v>
      </c>
      <c r="Z48" s="5"/>
      <c r="AA48" s="8"/>
      <c r="AB48" s="17">
        <f>IF(C8=AC59,AC65,IF(C8=AD59,AD65,IF(C8=AF59,AF65,IF(C8=AG59,AG65,IF(C8=AE59,AE65,IF(C8=AH59,AH65,IF(C8=AI59,AI65,IF(C8=AJ59,AJ65,Y23))))))))</f>
        <v>3.0000000000000001E-3</v>
      </c>
      <c r="AC48" s="39">
        <f>C7*(1-AC47)</f>
        <v>300000</v>
      </c>
      <c r="AD48" s="9" t="s">
        <v>29</v>
      </c>
      <c r="AE48" s="2" t="s">
        <v>17</v>
      </c>
      <c r="AF48" s="2"/>
      <c r="AG48" s="2">
        <v>7.4000000000000003E-3</v>
      </c>
      <c r="AH48" s="59">
        <v>41750</v>
      </c>
      <c r="AI48" s="2">
        <v>72</v>
      </c>
      <c r="AJ48" s="2"/>
      <c r="AK48" s="2"/>
      <c r="AL48" s="2" t="e">
        <f>IF(AND(Y5&gt;=$W$9,Y5&lt;=$W$9+5),0,IF($C$9&gt;$AF$51,ROUND(AI8*#REF!/(DATEVALUE(CONCATENATE("01/01/",YEAR(Z5)+1))-DATEVALUE(CONCATENATE("01/01/",YEAR(Z5))))*(Z5-Z4),2),0))</f>
        <v>#REF!</v>
      </c>
      <c r="AM48" s="34">
        <f>AT9</f>
        <v>8360</v>
      </c>
      <c r="AN48" s="57">
        <f>AN47+365</f>
        <v>44806</v>
      </c>
      <c r="AO48" s="130">
        <f t="shared" si="18"/>
        <v>1</v>
      </c>
      <c r="AP48" s="261">
        <f t="shared" si="30"/>
        <v>40</v>
      </c>
      <c r="AQ48" s="262">
        <f t="shared" si="4"/>
        <v>45662</v>
      </c>
      <c r="AR48" s="263">
        <f t="shared" si="51"/>
        <v>0.13900000000000001</v>
      </c>
      <c r="AS48" s="258">
        <f t="shared" si="19"/>
        <v>8360</v>
      </c>
      <c r="AT48" s="258">
        <f t="shared" si="47"/>
        <v>8360</v>
      </c>
      <c r="AU48" s="258">
        <f t="shared" si="20"/>
        <v>1820.23</v>
      </c>
      <c r="AV48" s="258">
        <f t="shared" si="21"/>
        <v>6539.77</v>
      </c>
      <c r="AW48" s="258">
        <f t="shared" si="48"/>
        <v>0</v>
      </c>
      <c r="AX48" s="258">
        <v>0</v>
      </c>
      <c r="AY48" s="258">
        <f t="shared" si="22"/>
        <v>1820.23</v>
      </c>
      <c r="AZ48" s="258">
        <f t="shared" si="38"/>
        <v>0</v>
      </c>
      <c r="BA48" s="258">
        <f t="shared" si="37"/>
        <v>0</v>
      </c>
      <c r="BB48" s="258"/>
      <c r="BC48" s="258"/>
      <c r="BD48" s="258"/>
      <c r="BE48" s="258"/>
      <c r="BF48" s="258"/>
      <c r="BG48" s="258">
        <f t="shared" si="24"/>
        <v>147999.64999999991</v>
      </c>
      <c r="BH48" s="108">
        <f t="shared" si="31"/>
        <v>21</v>
      </c>
      <c r="BI48" s="108">
        <f t="shared" si="26"/>
        <v>21</v>
      </c>
      <c r="BJ48" s="22">
        <f t="shared" si="27"/>
        <v>45662</v>
      </c>
      <c r="BK48" s="108">
        <f t="shared" si="9"/>
        <v>7860</v>
      </c>
    </row>
    <row r="49" spans="1:64" s="16" customFormat="1" ht="55.2" customHeight="1" x14ac:dyDescent="0.25">
      <c r="A49" s="883" t="s">
        <v>175</v>
      </c>
      <c r="B49" s="884"/>
      <c r="C49" s="884"/>
      <c r="D49" s="884"/>
      <c r="E49" s="885"/>
      <c r="F49" s="180"/>
      <c r="G49" s="244">
        <f t="shared" si="28"/>
        <v>41</v>
      </c>
      <c r="H49" s="245">
        <f t="shared" si="1"/>
        <v>45693</v>
      </c>
      <c r="I49" s="246">
        <f t="shared" si="52"/>
        <v>9.9000000000000005E-2</v>
      </c>
      <c r="J49" s="242">
        <f t="shared" si="11"/>
        <v>7860</v>
      </c>
      <c r="K49" s="242">
        <f t="shared" si="49"/>
        <v>7860</v>
      </c>
      <c r="L49" s="242">
        <f t="shared" si="36"/>
        <v>1415.66</v>
      </c>
      <c r="M49" s="242">
        <f t="shared" si="13"/>
        <v>6444.34</v>
      </c>
      <c r="N49" s="242">
        <f t="shared" si="46"/>
        <v>0</v>
      </c>
      <c r="O49" s="242">
        <v>0</v>
      </c>
      <c r="P49" s="242">
        <f t="shared" si="25"/>
        <v>1415.66</v>
      </c>
      <c r="Q49" s="242">
        <f t="shared" si="33"/>
        <v>0</v>
      </c>
      <c r="R49" s="242">
        <f t="shared" si="15"/>
        <v>0</v>
      </c>
      <c r="S49" s="242">
        <f t="shared" si="16"/>
        <v>161921.63999999998</v>
      </c>
      <c r="T49" s="467"/>
      <c r="U49" s="198">
        <f t="shared" si="29"/>
        <v>20</v>
      </c>
      <c r="V49" s="36">
        <f t="shared" si="17"/>
        <v>20</v>
      </c>
      <c r="W49" s="2">
        <f>IF(AND(G14&gt;=$W$9,G14&lt;=$W$9+5),0,IF($C$9&gt;$AF$51,ROUND(S13*#REF!/(DATEVALUE(CONCATENATE("01/01/",YEAR(H14)+1))-DATEVALUE(CONCATENATE("01/01/",YEAR(H14))))*(H14-H13),2),0))</f>
        <v>0</v>
      </c>
      <c r="X49" s="34">
        <f t="shared" si="53"/>
        <v>0</v>
      </c>
      <c r="Y49" s="57">
        <f t="shared" si="50"/>
        <v>46631</v>
      </c>
      <c r="Z49" s="2"/>
      <c r="AA49" s="2"/>
      <c r="AB49" s="15">
        <f>IF(D8=AC59,AC65,IF(D8=AD59,AD65,IF(D8=AF59,AF65,IF(D8=AG59,AG65,IF(D8=AE59,AE65,IF(D8=AH59,AH65,IF(D8=AI59,AI65,Y23)))))))</f>
        <v>3.0000000000000001E-3</v>
      </c>
      <c r="AC49" s="41">
        <f>ROUNDUP(C7*AD49,0)</f>
        <v>0</v>
      </c>
      <c r="AD49" s="12">
        <v>0</v>
      </c>
      <c r="AE49" s="1">
        <v>15000</v>
      </c>
      <c r="AF49" s="53">
        <v>41365</v>
      </c>
      <c r="AG49" s="1">
        <v>500</v>
      </c>
      <c r="AH49" s="2">
        <f>ROUNDUP(($AD$55)/AG47,0)*AG47</f>
        <v>8360</v>
      </c>
      <c r="AI49" s="2"/>
      <c r="AJ49" s="2"/>
      <c r="AK49" s="2"/>
      <c r="AL49" s="2" t="e">
        <f>IF(AND(Y6&gt;=$W$9,Y6&lt;=$W$9+5),0,IF($C$9&gt;$AF$51,ROUND(AI9*#REF!/(DATEVALUE(CONCATENATE("01/01/",YEAR(Z6)+1))-DATEVALUE(CONCATENATE("01/01/",YEAR(Z6))))*(Z6-Z5),2),0))</f>
        <v>#REF!</v>
      </c>
      <c r="AM49" s="34">
        <f>AT10</f>
        <v>8360</v>
      </c>
      <c r="AN49" s="57">
        <f t="shared" ref="AN49:AN112" si="54">AN48+365</f>
        <v>45171</v>
      </c>
      <c r="AO49" s="130">
        <f t="shared" si="18"/>
        <v>1</v>
      </c>
      <c r="AP49" s="261">
        <f t="shared" si="30"/>
        <v>41</v>
      </c>
      <c r="AQ49" s="262">
        <f t="shared" si="4"/>
        <v>45693</v>
      </c>
      <c r="AR49" s="263">
        <f t="shared" si="51"/>
        <v>0.13900000000000001</v>
      </c>
      <c r="AS49" s="258">
        <f t="shared" si="19"/>
        <v>8360</v>
      </c>
      <c r="AT49" s="258">
        <f t="shared" si="47"/>
        <v>8360</v>
      </c>
      <c r="AU49" s="258">
        <f t="shared" si="20"/>
        <v>1747.21</v>
      </c>
      <c r="AV49" s="258">
        <f t="shared" si="21"/>
        <v>6612.79</v>
      </c>
      <c r="AW49" s="258">
        <f t="shared" si="48"/>
        <v>0</v>
      </c>
      <c r="AX49" s="258">
        <v>0</v>
      </c>
      <c r="AY49" s="258">
        <f t="shared" si="22"/>
        <v>1747.21</v>
      </c>
      <c r="AZ49" s="258">
        <f t="shared" si="38"/>
        <v>0</v>
      </c>
      <c r="BA49" s="258">
        <f t="shared" si="37"/>
        <v>0</v>
      </c>
      <c r="BB49" s="258"/>
      <c r="BC49" s="258"/>
      <c r="BD49" s="258"/>
      <c r="BE49" s="258"/>
      <c r="BF49" s="258"/>
      <c r="BG49" s="258">
        <f t="shared" si="24"/>
        <v>141386.8599999999</v>
      </c>
      <c r="BH49" s="108">
        <f t="shared" si="31"/>
        <v>20</v>
      </c>
      <c r="BI49" s="108">
        <f t="shared" si="26"/>
        <v>20</v>
      </c>
      <c r="BJ49" s="22">
        <f t="shared" si="27"/>
        <v>45693</v>
      </c>
      <c r="BK49" s="108">
        <f t="shared" si="9"/>
        <v>7860</v>
      </c>
    </row>
    <row r="50" spans="1:64" s="16" customFormat="1" ht="55.5" customHeight="1" thickBot="1" x14ac:dyDescent="0.3">
      <c r="A50" s="847" t="s">
        <v>186</v>
      </c>
      <c r="B50" s="213" t="s">
        <v>180</v>
      </c>
      <c r="C50" s="191">
        <f>C32/($C$10/12)</f>
        <v>27166.394</v>
      </c>
      <c r="D50" s="191">
        <f>D32/($C$10/12)</f>
        <v>28306.029999999992</v>
      </c>
      <c r="E50" s="191">
        <f>C50-D50</f>
        <v>-1139.6359999999913</v>
      </c>
      <c r="F50" s="180"/>
      <c r="G50" s="244">
        <f t="shared" si="28"/>
        <v>42</v>
      </c>
      <c r="H50" s="245">
        <f t="shared" si="1"/>
        <v>45721</v>
      </c>
      <c r="I50" s="246">
        <f t="shared" si="52"/>
        <v>9.9000000000000005E-2</v>
      </c>
      <c r="J50" s="242">
        <f t="shared" si="11"/>
        <v>7860</v>
      </c>
      <c r="K50" s="242">
        <f t="shared" si="49"/>
        <v>7860</v>
      </c>
      <c r="L50" s="242">
        <f t="shared" si="36"/>
        <v>1229.72</v>
      </c>
      <c r="M50" s="242">
        <f t="shared" si="13"/>
        <v>6630.28</v>
      </c>
      <c r="N50" s="242">
        <f t="shared" si="46"/>
        <v>0</v>
      </c>
      <c r="O50" s="242">
        <v>0</v>
      </c>
      <c r="P50" s="242">
        <f t="shared" si="25"/>
        <v>1229.72</v>
      </c>
      <c r="Q50" s="242">
        <f t="shared" si="33"/>
        <v>0</v>
      </c>
      <c r="R50" s="242">
        <f t="shared" si="15"/>
        <v>0</v>
      </c>
      <c r="S50" s="242">
        <f t="shared" si="16"/>
        <v>155291.35999999999</v>
      </c>
      <c r="T50" s="467"/>
      <c r="U50" s="198">
        <f t="shared" si="29"/>
        <v>19</v>
      </c>
      <c r="V50" s="36">
        <f t="shared" si="17"/>
        <v>19</v>
      </c>
      <c r="W50" s="2" t="e">
        <f>IF(AND(G15&gt;=$W$9,G15&lt;=$W$9+5),0,IF($C$9&gt;$AF$51,ROUND(S14*#REF!/(DATEVALUE(CONCATENATE("01/01/",YEAR(H15)+1))-DATEVALUE(CONCATENATE("01/01/",YEAR(H15))))*(H15-H14),2),0))</f>
        <v>#REF!</v>
      </c>
      <c r="X50" s="34">
        <f t="shared" si="53"/>
        <v>7860</v>
      </c>
      <c r="Y50" s="57">
        <f t="shared" si="50"/>
        <v>46996</v>
      </c>
      <c r="Z50" s="6" t="s">
        <v>0</v>
      </c>
      <c r="AA50" s="6"/>
      <c r="AB50" s="6"/>
      <c r="AC50" s="42">
        <v>24</v>
      </c>
      <c r="AD50" s="14"/>
      <c r="AE50" s="1">
        <f>IF(C9&lt;AF49,300000,1000000)</f>
        <v>1000000</v>
      </c>
      <c r="AF50" s="53">
        <v>41501</v>
      </c>
      <c r="AG50" s="53">
        <v>41882</v>
      </c>
      <c r="AH50" s="2" t="e">
        <f>IF(C9&gt;AG50,XIRR(X43:X122,Y43:Y122)*12,XIRR(X43:X121,H8:H86))</f>
        <v>#NUM!</v>
      </c>
      <c r="AI50" s="2"/>
      <c r="AJ50" s="2"/>
      <c r="AK50" s="2"/>
      <c r="AL50" s="2" t="e">
        <f>IF(AND(#REF!&gt;=$W$9,#REF!&lt;=$W$9+5),0,IF($C$9&gt;$AF$51,ROUND(AI10*#REF!/(DATEVALUE(CONCATENATE("01/01/",YEAR(#REF!)+1))-DATEVALUE(CONCATENATE("01/01/",YEAR(#REF!))))*(#REF!-Z6),2),0))</f>
        <v>#REF!</v>
      </c>
      <c r="AM50" s="34">
        <f t="shared" ref="AM50:AM113" si="55">AT11</f>
        <v>8360</v>
      </c>
      <c r="AN50" s="57">
        <f t="shared" si="54"/>
        <v>45536</v>
      </c>
      <c r="AO50" s="130">
        <f t="shared" si="18"/>
        <v>1</v>
      </c>
      <c r="AP50" s="261">
        <f t="shared" si="30"/>
        <v>42</v>
      </c>
      <c r="AQ50" s="262">
        <f t="shared" si="4"/>
        <v>45721</v>
      </c>
      <c r="AR50" s="263">
        <f t="shared" si="51"/>
        <v>0.13900000000000001</v>
      </c>
      <c r="AS50" s="258">
        <f t="shared" si="19"/>
        <v>8360</v>
      </c>
      <c r="AT50" s="258">
        <f t="shared" si="47"/>
        <v>8360</v>
      </c>
      <c r="AU50" s="258">
        <f t="shared" si="20"/>
        <v>1507.61</v>
      </c>
      <c r="AV50" s="258">
        <f t="shared" si="21"/>
        <v>6852.39</v>
      </c>
      <c r="AW50" s="258">
        <f t="shared" si="48"/>
        <v>0</v>
      </c>
      <c r="AX50" s="258">
        <v>0</v>
      </c>
      <c r="AY50" s="258">
        <f t="shared" si="22"/>
        <v>1507.61</v>
      </c>
      <c r="AZ50" s="258">
        <f t="shared" si="38"/>
        <v>0</v>
      </c>
      <c r="BA50" s="258">
        <f t="shared" si="37"/>
        <v>0</v>
      </c>
      <c r="BB50" s="258"/>
      <c r="BC50" s="258"/>
      <c r="BD50" s="258"/>
      <c r="BE50" s="258"/>
      <c r="BF50" s="258"/>
      <c r="BG50" s="258">
        <f t="shared" si="24"/>
        <v>134534.46999999988</v>
      </c>
      <c r="BH50" s="108">
        <f t="shared" si="31"/>
        <v>19</v>
      </c>
      <c r="BI50" s="108">
        <f t="shared" si="26"/>
        <v>19</v>
      </c>
      <c r="BJ50" s="22">
        <f t="shared" si="27"/>
        <v>45721</v>
      </c>
      <c r="BK50" s="108">
        <f t="shared" si="9"/>
        <v>7860</v>
      </c>
    </row>
    <row r="51" spans="1:64" s="16" customFormat="1" ht="19.5" customHeight="1" x14ac:dyDescent="0.3">
      <c r="A51" s="847"/>
      <c r="B51" s="213" t="s">
        <v>181</v>
      </c>
      <c r="C51" s="201">
        <f>C50/C22</f>
        <v>7.5588185865331114E-2</v>
      </c>
      <c r="D51" s="201">
        <f>D50/D22</f>
        <v>7.8759126321647166E-2</v>
      </c>
      <c r="E51" s="191"/>
      <c r="F51" s="178"/>
      <c r="G51" s="244">
        <f t="shared" si="28"/>
        <v>43</v>
      </c>
      <c r="H51" s="245">
        <f t="shared" si="1"/>
        <v>45752</v>
      </c>
      <c r="I51" s="246">
        <f t="shared" si="52"/>
        <v>9.9000000000000005E-2</v>
      </c>
      <c r="J51" s="242">
        <f t="shared" si="11"/>
        <v>7860</v>
      </c>
      <c r="K51" s="242">
        <f t="shared" si="49"/>
        <v>7860</v>
      </c>
      <c r="L51" s="242">
        <f t="shared" si="36"/>
        <v>1305.72</v>
      </c>
      <c r="M51" s="242">
        <f t="shared" si="13"/>
        <v>6554.28</v>
      </c>
      <c r="N51" s="242">
        <f t="shared" si="46"/>
        <v>0</v>
      </c>
      <c r="O51" s="242">
        <v>0</v>
      </c>
      <c r="P51" s="242">
        <f t="shared" si="25"/>
        <v>1305.72</v>
      </c>
      <c r="Q51" s="242">
        <f t="shared" si="33"/>
        <v>0</v>
      </c>
      <c r="R51" s="242">
        <f t="shared" si="15"/>
        <v>0</v>
      </c>
      <c r="S51" s="242">
        <f t="shared" si="16"/>
        <v>148737.07999999999</v>
      </c>
      <c r="T51" s="467"/>
      <c r="U51" s="198">
        <f t="shared" si="29"/>
        <v>18</v>
      </c>
      <c r="V51" s="36">
        <f t="shared" si="17"/>
        <v>18</v>
      </c>
      <c r="W51" s="2" t="e">
        <f>IF(AND(G16&gt;=$W$9,G16&lt;=$W$9+5),0,IF($C$9&gt;$AF$51,ROUND(S15*#REF!/(DATEVALUE(CONCATENATE("01/01/",YEAR(H16)+1))-DATEVALUE(CONCATENATE("01/01/",YEAR(H16))))*(H16-H15),2),0))</f>
        <v>#REF!</v>
      </c>
      <c r="X51" s="34">
        <f t="shared" si="53"/>
        <v>7860</v>
      </c>
      <c r="Y51" s="57">
        <f t="shared" si="50"/>
        <v>47361</v>
      </c>
      <c r="Z51" s="11" t="s">
        <v>18</v>
      </c>
      <c r="AA51" s="11"/>
      <c r="AB51" s="11"/>
      <c r="AC51" s="42">
        <f>(D31-C7)</f>
        <v>200930.14999999991</v>
      </c>
      <c r="AD51" s="58"/>
      <c r="AE51" s="53">
        <v>41632</v>
      </c>
      <c r="AF51" s="53">
        <v>41820</v>
      </c>
      <c r="AG51" s="53">
        <v>41857</v>
      </c>
      <c r="AH51" s="46">
        <v>41991</v>
      </c>
      <c r="AI51" s="18">
        <v>0</v>
      </c>
      <c r="AJ51" s="3"/>
      <c r="AK51" s="3"/>
      <c r="AL51" s="2" t="e">
        <f>IF(AND(Y7&gt;=$W$9,Y7&lt;=$W$9+5),0,IF($C$9&gt;$AF$51,ROUND(AI11*#REF!/(DATEVALUE(CONCATENATE("01/01/",YEAR(Z7)+1))-DATEVALUE(CONCATENATE("01/01/",YEAR(Z7))))*(Z7-#REF!),2),0))</f>
        <v>#REF!</v>
      </c>
      <c r="AM51" s="34">
        <f t="shared" si="55"/>
        <v>8360</v>
      </c>
      <c r="AN51" s="57">
        <f t="shared" si="54"/>
        <v>45901</v>
      </c>
      <c r="AO51" s="130">
        <f t="shared" si="18"/>
        <v>1</v>
      </c>
      <c r="AP51" s="261">
        <f t="shared" si="30"/>
        <v>43</v>
      </c>
      <c r="AQ51" s="262">
        <f t="shared" si="4"/>
        <v>45752</v>
      </c>
      <c r="AR51" s="263">
        <f t="shared" si="51"/>
        <v>0.13900000000000001</v>
      </c>
      <c r="AS51" s="258">
        <f t="shared" si="19"/>
        <v>8360</v>
      </c>
      <c r="AT51" s="258">
        <f t="shared" si="47"/>
        <v>8360</v>
      </c>
      <c r="AU51" s="258">
        <f t="shared" si="20"/>
        <v>1588.24</v>
      </c>
      <c r="AV51" s="258">
        <f t="shared" si="21"/>
        <v>6771.76</v>
      </c>
      <c r="AW51" s="258">
        <f t="shared" si="48"/>
        <v>0</v>
      </c>
      <c r="AX51" s="258">
        <v>0</v>
      </c>
      <c r="AY51" s="258">
        <f t="shared" si="22"/>
        <v>1588.24</v>
      </c>
      <c r="AZ51" s="258">
        <f t="shared" si="38"/>
        <v>0</v>
      </c>
      <c r="BA51" s="258">
        <f t="shared" si="37"/>
        <v>0</v>
      </c>
      <c r="BB51" s="258"/>
      <c r="BC51" s="258"/>
      <c r="BD51" s="258"/>
      <c r="BE51" s="258"/>
      <c r="BF51" s="258"/>
      <c r="BG51" s="258">
        <f t="shared" si="24"/>
        <v>127762.70999999989</v>
      </c>
      <c r="BH51" s="108">
        <f t="shared" si="31"/>
        <v>18</v>
      </c>
      <c r="BI51" s="108">
        <f t="shared" si="26"/>
        <v>18</v>
      </c>
      <c r="BJ51" s="22">
        <f t="shared" si="27"/>
        <v>45752</v>
      </c>
      <c r="BK51" s="108">
        <f t="shared" si="9"/>
        <v>7860</v>
      </c>
    </row>
    <row r="52" spans="1:64" s="16" customFormat="1" ht="24" customHeight="1" x14ac:dyDescent="0.3">
      <c r="A52" s="846" t="s">
        <v>177</v>
      </c>
      <c r="B52" s="846"/>
      <c r="C52" s="190">
        <f>C50/12</f>
        <v>2263.8661666666667</v>
      </c>
      <c r="D52" s="191">
        <f>D50/12</f>
        <v>2358.8358333333326</v>
      </c>
      <c r="E52" s="191">
        <f>C52-D52</f>
        <v>-94.969666666665944</v>
      </c>
      <c r="F52" s="178"/>
      <c r="G52" s="244">
        <f t="shared" si="28"/>
        <v>44</v>
      </c>
      <c r="H52" s="245">
        <f t="shared" si="1"/>
        <v>45782</v>
      </c>
      <c r="I52" s="246">
        <f t="shared" si="52"/>
        <v>9.9000000000000005E-2</v>
      </c>
      <c r="J52" s="242">
        <f t="shared" si="11"/>
        <v>7860</v>
      </c>
      <c r="K52" s="242">
        <f t="shared" si="49"/>
        <v>7860</v>
      </c>
      <c r="L52" s="242">
        <f t="shared" si="36"/>
        <v>1210.27</v>
      </c>
      <c r="M52" s="242">
        <f t="shared" si="13"/>
        <v>6649.73</v>
      </c>
      <c r="N52" s="242">
        <f t="shared" si="46"/>
        <v>0</v>
      </c>
      <c r="O52" s="242">
        <v>0</v>
      </c>
      <c r="P52" s="242">
        <f t="shared" si="25"/>
        <v>1210.27</v>
      </c>
      <c r="Q52" s="242">
        <f t="shared" si="33"/>
        <v>0</v>
      </c>
      <c r="R52" s="242">
        <f t="shared" si="15"/>
        <v>0</v>
      </c>
      <c r="S52" s="242">
        <f t="shared" si="16"/>
        <v>142087.34999999998</v>
      </c>
      <c r="T52" s="467"/>
      <c r="U52" s="198">
        <f t="shared" si="29"/>
        <v>17</v>
      </c>
      <c r="V52" s="36">
        <f t="shared" si="17"/>
        <v>17</v>
      </c>
      <c r="W52" s="2" t="e">
        <f>IF(AND(G17&gt;=$W$9,G17&lt;=$W$9+5),0,IF($C$9&gt;$AF$51,ROUND(S16*#REF!/(DATEVALUE(CONCATENATE("01/01/",YEAR(H17)+1))-DATEVALUE(CONCATENATE("01/01/",YEAR(H17))))*(H17-H16),2),0))</f>
        <v>#REF!</v>
      </c>
      <c r="X52" s="34">
        <f t="shared" si="53"/>
        <v>7860</v>
      </c>
      <c r="Y52" s="57">
        <f t="shared" si="50"/>
        <v>47726</v>
      </c>
      <c r="Z52" s="3" t="s">
        <v>22</v>
      </c>
      <c r="AA52" s="3"/>
      <c r="AB52" s="3"/>
      <c r="AC52" s="42"/>
      <c r="AD52" s="58"/>
      <c r="AE52" s="53">
        <v>42124</v>
      </c>
      <c r="AF52" s="53"/>
      <c r="AG52" s="53"/>
      <c r="AH52" s="46"/>
      <c r="AI52" s="2"/>
      <c r="AJ52" s="3"/>
      <c r="AK52" s="3"/>
      <c r="AL52" s="2" t="e">
        <f>IF(AND(Y8&gt;=$W$9,Y8&lt;=$W$9+5),0,IF($C$9&gt;$AF$51,ROUND(AI12*#REF!/(DATEVALUE(CONCATENATE("01/01/",YEAR(Z8)+1))-DATEVALUE(CONCATENATE("01/01/",YEAR(Z8))))*(Z8-Z7),2),0))</f>
        <v>#REF!</v>
      </c>
      <c r="AM52" s="34">
        <f t="shared" si="55"/>
        <v>8360</v>
      </c>
      <c r="AN52" s="57">
        <f t="shared" si="54"/>
        <v>46266</v>
      </c>
      <c r="AO52" s="130">
        <f t="shared" si="18"/>
        <v>1</v>
      </c>
      <c r="AP52" s="261">
        <f t="shared" si="30"/>
        <v>44</v>
      </c>
      <c r="AQ52" s="262">
        <f t="shared" si="4"/>
        <v>45782</v>
      </c>
      <c r="AR52" s="263">
        <f t="shared" si="51"/>
        <v>0.13900000000000001</v>
      </c>
      <c r="AS52" s="258">
        <f t="shared" si="19"/>
        <v>8360</v>
      </c>
      <c r="AT52" s="258">
        <f t="shared" si="47"/>
        <v>8360</v>
      </c>
      <c r="AU52" s="258">
        <f t="shared" si="20"/>
        <v>1459.65</v>
      </c>
      <c r="AV52" s="258">
        <f t="shared" si="21"/>
        <v>6900.35</v>
      </c>
      <c r="AW52" s="258">
        <f t="shared" si="48"/>
        <v>0</v>
      </c>
      <c r="AX52" s="258">
        <v>0</v>
      </c>
      <c r="AY52" s="258">
        <f t="shared" si="22"/>
        <v>1459.65</v>
      </c>
      <c r="AZ52" s="258">
        <f t="shared" si="38"/>
        <v>0</v>
      </c>
      <c r="BA52" s="258">
        <f t="shared" si="37"/>
        <v>0</v>
      </c>
      <c r="BB52" s="258"/>
      <c r="BC52" s="258"/>
      <c r="BD52" s="258"/>
      <c r="BE52" s="258"/>
      <c r="BF52" s="258"/>
      <c r="BG52" s="258">
        <f t="shared" si="24"/>
        <v>120862.35999999988</v>
      </c>
      <c r="BH52" s="108">
        <f t="shared" si="31"/>
        <v>17</v>
      </c>
      <c r="BI52" s="108">
        <f t="shared" si="26"/>
        <v>17</v>
      </c>
      <c r="BJ52" s="22">
        <f t="shared" si="27"/>
        <v>45782</v>
      </c>
      <c r="BK52" s="108">
        <f t="shared" si="9"/>
        <v>7860</v>
      </c>
    </row>
    <row r="53" spans="1:64" s="16" customFormat="1" ht="24" customHeight="1" thickBot="1" x14ac:dyDescent="0.35">
      <c r="A53" s="843" t="s">
        <v>176</v>
      </c>
      <c r="B53" s="843"/>
      <c r="C53" s="203">
        <f>C52/30</f>
        <v>75.462205555555556</v>
      </c>
      <c r="D53" s="202">
        <f>D52/30</f>
        <v>78.627861111111088</v>
      </c>
      <c r="E53" s="202">
        <f>C53-D53</f>
        <v>-3.1656555555555315</v>
      </c>
      <c r="F53" s="178"/>
      <c r="G53" s="244">
        <f t="shared" si="28"/>
        <v>45</v>
      </c>
      <c r="H53" s="245">
        <f t="shared" si="1"/>
        <v>45813</v>
      </c>
      <c r="I53" s="246">
        <f t="shared" si="52"/>
        <v>9.9000000000000005E-2</v>
      </c>
      <c r="J53" s="242">
        <f t="shared" si="11"/>
        <v>7860</v>
      </c>
      <c r="K53" s="242">
        <f t="shared" si="49"/>
        <v>7860</v>
      </c>
      <c r="L53" s="242">
        <f t="shared" si="36"/>
        <v>1194.7</v>
      </c>
      <c r="M53" s="242">
        <f t="shared" si="13"/>
        <v>6665.3</v>
      </c>
      <c r="N53" s="242">
        <f t="shared" si="46"/>
        <v>0</v>
      </c>
      <c r="O53" s="242">
        <v>0</v>
      </c>
      <c r="P53" s="242">
        <f t="shared" si="25"/>
        <v>1194.7</v>
      </c>
      <c r="Q53" s="242">
        <f t="shared" si="33"/>
        <v>0</v>
      </c>
      <c r="R53" s="242">
        <f t="shared" si="15"/>
        <v>0</v>
      </c>
      <c r="S53" s="242">
        <f t="shared" si="16"/>
        <v>135422.04999999999</v>
      </c>
      <c r="T53" s="467"/>
      <c r="U53" s="198">
        <f t="shared" si="29"/>
        <v>16</v>
      </c>
      <c r="V53" s="36">
        <f t="shared" si="17"/>
        <v>16</v>
      </c>
      <c r="W53" s="2" t="e">
        <f>IF(AND(G18&gt;=$W$9,G18&lt;=$W$9+5),0,IF($C$9&gt;$AF$51,ROUND(S17*#REF!/(DATEVALUE(CONCATENATE("01/01/",YEAR(H18)+1))-DATEVALUE(CONCATENATE("01/01/",YEAR(H18))))*(H18-H17),2),0))</f>
        <v>#REF!</v>
      </c>
      <c r="X53" s="34">
        <f t="shared" si="53"/>
        <v>7860</v>
      </c>
      <c r="Y53" s="57">
        <f t="shared" si="50"/>
        <v>48091</v>
      </c>
      <c r="Z53" s="3"/>
      <c r="AA53" s="3"/>
      <c r="AB53" s="3"/>
      <c r="AC53" s="2"/>
      <c r="AD53" s="2"/>
      <c r="AE53" s="2"/>
      <c r="AF53" s="2"/>
      <c r="AG53" s="2"/>
      <c r="AH53" s="2"/>
      <c r="AI53" s="2"/>
      <c r="AJ53" s="2"/>
      <c r="AK53" s="2"/>
      <c r="AL53" s="2" t="e">
        <f>IF(AND(Y9&gt;=$W$9,Y9&lt;=$W$9+5),0,IF($C$9&gt;$AF$51,ROUND(AI13*#REF!/(DATEVALUE(CONCATENATE("01/01/",YEAR(Z9)+1))-DATEVALUE(CONCATENATE("01/01/",YEAR(Z9))))*(Z9-Z8),2),0))</f>
        <v>#REF!</v>
      </c>
      <c r="AM53" s="34">
        <f t="shared" si="55"/>
        <v>8360</v>
      </c>
      <c r="AN53" s="57">
        <f t="shared" si="54"/>
        <v>46631</v>
      </c>
      <c r="AO53" s="130">
        <f t="shared" si="18"/>
        <v>1</v>
      </c>
      <c r="AP53" s="261">
        <f t="shared" si="30"/>
        <v>45</v>
      </c>
      <c r="AQ53" s="262">
        <f t="shared" si="4"/>
        <v>45813</v>
      </c>
      <c r="AR53" s="263">
        <f t="shared" si="51"/>
        <v>0.13900000000000001</v>
      </c>
      <c r="AS53" s="258">
        <f t="shared" si="19"/>
        <v>8360</v>
      </c>
      <c r="AT53" s="258">
        <f t="shared" si="47"/>
        <v>8360</v>
      </c>
      <c r="AU53" s="258">
        <f t="shared" si="20"/>
        <v>1426.84</v>
      </c>
      <c r="AV53" s="258">
        <f t="shared" si="21"/>
        <v>6933.16</v>
      </c>
      <c r="AW53" s="258">
        <f t="shared" si="48"/>
        <v>0</v>
      </c>
      <c r="AX53" s="258">
        <v>0</v>
      </c>
      <c r="AY53" s="258">
        <f t="shared" si="22"/>
        <v>1426.84</v>
      </c>
      <c r="AZ53" s="258">
        <f t="shared" si="38"/>
        <v>0</v>
      </c>
      <c r="BA53" s="258">
        <f t="shared" si="37"/>
        <v>0</v>
      </c>
      <c r="BB53" s="258"/>
      <c r="BC53" s="258"/>
      <c r="BD53" s="258"/>
      <c r="BE53" s="258"/>
      <c r="BF53" s="258"/>
      <c r="BG53" s="258">
        <f t="shared" si="24"/>
        <v>113929.19999999988</v>
      </c>
      <c r="BH53" s="108">
        <f t="shared" si="31"/>
        <v>16</v>
      </c>
      <c r="BI53" s="108">
        <f t="shared" si="26"/>
        <v>16</v>
      </c>
      <c r="BJ53" s="22">
        <f t="shared" si="27"/>
        <v>45813</v>
      </c>
      <c r="BK53" s="108">
        <f t="shared" si="9"/>
        <v>7860</v>
      </c>
    </row>
    <row r="54" spans="1:64" s="16" customFormat="1" ht="24" customHeight="1" x14ac:dyDescent="0.3">
      <c r="A54" s="178"/>
      <c r="B54" s="178"/>
      <c r="C54" s="184"/>
      <c r="D54" s="178"/>
      <c r="E54" s="178"/>
      <c r="F54" s="178"/>
      <c r="G54" s="244">
        <f t="shared" si="28"/>
        <v>46</v>
      </c>
      <c r="H54" s="245">
        <f t="shared" si="1"/>
        <v>45843</v>
      </c>
      <c r="I54" s="246">
        <f t="shared" si="52"/>
        <v>9.9000000000000005E-2</v>
      </c>
      <c r="J54" s="242">
        <f t="shared" si="11"/>
        <v>7860</v>
      </c>
      <c r="K54" s="242">
        <f t="shared" si="49"/>
        <v>7860</v>
      </c>
      <c r="L54" s="242">
        <f t="shared" si="36"/>
        <v>1101.93</v>
      </c>
      <c r="M54" s="242">
        <f t="shared" si="13"/>
        <v>6758.07</v>
      </c>
      <c r="N54" s="242">
        <f t="shared" si="46"/>
        <v>0</v>
      </c>
      <c r="O54" s="242">
        <v>0</v>
      </c>
      <c r="P54" s="242">
        <f t="shared" si="25"/>
        <v>1101.93</v>
      </c>
      <c r="Q54" s="242">
        <f t="shared" si="33"/>
        <v>0</v>
      </c>
      <c r="R54" s="242">
        <f t="shared" si="15"/>
        <v>0</v>
      </c>
      <c r="S54" s="242">
        <f t="shared" si="16"/>
        <v>128663.97999999998</v>
      </c>
      <c r="T54" s="467"/>
      <c r="U54" s="198">
        <f t="shared" si="29"/>
        <v>15</v>
      </c>
      <c r="V54" s="36">
        <f t="shared" si="17"/>
        <v>15</v>
      </c>
      <c r="W54" s="2" t="e">
        <f>IF(AND(G19&gt;=$W$9,G19&lt;=$W$9+5),0,IF($C$9&gt;$AF$51,ROUND(S18*#REF!/(DATEVALUE(CONCATENATE("01/01/",YEAR(H19)+1))-DATEVALUE(CONCATENATE("01/01/",YEAR(H19))))*(H19-H18),2),0))</f>
        <v>#REF!</v>
      </c>
      <c r="X54" s="34">
        <f t="shared" si="53"/>
        <v>7860</v>
      </c>
      <c r="Y54" s="57">
        <f t="shared" si="50"/>
        <v>48456</v>
      </c>
      <c r="Z54" s="2"/>
      <c r="AA54" s="2"/>
      <c r="AB54" s="2"/>
      <c r="AC54" s="1"/>
      <c r="AD54" s="7">
        <f>H8</f>
        <v>44441</v>
      </c>
      <c r="AE54" s="47">
        <f>(C22+AI51)*AG36/12*(1+AG36/12)^(C10)/((1+AG36/12)^(C10)-1)+C22/10000*IF(C10&lt;11,20,IF(C10&lt;20,2.5,IF(C10&lt;37,1.5,IF(C10&lt;60,0.7,0.5))))*IF(AG36&lt;0.3,AG36/0.2,AG36/0.1)</f>
        <v>8356.4775572779818</v>
      </c>
      <c r="AF54" s="2"/>
      <c r="AG54" s="47">
        <f>(D22+AI51)*AE14/12*(1+AE14/12)^(C10)/((1+AE14/12)^(C10)-1)+D22/10000*IF(C10&lt;11,20,IF(C10&lt;20,2.5,IF(C10&lt;37,1.5,IF(C10&lt;60,0.7,0.5))))*IF(AE14&lt;0.3,AE14/0.2,AE14/0.1)</f>
        <v>8356.4775572779818</v>
      </c>
      <c r="AH54" s="2"/>
      <c r="AI54" s="2"/>
      <c r="AJ54" s="2"/>
      <c r="AK54" s="2"/>
      <c r="AL54" s="2" t="e">
        <f>IF(AND(Y10&gt;=$W$9,Y10&lt;=$W$9+5),0,IF($C$9&gt;$AF$51,ROUND(AI14*#REF!/(DATEVALUE(CONCATENATE("01/01/",YEAR(Z10)+1))-DATEVALUE(CONCATENATE("01/01/",YEAR(Z10))))*(Z10-Z9),2),0))</f>
        <v>#REF!</v>
      </c>
      <c r="AM54" s="34">
        <f t="shared" si="55"/>
        <v>8360</v>
      </c>
      <c r="AN54" s="57">
        <f t="shared" si="54"/>
        <v>46996</v>
      </c>
      <c r="AO54" s="130">
        <f t="shared" si="18"/>
        <v>1</v>
      </c>
      <c r="AP54" s="261">
        <f t="shared" si="30"/>
        <v>46</v>
      </c>
      <c r="AQ54" s="262">
        <f t="shared" si="4"/>
        <v>45843</v>
      </c>
      <c r="AR54" s="263">
        <f t="shared" si="51"/>
        <v>0.13900000000000001</v>
      </c>
      <c r="AS54" s="258">
        <f t="shared" si="19"/>
        <v>8360</v>
      </c>
      <c r="AT54" s="258">
        <f t="shared" si="47"/>
        <v>8360</v>
      </c>
      <c r="AU54" s="258">
        <f t="shared" si="20"/>
        <v>1301.5999999999999</v>
      </c>
      <c r="AV54" s="258">
        <f t="shared" si="21"/>
        <v>7058.4</v>
      </c>
      <c r="AW54" s="258">
        <f t="shared" si="48"/>
        <v>0</v>
      </c>
      <c r="AX54" s="258">
        <v>0</v>
      </c>
      <c r="AY54" s="258">
        <f t="shared" si="22"/>
        <v>1301.5999999999999</v>
      </c>
      <c r="AZ54" s="258">
        <f t="shared" si="38"/>
        <v>0</v>
      </c>
      <c r="BA54" s="258">
        <f t="shared" si="37"/>
        <v>0</v>
      </c>
      <c r="BB54" s="258"/>
      <c r="BC54" s="258"/>
      <c r="BD54" s="258"/>
      <c r="BE54" s="258"/>
      <c r="BF54" s="258"/>
      <c r="BG54" s="258">
        <f t="shared" si="24"/>
        <v>106870.79999999989</v>
      </c>
      <c r="BH54" s="108">
        <f t="shared" si="31"/>
        <v>15</v>
      </c>
      <c r="BI54" s="108">
        <f t="shared" si="26"/>
        <v>15</v>
      </c>
      <c r="BJ54" s="22">
        <f t="shared" si="27"/>
        <v>45843</v>
      </c>
      <c r="BK54" s="108">
        <f t="shared" si="9"/>
        <v>7860</v>
      </c>
      <c r="BL54" s="2">
        <f>IF(AND(G9&gt;=$W$9,G9&lt;=$W$9+5),0,IF($C$9&gt;$AF$51,ROUND(BG8*IF(#REF!="",0,#REF!)/(DATEVALUE(CONCATENATE("01/01/",YEAR(AQ9)+1))-DATEVALUE(CONCATENATE("01/01/",YEAR(AQ9))))*(AQ9-AQ8),2),0))</f>
        <v>0</v>
      </c>
    </row>
    <row r="55" spans="1:64" s="16" customFormat="1" x14ac:dyDescent="0.3">
      <c r="A55" s="178"/>
      <c r="B55" s="179"/>
      <c r="C55" s="524"/>
      <c r="D55" s="179"/>
      <c r="E55" s="178"/>
      <c r="F55" s="178"/>
      <c r="G55" s="244">
        <f t="shared" si="28"/>
        <v>47</v>
      </c>
      <c r="H55" s="245">
        <f t="shared" si="1"/>
        <v>45874</v>
      </c>
      <c r="I55" s="246">
        <f t="shared" si="52"/>
        <v>9.9000000000000005E-2</v>
      </c>
      <c r="J55" s="242">
        <f t="shared" si="11"/>
        <v>7860</v>
      </c>
      <c r="K55" s="242">
        <f t="shared" si="49"/>
        <v>7860</v>
      </c>
      <c r="L55" s="242">
        <f t="shared" si="36"/>
        <v>1081.83</v>
      </c>
      <c r="M55" s="242">
        <f t="shared" si="13"/>
        <v>6778.17</v>
      </c>
      <c r="N55" s="242">
        <f t="shared" si="46"/>
        <v>0</v>
      </c>
      <c r="O55" s="242">
        <v>0</v>
      </c>
      <c r="P55" s="242">
        <f t="shared" si="25"/>
        <v>1081.83</v>
      </c>
      <c r="Q55" s="242">
        <f t="shared" si="33"/>
        <v>0</v>
      </c>
      <c r="R55" s="242">
        <f t="shared" si="15"/>
        <v>0</v>
      </c>
      <c r="S55" s="242">
        <f t="shared" si="16"/>
        <v>121885.80999999998</v>
      </c>
      <c r="T55" s="467"/>
      <c r="U55" s="198">
        <f t="shared" si="29"/>
        <v>14</v>
      </c>
      <c r="V55" s="36">
        <f t="shared" si="17"/>
        <v>14</v>
      </c>
      <c r="W55" s="2" t="e">
        <f>IF(AND(G20&gt;=$W$9,G20&lt;=$W$9+5),0,IF($C$9&gt;$AF$51,ROUND(S19*#REF!/(DATEVALUE(CONCATENATE("01/01/",YEAR(H20)+1))-DATEVALUE(CONCATENATE("01/01/",YEAR(H20))))*(H20-H19),2),0))</f>
        <v>#REF!</v>
      </c>
      <c r="X55" s="34">
        <f t="shared" si="53"/>
        <v>7860</v>
      </c>
      <c r="Y55" s="57">
        <f t="shared" si="50"/>
        <v>48821</v>
      </c>
      <c r="AA55" s="170" t="s">
        <v>134</v>
      </c>
      <c r="AD55" s="47">
        <f>IF(DAY(C9)&lt;4,AE54,IF(DAY(C9)&gt;28,AE56,AE55))</f>
        <v>8356.4775572779818</v>
      </c>
      <c r="AE55" s="47">
        <f>(C22+AI51)*AG36/12*(1+AG36/12)^(C10)/((1+AG36/12)^(C10)-1)+C22/10000*IF(C10&lt;11,20,IF(C10&lt;34,0.7,IF(C10&lt;58,0.3,0.1)))*IF(AG36&lt;0.3,AG36/0.2,AG36/0.1)</f>
        <v>8346.4862372779826</v>
      </c>
      <c r="AF55" s="13">
        <f>IF(DAY(C9)&lt;4,AG54,IF(DAY(C9)&gt;28,AG56,AG55))</f>
        <v>8356.4775572779818</v>
      </c>
      <c r="AG55" s="156">
        <f>(D22+AI51)*AE14/12*(1+AE14/12)^(C10)/((1+AE14/12)^(C10)-1)+D22/10000*IF(C10&lt;11,20,IF(C10&lt;34,0.7,IF(C10&lt;58,0.3,0.1)))*IF(AE14&lt;0.3,AE14/0.2,AE14/0.1)</f>
        <v>8346.4862372779826</v>
      </c>
      <c r="AH55" s="2"/>
      <c r="AI55" s="2"/>
      <c r="AJ55" s="2"/>
      <c r="AK55" s="2"/>
      <c r="AL55" s="2" t="e">
        <f>IF(AND(Y11&gt;=$W$9,Y11&lt;=$W$9+5),0,IF($C$9&gt;$AF$51,ROUND(AI15*#REF!/(DATEVALUE(CONCATENATE("01/01/",YEAR(Z11)+1))-DATEVALUE(CONCATENATE("01/01/",YEAR(Z11))))*(Z11-Z10),2),0))</f>
        <v>#REF!</v>
      </c>
      <c r="AM55" s="34">
        <f t="shared" si="55"/>
        <v>8360</v>
      </c>
      <c r="AN55" s="57">
        <f t="shared" si="54"/>
        <v>47361</v>
      </c>
      <c r="AO55" s="130">
        <f t="shared" si="18"/>
        <v>1</v>
      </c>
      <c r="AP55" s="261">
        <f t="shared" si="30"/>
        <v>47</v>
      </c>
      <c r="AQ55" s="262">
        <f t="shared" si="4"/>
        <v>45874</v>
      </c>
      <c r="AR55" s="263">
        <f t="shared" si="51"/>
        <v>0.13900000000000001</v>
      </c>
      <c r="AS55" s="258">
        <f t="shared" si="19"/>
        <v>8360</v>
      </c>
      <c r="AT55" s="258">
        <f t="shared" si="47"/>
        <v>8360</v>
      </c>
      <c r="AU55" s="258">
        <f t="shared" si="20"/>
        <v>1261.6600000000001</v>
      </c>
      <c r="AV55" s="258">
        <f t="shared" si="21"/>
        <v>7098.34</v>
      </c>
      <c r="AW55" s="258">
        <f t="shared" si="48"/>
        <v>0</v>
      </c>
      <c r="AX55" s="258">
        <v>0</v>
      </c>
      <c r="AY55" s="258">
        <f t="shared" si="22"/>
        <v>1261.6600000000001</v>
      </c>
      <c r="AZ55" s="258">
        <f t="shared" si="38"/>
        <v>0</v>
      </c>
      <c r="BA55" s="258">
        <f t="shared" si="37"/>
        <v>0</v>
      </c>
      <c r="BB55" s="258"/>
      <c r="BC55" s="258"/>
      <c r="BD55" s="258"/>
      <c r="BE55" s="258"/>
      <c r="BF55" s="258"/>
      <c r="BG55" s="258">
        <f t="shared" si="24"/>
        <v>99772.45999999989</v>
      </c>
      <c r="BH55" s="108">
        <f t="shared" si="31"/>
        <v>14</v>
      </c>
      <c r="BI55" s="108">
        <f t="shared" si="26"/>
        <v>14</v>
      </c>
      <c r="BJ55" s="22">
        <f t="shared" si="27"/>
        <v>45874</v>
      </c>
      <c r="BK55" s="108">
        <f t="shared" si="9"/>
        <v>7860</v>
      </c>
      <c r="BL55" s="2">
        <f>IF(AND(G10&gt;=$W$9,G10&lt;=$W$9+5),0,IF($C$9&gt;$AF$51,ROUND(BG9*IF(#REF!="",0,#REF!)/(DATEVALUE(CONCATENATE("01/01/",YEAR(AQ10)+1))-DATEVALUE(CONCATENATE("01/01/",YEAR(AQ10))))*(AQ10-AQ9),2),0))</f>
        <v>0</v>
      </c>
    </row>
    <row r="56" spans="1:64" s="16" customFormat="1" ht="14.4" thickBot="1" x14ac:dyDescent="0.35">
      <c r="A56" s="180"/>
      <c r="B56" s="180"/>
      <c r="C56" s="524"/>
      <c r="D56" s="254"/>
      <c r="E56" s="178"/>
      <c r="F56" s="178"/>
      <c r="G56" s="248">
        <f t="shared" si="28"/>
        <v>48</v>
      </c>
      <c r="H56" s="249">
        <f t="shared" si="1"/>
        <v>45905</v>
      </c>
      <c r="I56" s="250">
        <f t="shared" si="52"/>
        <v>9.9000000000000005E-2</v>
      </c>
      <c r="J56" s="252">
        <f t="shared" si="11"/>
        <v>7860</v>
      </c>
      <c r="K56" s="252">
        <f t="shared" si="49"/>
        <v>7860</v>
      </c>
      <c r="L56" s="252">
        <f t="shared" si="36"/>
        <v>1024.8399999999999</v>
      </c>
      <c r="M56" s="252">
        <f t="shared" si="13"/>
        <v>6835.16</v>
      </c>
      <c r="N56" s="252">
        <f t="shared" si="46"/>
        <v>0</v>
      </c>
      <c r="O56" s="252">
        <v>0</v>
      </c>
      <c r="P56" s="252">
        <f t="shared" si="25"/>
        <v>1024.8399999999999</v>
      </c>
      <c r="Q56" s="252">
        <f t="shared" si="33"/>
        <v>0</v>
      </c>
      <c r="R56" s="252">
        <f t="shared" si="15"/>
        <v>0</v>
      </c>
      <c r="S56" s="252">
        <f t="shared" si="16"/>
        <v>115050.64999999998</v>
      </c>
      <c r="T56" s="468"/>
      <c r="U56" s="198">
        <f t="shared" si="29"/>
        <v>13</v>
      </c>
      <c r="V56" s="36">
        <f t="shared" si="17"/>
        <v>13</v>
      </c>
      <c r="W56" s="2" t="e">
        <f>IF(AND(G21&gt;=$W$9,G21&lt;=$W$9+5),0,IF($C$9&gt;$AF$51,ROUND(S20*#REF!/(DATEVALUE(CONCATENATE("01/01/",YEAR(H21)+1))-DATEVALUE(CONCATENATE("01/01/",YEAR(H21))))*(H21-H20),2),0))</f>
        <v>#REF!</v>
      </c>
      <c r="X56" s="34">
        <f t="shared" si="53"/>
        <v>7860</v>
      </c>
      <c r="Y56" s="57">
        <f t="shared" si="50"/>
        <v>49186</v>
      </c>
      <c r="AA56" s="171">
        <v>20000</v>
      </c>
      <c r="AB56" s="133" t="s">
        <v>135</v>
      </c>
      <c r="AC56" s="118">
        <f>ROUNDUP(AD56/AG47,0)*AG47</f>
        <v>6250</v>
      </c>
      <c r="AD56" s="13">
        <f>(C22+AI51)*AC57/12*(1+AC57/12)^(C10+AD57)/((1+AC57/12)^(C10+AD57)-1)+10*C22/100000*IF(C10+AD57&lt;24,4,IF(C10+AD57&lt;36,3,IF(C10+AD57&lt;48,2,IF(C10+AD57&lt;60,1.5,1))))*AC57/0.2</f>
        <v>6247.8595153382739</v>
      </c>
      <c r="AE56" s="47">
        <f>(C22+AI51)*AG36/12*(1+AG36/12)^(C10)/((1+AG36/12)^(C10)-1)+C22/10000*IF(C10&lt;11,20,IF(C10&lt;34,0.7,IF(C10&lt;48,0.3,0)))*IF(AG36&lt;0.3,AG36/0.2,AG36/0.1)</f>
        <v>8343.9884072779823</v>
      </c>
      <c r="AF56" s="13">
        <f>(D22+AI51)*AF57/12*(1+AF57/12)^(C10+AD57)/((1+AF57/12)^(C10+AD57)-1)+10*D22/100000*IF(C10+AD57&lt;24,4,IF(C10+AD57&lt;36,3,IF(C10+AD57&lt;48,2,IF(C10+AD57&lt;60,1.5,1))))*AF57/0.2</f>
        <v>6247.8595153382739</v>
      </c>
      <c r="AG56" s="157">
        <f>(D22+AI51)*AE14/12*(1+AE14/12)^(C10)/((1+AE14/12)^(C10)-1)+D22/10000*IF(C10&lt;11,20,IF(C10&lt;34,0.7,IF(C10&lt;48,0.3,0)))*IF(AE14&lt;0.3,AE14/0.2,AE14/0.1)</f>
        <v>8343.9884072779823</v>
      </c>
      <c r="AH56" s="2"/>
      <c r="AI56" s="2"/>
      <c r="AJ56" s="2"/>
      <c r="AK56" s="2"/>
      <c r="AL56" s="2" t="e">
        <f>IF(AND(Y12&gt;=$W$9,Y12&lt;=$W$9+5),0,IF($C$9&gt;$AF$51,ROUND(AI16*#REF!/(DATEVALUE(CONCATENATE("01/01/",YEAR(Z12)+1))-DATEVALUE(CONCATENATE("01/01/",YEAR(Z12))))*(Z12-Z11),2),0))</f>
        <v>#REF!</v>
      </c>
      <c r="AM56" s="34">
        <f t="shared" si="55"/>
        <v>8360</v>
      </c>
      <c r="AN56" s="57">
        <f t="shared" si="54"/>
        <v>47726</v>
      </c>
      <c r="AO56" s="130">
        <f t="shared" si="18"/>
        <v>1</v>
      </c>
      <c r="AP56" s="261">
        <f t="shared" si="30"/>
        <v>48</v>
      </c>
      <c r="AQ56" s="262">
        <f t="shared" si="4"/>
        <v>45905</v>
      </c>
      <c r="AR56" s="263">
        <f t="shared" si="51"/>
        <v>0.13900000000000001</v>
      </c>
      <c r="AS56" s="258">
        <f t="shared" si="19"/>
        <v>8360</v>
      </c>
      <c r="AT56" s="258">
        <f t="shared" si="47"/>
        <v>8360</v>
      </c>
      <c r="AU56" s="258">
        <f t="shared" si="20"/>
        <v>1177.8599999999999</v>
      </c>
      <c r="AV56" s="258">
        <f t="shared" si="21"/>
        <v>7182.14</v>
      </c>
      <c r="AW56" s="258">
        <f t="shared" si="48"/>
        <v>0</v>
      </c>
      <c r="AX56" s="258">
        <v>0</v>
      </c>
      <c r="AY56" s="258">
        <f t="shared" si="22"/>
        <v>1177.8599999999999</v>
      </c>
      <c r="AZ56" s="258">
        <f t="shared" si="38"/>
        <v>0</v>
      </c>
      <c r="BA56" s="258">
        <f t="shared" si="37"/>
        <v>0</v>
      </c>
      <c r="BB56" s="258"/>
      <c r="BC56" s="258"/>
      <c r="BD56" s="258"/>
      <c r="BE56" s="258"/>
      <c r="BF56" s="258"/>
      <c r="BG56" s="258">
        <f t="shared" si="24"/>
        <v>92590.319999999891</v>
      </c>
      <c r="BH56" s="108">
        <f t="shared" si="31"/>
        <v>13</v>
      </c>
      <c r="BI56" s="108">
        <f t="shared" si="26"/>
        <v>13</v>
      </c>
      <c r="BJ56" s="22">
        <f t="shared" si="27"/>
        <v>45905</v>
      </c>
      <c r="BK56" s="108">
        <f t="shared" si="9"/>
        <v>7860</v>
      </c>
      <c r="BL56" s="2">
        <f>IF(AND(G11&gt;=$W$9,G11&lt;=$W$9+5),0,IF($C$9&gt;$AF$51,ROUND(BG10*IF(#REF!="",0,#REF!)/(DATEVALUE(CONCATENATE("01/01/",YEAR(AQ11)+1))-DATEVALUE(CONCATENATE("01/01/",YEAR(AQ11))))*(AQ11-AQ10),2),0))</f>
        <v>0</v>
      </c>
    </row>
    <row r="57" spans="1:64" s="16" customFormat="1" ht="13.8" x14ac:dyDescent="0.3">
      <c r="A57" s="180"/>
      <c r="B57" s="180"/>
      <c r="C57" s="524"/>
      <c r="D57" s="254"/>
      <c r="E57" s="178"/>
      <c r="F57" s="178"/>
      <c r="G57" s="244">
        <f t="shared" si="28"/>
        <v>49</v>
      </c>
      <c r="H57" s="245">
        <f t="shared" si="1"/>
        <v>45935</v>
      </c>
      <c r="I57" s="246">
        <f>IF(AND($C$16="Да",$C$8&lt;&gt;"Нет"),$AG$40,$C$13)</f>
        <v>9.9000000000000005E-2</v>
      </c>
      <c r="J57" s="242">
        <f t="shared" si="11"/>
        <v>7860</v>
      </c>
      <c r="K57" s="242">
        <f t="shared" ref="K57:K108" si="56">IF(AND(G57&gt;=$W$9,G57&lt;=$W$9+5),$W$10,IF(AND(S56+N57+L57&gt;K56,K56&lt;&gt;0),IF(AND($C$16="Да",$C$8&lt;&gt;"Нет"),$AF$40,$C$23),IF(S56=0,0,S56+N57+L57+L58)))</f>
        <v>7860</v>
      </c>
      <c r="L57" s="242">
        <f t="shared" si="36"/>
        <v>936.17</v>
      </c>
      <c r="M57" s="242">
        <f t="shared" si="13"/>
        <v>6923.83</v>
      </c>
      <c r="N57" s="242">
        <f t="shared" si="46"/>
        <v>0</v>
      </c>
      <c r="O57" s="242">
        <v>0</v>
      </c>
      <c r="P57" s="242">
        <f t="shared" si="25"/>
        <v>936.17</v>
      </c>
      <c r="Q57" s="242">
        <f t="shared" si="33"/>
        <v>0</v>
      </c>
      <c r="R57" s="242">
        <f t="shared" si="15"/>
        <v>0</v>
      </c>
      <c r="S57" s="242">
        <f t="shared" si="16"/>
        <v>108126.81999999998</v>
      </c>
      <c r="T57" s="467"/>
      <c r="U57" s="198">
        <f t="shared" si="29"/>
        <v>12</v>
      </c>
      <c r="V57" s="36">
        <f t="shared" si="17"/>
        <v>12</v>
      </c>
      <c r="W57" s="2" t="e">
        <f>IF(AND(G22&gt;=$W$9,G22&lt;=$W$9+5),0,IF($C$9&gt;$AF$51,ROUND(S21*#REF!/(DATEVALUE(CONCATENATE("01/01/",YEAR(H22)+1))-DATEVALUE(CONCATENATE("01/01/",YEAR(H22))))*(H22-H21),2),0))</f>
        <v>#REF!</v>
      </c>
      <c r="X57" s="34">
        <f t="shared" si="53"/>
        <v>7860</v>
      </c>
      <c r="Y57" s="57">
        <f t="shared" si="50"/>
        <v>49551</v>
      </c>
      <c r="AA57" s="171">
        <v>200000</v>
      </c>
      <c r="AB57" s="171">
        <v>200000</v>
      </c>
      <c r="AC57" s="15">
        <f>IF(C9&gt;AH48,C11,C11+0.05)</f>
        <v>0.13900000000000001</v>
      </c>
      <c r="AD57" s="2">
        <f xml:space="preserve"> IF(C9&gt;AH48,36,24)</f>
        <v>36</v>
      </c>
      <c r="AE57" s="44">
        <f>(C22+AI51)*AG36/12*(1+AG36/12)^(C10)/((1+AG36/12)^(C10)-1)</f>
        <v>8343.9884072779823</v>
      </c>
      <c r="AF57" s="15">
        <f>IF(C9&gt;AH48,D13,D13+0.05)</f>
        <v>0.13900000000000001</v>
      </c>
      <c r="AG57" s="118">
        <f>(D22+AI51)*AE14/12*(1+AE14/12)^(C10)/((1+AE14/12)^(C10)-1)</f>
        <v>8343.9884072779823</v>
      </c>
      <c r="AH57" s="2"/>
      <c r="AI57" s="2"/>
      <c r="AJ57" s="2"/>
      <c r="AK57" s="2"/>
      <c r="AL57" s="2" t="e">
        <f>IF(AND(Y13&gt;=$W$9,Y13&lt;=$W$9+5),0,IF($C$9&gt;$AF$51,ROUND(AI17*#REF!/(DATEVALUE(CONCATENATE("01/01/",YEAR(Z13)+1))-DATEVALUE(CONCATENATE("01/01/",YEAR(Z13))))*(Z13-Z12),2),0))</f>
        <v>#REF!</v>
      </c>
      <c r="AM57" s="34">
        <f t="shared" si="55"/>
        <v>8360</v>
      </c>
      <c r="AN57" s="57">
        <f t="shared" si="54"/>
        <v>48091</v>
      </c>
      <c r="AO57" s="130">
        <f t="shared" si="18"/>
        <v>1</v>
      </c>
      <c r="AP57" s="261">
        <f t="shared" si="30"/>
        <v>49</v>
      </c>
      <c r="AQ57" s="262">
        <f t="shared" si="4"/>
        <v>45935</v>
      </c>
      <c r="AR57" s="263">
        <f t="shared" ref="AR57:AR108" si="57">IF($D$16="Да",$AM$40,$D$13)</f>
        <v>0.13900000000000001</v>
      </c>
      <c r="AS57" s="258">
        <f t="shared" si="19"/>
        <v>8360</v>
      </c>
      <c r="AT57" s="258">
        <f t="shared" si="47"/>
        <v>8360</v>
      </c>
      <c r="AU57" s="258">
        <f t="shared" si="20"/>
        <v>1057.81</v>
      </c>
      <c r="AV57" s="258">
        <f t="shared" si="21"/>
        <v>7302.1900000000005</v>
      </c>
      <c r="AW57" s="258">
        <f t="shared" si="48"/>
        <v>0</v>
      </c>
      <c r="AX57" s="258">
        <v>0</v>
      </c>
      <c r="AY57" s="258">
        <f t="shared" si="22"/>
        <v>1057.81</v>
      </c>
      <c r="AZ57" s="258">
        <f t="shared" si="38"/>
        <v>0</v>
      </c>
      <c r="BA57" s="258">
        <f t="shared" si="37"/>
        <v>0</v>
      </c>
      <c r="BB57" s="258"/>
      <c r="BC57" s="258"/>
      <c r="BD57" s="258"/>
      <c r="BE57" s="258"/>
      <c r="BF57" s="258"/>
      <c r="BG57" s="258">
        <f t="shared" si="24"/>
        <v>85288.129999999888</v>
      </c>
      <c r="BH57" s="108">
        <f t="shared" si="31"/>
        <v>12</v>
      </c>
      <c r="BI57" s="108">
        <f t="shared" si="26"/>
        <v>12</v>
      </c>
      <c r="BJ57" s="22">
        <f t="shared" si="27"/>
        <v>45935</v>
      </c>
      <c r="BK57" s="108">
        <f t="shared" si="9"/>
        <v>7860</v>
      </c>
      <c r="BL57" s="2">
        <f>IF(AND(G12&gt;=$W$9,G12&lt;=$W$9+5),0,IF($C$9&gt;$AF$51,ROUND(BG11*IF(#REF!="",0,#REF!)/(DATEVALUE(CONCATENATE("01/01/",YEAR(AQ12)+1))-DATEVALUE(CONCATENATE("01/01/",YEAR(AQ12))))*(AQ12-AQ11),2),0))</f>
        <v>0</v>
      </c>
    </row>
    <row r="58" spans="1:64" s="16" customFormat="1" ht="15.75" customHeight="1" x14ac:dyDescent="0.3">
      <c r="A58" s="180"/>
      <c r="B58" s="180"/>
      <c r="C58" s="524"/>
      <c r="D58" s="254"/>
      <c r="E58" s="178"/>
      <c r="F58" s="178"/>
      <c r="G58" s="244">
        <f t="shared" si="28"/>
        <v>50</v>
      </c>
      <c r="H58" s="245">
        <f t="shared" si="1"/>
        <v>45966</v>
      </c>
      <c r="I58" s="246">
        <f t="shared" ref="I58:I108" si="58">IF(AND($C$16="Да",$C$8&lt;&gt;"Нет"),$AG$40,$C$13)</f>
        <v>9.9000000000000005E-2</v>
      </c>
      <c r="J58" s="242">
        <f t="shared" si="11"/>
        <v>7860</v>
      </c>
      <c r="K58" s="242">
        <f t="shared" si="56"/>
        <v>7860</v>
      </c>
      <c r="L58" s="242">
        <f t="shared" si="36"/>
        <v>909.15</v>
      </c>
      <c r="M58" s="242">
        <f t="shared" si="13"/>
        <v>6950.85</v>
      </c>
      <c r="N58" s="242">
        <f t="shared" si="46"/>
        <v>0</v>
      </c>
      <c r="O58" s="242">
        <v>0</v>
      </c>
      <c r="P58" s="242">
        <f t="shared" si="25"/>
        <v>909.15</v>
      </c>
      <c r="Q58" s="242">
        <f t="shared" si="33"/>
        <v>0</v>
      </c>
      <c r="R58" s="242">
        <f t="shared" si="15"/>
        <v>0</v>
      </c>
      <c r="S58" s="242">
        <f t="shared" si="16"/>
        <v>101175.96999999997</v>
      </c>
      <c r="T58" s="467"/>
      <c r="U58" s="198">
        <f t="shared" si="29"/>
        <v>11</v>
      </c>
      <c r="V58" s="36">
        <f t="shared" si="17"/>
        <v>11</v>
      </c>
      <c r="W58" s="2" t="e">
        <f>IF(AND(G23&gt;=$W$9,G23&lt;=$W$9+5),0,IF($C$9&gt;$AF$51,ROUND(S22*#REF!/(DATEVALUE(CONCATENATE("01/01/",YEAR(H23)+1))-DATEVALUE(CONCATENATE("01/01/",YEAR(H23))))*(H23-H22),2),0))</f>
        <v>#REF!</v>
      </c>
      <c r="X58" s="34">
        <f t="shared" si="53"/>
        <v>7860</v>
      </c>
      <c r="Y58" s="57">
        <f t="shared" si="50"/>
        <v>49916</v>
      </c>
      <c r="AA58" s="170">
        <v>600000</v>
      </c>
      <c r="AB58" s="171">
        <v>600000</v>
      </c>
      <c r="AC58" s="2"/>
      <c r="AD58" s="2"/>
      <c r="AE58" s="2"/>
      <c r="AF58" s="2"/>
      <c r="AG58" s="2"/>
      <c r="AH58" s="2"/>
      <c r="AI58" s="2"/>
      <c r="AJ58" s="2"/>
      <c r="AK58" s="2"/>
      <c r="AL58" s="2" t="e">
        <f>IF(AND(Y14&gt;=$W$9,Y14&lt;=$W$9+5),0,IF($C$9&gt;$AF$51,ROUND(AI18*#REF!/(DATEVALUE(CONCATENATE("01/01/",YEAR(Z14)+1))-DATEVALUE(CONCATENATE("01/01/",YEAR(Z14))))*(Z14-Z13),2),0))</f>
        <v>#REF!</v>
      </c>
      <c r="AM58" s="34">
        <f t="shared" si="55"/>
        <v>8360</v>
      </c>
      <c r="AN58" s="57">
        <f t="shared" si="54"/>
        <v>48456</v>
      </c>
      <c r="AO58" s="130">
        <f t="shared" si="18"/>
        <v>1</v>
      </c>
      <c r="AP58" s="261">
        <f t="shared" si="30"/>
        <v>50</v>
      </c>
      <c r="AQ58" s="262">
        <f t="shared" si="4"/>
        <v>45966</v>
      </c>
      <c r="AR58" s="263">
        <f t="shared" si="57"/>
        <v>0.13900000000000001</v>
      </c>
      <c r="AS58" s="258">
        <f t="shared" si="19"/>
        <v>8360</v>
      </c>
      <c r="AT58" s="258">
        <f t="shared" si="47"/>
        <v>8360</v>
      </c>
      <c r="AU58" s="258">
        <f t="shared" si="20"/>
        <v>1006.87</v>
      </c>
      <c r="AV58" s="258">
        <f t="shared" si="21"/>
        <v>7353.13</v>
      </c>
      <c r="AW58" s="258">
        <f t="shared" si="48"/>
        <v>0</v>
      </c>
      <c r="AX58" s="258">
        <v>0</v>
      </c>
      <c r="AY58" s="258">
        <f t="shared" si="22"/>
        <v>1006.87</v>
      </c>
      <c r="AZ58" s="258">
        <f t="shared" si="38"/>
        <v>0</v>
      </c>
      <c r="BA58" s="258">
        <f t="shared" si="37"/>
        <v>0</v>
      </c>
      <c r="BB58" s="258"/>
      <c r="BC58" s="258"/>
      <c r="BD58" s="258"/>
      <c r="BE58" s="258"/>
      <c r="BF58" s="258"/>
      <c r="BG58" s="258">
        <f t="shared" si="24"/>
        <v>77934.999999999884</v>
      </c>
      <c r="BH58" s="108">
        <f t="shared" si="31"/>
        <v>11</v>
      </c>
      <c r="BI58" s="108">
        <f t="shared" si="26"/>
        <v>11</v>
      </c>
      <c r="BJ58" s="22">
        <f t="shared" si="27"/>
        <v>45966</v>
      </c>
      <c r="BK58" s="108">
        <f t="shared" si="9"/>
        <v>7860</v>
      </c>
      <c r="BL58" s="2">
        <f>IF(AND(G13&gt;=$W$9,G13&lt;=$W$9+5),0,IF($C$9&gt;$AF$51,ROUND(BG12*IF(#REF!="",0,#REF!)/(DATEVALUE(CONCATENATE("01/01/",YEAR(AQ13)+1))-DATEVALUE(CONCATENATE("01/01/",YEAR(AQ13))))*(AQ13-AQ12),2),0))</f>
        <v>0</v>
      </c>
    </row>
    <row r="59" spans="1:64" s="16" customFormat="1" ht="13.8" x14ac:dyDescent="0.3">
      <c r="A59" s="180"/>
      <c r="B59" s="180"/>
      <c r="C59" s="524"/>
      <c r="D59" s="254"/>
      <c r="E59" s="178"/>
      <c r="F59" s="178"/>
      <c r="G59" s="244">
        <f t="shared" si="28"/>
        <v>51</v>
      </c>
      <c r="H59" s="245">
        <f t="shared" si="1"/>
        <v>45996</v>
      </c>
      <c r="I59" s="246">
        <f t="shared" si="58"/>
        <v>9.9000000000000005E-2</v>
      </c>
      <c r="J59" s="242">
        <f t="shared" si="11"/>
        <v>7860</v>
      </c>
      <c r="K59" s="242">
        <f t="shared" si="56"/>
        <v>7860</v>
      </c>
      <c r="L59" s="242">
        <f t="shared" si="36"/>
        <v>823.27</v>
      </c>
      <c r="M59" s="242">
        <f t="shared" si="13"/>
        <v>7036.73</v>
      </c>
      <c r="N59" s="242">
        <f t="shared" si="46"/>
        <v>0</v>
      </c>
      <c r="O59" s="242">
        <v>0</v>
      </c>
      <c r="P59" s="242">
        <f t="shared" si="25"/>
        <v>823.27</v>
      </c>
      <c r="Q59" s="242">
        <f t="shared" si="33"/>
        <v>0</v>
      </c>
      <c r="R59" s="242">
        <f t="shared" si="15"/>
        <v>0</v>
      </c>
      <c r="S59" s="242">
        <f t="shared" si="16"/>
        <v>94139.239999999976</v>
      </c>
      <c r="T59" s="467"/>
      <c r="U59" s="198">
        <f t="shared" si="29"/>
        <v>10</v>
      </c>
      <c r="V59" s="36">
        <f t="shared" si="17"/>
        <v>10</v>
      </c>
      <c r="W59" s="2" t="e">
        <f>IF(AND(G24&gt;=$W$9,G24&lt;=$W$9+5),0,IF($C$9&gt;$AF$51,ROUND(S23*#REF!/(DATEVALUE(CONCATENATE("01/01/",YEAR(H24)+1))-DATEVALUE(CONCATENATE("01/01/",YEAR(H24))))*(H24-H23),2),0))</f>
        <v>#REF!</v>
      </c>
      <c r="X59" s="34">
        <f t="shared" si="53"/>
        <v>7860</v>
      </c>
      <c r="Y59" s="57">
        <f t="shared" si="50"/>
        <v>50281</v>
      </c>
      <c r="AA59" s="171">
        <v>1000000</v>
      </c>
      <c r="AB59" s="171">
        <v>1000000</v>
      </c>
      <c r="AC59" s="144" t="s">
        <v>330</v>
      </c>
      <c r="AD59" s="144" t="s">
        <v>111</v>
      </c>
      <c r="AE59" s="145" t="s">
        <v>114</v>
      </c>
      <c r="AF59" s="144" t="s">
        <v>115</v>
      </c>
      <c r="AG59" s="2" t="s">
        <v>35</v>
      </c>
      <c r="AH59" s="144" t="s">
        <v>118</v>
      </c>
      <c r="AI59" s="144" t="s">
        <v>119</v>
      </c>
      <c r="AJ59" s="145" t="s">
        <v>120</v>
      </c>
      <c r="AK59" s="2" t="s">
        <v>35</v>
      </c>
      <c r="AL59" s="2" t="e">
        <f>IF(AND(Y15&gt;=$W$9,Y15&lt;=$W$9+5),0,IF($C$9&gt;$AF$51,ROUND(AI19*#REF!/(DATEVALUE(CONCATENATE("01/01/",YEAR(Z15)+1))-DATEVALUE(CONCATENATE("01/01/",YEAR(Z15))))*(Z15-Z14),2),0))</f>
        <v>#REF!</v>
      </c>
      <c r="AM59" s="34">
        <f t="shared" si="55"/>
        <v>8360</v>
      </c>
      <c r="AN59" s="57">
        <f t="shared" si="54"/>
        <v>48821</v>
      </c>
      <c r="AO59" s="130">
        <f t="shared" si="18"/>
        <v>1</v>
      </c>
      <c r="AP59" s="261">
        <f t="shared" si="30"/>
        <v>51</v>
      </c>
      <c r="AQ59" s="262">
        <f t="shared" si="4"/>
        <v>45996</v>
      </c>
      <c r="AR59" s="263">
        <f t="shared" si="57"/>
        <v>0.13900000000000001</v>
      </c>
      <c r="AS59" s="258">
        <f t="shared" si="19"/>
        <v>8360</v>
      </c>
      <c r="AT59" s="258">
        <f t="shared" si="47"/>
        <v>8360</v>
      </c>
      <c r="AU59" s="258">
        <f t="shared" si="20"/>
        <v>890.38</v>
      </c>
      <c r="AV59" s="258">
        <f t="shared" si="21"/>
        <v>7469.62</v>
      </c>
      <c r="AW59" s="258">
        <f t="shared" si="48"/>
        <v>0</v>
      </c>
      <c r="AX59" s="258">
        <v>0</v>
      </c>
      <c r="AY59" s="258">
        <f t="shared" si="22"/>
        <v>890.38</v>
      </c>
      <c r="AZ59" s="258">
        <f t="shared" si="38"/>
        <v>0</v>
      </c>
      <c r="BA59" s="258">
        <f t="shared" si="37"/>
        <v>0</v>
      </c>
      <c r="BB59" s="258"/>
      <c r="BC59" s="258"/>
      <c r="BD59" s="258"/>
      <c r="BE59" s="258"/>
      <c r="BF59" s="258"/>
      <c r="BG59" s="258">
        <f t="shared" si="24"/>
        <v>70465.379999999888</v>
      </c>
      <c r="BH59" s="108">
        <f t="shared" si="31"/>
        <v>10</v>
      </c>
      <c r="BI59" s="108">
        <f t="shared" si="26"/>
        <v>10</v>
      </c>
      <c r="BJ59" s="22">
        <f t="shared" si="27"/>
        <v>45996</v>
      </c>
      <c r="BK59" s="108">
        <f t="shared" si="9"/>
        <v>7860</v>
      </c>
      <c r="BL59" s="2">
        <f>IF(AND(G14&gt;=$W$9,G14&lt;=$W$9+5),0,IF($C$9&gt;$AF$51,ROUND(BG13*IF(#REF!="",0,#REF!)/(DATEVALUE(CONCATENATE("01/01/",YEAR(AQ14)+1))-DATEVALUE(CONCATENATE("01/01/",YEAR(AQ14))))*(AQ14-AQ13),2),0))</f>
        <v>0</v>
      </c>
    </row>
    <row r="60" spans="1:64" s="16" customFormat="1" ht="13.8" x14ac:dyDescent="0.3">
      <c r="A60" s="180"/>
      <c r="B60" s="180"/>
      <c r="C60" s="524"/>
      <c r="D60" s="254"/>
      <c r="E60" s="178"/>
      <c r="F60" s="178"/>
      <c r="G60" s="244">
        <f t="shared" si="28"/>
        <v>52</v>
      </c>
      <c r="H60" s="245">
        <f t="shared" si="1"/>
        <v>46027</v>
      </c>
      <c r="I60" s="246">
        <f t="shared" si="58"/>
        <v>9.9000000000000005E-2</v>
      </c>
      <c r="J60" s="242">
        <f t="shared" si="11"/>
        <v>7860</v>
      </c>
      <c r="K60" s="242">
        <f t="shared" si="56"/>
        <v>7860</v>
      </c>
      <c r="L60" s="242">
        <f t="shared" si="36"/>
        <v>791.54</v>
      </c>
      <c r="M60" s="242">
        <f t="shared" si="13"/>
        <v>7068.46</v>
      </c>
      <c r="N60" s="242">
        <f t="shared" si="46"/>
        <v>0</v>
      </c>
      <c r="O60" s="242">
        <v>0</v>
      </c>
      <c r="P60" s="242">
        <f t="shared" si="25"/>
        <v>791.54</v>
      </c>
      <c r="Q60" s="242">
        <f t="shared" si="33"/>
        <v>0</v>
      </c>
      <c r="R60" s="242">
        <f t="shared" si="15"/>
        <v>0</v>
      </c>
      <c r="S60" s="242">
        <f t="shared" si="16"/>
        <v>87070.77999999997</v>
      </c>
      <c r="T60" s="467"/>
      <c r="U60" s="198">
        <f t="shared" si="29"/>
        <v>9</v>
      </c>
      <c r="V60" s="36">
        <f t="shared" si="17"/>
        <v>9</v>
      </c>
      <c r="W60" s="2" t="e">
        <f>IF(AND(G25&gt;=$W$9,G25&lt;=$W$9+5),0,IF($C$9&gt;$AF$51,ROUND(S24*#REF!/(DATEVALUE(CONCATENATE("01/01/",YEAR(H25)+1))-DATEVALUE(CONCATENATE("01/01/",YEAR(H25))))*(H25-H24),2),0))</f>
        <v>#REF!</v>
      </c>
      <c r="X60" s="34">
        <f t="shared" si="53"/>
        <v>7860</v>
      </c>
      <c r="Y60" s="57">
        <f t="shared" si="50"/>
        <v>50646</v>
      </c>
      <c r="AA60" s="171"/>
      <c r="AB60" s="171">
        <v>3000000</v>
      </c>
      <c r="AC60" s="133" t="s">
        <v>125</v>
      </c>
      <c r="AD60" s="155"/>
      <c r="AE60" s="155"/>
      <c r="AF60" s="155"/>
      <c r="AG60" s="155"/>
      <c r="AH60" s="155"/>
      <c r="AI60" s="155"/>
      <c r="AJ60" s="155"/>
      <c r="AK60" s="2"/>
      <c r="AL60" s="2" t="e">
        <f>IF(AND(Y16&gt;=$W$9,Y16&lt;=$W$9+5),0,IF($C$9&gt;$AF$51,ROUND(AI20*#REF!/(DATEVALUE(CONCATENATE("01/01/",YEAR(Z16)+1))-DATEVALUE(CONCATENATE("01/01/",YEAR(Z16))))*(Z16-Z15),2),0))</f>
        <v>#REF!</v>
      </c>
      <c r="AM60" s="34">
        <f t="shared" si="55"/>
        <v>8360</v>
      </c>
      <c r="AN60" s="57">
        <f t="shared" si="54"/>
        <v>49186</v>
      </c>
      <c r="AO60" s="130">
        <f t="shared" si="18"/>
        <v>1</v>
      </c>
      <c r="AP60" s="261">
        <f t="shared" si="30"/>
        <v>52</v>
      </c>
      <c r="AQ60" s="262">
        <f t="shared" si="4"/>
        <v>46027</v>
      </c>
      <c r="AR60" s="263">
        <f t="shared" si="57"/>
        <v>0.13900000000000001</v>
      </c>
      <c r="AS60" s="258">
        <f t="shared" si="19"/>
        <v>8360</v>
      </c>
      <c r="AT60" s="258">
        <f t="shared" si="47"/>
        <v>8360</v>
      </c>
      <c r="AU60" s="258">
        <f t="shared" si="20"/>
        <v>831.88</v>
      </c>
      <c r="AV60" s="258">
        <f t="shared" si="21"/>
        <v>7528.12</v>
      </c>
      <c r="AW60" s="258">
        <f t="shared" si="48"/>
        <v>0</v>
      </c>
      <c r="AX60" s="258">
        <v>0</v>
      </c>
      <c r="AY60" s="258">
        <f t="shared" si="22"/>
        <v>831.88</v>
      </c>
      <c r="AZ60" s="258">
        <f t="shared" si="38"/>
        <v>0</v>
      </c>
      <c r="BA60" s="258">
        <f t="shared" si="37"/>
        <v>0</v>
      </c>
      <c r="BB60" s="258"/>
      <c r="BC60" s="258"/>
      <c r="BD60" s="258"/>
      <c r="BE60" s="258"/>
      <c r="BF60" s="258"/>
      <c r="BG60" s="258">
        <f t="shared" si="24"/>
        <v>62937.259999999886</v>
      </c>
      <c r="BH60" s="108">
        <f t="shared" si="31"/>
        <v>9</v>
      </c>
      <c r="BI60" s="108">
        <f t="shared" si="26"/>
        <v>9</v>
      </c>
      <c r="BJ60" s="22">
        <f t="shared" si="27"/>
        <v>46027</v>
      </c>
      <c r="BK60" s="108">
        <f t="shared" si="9"/>
        <v>7860</v>
      </c>
      <c r="BL60" s="2" t="e">
        <f>IF(AND(G15&gt;=$W$9,G15&lt;=$W$9+5),0,IF($C$9&gt;$AF$51,ROUND(BG14*IF(#REF!="",0,#REF!)/(DATEVALUE(CONCATENATE("01/01/",YEAR(AQ15)+1))-DATEVALUE(CONCATENATE("01/01/",YEAR(AQ15))))*(AQ15-AQ14),2),0))</f>
        <v>#REF!</v>
      </c>
    </row>
    <row r="61" spans="1:64" s="16" customFormat="1" ht="15.75" customHeight="1" x14ac:dyDescent="0.3">
      <c r="A61" s="180"/>
      <c r="B61" s="180"/>
      <c r="C61" s="524"/>
      <c r="D61" s="254"/>
      <c r="E61" s="178"/>
      <c r="F61" s="178"/>
      <c r="G61" s="244">
        <f t="shared" si="28"/>
        <v>53</v>
      </c>
      <c r="H61" s="245">
        <f t="shared" si="1"/>
        <v>46058</v>
      </c>
      <c r="I61" s="246">
        <f t="shared" si="58"/>
        <v>9.9000000000000005E-2</v>
      </c>
      <c r="J61" s="242">
        <f t="shared" si="11"/>
        <v>7860</v>
      </c>
      <c r="K61" s="242">
        <f t="shared" si="56"/>
        <v>7860</v>
      </c>
      <c r="L61" s="242">
        <f t="shared" si="36"/>
        <v>732.11</v>
      </c>
      <c r="M61" s="242">
        <f t="shared" si="13"/>
        <v>7127.89</v>
      </c>
      <c r="N61" s="242">
        <f t="shared" si="46"/>
        <v>0</v>
      </c>
      <c r="O61" s="242">
        <v>0</v>
      </c>
      <c r="P61" s="242">
        <f t="shared" si="25"/>
        <v>732.11</v>
      </c>
      <c r="Q61" s="242">
        <f t="shared" si="33"/>
        <v>0</v>
      </c>
      <c r="R61" s="242">
        <f t="shared" si="15"/>
        <v>0</v>
      </c>
      <c r="S61" s="242">
        <f t="shared" si="16"/>
        <v>79942.88999999997</v>
      </c>
      <c r="T61" s="467"/>
      <c r="U61" s="198">
        <f t="shared" si="29"/>
        <v>8</v>
      </c>
      <c r="V61" s="36">
        <f t="shared" si="17"/>
        <v>8</v>
      </c>
      <c r="W61" s="2" t="e">
        <f>IF(AND(G26&gt;=$W$9,G26&lt;=$W$9+5),0,IF($C$9&gt;$AF$51,ROUND(S25*#REF!/(DATEVALUE(CONCATENATE("01/01/",YEAR(H26)+1))-DATEVALUE(CONCATENATE("01/01/",YEAR(H26))))*(H26-H25),2),0))</f>
        <v>#REF!</v>
      </c>
      <c r="X61" s="34">
        <f t="shared" si="53"/>
        <v>7860</v>
      </c>
      <c r="Y61" s="57">
        <f t="shared" si="50"/>
        <v>51011</v>
      </c>
      <c r="AB61" s="172"/>
      <c r="AC61" s="133">
        <v>3.5000000000000001E-3</v>
      </c>
      <c r="AD61" s="133">
        <v>3.5000000000000001E-3</v>
      </c>
      <c r="AE61" s="133">
        <v>2.5000000000000001E-3</v>
      </c>
      <c r="AF61" s="133">
        <v>3.0000000000000001E-3</v>
      </c>
      <c r="AG61" s="133">
        <v>0</v>
      </c>
      <c r="AH61" s="133">
        <v>1E-3</v>
      </c>
      <c r="AI61" s="133">
        <v>4.0000000000000001E-3</v>
      </c>
      <c r="AJ61" s="133">
        <v>0</v>
      </c>
      <c r="AK61" s="2"/>
      <c r="AL61" s="2" t="e">
        <f>IF(AND(Y17&gt;=$W$9,Y17&lt;=$W$9+5),0,IF($C$9&gt;$AF$51,ROUND(AI21*#REF!/(DATEVALUE(CONCATENATE("01/01/",YEAR(Z17)+1))-DATEVALUE(CONCATENATE("01/01/",YEAR(Z17))))*(Z17-Z16),2),0))</f>
        <v>#REF!</v>
      </c>
      <c r="AM61" s="34">
        <f t="shared" si="55"/>
        <v>8360</v>
      </c>
      <c r="AN61" s="57">
        <f t="shared" si="54"/>
        <v>49551</v>
      </c>
      <c r="AO61" s="130">
        <f t="shared" si="18"/>
        <v>1</v>
      </c>
      <c r="AP61" s="261">
        <f t="shared" si="30"/>
        <v>53</v>
      </c>
      <c r="AQ61" s="262">
        <f t="shared" si="4"/>
        <v>46058</v>
      </c>
      <c r="AR61" s="263">
        <f t="shared" si="57"/>
        <v>0.13900000000000001</v>
      </c>
      <c r="AS61" s="258">
        <f t="shared" si="19"/>
        <v>8360</v>
      </c>
      <c r="AT61" s="258">
        <f t="shared" si="47"/>
        <v>8360</v>
      </c>
      <c r="AU61" s="258">
        <f t="shared" si="20"/>
        <v>743</v>
      </c>
      <c r="AV61" s="258">
        <f t="shared" si="21"/>
        <v>7617</v>
      </c>
      <c r="AW61" s="258">
        <f t="shared" si="48"/>
        <v>0</v>
      </c>
      <c r="AX61" s="258">
        <v>0</v>
      </c>
      <c r="AY61" s="258">
        <f t="shared" si="22"/>
        <v>743</v>
      </c>
      <c r="AZ61" s="258">
        <f t="shared" si="38"/>
        <v>0</v>
      </c>
      <c r="BA61" s="258">
        <f t="shared" si="37"/>
        <v>0</v>
      </c>
      <c r="BB61" s="258"/>
      <c r="BC61" s="258"/>
      <c r="BD61" s="258"/>
      <c r="BE61" s="258"/>
      <c r="BF61" s="258"/>
      <c r="BG61" s="258">
        <f t="shared" si="24"/>
        <v>55320.259999999886</v>
      </c>
      <c r="BH61" s="108">
        <f t="shared" si="31"/>
        <v>8</v>
      </c>
      <c r="BI61" s="108">
        <f t="shared" si="26"/>
        <v>8</v>
      </c>
      <c r="BJ61" s="22">
        <f t="shared" si="27"/>
        <v>46058</v>
      </c>
      <c r="BK61" s="108">
        <f t="shared" si="9"/>
        <v>7860</v>
      </c>
      <c r="BL61" s="2" t="e">
        <f>IF(AND(G16&gt;=$W$9,G16&lt;=$W$9+5),0,IF($C$9&gt;$AF$51,ROUND(BG15*IF(#REF!="",0,#REF!)/(DATEVALUE(CONCATENATE("01/01/",YEAR(AQ16)+1))-DATEVALUE(CONCATENATE("01/01/",YEAR(AQ16))))*(AQ16-AQ15),2),0))</f>
        <v>#REF!</v>
      </c>
    </row>
    <row r="62" spans="1:64" s="16" customFormat="1" x14ac:dyDescent="0.3">
      <c r="A62" s="180"/>
      <c r="B62" s="180"/>
      <c r="C62" s="524"/>
      <c r="D62" s="178"/>
      <c r="E62" s="178"/>
      <c r="F62" s="178"/>
      <c r="G62" s="244">
        <f t="shared" si="28"/>
        <v>54</v>
      </c>
      <c r="H62" s="245">
        <f t="shared" si="1"/>
        <v>46086</v>
      </c>
      <c r="I62" s="246">
        <f t="shared" si="58"/>
        <v>9.9000000000000005E-2</v>
      </c>
      <c r="J62" s="242">
        <f t="shared" si="11"/>
        <v>7860</v>
      </c>
      <c r="K62" s="242">
        <f t="shared" si="56"/>
        <v>7860</v>
      </c>
      <c r="L62" s="242">
        <f t="shared" si="36"/>
        <v>607.13</v>
      </c>
      <c r="M62" s="242">
        <f t="shared" si="13"/>
        <v>7252.87</v>
      </c>
      <c r="N62" s="242">
        <f t="shared" si="46"/>
        <v>0</v>
      </c>
      <c r="O62" s="242">
        <v>0</v>
      </c>
      <c r="P62" s="242">
        <f t="shared" si="25"/>
        <v>607.13</v>
      </c>
      <c r="Q62" s="242">
        <f t="shared" si="33"/>
        <v>0</v>
      </c>
      <c r="R62" s="242">
        <f t="shared" si="15"/>
        <v>0</v>
      </c>
      <c r="S62" s="242">
        <f t="shared" si="16"/>
        <v>72690.019999999975</v>
      </c>
      <c r="T62" s="467"/>
      <c r="U62" s="198">
        <f t="shared" si="29"/>
        <v>7</v>
      </c>
      <c r="V62" s="36">
        <f t="shared" si="17"/>
        <v>7</v>
      </c>
      <c r="W62" s="2" t="e">
        <f>IF(AND(G27&gt;=$W$9,G27&lt;=$W$9+5),0,IF($C$9&gt;$AF$51,ROUND(S26*#REF!/(DATEVALUE(CONCATENATE("01/01/",YEAR(H27)+1))-DATEVALUE(CONCATENATE("01/01/",YEAR(H27))))*(H27-H26),2),0))</f>
        <v>#REF!</v>
      </c>
      <c r="X62" s="34">
        <f t="shared" si="53"/>
        <v>7860</v>
      </c>
      <c r="Y62" s="57">
        <f t="shared" si="50"/>
        <v>51376</v>
      </c>
      <c r="AC62" s="133">
        <v>3.0000000000000001E-3</v>
      </c>
      <c r="AD62" s="133">
        <v>3.0000000000000001E-3</v>
      </c>
      <c r="AE62" s="133">
        <v>2.5000000000000001E-3</v>
      </c>
      <c r="AF62" s="133">
        <v>3.0000000000000001E-3</v>
      </c>
      <c r="AG62" s="133">
        <v>0</v>
      </c>
      <c r="AH62" s="133">
        <v>1E-3</v>
      </c>
      <c r="AI62" s="133">
        <v>4.0000000000000001E-3</v>
      </c>
      <c r="AJ62" s="133">
        <v>0</v>
      </c>
      <c r="AK62" s="2"/>
      <c r="AL62" s="2" t="e">
        <f>IF(AND(Y18&gt;=$W$9,Y18&lt;=$W$9+5),0,IF($C$9&gt;$AF$51,ROUND(AI22*#REF!/(DATEVALUE(CONCATENATE("01/01/",YEAR(Z18)+1))-DATEVALUE(CONCATENATE("01/01/",YEAR(Z18))))*(Z18-Z17),2),0))</f>
        <v>#REF!</v>
      </c>
      <c r="AM62" s="34">
        <f t="shared" si="55"/>
        <v>8360</v>
      </c>
      <c r="AN62" s="57">
        <f t="shared" si="54"/>
        <v>49916</v>
      </c>
      <c r="AO62" s="130">
        <f t="shared" si="18"/>
        <v>1</v>
      </c>
      <c r="AP62" s="261">
        <f t="shared" si="30"/>
        <v>54</v>
      </c>
      <c r="AQ62" s="262">
        <f t="shared" si="4"/>
        <v>46086</v>
      </c>
      <c r="AR62" s="263">
        <f t="shared" si="57"/>
        <v>0.13900000000000001</v>
      </c>
      <c r="AS62" s="258">
        <f t="shared" si="19"/>
        <v>8360</v>
      </c>
      <c r="AT62" s="258">
        <f t="shared" si="47"/>
        <v>8360</v>
      </c>
      <c r="AU62" s="258">
        <f t="shared" si="20"/>
        <v>589.88</v>
      </c>
      <c r="AV62" s="258">
        <f t="shared" si="21"/>
        <v>7770.12</v>
      </c>
      <c r="AW62" s="258">
        <f t="shared" si="48"/>
        <v>0</v>
      </c>
      <c r="AX62" s="258">
        <v>0</v>
      </c>
      <c r="AY62" s="258">
        <f t="shared" si="22"/>
        <v>589.88</v>
      </c>
      <c r="AZ62" s="258">
        <f t="shared" si="38"/>
        <v>0</v>
      </c>
      <c r="BA62" s="258">
        <f t="shared" si="37"/>
        <v>0</v>
      </c>
      <c r="BB62" s="258"/>
      <c r="BC62" s="258"/>
      <c r="BD62" s="258"/>
      <c r="BE62" s="258"/>
      <c r="BF62" s="258"/>
      <c r="BG62" s="258">
        <f t="shared" si="24"/>
        <v>47550.139999999883</v>
      </c>
      <c r="BH62" s="108">
        <f t="shared" si="31"/>
        <v>7</v>
      </c>
      <c r="BI62" s="108">
        <f t="shared" si="26"/>
        <v>7</v>
      </c>
      <c r="BJ62" s="22">
        <f t="shared" si="27"/>
        <v>46086</v>
      </c>
      <c r="BK62" s="108">
        <f t="shared" si="9"/>
        <v>7860</v>
      </c>
      <c r="BL62" s="2" t="e">
        <f>IF(AND(G17&gt;=$W$9,G17&lt;=$W$9+5),0,IF($C$9&gt;$AF$51,ROUND(BG16*IF(#REF!="",0,#REF!)/(DATEVALUE(CONCATENATE("01/01/",YEAR(AQ17)+1))-DATEVALUE(CONCATENATE("01/01/",YEAR(AQ17))))*(AQ17-AQ16),2),0))</f>
        <v>#REF!</v>
      </c>
    </row>
    <row r="63" spans="1:64" s="16" customFormat="1" x14ac:dyDescent="0.3">
      <c r="A63" s="180"/>
      <c r="B63" s="180"/>
      <c r="C63" s="524"/>
      <c r="D63" s="178"/>
      <c r="E63" s="178"/>
      <c r="F63" s="178"/>
      <c r="G63" s="244">
        <f t="shared" si="28"/>
        <v>55</v>
      </c>
      <c r="H63" s="245">
        <f t="shared" si="1"/>
        <v>46117</v>
      </c>
      <c r="I63" s="246">
        <f t="shared" si="58"/>
        <v>9.9000000000000005E-2</v>
      </c>
      <c r="J63" s="242">
        <f t="shared" si="11"/>
        <v>7860</v>
      </c>
      <c r="K63" s="242">
        <f t="shared" si="56"/>
        <v>7860</v>
      </c>
      <c r="L63" s="242">
        <f t="shared" si="36"/>
        <v>611.19000000000005</v>
      </c>
      <c r="M63" s="242">
        <f t="shared" si="13"/>
        <v>7248.8099999999995</v>
      </c>
      <c r="N63" s="242">
        <f t="shared" si="46"/>
        <v>0</v>
      </c>
      <c r="O63" s="242">
        <v>0</v>
      </c>
      <c r="P63" s="242">
        <f t="shared" si="25"/>
        <v>611.19000000000005</v>
      </c>
      <c r="Q63" s="242">
        <f t="shared" si="33"/>
        <v>0</v>
      </c>
      <c r="R63" s="242">
        <f t="shared" si="15"/>
        <v>0</v>
      </c>
      <c r="S63" s="242">
        <f t="shared" si="16"/>
        <v>65441.209999999977</v>
      </c>
      <c r="T63" s="467"/>
      <c r="U63" s="198">
        <f t="shared" si="29"/>
        <v>6</v>
      </c>
      <c r="V63" s="36">
        <f t="shared" si="17"/>
        <v>6</v>
      </c>
      <c r="W63" s="2" t="e">
        <f>IF(AND(G28&gt;=$W$9,G28&lt;=$W$9+5),0,IF($C$9&gt;$AF$51,ROUND(S27*#REF!/(DATEVALUE(CONCATENATE("01/01/",YEAR(H28)+1))-DATEVALUE(CONCATENATE("01/01/",YEAR(H28))))*(H28-H27),2),0))</f>
        <v>#REF!</v>
      </c>
      <c r="X63" s="34">
        <f t="shared" si="53"/>
        <v>7860</v>
      </c>
      <c r="Y63" s="57">
        <f t="shared" si="50"/>
        <v>51741</v>
      </c>
      <c r="AC63" s="133">
        <v>2.5000000000000001E-3</v>
      </c>
      <c r="AD63" s="133">
        <v>2.5000000000000001E-3</v>
      </c>
      <c r="AE63" s="133">
        <v>2.5000000000000001E-3</v>
      </c>
      <c r="AF63" s="133">
        <v>3.0000000000000001E-3</v>
      </c>
      <c r="AG63" s="133">
        <v>0</v>
      </c>
      <c r="AH63" s="133">
        <v>1E-3</v>
      </c>
      <c r="AI63" s="133">
        <v>3.2000000000000002E-3</v>
      </c>
      <c r="AJ63" s="133">
        <v>0</v>
      </c>
      <c r="AL63" s="2" t="e">
        <f>IF(AND(Y19&gt;=$W$9,Y19&lt;=$W$9+5),0,IF($C$9&gt;$AF$51,ROUND(AI23*#REF!/(DATEVALUE(CONCATENATE("01/01/",YEAR(Z19)+1))-DATEVALUE(CONCATENATE("01/01/",YEAR(Z19))))*(Z19-Z18),2),0))</f>
        <v>#REF!</v>
      </c>
      <c r="AM63" s="34">
        <f t="shared" si="55"/>
        <v>8360</v>
      </c>
      <c r="AN63" s="57">
        <f t="shared" si="54"/>
        <v>50281</v>
      </c>
      <c r="AO63" s="130">
        <f t="shared" si="18"/>
        <v>1</v>
      </c>
      <c r="AP63" s="261">
        <f t="shared" si="30"/>
        <v>55</v>
      </c>
      <c r="AQ63" s="262">
        <f t="shared" si="4"/>
        <v>46117</v>
      </c>
      <c r="AR63" s="263">
        <f>IF($D$16="Да",$AM$40,$D$13)</f>
        <v>0.13900000000000001</v>
      </c>
      <c r="AS63" s="258">
        <f t="shared" si="19"/>
        <v>8360</v>
      </c>
      <c r="AT63" s="258">
        <f t="shared" si="47"/>
        <v>8360</v>
      </c>
      <c r="AU63" s="258">
        <f t="shared" si="20"/>
        <v>561.35</v>
      </c>
      <c r="AV63" s="258">
        <f t="shared" si="21"/>
        <v>7798.65</v>
      </c>
      <c r="AW63" s="258">
        <f t="shared" si="48"/>
        <v>0</v>
      </c>
      <c r="AX63" s="258">
        <v>0</v>
      </c>
      <c r="AY63" s="258">
        <f t="shared" si="22"/>
        <v>561.35</v>
      </c>
      <c r="AZ63" s="258">
        <f t="shared" si="38"/>
        <v>0</v>
      </c>
      <c r="BA63" s="258">
        <f t="shared" si="37"/>
        <v>0</v>
      </c>
      <c r="BB63" s="258"/>
      <c r="BC63" s="258"/>
      <c r="BD63" s="258"/>
      <c r="BE63" s="258"/>
      <c r="BF63" s="258"/>
      <c r="BG63" s="258">
        <f t="shared" si="24"/>
        <v>39751.489999999882</v>
      </c>
      <c r="BH63" s="108">
        <f t="shared" si="31"/>
        <v>6</v>
      </c>
      <c r="BI63" s="108">
        <f t="shared" si="26"/>
        <v>6</v>
      </c>
      <c r="BJ63" s="22">
        <f t="shared" si="27"/>
        <v>46117</v>
      </c>
      <c r="BK63" s="108">
        <f t="shared" si="9"/>
        <v>7860</v>
      </c>
      <c r="BL63" s="2" t="e">
        <f>IF(AND(G18&gt;=$W$9,G18&lt;=$W$9+5),0,IF($C$9&gt;$AF$51,ROUND(BG17*IF(#REF!="",0,#REF!)/(DATEVALUE(CONCATENATE("01/01/",YEAR(AQ18)+1))-DATEVALUE(CONCATENATE("01/01/",YEAR(AQ18))))*(AQ18-AQ17),2),0))</f>
        <v>#REF!</v>
      </c>
    </row>
    <row r="64" spans="1:64" s="16" customFormat="1" x14ac:dyDescent="0.3">
      <c r="A64" s="178"/>
      <c r="B64" s="178"/>
      <c r="C64" s="184"/>
      <c r="D64" s="181"/>
      <c r="E64" s="178"/>
      <c r="F64" s="178"/>
      <c r="G64" s="244">
        <f t="shared" si="28"/>
        <v>56</v>
      </c>
      <c r="H64" s="245">
        <f t="shared" si="1"/>
        <v>46147</v>
      </c>
      <c r="I64" s="246">
        <f t="shared" si="58"/>
        <v>9.9000000000000005E-2</v>
      </c>
      <c r="J64" s="242">
        <f t="shared" si="11"/>
        <v>7860</v>
      </c>
      <c r="K64" s="242">
        <f t="shared" si="56"/>
        <v>7860</v>
      </c>
      <c r="L64" s="242">
        <f t="shared" si="36"/>
        <v>532.49</v>
      </c>
      <c r="M64" s="242">
        <f t="shared" si="13"/>
        <v>7327.51</v>
      </c>
      <c r="N64" s="242">
        <f t="shared" si="46"/>
        <v>0</v>
      </c>
      <c r="O64" s="242">
        <v>0</v>
      </c>
      <c r="P64" s="242">
        <f t="shared" si="25"/>
        <v>532.49</v>
      </c>
      <c r="Q64" s="242">
        <f t="shared" si="33"/>
        <v>0</v>
      </c>
      <c r="R64" s="242">
        <f t="shared" si="15"/>
        <v>0</v>
      </c>
      <c r="S64" s="242">
        <f t="shared" si="16"/>
        <v>58113.699999999975</v>
      </c>
      <c r="T64" s="467"/>
      <c r="U64" s="198">
        <f t="shared" si="29"/>
        <v>5</v>
      </c>
      <c r="V64" s="36">
        <f t="shared" si="17"/>
        <v>5</v>
      </c>
      <c r="W64" s="2" t="e">
        <f>IF(AND(G29&gt;=$W$9,G29&lt;=$W$9+5),0,IF($C$9&gt;$AF$51,ROUND(S28*#REF!/(DATEVALUE(CONCATENATE("01/01/",YEAR(H29)+1))-DATEVALUE(CONCATENATE("01/01/",YEAR(H29))))*(H29-H28),2),0))</f>
        <v>#REF!</v>
      </c>
      <c r="X64" s="34">
        <f t="shared" si="53"/>
        <v>7860</v>
      </c>
      <c r="Y64" s="57">
        <f t="shared" si="50"/>
        <v>52106</v>
      </c>
      <c r="AC64" s="133">
        <v>2E-3</v>
      </c>
      <c r="AD64" s="133">
        <v>2E-3</v>
      </c>
      <c r="AE64" s="155"/>
      <c r="AF64" s="155"/>
      <c r="AG64" s="133">
        <v>0</v>
      </c>
      <c r="AH64" s="133">
        <v>1E-3</v>
      </c>
      <c r="AI64" s="133">
        <v>2E-3</v>
      </c>
      <c r="AJ64" s="133">
        <v>0</v>
      </c>
      <c r="AL64" s="2" t="e">
        <f>IF(AND(Y20&gt;=$W$9,Y20&lt;=$W$9+5),0,IF($C$9&gt;$AF$51,ROUND(AI24*#REF!/(DATEVALUE(CONCATENATE("01/01/",YEAR(Z20)+1))-DATEVALUE(CONCATENATE("01/01/",YEAR(Z20))))*(Z20-Z19),2),0))</f>
        <v>#REF!</v>
      </c>
      <c r="AM64" s="34">
        <f t="shared" si="55"/>
        <v>8360</v>
      </c>
      <c r="AN64" s="57">
        <f t="shared" si="54"/>
        <v>50646</v>
      </c>
      <c r="AO64" s="130">
        <f t="shared" si="18"/>
        <v>1</v>
      </c>
      <c r="AP64" s="261">
        <f t="shared" si="30"/>
        <v>56</v>
      </c>
      <c r="AQ64" s="262">
        <f t="shared" si="4"/>
        <v>46147</v>
      </c>
      <c r="AR64" s="263">
        <f t="shared" si="57"/>
        <v>0.13900000000000001</v>
      </c>
      <c r="AS64" s="258">
        <f t="shared" si="19"/>
        <v>8360</v>
      </c>
      <c r="AT64" s="258">
        <f t="shared" si="47"/>
        <v>8360</v>
      </c>
      <c r="AU64" s="258">
        <f t="shared" si="20"/>
        <v>454.15</v>
      </c>
      <c r="AV64" s="258">
        <f t="shared" si="21"/>
        <v>7905.85</v>
      </c>
      <c r="AW64" s="258">
        <f t="shared" si="48"/>
        <v>0</v>
      </c>
      <c r="AX64" s="258">
        <v>0</v>
      </c>
      <c r="AY64" s="258">
        <f t="shared" si="22"/>
        <v>454.15</v>
      </c>
      <c r="AZ64" s="258">
        <f t="shared" si="38"/>
        <v>0</v>
      </c>
      <c r="BA64" s="258">
        <f t="shared" si="37"/>
        <v>0</v>
      </c>
      <c r="BB64" s="258"/>
      <c r="BC64" s="258"/>
      <c r="BD64" s="258"/>
      <c r="BE64" s="258"/>
      <c r="BF64" s="258"/>
      <c r="BG64" s="258">
        <f t="shared" si="24"/>
        <v>31845.639999999883</v>
      </c>
      <c r="BH64" s="108">
        <f t="shared" si="31"/>
        <v>5</v>
      </c>
      <c r="BI64" s="108">
        <f t="shared" si="26"/>
        <v>5</v>
      </c>
      <c r="BJ64" s="22">
        <f t="shared" si="27"/>
        <v>46147</v>
      </c>
      <c r="BK64" s="108">
        <f t="shared" si="9"/>
        <v>7860</v>
      </c>
      <c r="BL64" s="2" t="e">
        <f>IF(AND(G19&gt;=$W$9,G19&lt;=$W$9+5),0,IF($C$9&gt;$AF$51,ROUND(BG18*IF(#REF!="",0,#REF!)/(DATEVALUE(CONCATENATE("01/01/",YEAR(AQ19)+1))-DATEVALUE(CONCATENATE("01/01/",YEAR(AQ19))))*(AQ19-AQ18),2),0))</f>
        <v>#REF!</v>
      </c>
    </row>
    <row r="65" spans="1:64" s="16" customFormat="1" x14ac:dyDescent="0.3">
      <c r="A65" s="178"/>
      <c r="B65" s="178"/>
      <c r="C65" s="524"/>
      <c r="D65" s="182"/>
      <c r="E65" s="178"/>
      <c r="F65" s="178"/>
      <c r="G65" s="244">
        <f t="shared" si="28"/>
        <v>57</v>
      </c>
      <c r="H65" s="245">
        <f t="shared" si="1"/>
        <v>46178</v>
      </c>
      <c r="I65" s="246">
        <f t="shared" si="58"/>
        <v>9.9000000000000005E-2</v>
      </c>
      <c r="J65" s="242">
        <f t="shared" si="11"/>
        <v>7860</v>
      </c>
      <c r="K65" s="242">
        <f t="shared" si="56"/>
        <v>7860</v>
      </c>
      <c r="L65" s="242">
        <f t="shared" si="36"/>
        <v>488.63</v>
      </c>
      <c r="M65" s="242">
        <f t="shared" si="13"/>
        <v>7371.37</v>
      </c>
      <c r="N65" s="242">
        <f t="shared" si="46"/>
        <v>0</v>
      </c>
      <c r="O65" s="242">
        <v>0</v>
      </c>
      <c r="P65" s="242">
        <f t="shared" si="25"/>
        <v>488.63</v>
      </c>
      <c r="Q65" s="242">
        <f t="shared" si="33"/>
        <v>0</v>
      </c>
      <c r="R65" s="242">
        <f t="shared" si="15"/>
        <v>0</v>
      </c>
      <c r="S65" s="242">
        <f t="shared" si="16"/>
        <v>50742.329999999973</v>
      </c>
      <c r="T65" s="467"/>
      <c r="U65" s="198">
        <f t="shared" si="29"/>
        <v>4</v>
      </c>
      <c r="V65" s="36">
        <f t="shared" si="17"/>
        <v>4</v>
      </c>
      <c r="W65" s="2" t="e">
        <f>IF(AND(G30&gt;=$W$9,G30&lt;=$W$9+5),0,IF($C$9&gt;$AF$51,ROUND(S29*#REF!/(DATEVALUE(CONCATENATE("01/01/",YEAR(H30)+1))-DATEVALUE(CONCATENATE("01/01/",YEAR(H30))))*(H30-H29),2),0))</f>
        <v>#REF!</v>
      </c>
      <c r="X65" s="34">
        <f t="shared" si="53"/>
        <v>7860</v>
      </c>
      <c r="Y65" s="57">
        <f t="shared" si="50"/>
        <v>52471</v>
      </c>
      <c r="AB65" s="2"/>
      <c r="AC65" s="66">
        <f t="shared" ref="AC65:AI65" si="59">IF(AC79&gt;$AA$59,AC64,IF(AC79&gt;$AA$58,AC63,IF(AC79&gt;$AA$57,AC62,AC61)))</f>
        <v>3.0000000000000001E-3</v>
      </c>
      <c r="AD65" s="66">
        <f t="shared" si="59"/>
        <v>3.0000000000000001E-3</v>
      </c>
      <c r="AE65" s="66">
        <f t="shared" si="59"/>
        <v>2.5000000000000001E-3</v>
      </c>
      <c r="AF65" s="66">
        <f t="shared" si="59"/>
        <v>3.0000000000000001E-3</v>
      </c>
      <c r="AG65" s="66">
        <f t="shared" si="59"/>
        <v>0</v>
      </c>
      <c r="AH65" s="66">
        <f t="shared" si="59"/>
        <v>1E-3</v>
      </c>
      <c r="AI65" s="66">
        <f t="shared" si="59"/>
        <v>4.0000000000000001E-3</v>
      </c>
      <c r="AJ65" s="15" t="s">
        <v>126</v>
      </c>
      <c r="AL65" s="2" t="e">
        <f>IF(AND(Y21&gt;=$W$9,Y21&lt;=$W$9+5),0,IF($C$9&gt;$AF$51,ROUND(AI25*#REF!/(DATEVALUE(CONCATENATE("01/01/",YEAR(Z21)+1))-DATEVALUE(CONCATENATE("01/01/",YEAR(Z21))))*(Z21-Z20),2),0))</f>
        <v>#REF!</v>
      </c>
      <c r="AM65" s="34">
        <f t="shared" si="55"/>
        <v>8360</v>
      </c>
      <c r="AN65" s="57">
        <f t="shared" si="54"/>
        <v>51011</v>
      </c>
      <c r="AO65" s="130">
        <f t="shared" si="18"/>
        <v>1</v>
      </c>
      <c r="AP65" s="261">
        <f t="shared" si="30"/>
        <v>57</v>
      </c>
      <c r="AQ65" s="262">
        <f t="shared" si="4"/>
        <v>46178</v>
      </c>
      <c r="AR65" s="263">
        <f t="shared" si="57"/>
        <v>0.13900000000000001</v>
      </c>
      <c r="AS65" s="258">
        <f t="shared" si="19"/>
        <v>8360</v>
      </c>
      <c r="AT65" s="258">
        <f t="shared" si="47"/>
        <v>8360</v>
      </c>
      <c r="AU65" s="258">
        <f t="shared" si="20"/>
        <v>375.95</v>
      </c>
      <c r="AV65" s="258">
        <f t="shared" si="21"/>
        <v>7984.05</v>
      </c>
      <c r="AW65" s="258">
        <f t="shared" si="48"/>
        <v>0</v>
      </c>
      <c r="AX65" s="258">
        <v>0</v>
      </c>
      <c r="AY65" s="258">
        <f t="shared" si="22"/>
        <v>375.95</v>
      </c>
      <c r="AZ65" s="258">
        <f t="shared" si="38"/>
        <v>0</v>
      </c>
      <c r="BA65" s="258">
        <f t="shared" si="37"/>
        <v>0</v>
      </c>
      <c r="BB65" s="258"/>
      <c r="BC65" s="258"/>
      <c r="BD65" s="258"/>
      <c r="BE65" s="258"/>
      <c r="BF65" s="258"/>
      <c r="BG65" s="258">
        <f t="shared" si="24"/>
        <v>23861.589999999884</v>
      </c>
      <c r="BH65" s="108">
        <f t="shared" si="31"/>
        <v>4</v>
      </c>
      <c r="BI65" s="108">
        <f t="shared" si="26"/>
        <v>4</v>
      </c>
      <c r="BJ65" s="22">
        <f t="shared" si="27"/>
        <v>46178</v>
      </c>
      <c r="BK65" s="108">
        <f t="shared" si="9"/>
        <v>7860</v>
      </c>
      <c r="BL65" s="2" t="e">
        <f>IF(AND(G20&gt;=$W$9,G20&lt;=$W$9+5),0,IF($C$9&gt;$AF$51,ROUND(BG19*IF(#REF!="",0,#REF!)/(DATEVALUE(CONCATENATE("01/01/",YEAR(AQ20)+1))-DATEVALUE(CONCATENATE("01/01/",YEAR(AQ20))))*(AQ20-AQ19),2),0))</f>
        <v>#REF!</v>
      </c>
    </row>
    <row r="66" spans="1:64" s="16" customFormat="1" x14ac:dyDescent="0.3">
      <c r="A66" s="178"/>
      <c r="B66" s="178"/>
      <c r="C66" s="524"/>
      <c r="D66" s="182"/>
      <c r="E66" s="180"/>
      <c r="F66" s="178"/>
      <c r="G66" s="244">
        <f t="shared" si="28"/>
        <v>58</v>
      </c>
      <c r="H66" s="245">
        <f t="shared" si="1"/>
        <v>46208</v>
      </c>
      <c r="I66" s="246">
        <f t="shared" si="58"/>
        <v>9.9000000000000005E-2</v>
      </c>
      <c r="J66" s="242">
        <f t="shared" si="11"/>
        <v>7860</v>
      </c>
      <c r="K66" s="242">
        <f t="shared" si="56"/>
        <v>7860</v>
      </c>
      <c r="L66" s="242">
        <f t="shared" si="36"/>
        <v>412.89</v>
      </c>
      <c r="M66" s="242">
        <f t="shared" si="13"/>
        <v>7447.11</v>
      </c>
      <c r="N66" s="242">
        <f t="shared" si="46"/>
        <v>0</v>
      </c>
      <c r="O66" s="242">
        <v>0</v>
      </c>
      <c r="P66" s="242">
        <f t="shared" si="25"/>
        <v>412.89</v>
      </c>
      <c r="Q66" s="242">
        <f t="shared" si="33"/>
        <v>0</v>
      </c>
      <c r="R66" s="242">
        <f t="shared" si="15"/>
        <v>0</v>
      </c>
      <c r="S66" s="242">
        <f t="shared" si="16"/>
        <v>43295.219999999972</v>
      </c>
      <c r="T66" s="467"/>
      <c r="U66" s="198">
        <f t="shared" si="29"/>
        <v>3</v>
      </c>
      <c r="V66" s="36">
        <f t="shared" si="17"/>
        <v>3</v>
      </c>
      <c r="W66" s="2" t="e">
        <f>IF(AND(G31&gt;=$W$9,G31&lt;=$W$9+5),0,IF($C$9&gt;$AF$51,ROUND(S30*#REF!/(DATEVALUE(CONCATENATE("01/01/",YEAR(H31)+1))-DATEVALUE(CONCATENATE("01/01/",YEAR(H31))))*(H31-H30),2),0))</f>
        <v>#REF!</v>
      </c>
      <c r="X66" s="34">
        <f t="shared" si="53"/>
        <v>7860</v>
      </c>
      <c r="Y66" s="57">
        <f t="shared" si="50"/>
        <v>52836</v>
      </c>
      <c r="AA66" s="133" t="s">
        <v>96</v>
      </c>
      <c r="AB66" s="15"/>
      <c r="AC66" s="143">
        <f>AC65*AC79*IF($C$10&gt;60,60,$C$10)</f>
        <v>59400</v>
      </c>
      <c r="AD66" s="143">
        <f>AD65*AD79*IF($C$10&gt;60,60,$C$10)</f>
        <v>59400</v>
      </c>
      <c r="AE66" s="143">
        <f>AE65*AE79*IF($C$10&gt;60,60,$C$10)</f>
        <v>67500</v>
      </c>
      <c r="AF66" s="143">
        <f>AF65*AF79*IF($C$10&gt;60,60,$C$10)</f>
        <v>70200</v>
      </c>
      <c r="AG66" s="143">
        <f t="shared" ref="AG66:AH66" si="60">AG65*AG79*$C$10</f>
        <v>0</v>
      </c>
      <c r="AH66" s="143">
        <f t="shared" si="60"/>
        <v>18000</v>
      </c>
      <c r="AI66" s="143">
        <f>AI65*AI79*$C$10</f>
        <v>144000</v>
      </c>
      <c r="AJ66" s="143">
        <f>AI66+AH66</f>
        <v>162000</v>
      </c>
      <c r="AL66" s="2" t="e">
        <f>IF(AND(Y22&gt;=$W$9,Y22&lt;=$W$9+5),0,IF($C$9&gt;$AF$51,ROUND(AI26*#REF!/(DATEVALUE(CONCATENATE("01/01/",YEAR(Z22)+1))-DATEVALUE(CONCATENATE("01/01/",YEAR(Z22))))*(Z22-Z21),2),0))</f>
        <v>#REF!</v>
      </c>
      <c r="AM66" s="34">
        <f t="shared" si="55"/>
        <v>8360</v>
      </c>
      <c r="AN66" s="57">
        <f t="shared" si="54"/>
        <v>51376</v>
      </c>
      <c r="AO66" s="130">
        <f t="shared" si="18"/>
        <v>1</v>
      </c>
      <c r="AP66" s="261">
        <f t="shared" si="30"/>
        <v>58</v>
      </c>
      <c r="AQ66" s="262">
        <f t="shared" si="4"/>
        <v>46208</v>
      </c>
      <c r="AR66" s="263">
        <f t="shared" si="57"/>
        <v>0.13900000000000001</v>
      </c>
      <c r="AS66" s="258">
        <f t="shared" si="19"/>
        <v>8360</v>
      </c>
      <c r="AT66" s="258">
        <f t="shared" si="47"/>
        <v>8360</v>
      </c>
      <c r="AU66" s="258">
        <f t="shared" si="20"/>
        <v>272.61</v>
      </c>
      <c r="AV66" s="258">
        <f t="shared" si="21"/>
        <v>8087.39</v>
      </c>
      <c r="AW66" s="258">
        <f t="shared" si="48"/>
        <v>0</v>
      </c>
      <c r="AX66" s="258">
        <v>0</v>
      </c>
      <c r="AY66" s="258">
        <f t="shared" si="22"/>
        <v>272.61</v>
      </c>
      <c r="AZ66" s="258">
        <f t="shared" si="38"/>
        <v>0</v>
      </c>
      <c r="BA66" s="258">
        <f t="shared" si="37"/>
        <v>0</v>
      </c>
      <c r="BB66" s="258"/>
      <c r="BC66" s="258"/>
      <c r="BD66" s="258"/>
      <c r="BE66" s="258"/>
      <c r="BF66" s="258"/>
      <c r="BG66" s="258">
        <f t="shared" si="24"/>
        <v>15774.199999999884</v>
      </c>
      <c r="BH66" s="108">
        <f t="shared" si="31"/>
        <v>3</v>
      </c>
      <c r="BI66" s="108">
        <f t="shared" si="26"/>
        <v>3</v>
      </c>
      <c r="BJ66" s="22">
        <f t="shared" si="27"/>
        <v>46208</v>
      </c>
      <c r="BK66" s="108">
        <f t="shared" si="9"/>
        <v>7860</v>
      </c>
      <c r="BL66" s="2" t="e">
        <f>IF(AND(G21&gt;=$W$9,G21&lt;=$W$9+5),0,IF($C$9&gt;$AF$51,ROUND(BG20*IF(#REF!="",0,#REF!)/(DATEVALUE(CONCATENATE("01/01/",YEAR(AQ21)+1))-DATEVALUE(CONCATENATE("01/01/",YEAR(AQ21))))*(AQ21-AQ20),2),0))</f>
        <v>#REF!</v>
      </c>
    </row>
    <row r="67" spans="1:64" s="16" customFormat="1" x14ac:dyDescent="0.3">
      <c r="A67" s="178"/>
      <c r="B67" s="178"/>
      <c r="C67" s="524"/>
      <c r="D67" s="182"/>
      <c r="E67" s="180"/>
      <c r="F67" s="178"/>
      <c r="G67" s="244">
        <f t="shared" si="28"/>
        <v>59</v>
      </c>
      <c r="H67" s="245">
        <f t="shared" si="1"/>
        <v>46239</v>
      </c>
      <c r="I67" s="246">
        <f t="shared" si="58"/>
        <v>9.9000000000000005E-2</v>
      </c>
      <c r="J67" s="242">
        <f t="shared" si="11"/>
        <v>7860</v>
      </c>
      <c r="K67" s="242">
        <f t="shared" si="56"/>
        <v>7860</v>
      </c>
      <c r="L67" s="242">
        <f t="shared" si="36"/>
        <v>364.04</v>
      </c>
      <c r="M67" s="242">
        <f t="shared" si="13"/>
        <v>7495.96</v>
      </c>
      <c r="N67" s="242">
        <f t="shared" si="46"/>
        <v>0</v>
      </c>
      <c r="O67" s="242">
        <v>0</v>
      </c>
      <c r="P67" s="242">
        <f t="shared" si="25"/>
        <v>364.04</v>
      </c>
      <c r="Q67" s="242">
        <f t="shared" si="33"/>
        <v>0</v>
      </c>
      <c r="R67" s="242">
        <f t="shared" si="15"/>
        <v>0</v>
      </c>
      <c r="S67" s="242">
        <f t="shared" si="16"/>
        <v>35799.259999999973</v>
      </c>
      <c r="T67" s="467"/>
      <c r="U67" s="198">
        <f t="shared" si="29"/>
        <v>2</v>
      </c>
      <c r="V67" s="36">
        <f t="shared" si="17"/>
        <v>2</v>
      </c>
      <c r="W67" s="2" t="e">
        <f>IF(AND(G32&gt;=$W$9,G32&lt;=$W$9+5),0,IF($C$9&gt;$AF$51,ROUND(S31*#REF!/(DATEVALUE(CONCATENATE("01/01/",YEAR(H32)+1))-DATEVALUE(CONCATENATE("01/01/",YEAR(H32))))*(H32-H31),2),0))</f>
        <v>#REF!</v>
      </c>
      <c r="X67" s="34">
        <f t="shared" si="53"/>
        <v>7860</v>
      </c>
      <c r="Y67" s="57">
        <f t="shared" si="50"/>
        <v>53201</v>
      </c>
      <c r="AA67" s="170">
        <v>20000</v>
      </c>
      <c r="AB67" s="133" t="s">
        <v>323</v>
      </c>
      <c r="AL67" s="2">
        <f>IF(AND(Y23&gt;=$W$9,Y23&lt;=$W$9+5),0,IF($C$9&gt;$AF$51,ROUND(AI27*#REF!/(DATEVALUE(CONCATENATE("01/01/",YEAR(Z23)+1))-DATEVALUE(CONCATENATE("01/01/",YEAR(Z23))))*(Z23-Z22),2),0))</f>
        <v>0</v>
      </c>
      <c r="AM67" s="34">
        <f t="shared" si="55"/>
        <v>8360</v>
      </c>
      <c r="AN67" s="57">
        <f t="shared" si="54"/>
        <v>51741</v>
      </c>
      <c r="AO67" s="130">
        <f t="shared" si="18"/>
        <v>1</v>
      </c>
      <c r="AP67" s="261">
        <f t="shared" si="30"/>
        <v>59</v>
      </c>
      <c r="AQ67" s="262">
        <f t="shared" si="4"/>
        <v>46239</v>
      </c>
      <c r="AR67" s="263">
        <f t="shared" si="57"/>
        <v>0.13900000000000001</v>
      </c>
      <c r="AS67" s="258">
        <f t="shared" si="19"/>
        <v>8360</v>
      </c>
      <c r="AT67" s="258">
        <f t="shared" si="47"/>
        <v>8360</v>
      </c>
      <c r="AU67" s="258">
        <f t="shared" si="20"/>
        <v>186.22</v>
      </c>
      <c r="AV67" s="258">
        <f t="shared" si="21"/>
        <v>8173.78</v>
      </c>
      <c r="AW67" s="258">
        <f t="shared" si="48"/>
        <v>0</v>
      </c>
      <c r="AX67" s="258">
        <v>0</v>
      </c>
      <c r="AY67" s="258">
        <f t="shared" si="22"/>
        <v>186.22</v>
      </c>
      <c r="AZ67" s="258">
        <f t="shared" si="38"/>
        <v>0</v>
      </c>
      <c r="BA67" s="258">
        <f t="shared" si="37"/>
        <v>0</v>
      </c>
      <c r="BB67" s="258"/>
      <c r="BC67" s="258"/>
      <c r="BD67" s="258"/>
      <c r="BE67" s="258"/>
      <c r="BF67" s="258"/>
      <c r="BG67" s="258">
        <f t="shared" si="24"/>
        <v>7600.4199999998846</v>
      </c>
      <c r="BH67" s="108">
        <f t="shared" si="31"/>
        <v>2</v>
      </c>
      <c r="BI67" s="108">
        <f t="shared" si="26"/>
        <v>2</v>
      </c>
      <c r="BJ67" s="22">
        <f t="shared" si="27"/>
        <v>46239</v>
      </c>
      <c r="BK67" s="108">
        <f t="shared" si="9"/>
        <v>7860</v>
      </c>
      <c r="BL67" s="2" t="e">
        <f>IF(AND(G22&gt;=$W$9,G22&lt;=$W$9+5),0,IF($C$9&gt;$AF$51,ROUND(BG21*IF(#REF!="",0,#REF!)/(DATEVALUE(CONCATENATE("01/01/",YEAR(AQ22)+1))-DATEVALUE(CONCATENATE("01/01/",YEAR(AQ22))))*(AQ22-AQ21),2),0))</f>
        <v>#REF!</v>
      </c>
    </row>
    <row r="68" spans="1:64" s="16" customFormat="1" x14ac:dyDescent="0.3">
      <c r="A68" s="178"/>
      <c r="B68" s="178"/>
      <c r="C68" s="524"/>
      <c r="D68" s="182"/>
      <c r="E68" s="178"/>
      <c r="F68" s="178"/>
      <c r="G68" s="244">
        <f t="shared" si="28"/>
        <v>60</v>
      </c>
      <c r="H68" s="245">
        <f t="shared" si="1"/>
        <v>46270</v>
      </c>
      <c r="I68" s="246">
        <f t="shared" si="58"/>
        <v>9.9000000000000005E-2</v>
      </c>
      <c r="J68" s="242">
        <f t="shared" si="11"/>
        <v>7860</v>
      </c>
      <c r="K68" s="242">
        <f t="shared" si="56"/>
        <v>7860</v>
      </c>
      <c r="L68" s="242">
        <f t="shared" si="36"/>
        <v>301.01</v>
      </c>
      <c r="M68" s="242">
        <f t="shared" si="13"/>
        <v>7558.99</v>
      </c>
      <c r="N68" s="242">
        <f t="shared" si="46"/>
        <v>0</v>
      </c>
      <c r="O68" s="242">
        <v>0</v>
      </c>
      <c r="P68" s="242">
        <f t="shared" si="25"/>
        <v>301.01</v>
      </c>
      <c r="Q68" s="242">
        <f t="shared" si="33"/>
        <v>0</v>
      </c>
      <c r="R68" s="242">
        <f t="shared" si="15"/>
        <v>0</v>
      </c>
      <c r="S68" s="242">
        <f t="shared" si="16"/>
        <v>28240.269999999975</v>
      </c>
      <c r="T68" s="467"/>
      <c r="U68" s="198">
        <f t="shared" si="29"/>
        <v>1</v>
      </c>
      <c r="V68" s="36">
        <f t="shared" si="17"/>
        <v>1</v>
      </c>
      <c r="W68" s="2" t="e">
        <f>IF(AND(G33&gt;=$W$9,G33&lt;=$W$9+5),0,IF($C$9&gt;$AF$51,ROUND(S32*#REF!/(DATEVALUE(CONCATENATE("01/01/",YEAR(H33)+1))-DATEVALUE(CONCATENATE("01/01/",YEAR(H33))))*(H33-H32),2),0))</f>
        <v>#REF!</v>
      </c>
      <c r="X68" s="34">
        <f t="shared" si="53"/>
        <v>7860</v>
      </c>
      <c r="Y68" s="57">
        <f t="shared" si="50"/>
        <v>53566</v>
      </c>
      <c r="AA68" s="170">
        <v>300001</v>
      </c>
      <c r="AB68" s="135">
        <v>160000</v>
      </c>
      <c r="AL68" s="2" t="e">
        <f>IF(AND(Y24&gt;=$W$9,Y24&lt;=$W$9+5),0,IF($C$9&gt;$AF$51,ROUND(AI28*#REF!/(DATEVALUE(CONCATENATE("01/01/",YEAR(Z24)+1))-DATEVALUE(CONCATENATE("01/01/",YEAR(Z24))))*(Z24-Z23),2),0))</f>
        <v>#REF!</v>
      </c>
      <c r="AM68" s="34">
        <f t="shared" si="55"/>
        <v>8360</v>
      </c>
      <c r="AN68" s="57">
        <f t="shared" si="54"/>
        <v>52106</v>
      </c>
      <c r="AO68" s="130">
        <f t="shared" si="18"/>
        <v>1</v>
      </c>
      <c r="AP68" s="261">
        <f t="shared" si="30"/>
        <v>60</v>
      </c>
      <c r="AQ68" s="262">
        <f t="shared" si="4"/>
        <v>46270</v>
      </c>
      <c r="AR68" s="263">
        <f t="shared" si="57"/>
        <v>0.13900000000000001</v>
      </c>
      <c r="AS68" s="258">
        <f t="shared" si="19"/>
        <v>7690.1499999998841</v>
      </c>
      <c r="AT68" s="258">
        <f t="shared" si="47"/>
        <v>7690.1499999998841</v>
      </c>
      <c r="AU68" s="258">
        <f t="shared" si="20"/>
        <v>89.73</v>
      </c>
      <c r="AV68" s="258">
        <f t="shared" si="21"/>
        <v>7600.4199999998846</v>
      </c>
      <c r="AW68" s="258">
        <f t="shared" si="48"/>
        <v>0</v>
      </c>
      <c r="AX68" s="258">
        <v>0</v>
      </c>
      <c r="AY68" s="258">
        <f t="shared" si="22"/>
        <v>89.73</v>
      </c>
      <c r="AZ68" s="258">
        <f t="shared" si="38"/>
        <v>0</v>
      </c>
      <c r="BA68" s="258">
        <f t="shared" si="37"/>
        <v>0</v>
      </c>
      <c r="BB68" s="258"/>
      <c r="BC68" s="258"/>
      <c r="BD68" s="258"/>
      <c r="BE68" s="258"/>
      <c r="BF68" s="258"/>
      <c r="BG68" s="258">
        <f t="shared" si="24"/>
        <v>0</v>
      </c>
      <c r="BH68" s="108">
        <f t="shared" si="31"/>
        <v>1</v>
      </c>
      <c r="BI68" s="108">
        <f t="shared" si="26"/>
        <v>1</v>
      </c>
      <c r="BJ68" s="22">
        <f t="shared" si="27"/>
        <v>46270</v>
      </c>
      <c r="BK68" s="108">
        <f t="shared" si="9"/>
        <v>7860</v>
      </c>
      <c r="BL68" s="2" t="e">
        <f>IF(AND(G23&gt;=$W$9,G23&lt;=$W$9+5),0,IF($C$9&gt;$AF$51,ROUND(BG22*IF(#REF!="",0,#REF!)/(DATEVALUE(CONCATENATE("01/01/",YEAR(AQ23)+1))-DATEVALUE(CONCATENATE("01/01/",YEAR(AQ23))))*(AQ23-AQ22),2),0))</f>
        <v>#REF!</v>
      </c>
    </row>
    <row r="69" spans="1:64" s="16" customFormat="1" x14ac:dyDescent="0.3">
      <c r="A69" s="178"/>
      <c r="B69" s="178"/>
      <c r="C69" s="524"/>
      <c r="D69" s="178"/>
      <c r="E69" s="178"/>
      <c r="F69" s="178"/>
      <c r="G69" s="244">
        <f t="shared" si="28"/>
        <v>61</v>
      </c>
      <c r="H69" s="245">
        <f t="shared" si="1"/>
        <v>46300</v>
      </c>
      <c r="I69" s="246">
        <f t="shared" si="58"/>
        <v>9.9000000000000005E-2</v>
      </c>
      <c r="J69" s="242">
        <f t="shared" si="11"/>
        <v>7860</v>
      </c>
      <c r="K69" s="242">
        <f t="shared" si="56"/>
        <v>7860</v>
      </c>
      <c r="L69" s="242">
        <f t="shared" si="36"/>
        <v>229.79</v>
      </c>
      <c r="M69" s="242">
        <f t="shared" si="13"/>
        <v>7630.21</v>
      </c>
      <c r="N69" s="242">
        <f t="shared" si="46"/>
        <v>0</v>
      </c>
      <c r="O69" s="242">
        <v>0</v>
      </c>
      <c r="P69" s="242">
        <f t="shared" si="25"/>
        <v>229.79</v>
      </c>
      <c r="Q69" s="242">
        <f t="shared" si="33"/>
        <v>0</v>
      </c>
      <c r="R69" s="242">
        <f t="shared" si="15"/>
        <v>0</v>
      </c>
      <c r="S69" s="242">
        <f t="shared" si="16"/>
        <v>20610.059999999976</v>
      </c>
      <c r="T69" s="467"/>
      <c r="U69" s="36">
        <f t="shared" si="29"/>
        <v>0</v>
      </c>
      <c r="V69" s="36">
        <f t="shared" si="17"/>
        <v>0</v>
      </c>
      <c r="W69" s="2" t="e">
        <f>IF(AND(G34&gt;=$W$9,G34&lt;=$W$9+5),0,IF($C$9&gt;$AF$51,ROUND(S33*#REF!/(DATEVALUE(CONCATENATE("01/01/",YEAR(H34)+1))-DATEVALUE(CONCATENATE("01/01/",YEAR(H34))))*(H34-H33),2),0))</f>
        <v>#REF!</v>
      </c>
      <c r="X69" s="34">
        <f t="shared" si="53"/>
        <v>7860</v>
      </c>
      <c r="Y69" s="57">
        <f t="shared" si="50"/>
        <v>53931</v>
      </c>
      <c r="AA69" s="170">
        <v>500001</v>
      </c>
      <c r="AB69" s="135">
        <v>400000</v>
      </c>
      <c r="AD69" s="2"/>
      <c r="AE69" s="2"/>
      <c r="AF69" s="2"/>
      <c r="AG69" s="2"/>
      <c r="AH69" s="2"/>
      <c r="AI69" s="63"/>
      <c r="AJ69" s="63"/>
      <c r="AK69" s="63"/>
      <c r="AL69" s="2">
        <f>IF(AND(Y25&gt;=$W$9,Y25&lt;=$W$9+5),0,IF($C$9&gt;$AF$51,ROUND(AI29*#REF!/(DATEVALUE(CONCATENATE("01/01/",YEAR(Z25)+1))-DATEVALUE(CONCATENATE("01/01/",YEAR(Z25))))*(Z25-Z24),2),0))</f>
        <v>0</v>
      </c>
      <c r="AM69" s="34">
        <f t="shared" si="55"/>
        <v>8360</v>
      </c>
      <c r="AN69" s="57">
        <f t="shared" si="54"/>
        <v>52471</v>
      </c>
      <c r="AO69" s="130">
        <f t="shared" si="18"/>
        <v>0</v>
      </c>
      <c r="AP69" s="261">
        <f t="shared" si="30"/>
        <v>61</v>
      </c>
      <c r="AQ69" s="262">
        <f t="shared" si="4"/>
        <v>46300</v>
      </c>
      <c r="AR69" s="263">
        <f t="shared" si="57"/>
        <v>0.13900000000000001</v>
      </c>
      <c r="AS69" s="258">
        <f t="shared" si="19"/>
        <v>0</v>
      </c>
      <c r="AT69" s="258">
        <f t="shared" si="47"/>
        <v>0</v>
      </c>
      <c r="AU69" s="258">
        <f t="shared" si="20"/>
        <v>0</v>
      </c>
      <c r="AV69" s="258">
        <f t="shared" si="21"/>
        <v>0</v>
      </c>
      <c r="AW69" s="258">
        <f t="shared" si="48"/>
        <v>0</v>
      </c>
      <c r="AX69" s="258">
        <v>0</v>
      </c>
      <c r="AY69" s="258">
        <f t="shared" si="22"/>
        <v>0</v>
      </c>
      <c r="AZ69" s="258">
        <f t="shared" si="38"/>
        <v>0</v>
      </c>
      <c r="BA69" s="258">
        <f t="shared" si="37"/>
        <v>0</v>
      </c>
      <c r="BB69" s="258"/>
      <c r="BC69" s="258"/>
      <c r="BD69" s="258"/>
      <c r="BE69" s="258"/>
      <c r="BF69" s="258"/>
      <c r="BG69" s="258">
        <f t="shared" si="24"/>
        <v>0</v>
      </c>
      <c r="BH69" s="108">
        <f t="shared" si="31"/>
        <v>0</v>
      </c>
      <c r="BI69" s="108">
        <f t="shared" si="26"/>
        <v>0</v>
      </c>
      <c r="BJ69" s="22">
        <f t="shared" si="27"/>
        <v>46300</v>
      </c>
      <c r="BK69" s="108">
        <f t="shared" si="9"/>
        <v>7860</v>
      </c>
      <c r="BL69" s="2" t="e">
        <f>IF(AND(G24&gt;=$W$9,G24&lt;=$W$9+5),0,IF($C$9&gt;$AF$51,ROUND(BG23*IF(#REF!="",0,#REF!)/(DATEVALUE(CONCATENATE("01/01/",YEAR(AQ24)+1))-DATEVALUE(CONCATENATE("01/01/",YEAR(AQ24))))*(AQ24-AQ23),2),0))</f>
        <v>#REF!</v>
      </c>
    </row>
    <row r="70" spans="1:64" s="16" customFormat="1" x14ac:dyDescent="0.3">
      <c r="A70" s="178"/>
      <c r="B70" s="178"/>
      <c r="C70" s="524"/>
      <c r="D70" s="178"/>
      <c r="E70" s="178"/>
      <c r="F70" s="178"/>
      <c r="G70" s="244">
        <f t="shared" si="28"/>
        <v>62</v>
      </c>
      <c r="H70" s="245">
        <f t="shared" si="1"/>
        <v>46331</v>
      </c>
      <c r="I70" s="246">
        <f t="shared" si="58"/>
        <v>9.9000000000000005E-2</v>
      </c>
      <c r="J70" s="242">
        <f t="shared" si="11"/>
        <v>7860</v>
      </c>
      <c r="K70" s="242">
        <f t="shared" si="56"/>
        <v>7860</v>
      </c>
      <c r="L70" s="242">
        <f t="shared" si="36"/>
        <v>173.29</v>
      </c>
      <c r="M70" s="242">
        <f t="shared" si="13"/>
        <v>7686.71</v>
      </c>
      <c r="N70" s="242">
        <f t="shared" si="46"/>
        <v>0</v>
      </c>
      <c r="O70" s="242">
        <v>0</v>
      </c>
      <c r="P70" s="242">
        <f t="shared" si="25"/>
        <v>173.29</v>
      </c>
      <c r="Q70" s="242">
        <f t="shared" si="33"/>
        <v>0</v>
      </c>
      <c r="R70" s="242">
        <f t="shared" si="15"/>
        <v>0</v>
      </c>
      <c r="S70" s="242">
        <f t="shared" si="16"/>
        <v>12923.349999999977</v>
      </c>
      <c r="T70" s="467"/>
      <c r="U70" s="36">
        <f t="shared" si="29"/>
        <v>0</v>
      </c>
      <c r="V70" s="36">
        <f t="shared" si="17"/>
        <v>0</v>
      </c>
      <c r="W70" s="2" t="e">
        <f>IF(AND(G35&gt;=$W$9,G35&lt;=$W$9+5),0,IF($C$9&gt;$AF$51,ROUND(S34*#REF!/(DATEVALUE(CONCATENATE("01/01/",YEAR(H35)+1))-DATEVALUE(CONCATENATE("01/01/",YEAR(H35))))*(H35-H34),2),0))</f>
        <v>#REF!</v>
      </c>
      <c r="X70" s="34">
        <f t="shared" si="53"/>
        <v>7860</v>
      </c>
      <c r="Y70" s="57">
        <f t="shared" si="50"/>
        <v>54296</v>
      </c>
      <c r="AA70" s="171">
        <v>600001</v>
      </c>
      <c r="AB70" s="135">
        <v>500000</v>
      </c>
      <c r="AC70" s="145" t="s">
        <v>330</v>
      </c>
      <c r="AD70" s="145" t="s">
        <v>111</v>
      </c>
      <c r="AE70" s="145" t="s">
        <v>114</v>
      </c>
      <c r="AF70" s="144" t="s">
        <v>115</v>
      </c>
      <c r="AG70" s="2" t="s">
        <v>35</v>
      </c>
      <c r="AH70" s="144" t="s">
        <v>118</v>
      </c>
      <c r="AI70" s="144" t="s">
        <v>119</v>
      </c>
      <c r="AJ70" s="145" t="s">
        <v>120</v>
      </c>
      <c r="AK70" s="15"/>
      <c r="AL70" s="2" t="e">
        <f>IF(AND(Y26&gt;=$W$9,Y26&lt;=$W$9+5),0,IF($C$9&gt;$AF$51,ROUND(AI30*#REF!/(DATEVALUE(CONCATENATE("01/01/",YEAR(Z26)+1))-DATEVALUE(CONCATENATE("01/01/",YEAR(Z26))))*(Z26-Z25),2),0))</f>
        <v>#REF!</v>
      </c>
      <c r="AM70" s="34">
        <f t="shared" si="55"/>
        <v>8360</v>
      </c>
      <c r="AN70" s="57">
        <f t="shared" si="54"/>
        <v>52836</v>
      </c>
      <c r="AO70" s="130">
        <f t="shared" si="18"/>
        <v>0</v>
      </c>
      <c r="AP70" s="261">
        <f t="shared" si="30"/>
        <v>62</v>
      </c>
      <c r="AQ70" s="262">
        <f t="shared" si="4"/>
        <v>46331</v>
      </c>
      <c r="AR70" s="263">
        <f t="shared" si="57"/>
        <v>0.13900000000000001</v>
      </c>
      <c r="AS70" s="258">
        <f t="shared" si="19"/>
        <v>0</v>
      </c>
      <c r="AT70" s="258">
        <f t="shared" si="47"/>
        <v>0</v>
      </c>
      <c r="AU70" s="258">
        <f t="shared" si="20"/>
        <v>0</v>
      </c>
      <c r="AV70" s="258">
        <f t="shared" si="21"/>
        <v>0</v>
      </c>
      <c r="AW70" s="258">
        <f t="shared" si="48"/>
        <v>0</v>
      </c>
      <c r="AX70" s="258">
        <v>0</v>
      </c>
      <c r="AY70" s="258">
        <f t="shared" si="22"/>
        <v>0</v>
      </c>
      <c r="AZ70" s="258">
        <f t="shared" si="38"/>
        <v>0</v>
      </c>
      <c r="BA70" s="258">
        <f t="shared" si="37"/>
        <v>0</v>
      </c>
      <c r="BB70" s="258"/>
      <c r="BC70" s="258"/>
      <c r="BD70" s="258"/>
      <c r="BE70" s="258"/>
      <c r="BF70" s="258"/>
      <c r="BG70" s="258">
        <f t="shared" si="24"/>
        <v>0</v>
      </c>
      <c r="BH70" s="108">
        <f t="shared" si="31"/>
        <v>0</v>
      </c>
      <c r="BI70" s="108">
        <f t="shared" si="26"/>
        <v>0</v>
      </c>
      <c r="BJ70" s="22">
        <f t="shared" si="27"/>
        <v>46331</v>
      </c>
      <c r="BK70" s="108">
        <f t="shared" si="9"/>
        <v>7860</v>
      </c>
      <c r="BL70" s="2" t="e">
        <f>IF(AND(G25&gt;=$W$9,G25&lt;=$W$9+5),0,IF($C$9&gt;$AF$51,ROUND(BG24*IF(#REF!="",0,#REF!)/(DATEVALUE(CONCATENATE("01/01/",YEAR(AQ25)+1))-DATEVALUE(CONCATENATE("01/01/",YEAR(AQ25))))*(AQ25-AQ24),2),0))</f>
        <v>#REF!</v>
      </c>
    </row>
    <row r="71" spans="1:64" s="16" customFormat="1" x14ac:dyDescent="0.3">
      <c r="A71" s="178"/>
      <c r="B71" s="178"/>
      <c r="C71" s="184"/>
      <c r="D71" s="178"/>
      <c r="E71" s="178"/>
      <c r="F71" s="178"/>
      <c r="G71" s="244">
        <f t="shared" si="28"/>
        <v>63</v>
      </c>
      <c r="H71" s="245">
        <f t="shared" si="1"/>
        <v>46361</v>
      </c>
      <c r="I71" s="246">
        <f t="shared" si="58"/>
        <v>9.9000000000000005E-2</v>
      </c>
      <c r="J71" s="242">
        <f t="shared" si="11"/>
        <v>7860</v>
      </c>
      <c r="K71" s="242">
        <f t="shared" si="56"/>
        <v>7860</v>
      </c>
      <c r="L71" s="242">
        <f t="shared" si="36"/>
        <v>105.16</v>
      </c>
      <c r="M71" s="242">
        <f t="shared" si="13"/>
        <v>7754.84</v>
      </c>
      <c r="N71" s="242">
        <f t="shared" si="46"/>
        <v>0</v>
      </c>
      <c r="O71" s="242">
        <v>0</v>
      </c>
      <c r="P71" s="242">
        <f t="shared" si="25"/>
        <v>105.16</v>
      </c>
      <c r="Q71" s="242">
        <f t="shared" si="33"/>
        <v>0</v>
      </c>
      <c r="R71" s="242">
        <f t="shared" si="15"/>
        <v>0</v>
      </c>
      <c r="S71" s="242">
        <f t="shared" si="16"/>
        <v>5168.5099999999766</v>
      </c>
      <c r="T71" s="467"/>
      <c r="U71" s="36">
        <f t="shared" si="29"/>
        <v>0</v>
      </c>
      <c r="V71" s="36">
        <f t="shared" si="17"/>
        <v>0</v>
      </c>
      <c r="W71" s="2" t="e">
        <f>IF(AND(G36&gt;=$W$9,G36&lt;=$W$9+5),0,IF($C$9&gt;$AF$51,ROUND(S35*#REF!/(DATEVALUE(CONCATENATE("01/01/",YEAR(H36)+1))-DATEVALUE(CONCATENATE("01/01/",YEAR(H36))))*(H36-H35),2),0))</f>
        <v>#REF!</v>
      </c>
      <c r="X71" s="34">
        <f t="shared" si="53"/>
        <v>7860</v>
      </c>
      <c r="Y71" s="57">
        <f t="shared" si="50"/>
        <v>54661</v>
      </c>
      <c r="AA71" s="171">
        <v>1000001</v>
      </c>
      <c r="AB71" s="135">
        <v>800000</v>
      </c>
      <c r="AC71" s="133" t="s">
        <v>98</v>
      </c>
      <c r="AD71" s="134"/>
      <c r="AE71" s="134"/>
      <c r="AF71" s="134"/>
      <c r="AG71" s="134"/>
      <c r="AH71" s="134"/>
      <c r="AI71" s="134"/>
      <c r="AJ71" s="134"/>
      <c r="AK71" s="15"/>
      <c r="AL71" s="2" t="e">
        <f>IF(AND(Y27&gt;=$W$9,Y27&lt;=$W$9+5),0,IF($C$9&gt;$AF$51,ROUND(AI31*#REF!/(DATEVALUE(CONCATENATE("01/01/",YEAR(Z27)+1))-DATEVALUE(CONCATENATE("01/01/",YEAR(Z27))))*(Z27-Z26),2),0))</f>
        <v>#REF!</v>
      </c>
      <c r="AM71" s="34">
        <f t="shared" si="55"/>
        <v>8360</v>
      </c>
      <c r="AN71" s="57">
        <f t="shared" si="54"/>
        <v>53201</v>
      </c>
      <c r="AO71" s="130">
        <f t="shared" si="18"/>
        <v>0</v>
      </c>
      <c r="AP71" s="261">
        <f t="shared" si="30"/>
        <v>63</v>
      </c>
      <c r="AQ71" s="262">
        <f t="shared" si="4"/>
        <v>46361</v>
      </c>
      <c r="AR71" s="263">
        <f t="shared" si="57"/>
        <v>0.13900000000000001</v>
      </c>
      <c r="AS71" s="258">
        <f t="shared" si="19"/>
        <v>0</v>
      </c>
      <c r="AT71" s="258">
        <f t="shared" si="47"/>
        <v>0</v>
      </c>
      <c r="AU71" s="258">
        <f t="shared" si="20"/>
        <v>0</v>
      </c>
      <c r="AV71" s="258">
        <f t="shared" si="21"/>
        <v>0</v>
      </c>
      <c r="AW71" s="258">
        <f t="shared" si="48"/>
        <v>0</v>
      </c>
      <c r="AX71" s="258">
        <v>0</v>
      </c>
      <c r="AY71" s="258">
        <f t="shared" si="22"/>
        <v>0</v>
      </c>
      <c r="AZ71" s="258">
        <f t="shared" si="38"/>
        <v>0</v>
      </c>
      <c r="BA71" s="258">
        <f t="shared" si="37"/>
        <v>0</v>
      </c>
      <c r="BB71" s="258"/>
      <c r="BC71" s="258"/>
      <c r="BD71" s="258"/>
      <c r="BE71" s="258"/>
      <c r="BF71" s="258"/>
      <c r="BG71" s="258">
        <f t="shared" si="24"/>
        <v>0</v>
      </c>
      <c r="BH71" s="108">
        <f t="shared" si="31"/>
        <v>0</v>
      </c>
      <c r="BI71" s="108">
        <f t="shared" si="26"/>
        <v>0</v>
      </c>
      <c r="BJ71" s="22">
        <f t="shared" si="27"/>
        <v>46361</v>
      </c>
      <c r="BK71" s="108">
        <f t="shared" si="9"/>
        <v>7860</v>
      </c>
      <c r="BL71" s="2" t="e">
        <f>IF(AND(G26&gt;=$W$9,G26&lt;=$W$9+5),0,IF($C$9&gt;$AF$51,ROUND(BG25*IF(#REF!="",0,#REF!)/(DATEVALUE(CONCATENATE("01/01/",YEAR(AQ26)+1))-DATEVALUE(CONCATENATE("01/01/",YEAR(AQ26))))*(AQ26-AQ25),2),0))</f>
        <v>#REF!</v>
      </c>
    </row>
    <row r="72" spans="1:64" s="16" customFormat="1" x14ac:dyDescent="0.3">
      <c r="A72" s="178"/>
      <c r="B72" s="178"/>
      <c r="C72" s="184"/>
      <c r="D72" s="178"/>
      <c r="E72" s="178"/>
      <c r="F72" s="178"/>
      <c r="G72" s="244">
        <f t="shared" si="28"/>
        <v>64</v>
      </c>
      <c r="H72" s="245">
        <f t="shared" si="1"/>
        <v>46392</v>
      </c>
      <c r="I72" s="246">
        <f t="shared" si="58"/>
        <v>9.9000000000000005E-2</v>
      </c>
      <c r="J72" s="242">
        <f t="shared" si="11"/>
        <v>5211.9699999999766</v>
      </c>
      <c r="K72" s="242">
        <f t="shared" si="56"/>
        <v>5211.9699999999766</v>
      </c>
      <c r="L72" s="242">
        <f t="shared" si="36"/>
        <v>43.46</v>
      </c>
      <c r="M72" s="242">
        <f t="shared" si="13"/>
        <v>5168.5099999999766</v>
      </c>
      <c r="N72" s="242">
        <f t="shared" si="46"/>
        <v>0</v>
      </c>
      <c r="O72" s="242">
        <v>0</v>
      </c>
      <c r="P72" s="242">
        <f t="shared" si="25"/>
        <v>43.46</v>
      </c>
      <c r="Q72" s="242">
        <f t="shared" si="33"/>
        <v>0</v>
      </c>
      <c r="R72" s="242">
        <f t="shared" si="15"/>
        <v>0</v>
      </c>
      <c r="S72" s="242">
        <f t="shared" si="16"/>
        <v>0</v>
      </c>
      <c r="T72" s="467"/>
      <c r="U72" s="36">
        <f t="shared" si="29"/>
        <v>0</v>
      </c>
      <c r="V72" s="36">
        <f t="shared" si="17"/>
        <v>0</v>
      </c>
      <c r="W72" s="2" t="e">
        <f>IF(AND(G37&gt;=$W$9,G37&lt;=$W$9+5),0,IF($C$9&gt;$AF$51,ROUND(S36*#REF!/(DATEVALUE(CONCATENATE("01/01/",YEAR(H37)+1))-DATEVALUE(CONCATENATE("01/01/",YEAR(H37))))*(H37-H36),2),0))</f>
        <v>#REF!</v>
      </c>
      <c r="X72" s="34">
        <f t="shared" si="53"/>
        <v>7860</v>
      </c>
      <c r="Y72" s="57">
        <f t="shared" si="50"/>
        <v>55026</v>
      </c>
      <c r="AA72" s="16" t="s">
        <v>101</v>
      </c>
      <c r="AB72" s="135">
        <v>900000</v>
      </c>
      <c r="AC72" s="134">
        <v>1</v>
      </c>
      <c r="AD72" s="134">
        <v>1.25</v>
      </c>
      <c r="AE72" s="134">
        <v>1.5</v>
      </c>
      <c r="AF72" s="134">
        <v>1.3</v>
      </c>
      <c r="AG72" s="134">
        <v>0</v>
      </c>
      <c r="AH72" s="134">
        <v>1</v>
      </c>
      <c r="AI72" s="134">
        <v>2</v>
      </c>
      <c r="AJ72" s="134">
        <v>2.5</v>
      </c>
      <c r="AK72" s="15"/>
      <c r="AL72" s="2" t="e">
        <f>IF(AND(Y28&gt;=$W$9,Y28&lt;=$W$9+5),0,IF($C$9&gt;$AF$51,ROUND(AI32*#REF!/(DATEVALUE(CONCATENATE("01/01/",YEAR(Z28)+1))-DATEVALUE(CONCATENATE("01/01/",YEAR(Z28))))*(Z28-Z27),2),0))</f>
        <v>#REF!</v>
      </c>
      <c r="AM72" s="34">
        <f t="shared" si="55"/>
        <v>8360</v>
      </c>
      <c r="AN72" s="57">
        <f t="shared" si="54"/>
        <v>53566</v>
      </c>
      <c r="AO72" s="130">
        <f t="shared" si="18"/>
        <v>0</v>
      </c>
      <c r="AP72" s="261">
        <f t="shared" si="30"/>
        <v>64</v>
      </c>
      <c r="AQ72" s="262">
        <f t="shared" si="4"/>
        <v>46392</v>
      </c>
      <c r="AR72" s="263">
        <f t="shared" si="57"/>
        <v>0.13900000000000001</v>
      </c>
      <c r="AS72" s="258">
        <f t="shared" si="19"/>
        <v>0</v>
      </c>
      <c r="AT72" s="258">
        <f t="shared" si="47"/>
        <v>0</v>
      </c>
      <c r="AU72" s="258">
        <f t="shared" si="20"/>
        <v>0</v>
      </c>
      <c r="AV72" s="258">
        <f t="shared" si="21"/>
        <v>0</v>
      </c>
      <c r="AW72" s="258">
        <f t="shared" si="48"/>
        <v>0</v>
      </c>
      <c r="AX72" s="258">
        <v>0</v>
      </c>
      <c r="AY72" s="258">
        <f t="shared" si="22"/>
        <v>0</v>
      </c>
      <c r="AZ72" s="258">
        <f t="shared" si="38"/>
        <v>0</v>
      </c>
      <c r="BA72" s="258">
        <f t="shared" si="37"/>
        <v>0</v>
      </c>
      <c r="BB72" s="258"/>
      <c r="BC72" s="258"/>
      <c r="BD72" s="258"/>
      <c r="BE72" s="258"/>
      <c r="BF72" s="258"/>
      <c r="BG72" s="258">
        <f t="shared" si="24"/>
        <v>0</v>
      </c>
      <c r="BH72" s="108">
        <f t="shared" si="31"/>
        <v>0</v>
      </c>
      <c r="BI72" s="108">
        <f t="shared" si="26"/>
        <v>0</v>
      </c>
      <c r="BJ72" s="22">
        <f t="shared" si="27"/>
        <v>46392</v>
      </c>
      <c r="BK72" s="108">
        <f t="shared" si="9"/>
        <v>5211.9699999999766</v>
      </c>
      <c r="BL72" s="2" t="e">
        <f>IF(AND(G27&gt;=$W$9,G27&lt;=$W$9+5),0,IF($C$9&gt;$AF$51,ROUND(BG26*IF(#REF!="",0,#REF!)/(DATEVALUE(CONCATENATE("01/01/",YEAR(AQ27)+1))-DATEVALUE(CONCATENATE("01/01/",YEAR(AQ27))))*(AQ27-AQ26),2),0))</f>
        <v>#REF!</v>
      </c>
    </row>
    <row r="73" spans="1:64" s="16" customFormat="1" x14ac:dyDescent="0.3">
      <c r="A73" s="178"/>
      <c r="B73" s="178"/>
      <c r="C73" s="184"/>
      <c r="D73" s="178"/>
      <c r="E73" s="178"/>
      <c r="F73" s="178"/>
      <c r="G73" s="244">
        <f t="shared" si="28"/>
        <v>65</v>
      </c>
      <c r="H73" s="245">
        <f t="shared" ref="H73:H108" si="61">IF((OR(DAY($AD$54)=29,DAY($AD$54)=30,DAY($AD$54)=31)),(EDATE($C$9-3,G73)),(IF((OR(DAY($AD$54)=1,DAY($AD$54)=2,DAY($AD$54)=3)),(EDATE($C$9,G73)+3),EDATE($C$9,G73))))</f>
        <v>46423</v>
      </c>
      <c r="I73" s="246">
        <f t="shared" si="58"/>
        <v>9.9000000000000005E-2</v>
      </c>
      <c r="J73" s="242">
        <f t="shared" si="11"/>
        <v>0</v>
      </c>
      <c r="K73" s="242">
        <f t="shared" si="56"/>
        <v>0</v>
      </c>
      <c r="L73" s="242">
        <f t="shared" si="36"/>
        <v>0</v>
      </c>
      <c r="M73" s="242">
        <f t="shared" si="13"/>
        <v>0</v>
      </c>
      <c r="N73" s="242">
        <f t="shared" ref="N73:N108" si="62">IF(P73-Q73&gt;$C$23,$C$23-L73,IF(V73=0,0,R73)+$AI$51)</f>
        <v>0</v>
      </c>
      <c r="O73" s="242">
        <v>0</v>
      </c>
      <c r="P73" s="242">
        <f t="shared" si="25"/>
        <v>0</v>
      </c>
      <c r="Q73" s="242">
        <f t="shared" si="33"/>
        <v>0</v>
      </c>
      <c r="R73" s="242">
        <f t="shared" si="15"/>
        <v>0</v>
      </c>
      <c r="S73" s="242">
        <f t="shared" si="16"/>
        <v>0</v>
      </c>
      <c r="T73" s="467"/>
      <c r="U73" s="36">
        <f t="shared" si="29"/>
        <v>0</v>
      </c>
      <c r="V73" s="36">
        <f t="shared" si="17"/>
        <v>0</v>
      </c>
      <c r="W73" s="2" t="e">
        <f>IF(AND(G38&gt;=$W$9,G38&lt;=$W$9+5),0,IF($C$9&gt;$AF$51,ROUND(S37*#REF!/(DATEVALUE(CONCATENATE("01/01/",YEAR(H38)+1))-DATEVALUE(CONCATENATE("01/01/",YEAR(H38))))*(H38-H37),2),0))</f>
        <v>#REF!</v>
      </c>
      <c r="X73" s="34">
        <f t="shared" si="53"/>
        <v>7860</v>
      </c>
      <c r="Y73" s="57">
        <f t="shared" si="50"/>
        <v>55391</v>
      </c>
      <c r="AB73" s="16">
        <v>1500000</v>
      </c>
      <c r="AC73" s="134">
        <v>1.1000000000000001</v>
      </c>
      <c r="AD73" s="134">
        <v>1.35</v>
      </c>
      <c r="AE73" s="134">
        <v>1.5</v>
      </c>
      <c r="AF73" s="134">
        <v>1.3</v>
      </c>
      <c r="AG73" s="134">
        <v>0</v>
      </c>
      <c r="AH73" s="134">
        <v>1</v>
      </c>
      <c r="AI73" s="134">
        <v>2</v>
      </c>
      <c r="AJ73" s="134">
        <v>2</v>
      </c>
      <c r="AK73" s="15"/>
      <c r="AL73" s="2" t="e">
        <f>IF(AND(Y29&gt;=$W$9,Y29&lt;=$W$9+5),0,IF($C$9&gt;$AF$51,ROUND(AI33*#REF!/(DATEVALUE(CONCATENATE("01/01/",YEAR(Z29)+1))-DATEVALUE(CONCATENATE("01/01/",YEAR(Z29))))*(Z29-Z28),2),0))</f>
        <v>#REF!</v>
      </c>
      <c r="AM73" s="34">
        <f t="shared" si="55"/>
        <v>8360</v>
      </c>
      <c r="AN73" s="57">
        <f t="shared" si="54"/>
        <v>53931</v>
      </c>
      <c r="AO73" s="130">
        <f t="shared" si="18"/>
        <v>0</v>
      </c>
      <c r="AP73" s="261">
        <f t="shared" si="30"/>
        <v>65</v>
      </c>
      <c r="AQ73" s="262">
        <f t="shared" ref="AQ73:AQ108" si="63">IF((OR(DAY($AD$54)=29,DAY($AD$54)=30,DAY($AD$54)=31)),(EDATE($C$9-3,AP73)),(IF((OR(DAY($AD$54)=1,DAY($AD$54)=2,DAY($AD$54)=3)),(EDATE($C$9,AP73)+3),EDATE($C$9,AP73))))</f>
        <v>46423</v>
      </c>
      <c r="AR73" s="263">
        <f t="shared" si="57"/>
        <v>0.13900000000000001</v>
      </c>
      <c r="AS73" s="258">
        <f t="shared" si="19"/>
        <v>0</v>
      </c>
      <c r="AT73" s="258">
        <f t="shared" ref="AT73:AT74" si="64">IF(AND(BG72+AW73+AU73&gt;AT72,AT72&lt;&gt;0),IF($D$16="Да",$AL$36,$D$23),IF(BG72=0,0,BG72+AW73+AU73+AU74))</f>
        <v>0</v>
      </c>
      <c r="AU73" s="258">
        <f t="shared" si="20"/>
        <v>0</v>
      </c>
      <c r="AV73" s="258">
        <f t="shared" si="21"/>
        <v>0</v>
      </c>
      <c r="AW73" s="258">
        <f t="shared" ref="AW73:AW104" si="65">IF(AY73-AZ73&gt;$D$23,$D$23-AU73,IF(BI73=0,0,BA73)+BX121)</f>
        <v>0</v>
      </c>
      <c r="AX73" s="258">
        <v>0</v>
      </c>
      <c r="AY73" s="258">
        <f t="shared" si="22"/>
        <v>0</v>
      </c>
      <c r="AZ73" s="258">
        <f t="shared" si="38"/>
        <v>0</v>
      </c>
      <c r="BA73" s="258">
        <f t="shared" si="37"/>
        <v>0</v>
      </c>
      <c r="BB73" s="258"/>
      <c r="BC73" s="258"/>
      <c r="BD73" s="258"/>
      <c r="BE73" s="258"/>
      <c r="BF73" s="258"/>
      <c r="BG73" s="258">
        <f t="shared" si="24"/>
        <v>0</v>
      </c>
      <c r="BH73" s="108">
        <f t="shared" si="31"/>
        <v>0</v>
      </c>
      <c r="BI73" s="108">
        <f t="shared" si="26"/>
        <v>0</v>
      </c>
      <c r="BJ73" s="22">
        <f t="shared" si="27"/>
        <v>46423</v>
      </c>
      <c r="BK73" s="108">
        <f t="shared" ref="BK73:BK114" si="66">K73</f>
        <v>0</v>
      </c>
      <c r="BL73" s="2" t="e">
        <f>IF(AND(G28&gt;=$W$9,G28&lt;=$W$9+5),0,IF($C$9&gt;$AF$51,ROUND(BG27*IF(#REF!="",0,#REF!)/(DATEVALUE(CONCATENATE("01/01/",YEAR(AQ28)+1))-DATEVALUE(CONCATENATE("01/01/",YEAR(AQ28))))*(AQ28-AQ27),2),0))</f>
        <v>#REF!</v>
      </c>
    </row>
    <row r="74" spans="1:64" s="16" customFormat="1" x14ac:dyDescent="0.3">
      <c r="A74" s="178"/>
      <c r="B74" s="178"/>
      <c r="C74" s="184"/>
      <c r="D74" s="178"/>
      <c r="E74" s="178"/>
      <c r="F74" s="178"/>
      <c r="G74" s="244">
        <f t="shared" si="28"/>
        <v>66</v>
      </c>
      <c r="H74" s="245">
        <f t="shared" si="61"/>
        <v>46451</v>
      </c>
      <c r="I74" s="246">
        <f t="shared" si="58"/>
        <v>9.9000000000000005E-2</v>
      </c>
      <c r="J74" s="242">
        <f t="shared" ref="J74:J108" si="67">K74+Q74</f>
        <v>0</v>
      </c>
      <c r="K74" s="242">
        <f t="shared" si="56"/>
        <v>0</v>
      </c>
      <c r="L74" s="242">
        <f t="shared" si="36"/>
        <v>0</v>
      </c>
      <c r="M74" s="242">
        <f t="shared" ref="M74" si="68">IF(S73=0,0,IF(S73+N74+L74&gt;K73,K74-L74-N74,S73))</f>
        <v>0</v>
      </c>
      <c r="N74" s="242">
        <f t="shared" si="62"/>
        <v>0</v>
      </c>
      <c r="O74" s="242">
        <v>0</v>
      </c>
      <c r="P74" s="242">
        <f t="shared" si="25"/>
        <v>0</v>
      </c>
      <c r="Q74" s="242">
        <f t="shared" si="33"/>
        <v>0</v>
      </c>
      <c r="R74" s="242">
        <f t="shared" ref="R74:R108" si="69">IF(V74=0,0,0)</f>
        <v>0</v>
      </c>
      <c r="S74" s="242">
        <f t="shared" ref="S74" si="70">S73-M74-T74</f>
        <v>0</v>
      </c>
      <c r="T74" s="467"/>
      <c r="U74" s="36">
        <f t="shared" si="29"/>
        <v>0</v>
      </c>
      <c r="V74" s="36">
        <f t="shared" ref="V74:V107" si="71">U74</f>
        <v>0</v>
      </c>
      <c r="W74" s="2" t="e">
        <f>IF(AND(G39&gt;=$W$9,G39&lt;=$W$9+5),0,IF($C$9&gt;$AF$51,ROUND(S38*#REF!/(DATEVALUE(CONCATENATE("01/01/",YEAR(H39)+1))-DATEVALUE(CONCATENATE("01/01/",YEAR(H39))))*(H39-H38),2),0))</f>
        <v>#REF!</v>
      </c>
      <c r="X74" s="34">
        <f t="shared" si="53"/>
        <v>7860</v>
      </c>
      <c r="Y74" s="57">
        <f t="shared" si="50"/>
        <v>55756</v>
      </c>
      <c r="AC74" s="134">
        <v>1.2</v>
      </c>
      <c r="AD74" s="134">
        <v>1.5</v>
      </c>
      <c r="AE74" s="134">
        <v>1.3</v>
      </c>
      <c r="AF74" s="134">
        <v>1.2</v>
      </c>
      <c r="AG74" s="134">
        <v>0</v>
      </c>
      <c r="AH74" s="134">
        <v>1</v>
      </c>
      <c r="AI74" s="134">
        <v>1.5</v>
      </c>
      <c r="AJ74" s="134">
        <v>1.5</v>
      </c>
      <c r="AK74" s="15"/>
      <c r="AL74" s="2" t="e">
        <f>IF(AND(Y30&gt;=$W$9,Y30&lt;=$W$9+5),0,IF($C$9&gt;$AF$51,ROUND(AI34*#REF!/(DATEVALUE(CONCATENATE("01/01/",YEAR(Z30)+1))-DATEVALUE(CONCATENATE("01/01/",YEAR(Z30))))*(Z30-Z29),2),0))</f>
        <v>#REF!</v>
      </c>
      <c r="AM74" s="34">
        <f t="shared" si="55"/>
        <v>8360</v>
      </c>
      <c r="AN74" s="57">
        <f t="shared" si="54"/>
        <v>54296</v>
      </c>
      <c r="AO74" s="130">
        <f t="shared" ref="AO74:AO108" si="72">IF(OR(AT74="",AT74=0),0,1)</f>
        <v>0</v>
      </c>
      <c r="AP74" s="261">
        <f t="shared" si="30"/>
        <v>66</v>
      </c>
      <c r="AQ74" s="262">
        <f t="shared" si="63"/>
        <v>46451</v>
      </c>
      <c r="AR74" s="263">
        <f t="shared" si="57"/>
        <v>0.13900000000000001</v>
      </c>
      <c r="AS74" s="258">
        <f t="shared" ref="AS74:AS108" si="73">AT74+AZ74</f>
        <v>0</v>
      </c>
      <c r="AT74" s="258">
        <f t="shared" si="64"/>
        <v>0</v>
      </c>
      <c r="AU74" s="258">
        <f t="shared" ref="AU74" si="74">IF($C$9&gt;$AF$51,ROUND(BG73*AR74*((AQ74-DATE(YEAR(AQ74),MONTH(AQ74),1)+1)/(DATE(YEAR(AQ74)+1,1,1)-DATE(YEAR(AQ74),1,1))+(EOMONTH(AQ73,0)-AQ73)/(DATE(YEAR(AQ73)+1,1,1)-DATE(YEAR(AQ73),1,1))),2),0)</f>
        <v>0</v>
      </c>
      <c r="AV74" s="258">
        <f t="shared" ref="AV74:AV108" si="75">IF(BI74=0,0,IF(BI74=1,BG73,IF(BG73+AW74+AU74&gt;AT73,AT74-AU74-AW74,BG73)))</f>
        <v>0</v>
      </c>
      <c r="AW74" s="258">
        <f t="shared" si="65"/>
        <v>0</v>
      </c>
      <c r="AX74" s="258">
        <v>0</v>
      </c>
      <c r="AY74" s="258">
        <f t="shared" si="22"/>
        <v>0</v>
      </c>
      <c r="AZ74" s="258">
        <f t="shared" si="38"/>
        <v>0</v>
      </c>
      <c r="BA74" s="258">
        <f t="shared" si="37"/>
        <v>0</v>
      </c>
      <c r="BB74" s="258"/>
      <c r="BC74" s="258"/>
      <c r="BD74" s="258"/>
      <c r="BE74" s="258"/>
      <c r="BF74" s="258"/>
      <c r="BG74" s="258">
        <f t="shared" ref="BG74:BG108" si="76">IF(OR(BI74=1,BG73=0),0,BG73-AV74)</f>
        <v>0</v>
      </c>
      <c r="BH74" s="108">
        <f t="shared" si="31"/>
        <v>0</v>
      </c>
      <c r="BI74" s="108">
        <f t="shared" si="26"/>
        <v>0</v>
      </c>
      <c r="BJ74" s="22">
        <f t="shared" si="27"/>
        <v>46451</v>
      </c>
      <c r="BK74" s="108">
        <f t="shared" si="66"/>
        <v>0</v>
      </c>
      <c r="BL74" s="2" t="e">
        <f>IF(AND(G29&gt;=$W$9,G29&lt;=$W$9+5),0,IF($C$9&gt;$AF$51,ROUND(BG28*IF(#REF!="",0,#REF!)/(DATEVALUE(CONCATENATE("01/01/",YEAR(AQ29)+1))-DATEVALUE(CONCATENATE("01/01/",YEAR(AQ29))))*(AQ29-AQ28),2),0))</f>
        <v>#REF!</v>
      </c>
    </row>
    <row r="75" spans="1:64" s="16" customFormat="1" x14ac:dyDescent="0.3">
      <c r="A75" s="178"/>
      <c r="B75" s="178"/>
      <c r="C75" s="184"/>
      <c r="D75" s="178"/>
      <c r="E75" s="178"/>
      <c r="F75" s="178"/>
      <c r="G75" s="114">
        <f t="shared" si="28"/>
        <v>67</v>
      </c>
      <c r="H75" s="111">
        <f t="shared" si="61"/>
        <v>46482</v>
      </c>
      <c r="I75" s="176">
        <f t="shared" si="58"/>
        <v>9.9000000000000005E-2</v>
      </c>
      <c r="J75" s="24">
        <f t="shared" si="67"/>
        <v>0</v>
      </c>
      <c r="K75" s="242">
        <f t="shared" si="56"/>
        <v>0</v>
      </c>
      <c r="L75" s="24">
        <f t="shared" si="36"/>
        <v>0</v>
      </c>
      <c r="M75" s="24">
        <f t="shared" ref="M75:M108" si="77">IF(V75=0,0,IF(V75=1,S74,IF(S74+N75+L75&gt;K74,K75-L75-N75,S74)))</f>
        <v>0</v>
      </c>
      <c r="N75" s="24">
        <f t="shared" si="62"/>
        <v>0</v>
      </c>
      <c r="O75" s="24">
        <v>0</v>
      </c>
      <c r="P75" s="24">
        <f t="shared" si="25"/>
        <v>0</v>
      </c>
      <c r="Q75" s="24">
        <f t="shared" si="33"/>
        <v>0</v>
      </c>
      <c r="R75" s="24">
        <f t="shared" si="69"/>
        <v>0</v>
      </c>
      <c r="S75" s="24">
        <f t="shared" ref="S75:S108" si="78">IF(OR(V75=1,S74=0),0,S74-M75)</f>
        <v>0</v>
      </c>
      <c r="T75" s="24"/>
      <c r="U75" s="36">
        <f t="shared" si="29"/>
        <v>0</v>
      </c>
      <c r="V75" s="36">
        <f t="shared" si="71"/>
        <v>0</v>
      </c>
      <c r="W75" s="2" t="e">
        <f>IF(AND(G40&gt;=$W$9,G40&lt;=$W$9+5),0,IF($C$9&gt;$AF$51,ROUND(S39*#REF!/(DATEVALUE(CONCATENATE("01/01/",YEAR(H40)+1))-DATEVALUE(CONCATENATE("01/01/",YEAR(H40))))*(H40-H39),2),0))</f>
        <v>#REF!</v>
      </c>
      <c r="X75" s="34">
        <f t="shared" si="53"/>
        <v>7860</v>
      </c>
      <c r="Y75" s="57">
        <f t="shared" si="50"/>
        <v>56121</v>
      </c>
      <c r="AC75" s="134">
        <v>1.1000000000000001</v>
      </c>
      <c r="AD75" s="134">
        <v>1.25</v>
      </c>
      <c r="AE75" s="134">
        <v>1.3</v>
      </c>
      <c r="AF75" s="134">
        <v>1.2</v>
      </c>
      <c r="AG75" s="134">
        <v>0</v>
      </c>
      <c r="AH75" s="134">
        <v>1</v>
      </c>
      <c r="AI75" s="134">
        <v>1.3</v>
      </c>
      <c r="AJ75" s="134">
        <v>1.3</v>
      </c>
      <c r="AK75" s="2"/>
      <c r="AL75" s="2" t="e">
        <f>IF(AND(Y31&gt;=$W$9,Y31&lt;=$W$9+5),0,IF($C$9&gt;$AF$51,ROUND(AI35*#REF!/(DATEVALUE(CONCATENATE("01/01/",YEAR(Z31)+1))-DATEVALUE(CONCATENATE("01/01/",YEAR(Z31))))*(Z31-Z30),2),0))</f>
        <v>#REF!</v>
      </c>
      <c r="AM75" s="34">
        <f t="shared" si="55"/>
        <v>8360</v>
      </c>
      <c r="AN75" s="57">
        <f t="shared" si="54"/>
        <v>54661</v>
      </c>
      <c r="AO75" s="130">
        <f t="shared" si="72"/>
        <v>0</v>
      </c>
      <c r="AP75" s="109">
        <f t="shared" si="30"/>
        <v>67</v>
      </c>
      <c r="AQ75" s="110">
        <f t="shared" si="63"/>
        <v>46482</v>
      </c>
      <c r="AR75" s="177">
        <f t="shared" si="57"/>
        <v>0.13900000000000001</v>
      </c>
      <c r="AS75" s="105">
        <f t="shared" si="73"/>
        <v>0</v>
      </c>
      <c r="AT75" s="105">
        <f t="shared" ref="AT75:AT108" si="79">IF(AND(G75&gt;=$W$9,G75&lt;=$W$9+5),$W$10,IF(AND(BG74+AW75+AU75&gt;AT74,AT74&lt;&gt;0),IF($D$16="Да",$AL$40,$D$23),IF(BG74=0,0,BG74+AW75+AU75+AU76)))</f>
        <v>0</v>
      </c>
      <c r="AU75" s="105">
        <f t="shared" ref="AU75:AU108" si="80">IF(AND(G75&gt;=$W$9,G75&lt;=$W$9+5),0,IF($C$9&gt;$AF$51,ROUND(BG74*AR75*((AQ75-DATE(YEAR(AQ75),MONTH(AQ75),1)+1)/(DATE(YEAR(AQ75)+1,1,1)-DATE(YEAR(AQ75),1,1))+(EOMONTH(AQ74,0)-AQ74)/(DATE(YEAR(AQ74)+1,1,1)-DATE(YEAR(AQ74),1,1))),2),0))</f>
        <v>0</v>
      </c>
      <c r="AV75" s="105">
        <f t="shared" si="75"/>
        <v>0</v>
      </c>
      <c r="AW75" s="105">
        <f t="shared" si="65"/>
        <v>0</v>
      </c>
      <c r="AX75" s="105">
        <v>0</v>
      </c>
      <c r="AY75" s="105">
        <f t="shared" si="22"/>
        <v>0</v>
      </c>
      <c r="AZ75" s="105">
        <f t="shared" si="38"/>
        <v>0</v>
      </c>
      <c r="BA75" s="105">
        <f t="shared" si="37"/>
        <v>0</v>
      </c>
      <c r="BB75" s="105"/>
      <c r="BC75" s="105"/>
      <c r="BD75" s="105"/>
      <c r="BE75" s="105"/>
      <c r="BF75" s="105"/>
      <c r="BG75" s="105">
        <f t="shared" si="76"/>
        <v>0</v>
      </c>
      <c r="BH75" s="108">
        <f t="shared" si="31"/>
        <v>0</v>
      </c>
      <c r="BI75" s="108">
        <f t="shared" ref="BI75:BI114" si="81">BH75</f>
        <v>0</v>
      </c>
      <c r="BJ75" s="22">
        <f t="shared" ref="BJ75:BJ114" si="82">H75</f>
        <v>46482</v>
      </c>
      <c r="BK75" s="108">
        <f t="shared" si="66"/>
        <v>0</v>
      </c>
      <c r="BL75" s="2" t="e">
        <f>IF(AND(G30&gt;=$W$9,G30&lt;=$W$9+5),0,IF($C$9&gt;$AF$51,ROUND(BG29*IF(#REF!="",0,#REF!)/(DATEVALUE(CONCATENATE("01/01/",YEAR(AQ30)+1))-DATEVALUE(CONCATENATE("01/01/",YEAR(AQ30))))*(AQ30-AQ29),2),0))</f>
        <v>#REF!</v>
      </c>
    </row>
    <row r="76" spans="1:64" s="16" customFormat="1" x14ac:dyDescent="0.3">
      <c r="A76" s="178"/>
      <c r="B76" s="178"/>
      <c r="C76" s="184"/>
      <c r="D76" s="178"/>
      <c r="E76" s="178"/>
      <c r="F76" s="178"/>
      <c r="G76" s="114">
        <f t="shared" ref="G76:G108" si="83">G75+1</f>
        <v>68</v>
      </c>
      <c r="H76" s="111">
        <f t="shared" si="61"/>
        <v>46512</v>
      </c>
      <c r="I76" s="176">
        <f t="shared" si="58"/>
        <v>9.9000000000000005E-2</v>
      </c>
      <c r="J76" s="24">
        <f t="shared" si="67"/>
        <v>0</v>
      </c>
      <c r="K76" s="242">
        <f t="shared" si="56"/>
        <v>0</v>
      </c>
      <c r="L76" s="24">
        <f t="shared" si="36"/>
        <v>0</v>
      </c>
      <c r="M76" s="24">
        <f t="shared" si="77"/>
        <v>0</v>
      </c>
      <c r="N76" s="24">
        <f t="shared" si="62"/>
        <v>0</v>
      </c>
      <c r="O76" s="24">
        <v>0</v>
      </c>
      <c r="P76" s="24">
        <f t="shared" si="25"/>
        <v>0</v>
      </c>
      <c r="Q76" s="24">
        <f t="shared" si="33"/>
        <v>0</v>
      </c>
      <c r="R76" s="24">
        <f t="shared" si="69"/>
        <v>0</v>
      </c>
      <c r="S76" s="24">
        <f t="shared" si="78"/>
        <v>0</v>
      </c>
      <c r="T76" s="24"/>
      <c r="U76" s="36">
        <f t="shared" ref="U76:U108" si="84">IF((U75-1)&lt;0,0,U75-1)</f>
        <v>0</v>
      </c>
      <c r="V76" s="36">
        <f t="shared" si="71"/>
        <v>0</v>
      </c>
      <c r="W76" s="2" t="e">
        <f>IF(AND(G41&gt;=$W$9,G41&lt;=$W$9+5),0,IF($C$9&gt;$AF$51,ROUND(S40*#REF!/(DATEVALUE(CONCATENATE("01/01/",YEAR(H41)+1))-DATEVALUE(CONCATENATE("01/01/",YEAR(H41))))*(H41-H40),2),0))</f>
        <v>#REF!</v>
      </c>
      <c r="X76" s="34">
        <f t="shared" si="53"/>
        <v>7860</v>
      </c>
      <c r="Y76" s="57">
        <f t="shared" si="50"/>
        <v>56486</v>
      </c>
      <c r="AC76" s="134">
        <v>1</v>
      </c>
      <c r="AD76" s="134">
        <v>1.1000000000000001</v>
      </c>
      <c r="AE76" s="134">
        <v>1.3</v>
      </c>
      <c r="AF76" s="134">
        <v>1.2</v>
      </c>
      <c r="AG76" s="134">
        <v>0</v>
      </c>
      <c r="AH76" s="134">
        <v>1</v>
      </c>
      <c r="AI76" s="134">
        <v>1</v>
      </c>
      <c r="AJ76" s="134">
        <v>1</v>
      </c>
      <c r="AL76" s="2" t="e">
        <f>IF(AND(Y32&gt;=$W$9,Y32&lt;=$W$9+5),0,IF($C$9&gt;$AF$51,ROUND(AI36*#REF!/(DATEVALUE(CONCATENATE("01/01/",YEAR(Z32)+1))-DATEVALUE(CONCATENATE("01/01/",YEAR(Z32))))*(Z32-Z31),2),0))</f>
        <v>#REF!</v>
      </c>
      <c r="AM76" s="34">
        <f t="shared" si="55"/>
        <v>8360</v>
      </c>
      <c r="AN76" s="57">
        <f t="shared" si="54"/>
        <v>55026</v>
      </c>
      <c r="AO76" s="130">
        <f t="shared" si="72"/>
        <v>0</v>
      </c>
      <c r="AP76" s="109">
        <f t="shared" ref="AP76:AP108" si="85">AP75+1</f>
        <v>68</v>
      </c>
      <c r="AQ76" s="110">
        <f t="shared" si="63"/>
        <v>46512</v>
      </c>
      <c r="AR76" s="177">
        <f t="shared" si="57"/>
        <v>0.13900000000000001</v>
      </c>
      <c r="AS76" s="105">
        <f t="shared" si="73"/>
        <v>0</v>
      </c>
      <c r="AT76" s="105">
        <f t="shared" si="79"/>
        <v>0</v>
      </c>
      <c r="AU76" s="105">
        <f t="shared" si="80"/>
        <v>0</v>
      </c>
      <c r="AV76" s="105">
        <f t="shared" si="75"/>
        <v>0</v>
      </c>
      <c r="AW76" s="105">
        <f t="shared" si="65"/>
        <v>0</v>
      </c>
      <c r="AX76" s="105">
        <v>0</v>
      </c>
      <c r="AY76" s="105">
        <f t="shared" si="22"/>
        <v>0</v>
      </c>
      <c r="AZ76" s="105">
        <f t="shared" si="38"/>
        <v>0</v>
      </c>
      <c r="BA76" s="105">
        <f t="shared" si="37"/>
        <v>0</v>
      </c>
      <c r="BB76" s="105"/>
      <c r="BC76" s="105"/>
      <c r="BD76" s="105"/>
      <c r="BE76" s="105"/>
      <c r="BF76" s="105"/>
      <c r="BG76" s="105">
        <f t="shared" si="76"/>
        <v>0</v>
      </c>
      <c r="BH76" s="108">
        <f t="shared" ref="BH76:BH114" si="86">IF((BH75-1)&lt;0,0,BH75-1)</f>
        <v>0</v>
      </c>
      <c r="BI76" s="108">
        <f t="shared" si="81"/>
        <v>0</v>
      </c>
      <c r="BJ76" s="22">
        <f t="shared" si="82"/>
        <v>46512</v>
      </c>
      <c r="BK76" s="108">
        <f t="shared" si="66"/>
        <v>0</v>
      </c>
      <c r="BL76" s="2" t="e">
        <f>IF(AND(G31&gt;=$W$9,G31&lt;=$W$9+5),0,IF($C$9&gt;$AF$51,ROUND(BG30*IF(#REF!="",0,#REF!)/(DATEVALUE(CONCATENATE("01/01/",YEAR(AQ31)+1))-DATEVALUE(CONCATENATE("01/01/",YEAR(AQ31))))*(AQ31-AQ30),2),0))</f>
        <v>#REF!</v>
      </c>
    </row>
    <row r="77" spans="1:64" s="16" customFormat="1" x14ac:dyDescent="0.3">
      <c r="A77" s="178"/>
      <c r="B77" s="178"/>
      <c r="C77" s="525"/>
      <c r="D77" s="182"/>
      <c r="E77" s="178"/>
      <c r="F77" s="178"/>
      <c r="G77" s="114">
        <f t="shared" si="83"/>
        <v>69</v>
      </c>
      <c r="H77" s="111">
        <f t="shared" si="61"/>
        <v>46543</v>
      </c>
      <c r="I77" s="176">
        <f t="shared" si="58"/>
        <v>9.9000000000000005E-2</v>
      </c>
      <c r="J77" s="24">
        <f t="shared" si="67"/>
        <v>0</v>
      </c>
      <c r="K77" s="242">
        <f t="shared" si="56"/>
        <v>0</v>
      </c>
      <c r="L77" s="24">
        <f t="shared" si="36"/>
        <v>0</v>
      </c>
      <c r="M77" s="24">
        <f t="shared" si="77"/>
        <v>0</v>
      </c>
      <c r="N77" s="24">
        <f t="shared" si="62"/>
        <v>0</v>
      </c>
      <c r="O77" s="24">
        <v>0</v>
      </c>
      <c r="P77" s="24">
        <f t="shared" si="25"/>
        <v>0</v>
      </c>
      <c r="Q77" s="24">
        <f t="shared" si="33"/>
        <v>0</v>
      </c>
      <c r="R77" s="24">
        <f t="shared" si="69"/>
        <v>0</v>
      </c>
      <c r="S77" s="24">
        <f t="shared" si="78"/>
        <v>0</v>
      </c>
      <c r="T77" s="24"/>
      <c r="U77" s="36">
        <f t="shared" si="84"/>
        <v>0</v>
      </c>
      <c r="V77" s="36">
        <f t="shared" si="71"/>
        <v>0</v>
      </c>
      <c r="W77" s="2" t="e">
        <f>IF(AND(G42&gt;=$W$9,G42&lt;=$W$9+5),0,IF($C$9&gt;$AF$51,ROUND(S41*#REF!/(DATEVALUE(CONCATENATE("01/01/",YEAR(H42)+1))-DATEVALUE(CONCATENATE("01/01/",YEAR(H42))))*(H42-H41),2),0))</f>
        <v>#REF!</v>
      </c>
      <c r="X77" s="34">
        <f t="shared" si="53"/>
        <v>7860</v>
      </c>
      <c r="Y77" s="57">
        <f t="shared" si="50"/>
        <v>56851</v>
      </c>
      <c r="AC77" s="16">
        <f>IF($C$7&gt;=$AA$71,AC76,IF($C$7&gt;=$AA$70,AC75,IF($C$7&gt;=$AA$69,AC74,IF($C$7&gt;=$AA$68,AC73,AC72))))</f>
        <v>1</v>
      </c>
      <c r="AD77" s="16">
        <v>1.3</v>
      </c>
      <c r="AE77" s="16">
        <f t="shared" ref="AE77:AI77" si="87">IF($C$7&gt;=$AA$71,AE76,IF($C$7&gt;=$AA$70,AE75,IF($C$7&gt;=$AA$69,AE74,IF($C$7&gt;=$AA$68,AE73,AE72))))</f>
        <v>1.5</v>
      </c>
      <c r="AF77" s="16">
        <f t="shared" si="87"/>
        <v>1.3</v>
      </c>
      <c r="AG77" s="16">
        <f t="shared" si="87"/>
        <v>0</v>
      </c>
      <c r="AH77" s="16">
        <f t="shared" si="87"/>
        <v>1</v>
      </c>
      <c r="AI77" s="16">
        <f t="shared" si="87"/>
        <v>2</v>
      </c>
      <c r="AJ77" s="16">
        <v>1</v>
      </c>
      <c r="AL77" s="2" t="e">
        <f>IF(AND(#REF!&gt;=$W$9,#REF!&lt;=$W$9+5),0,IF($C$9&gt;$AF$51,ROUND(AI37*#REF!/(DATEVALUE(CONCATENATE("01/01/",YEAR(#REF!)+1))-DATEVALUE(CONCATENATE("01/01/",YEAR(#REF!))))*(#REF!-Z32),2),0))</f>
        <v>#REF!</v>
      </c>
      <c r="AM77" s="34">
        <f t="shared" si="55"/>
        <v>8360</v>
      </c>
      <c r="AN77" s="57">
        <f t="shared" si="54"/>
        <v>55391</v>
      </c>
      <c r="AO77" s="130">
        <f t="shared" si="72"/>
        <v>0</v>
      </c>
      <c r="AP77" s="109">
        <f t="shared" si="85"/>
        <v>69</v>
      </c>
      <c r="AQ77" s="110">
        <f t="shared" si="63"/>
        <v>46543</v>
      </c>
      <c r="AR77" s="177">
        <f t="shared" si="57"/>
        <v>0.13900000000000001</v>
      </c>
      <c r="AS77" s="105">
        <f t="shared" si="73"/>
        <v>0</v>
      </c>
      <c r="AT77" s="105">
        <f t="shared" si="79"/>
        <v>0</v>
      </c>
      <c r="AU77" s="105">
        <f t="shared" si="80"/>
        <v>0</v>
      </c>
      <c r="AV77" s="105">
        <f t="shared" si="75"/>
        <v>0</v>
      </c>
      <c r="AW77" s="105">
        <f t="shared" si="65"/>
        <v>0</v>
      </c>
      <c r="AX77" s="105">
        <v>0</v>
      </c>
      <c r="AY77" s="105">
        <f t="shared" si="22"/>
        <v>0</v>
      </c>
      <c r="AZ77" s="105">
        <f t="shared" si="38"/>
        <v>0</v>
      </c>
      <c r="BA77" s="105">
        <f t="shared" si="37"/>
        <v>0</v>
      </c>
      <c r="BB77" s="105"/>
      <c r="BC77" s="105"/>
      <c r="BD77" s="105"/>
      <c r="BE77" s="105"/>
      <c r="BF77" s="105"/>
      <c r="BG77" s="105">
        <f t="shared" si="76"/>
        <v>0</v>
      </c>
      <c r="BH77" s="108">
        <f t="shared" si="86"/>
        <v>0</v>
      </c>
      <c r="BI77" s="108">
        <f t="shared" si="81"/>
        <v>0</v>
      </c>
      <c r="BJ77" s="22">
        <f t="shared" si="82"/>
        <v>46543</v>
      </c>
      <c r="BK77" s="108">
        <f t="shared" si="66"/>
        <v>0</v>
      </c>
      <c r="BL77" s="2" t="e">
        <f>IF(AND(G32&gt;=$W$9,G32&lt;=$W$9+5),0,IF($C$9&gt;$AF$51,ROUND(BG31*IF(#REF!="",0,#REF!)/(DATEVALUE(CONCATENATE("01/01/",YEAR(AQ32)+1))-DATEVALUE(CONCATENATE("01/01/",YEAR(AQ32))))*(AQ32-AQ31),2),0))</f>
        <v>#REF!</v>
      </c>
    </row>
    <row r="78" spans="1:64" s="16" customFormat="1" x14ac:dyDescent="0.3">
      <c r="A78" s="178"/>
      <c r="B78" s="178"/>
      <c r="C78" s="184"/>
      <c r="D78" s="182"/>
      <c r="E78" s="178"/>
      <c r="F78" s="178"/>
      <c r="G78" s="114">
        <f t="shared" si="83"/>
        <v>70</v>
      </c>
      <c r="H78" s="111">
        <f t="shared" si="61"/>
        <v>46573</v>
      </c>
      <c r="I78" s="176">
        <f t="shared" si="58"/>
        <v>9.9000000000000005E-2</v>
      </c>
      <c r="J78" s="24">
        <f t="shared" si="67"/>
        <v>0</v>
      </c>
      <c r="K78" s="242">
        <f t="shared" si="56"/>
        <v>0</v>
      </c>
      <c r="L78" s="24">
        <f t="shared" si="36"/>
        <v>0</v>
      </c>
      <c r="M78" s="24">
        <f t="shared" si="77"/>
        <v>0</v>
      </c>
      <c r="N78" s="24">
        <f t="shared" si="62"/>
        <v>0</v>
      </c>
      <c r="O78" s="24">
        <v>0</v>
      </c>
      <c r="P78" s="24">
        <f t="shared" si="25"/>
        <v>0</v>
      </c>
      <c r="Q78" s="24">
        <f t="shared" si="33"/>
        <v>0</v>
      </c>
      <c r="R78" s="24">
        <f t="shared" si="69"/>
        <v>0</v>
      </c>
      <c r="S78" s="24">
        <f t="shared" si="78"/>
        <v>0</v>
      </c>
      <c r="T78" s="24"/>
      <c r="U78" s="36">
        <f t="shared" si="84"/>
        <v>0</v>
      </c>
      <c r="V78" s="36">
        <f t="shared" si="71"/>
        <v>0</v>
      </c>
      <c r="W78" s="2" t="e">
        <f>IF(AND(G43&gt;=$W$9,G43&lt;=$W$9+5),0,IF($C$9&gt;$AF$51,ROUND(S42*#REF!/(DATEVALUE(CONCATENATE("01/01/",YEAR(H43)+1))-DATEVALUE(CONCATENATE("01/01/",YEAR(H43))))*(H43-H42),2),0))</f>
        <v>#REF!</v>
      </c>
      <c r="X78" s="34">
        <f t="shared" si="53"/>
        <v>7860</v>
      </c>
      <c r="Y78" s="57">
        <f t="shared" si="50"/>
        <v>57216</v>
      </c>
      <c r="AC78" s="16" t="s">
        <v>330</v>
      </c>
      <c r="AD78" s="16" t="s">
        <v>112</v>
      </c>
      <c r="AE78" s="16" t="s">
        <v>116</v>
      </c>
      <c r="AF78" s="16" t="s">
        <v>117</v>
      </c>
      <c r="AG78" s="16" t="s">
        <v>113</v>
      </c>
      <c r="AH78" s="16" t="s">
        <v>122</v>
      </c>
      <c r="AI78" s="16" t="s">
        <v>121</v>
      </c>
      <c r="AL78" s="2" t="e">
        <f>IF(AND(#REF!&gt;=$W$9,#REF!&lt;=$W$9+5),0,IF($C$9&gt;$AF$51,ROUND(AI38*#REF!/(DATEVALUE(CONCATENATE("01/01/",YEAR(#REF!)+1))-DATEVALUE(CONCATENATE("01/01/",YEAR(#REF!))))*(#REF!-#REF!),2),0))</f>
        <v>#REF!</v>
      </c>
      <c r="AM78" s="34">
        <f t="shared" si="55"/>
        <v>8360</v>
      </c>
      <c r="AN78" s="57">
        <f t="shared" si="54"/>
        <v>55756</v>
      </c>
      <c r="AO78" s="130">
        <f t="shared" si="72"/>
        <v>0</v>
      </c>
      <c r="AP78" s="109">
        <f t="shared" si="85"/>
        <v>70</v>
      </c>
      <c r="AQ78" s="110">
        <f t="shared" si="63"/>
        <v>46573</v>
      </c>
      <c r="AR78" s="177">
        <f t="shared" si="57"/>
        <v>0.13900000000000001</v>
      </c>
      <c r="AS78" s="105">
        <f t="shared" si="73"/>
        <v>0</v>
      </c>
      <c r="AT78" s="105">
        <f t="shared" si="79"/>
        <v>0</v>
      </c>
      <c r="AU78" s="105">
        <f t="shared" si="80"/>
        <v>0</v>
      </c>
      <c r="AV78" s="105">
        <f t="shared" si="75"/>
        <v>0</v>
      </c>
      <c r="AW78" s="105">
        <f t="shared" si="65"/>
        <v>0</v>
      </c>
      <c r="AX78" s="105">
        <v>0</v>
      </c>
      <c r="AY78" s="105">
        <f t="shared" si="22"/>
        <v>0</v>
      </c>
      <c r="AZ78" s="105">
        <f t="shared" si="38"/>
        <v>0</v>
      </c>
      <c r="BA78" s="105">
        <f t="shared" si="37"/>
        <v>0</v>
      </c>
      <c r="BB78" s="105"/>
      <c r="BC78" s="105"/>
      <c r="BD78" s="105"/>
      <c r="BE78" s="105"/>
      <c r="BF78" s="105"/>
      <c r="BG78" s="105">
        <f t="shared" si="76"/>
        <v>0</v>
      </c>
      <c r="BH78" s="108">
        <f t="shared" si="86"/>
        <v>0</v>
      </c>
      <c r="BI78" s="108">
        <f t="shared" si="81"/>
        <v>0</v>
      </c>
      <c r="BJ78" s="22">
        <f t="shared" si="82"/>
        <v>46573</v>
      </c>
      <c r="BK78" s="108">
        <f t="shared" si="66"/>
        <v>0</v>
      </c>
      <c r="BL78" s="2" t="e">
        <f>IF(AND(G33&gt;=$W$9,G33&lt;=$W$9+5),0,IF($C$9&gt;$AF$51,ROUND(BG32*IF(#REF!="",0,#REF!)/(DATEVALUE(CONCATENATE("01/01/",YEAR(AQ33)+1))-DATEVALUE(CONCATENATE("01/01/",YEAR(AQ33))))*(AQ33-AQ32),2),0))</f>
        <v>#REF!</v>
      </c>
    </row>
    <row r="79" spans="1:64" s="16" customFormat="1" x14ac:dyDescent="0.3">
      <c r="A79" s="178"/>
      <c r="B79" s="178"/>
      <c r="C79" s="184"/>
      <c r="D79" s="178"/>
      <c r="E79" s="178"/>
      <c r="F79" s="178"/>
      <c r="G79" s="114">
        <f t="shared" si="83"/>
        <v>71</v>
      </c>
      <c r="H79" s="111">
        <f t="shared" si="61"/>
        <v>46604</v>
      </c>
      <c r="I79" s="176">
        <f t="shared" si="58"/>
        <v>9.9000000000000005E-2</v>
      </c>
      <c r="J79" s="24">
        <f t="shared" si="67"/>
        <v>0</v>
      </c>
      <c r="K79" s="242">
        <f t="shared" si="56"/>
        <v>0</v>
      </c>
      <c r="L79" s="24">
        <f t="shared" si="36"/>
        <v>0</v>
      </c>
      <c r="M79" s="24">
        <f t="shared" si="77"/>
        <v>0</v>
      </c>
      <c r="N79" s="24">
        <f t="shared" si="62"/>
        <v>0</v>
      </c>
      <c r="O79" s="24">
        <v>0</v>
      </c>
      <c r="P79" s="24">
        <f t="shared" si="25"/>
        <v>0</v>
      </c>
      <c r="Q79" s="24">
        <f t="shared" ref="Q79:Q108" si="88">IF(V79=0,0,0)</f>
        <v>0</v>
      </c>
      <c r="R79" s="24">
        <f t="shared" si="69"/>
        <v>0</v>
      </c>
      <c r="S79" s="24">
        <f t="shared" si="78"/>
        <v>0</v>
      </c>
      <c r="T79" s="24"/>
      <c r="U79" s="36">
        <f t="shared" si="84"/>
        <v>0</v>
      </c>
      <c r="V79" s="36">
        <f t="shared" si="71"/>
        <v>0</v>
      </c>
      <c r="W79" s="2" t="e">
        <f>IF(AND(G44&gt;=$W$9,G44&lt;=$W$9+5),0,IF($C$9&gt;$AF$51,ROUND(S43*#REF!/(DATEVALUE(CONCATENATE("01/01/",YEAR(H44)+1))-DATEVALUE(CONCATENATE("01/01/",YEAR(H44))))*(H44-H43),2),0))</f>
        <v>#REF!</v>
      </c>
      <c r="X79" s="34">
        <f t="shared" si="53"/>
        <v>7860</v>
      </c>
      <c r="Y79" s="57">
        <f t="shared" si="50"/>
        <v>57581</v>
      </c>
      <c r="AC79" s="143">
        <f>MIN($C$7*IF($C$7&gt;$AB$71,AC76,IF($C$7&gt;$AB$70,AC75,IF($C$7&gt;$AB$69,AC74,IF($C$7&gt;$AB$68,AC73,AC72)))),5000000)</f>
        <v>330000</v>
      </c>
      <c r="AD79" s="143">
        <f>MIN($C$7*IF($C$7&gt;$AB$72,AD77,IF($C$7&gt;$AB$77,AD76,IF($C$7&gt;$AB$70,AD75,IF($C$7&gt;$AB$69,AD74,IF($C$7&gt;$AB$68,AD73,AD72))))),5000000)</f>
        <v>330000</v>
      </c>
      <c r="AE79" s="143">
        <f>MIN(3000000,$C$7*IF($C$7&gt;=$AA$71,AE76,IF($C$7&gt;=$AA$70,AE75,IF($C$7&gt;=$AA$69,AE74,IF($C$7&gt;=$AA$68,AE73,AE72)))))</f>
        <v>450000</v>
      </c>
      <c r="AF79" s="143">
        <f>MIN(3000000,$C$7*IF($C$7&gt;=$AA$71,AF76,IF($C$7&gt;=$AA$70,AF75,IF($C$7&gt;=$AA$69,AF74,IF($C$7&gt;=$AA$68,AF73,AF72)))))</f>
        <v>390000</v>
      </c>
      <c r="AG79" s="143">
        <f>MIN(3000000,$C$7*IF($C$7&gt;=$AA$71,AG76,IF($C$7&gt;=$AA$70,AG75,IF($C$7&gt;=$AA$69,AG74,IF($C$7&gt;=$AA$68,AG73,AG72)))))</f>
        <v>0</v>
      </c>
      <c r="AH79" s="143">
        <f>$C$7*IF($C$7&gt;=$AA$71,AH76,IF($C$7&gt;=$AA$70,AH75,IF($C$7&gt;=$AA$69,AH74,IF($C$7&gt;=$AA$68,AH73,AH72))))</f>
        <v>300000</v>
      </c>
      <c r="AI79" s="143">
        <f>$C$7*IF($C$7&gt;=$AA$71,AI76,IF($C$7&gt;=$AA$70,AI75,IF($C$7&gt;=$AA$69,AI74,IF($C$7&gt;=$AA$68,AI73,AI72))))</f>
        <v>600000</v>
      </c>
      <c r="AL79" s="2" t="e">
        <f>IF(AND(#REF!&gt;=$W$9,#REF!&lt;=$W$9+5),0,IF($C$9&gt;$AF$51,ROUND(AI39*#REF!/(DATEVALUE(CONCATENATE("01/01/",YEAR(#REF!)+1))-DATEVALUE(CONCATENATE("01/01/",YEAR(#REF!))))*(#REF!-#REF!),2),0))</f>
        <v>#REF!</v>
      </c>
      <c r="AM79" s="34">
        <f t="shared" si="55"/>
        <v>8360</v>
      </c>
      <c r="AN79" s="57">
        <f t="shared" si="54"/>
        <v>56121</v>
      </c>
      <c r="AO79" s="130">
        <f t="shared" si="72"/>
        <v>0</v>
      </c>
      <c r="AP79" s="109">
        <f t="shared" si="85"/>
        <v>71</v>
      </c>
      <c r="AQ79" s="110">
        <f t="shared" si="63"/>
        <v>46604</v>
      </c>
      <c r="AR79" s="177">
        <f t="shared" si="57"/>
        <v>0.13900000000000001</v>
      </c>
      <c r="AS79" s="105">
        <f t="shared" si="73"/>
        <v>0</v>
      </c>
      <c r="AT79" s="105">
        <f t="shared" si="79"/>
        <v>0</v>
      </c>
      <c r="AU79" s="105">
        <f t="shared" si="80"/>
        <v>0</v>
      </c>
      <c r="AV79" s="105">
        <f t="shared" si="75"/>
        <v>0</v>
      </c>
      <c r="AW79" s="105">
        <f t="shared" si="65"/>
        <v>0</v>
      </c>
      <c r="AX79" s="105">
        <v>0</v>
      </c>
      <c r="AY79" s="105">
        <f t="shared" si="22"/>
        <v>0</v>
      </c>
      <c r="AZ79" s="105">
        <f t="shared" si="38"/>
        <v>0</v>
      </c>
      <c r="BA79" s="105">
        <f t="shared" si="37"/>
        <v>0</v>
      </c>
      <c r="BB79" s="105"/>
      <c r="BC79" s="105"/>
      <c r="BD79" s="105"/>
      <c r="BE79" s="105"/>
      <c r="BF79" s="105"/>
      <c r="BG79" s="105">
        <f t="shared" si="76"/>
        <v>0</v>
      </c>
      <c r="BH79" s="108">
        <f t="shared" si="86"/>
        <v>0</v>
      </c>
      <c r="BI79" s="108">
        <f t="shared" si="81"/>
        <v>0</v>
      </c>
      <c r="BJ79" s="22">
        <f t="shared" si="82"/>
        <v>46604</v>
      </c>
      <c r="BK79" s="108">
        <f t="shared" si="66"/>
        <v>0</v>
      </c>
      <c r="BL79" s="2" t="e">
        <f>IF(AND(G34&gt;=$W$9,G34&lt;=$W$9+5),0,IF($C$9&gt;$AF$51,ROUND(BG33*IF(#REF!="",0,#REF!)/(DATEVALUE(CONCATENATE("01/01/",YEAR(AQ34)+1))-DATEVALUE(CONCATENATE("01/01/",YEAR(AQ34))))*(AQ34-AQ33),2),0))</f>
        <v>#REF!</v>
      </c>
    </row>
    <row r="80" spans="1:64" s="16" customFormat="1" x14ac:dyDescent="0.3">
      <c r="A80" s="178"/>
      <c r="B80" s="178"/>
      <c r="C80" s="184"/>
      <c r="D80" s="178"/>
      <c r="E80" s="178"/>
      <c r="F80" s="178"/>
      <c r="G80" s="114">
        <f t="shared" si="83"/>
        <v>72</v>
      </c>
      <c r="H80" s="111">
        <f t="shared" si="61"/>
        <v>46635</v>
      </c>
      <c r="I80" s="176">
        <f t="shared" si="58"/>
        <v>9.9000000000000005E-2</v>
      </c>
      <c r="J80" s="24">
        <f t="shared" si="67"/>
        <v>0</v>
      </c>
      <c r="K80" s="242">
        <f t="shared" si="56"/>
        <v>0</v>
      </c>
      <c r="L80" s="24">
        <f t="shared" ref="L80:L108" si="89">IF(AND(G80&gt;=$W$9,G80&lt;=$W$9+5),0,IF($C$9&gt;$AF$51,ROUND(S79*I80*((H80-DATE(YEAR(H80),MONTH(H80),1)+1)/(DATE(YEAR(H80)+1,1,1)-DATE(YEAR(H80),1,1))+(EOMONTH(H79,0)-H79)/(DATE(YEAR(H79)+1,1,1)-DATE(YEAR(H79),1,1))),2),0))</f>
        <v>0</v>
      </c>
      <c r="M80" s="24">
        <f t="shared" si="77"/>
        <v>0</v>
      </c>
      <c r="N80" s="24">
        <f t="shared" si="62"/>
        <v>0</v>
      </c>
      <c r="O80" s="24">
        <v>0</v>
      </c>
      <c r="P80" s="24">
        <f t="shared" si="25"/>
        <v>0</v>
      </c>
      <c r="Q80" s="24">
        <f t="shared" si="88"/>
        <v>0</v>
      </c>
      <c r="R80" s="24">
        <f t="shared" si="69"/>
        <v>0</v>
      </c>
      <c r="S80" s="24">
        <f t="shared" si="78"/>
        <v>0</v>
      </c>
      <c r="T80" s="24"/>
      <c r="U80" s="36">
        <f t="shared" si="84"/>
        <v>0</v>
      </c>
      <c r="V80" s="36">
        <f t="shared" si="71"/>
        <v>0</v>
      </c>
      <c r="W80" s="2" t="e">
        <f>IF(AND(G45&gt;=$W$9,G45&lt;=$W$9+5),0,IF($C$9&gt;$AF$51,ROUND(S44*#REF!/(DATEVALUE(CONCATENATE("01/01/",YEAR(H45)+1))-DATEVALUE(CONCATENATE("01/01/",YEAR(H45))))*(H45-H44),2),0))</f>
        <v>#REF!</v>
      </c>
      <c r="X80" s="34">
        <f t="shared" si="53"/>
        <v>7860</v>
      </c>
      <c r="Y80" s="57">
        <f t="shared" si="50"/>
        <v>57946</v>
      </c>
      <c r="AL80" s="2" t="e">
        <f>IF(AND(#REF!&gt;=$W$9,#REF!&lt;=$W$9+5),0,IF($C$9&gt;$AF$51,ROUND(AI40*#REF!/(DATEVALUE(CONCATENATE("01/01/",YEAR(#REF!)+1))-DATEVALUE(CONCATENATE("01/01/",YEAR(#REF!))))*(#REF!-#REF!),2),0))</f>
        <v>#REF!</v>
      </c>
      <c r="AM80" s="34">
        <f t="shared" si="55"/>
        <v>8360</v>
      </c>
      <c r="AN80" s="57">
        <f t="shared" si="54"/>
        <v>56486</v>
      </c>
      <c r="AO80" s="130">
        <f t="shared" si="72"/>
        <v>0</v>
      </c>
      <c r="AP80" s="109">
        <f t="shared" si="85"/>
        <v>72</v>
      </c>
      <c r="AQ80" s="110">
        <f t="shared" si="63"/>
        <v>46635</v>
      </c>
      <c r="AR80" s="177">
        <f t="shared" si="57"/>
        <v>0.13900000000000001</v>
      </c>
      <c r="AS80" s="105">
        <f t="shared" si="73"/>
        <v>0</v>
      </c>
      <c r="AT80" s="105">
        <f t="shared" si="79"/>
        <v>0</v>
      </c>
      <c r="AU80" s="105">
        <f t="shared" si="80"/>
        <v>0</v>
      </c>
      <c r="AV80" s="105">
        <f t="shared" si="75"/>
        <v>0</v>
      </c>
      <c r="AW80" s="105">
        <f t="shared" si="65"/>
        <v>0</v>
      </c>
      <c r="AX80" s="105">
        <v>0</v>
      </c>
      <c r="AY80" s="105">
        <f t="shared" si="22"/>
        <v>0</v>
      </c>
      <c r="AZ80" s="105">
        <f t="shared" si="38"/>
        <v>0</v>
      </c>
      <c r="BA80" s="105">
        <f t="shared" si="37"/>
        <v>0</v>
      </c>
      <c r="BB80" s="105"/>
      <c r="BC80" s="105"/>
      <c r="BD80" s="105"/>
      <c r="BE80" s="105"/>
      <c r="BF80" s="105"/>
      <c r="BG80" s="105">
        <f t="shared" si="76"/>
        <v>0</v>
      </c>
      <c r="BH80" s="108">
        <f t="shared" si="86"/>
        <v>0</v>
      </c>
      <c r="BI80" s="108">
        <f t="shared" si="81"/>
        <v>0</v>
      </c>
      <c r="BJ80" s="22">
        <f t="shared" si="82"/>
        <v>46635</v>
      </c>
      <c r="BK80" s="108">
        <f t="shared" si="66"/>
        <v>0</v>
      </c>
      <c r="BL80" s="2" t="e">
        <f>IF(AND(G35&gt;=$W$9,G35&lt;=$W$9+5),0,IF($C$9&gt;$AF$51,ROUND(BG34*IF(#REF!="",0,#REF!)/(DATEVALUE(CONCATENATE("01/01/",YEAR(AQ35)+1))-DATEVALUE(CONCATENATE("01/01/",YEAR(AQ35))))*(AQ35-AQ34),2),0))</f>
        <v>#REF!</v>
      </c>
    </row>
    <row r="81" spans="1:64" s="16" customFormat="1" x14ac:dyDescent="0.3">
      <c r="A81" s="178"/>
      <c r="B81" s="178"/>
      <c r="C81" s="184"/>
      <c r="D81" s="178"/>
      <c r="E81" s="178"/>
      <c r="F81" s="178"/>
      <c r="G81" s="114">
        <f t="shared" si="83"/>
        <v>73</v>
      </c>
      <c r="H81" s="111">
        <f t="shared" si="61"/>
        <v>46665</v>
      </c>
      <c r="I81" s="176">
        <f t="shared" si="58"/>
        <v>9.9000000000000005E-2</v>
      </c>
      <c r="J81" s="24">
        <f t="shared" si="67"/>
        <v>0</v>
      </c>
      <c r="K81" s="242">
        <f t="shared" si="56"/>
        <v>0</v>
      </c>
      <c r="L81" s="24">
        <f t="shared" si="89"/>
        <v>0</v>
      </c>
      <c r="M81" s="24">
        <f t="shared" si="77"/>
        <v>0</v>
      </c>
      <c r="N81" s="24">
        <f t="shared" si="62"/>
        <v>0</v>
      </c>
      <c r="O81" s="24">
        <v>0</v>
      </c>
      <c r="P81" s="24">
        <f t="shared" si="25"/>
        <v>0</v>
      </c>
      <c r="Q81" s="24">
        <f t="shared" si="88"/>
        <v>0</v>
      </c>
      <c r="R81" s="24">
        <f t="shared" si="69"/>
        <v>0</v>
      </c>
      <c r="S81" s="24">
        <f t="shared" si="78"/>
        <v>0</v>
      </c>
      <c r="T81" s="24"/>
      <c r="U81" s="36">
        <f t="shared" si="84"/>
        <v>0</v>
      </c>
      <c r="V81" s="36">
        <f t="shared" si="71"/>
        <v>0</v>
      </c>
      <c r="W81" s="2" t="e">
        <f>IF(AND(G46&gt;=$W$9,G46&lt;=$W$9+5),0,IF($C$9&gt;$AF$51,ROUND(S45*#REF!/(DATEVALUE(CONCATENATE("01/01/",YEAR(H46)+1))-DATEVALUE(CONCATENATE("01/01/",YEAR(H46))))*(H46-H45),2),0))</f>
        <v>#REF!</v>
      </c>
      <c r="X81" s="34">
        <f t="shared" si="53"/>
        <v>7860</v>
      </c>
      <c r="Y81" s="57">
        <f t="shared" si="50"/>
        <v>58311</v>
      </c>
      <c r="AL81" s="2" t="e">
        <f>IF(AND(#REF!&gt;=$W$9,#REF!&lt;=$W$9+5),0,IF($C$9&gt;$AF$51,ROUND(AI41*#REF!/(DATEVALUE(CONCATENATE("01/01/",YEAR(#REF!)+1))-DATEVALUE(CONCATENATE("01/01/",YEAR(#REF!))))*(#REF!-#REF!),2),0))</f>
        <v>#REF!</v>
      </c>
      <c r="AM81" s="34">
        <f t="shared" si="55"/>
        <v>8360</v>
      </c>
      <c r="AN81" s="57">
        <f t="shared" si="54"/>
        <v>56851</v>
      </c>
      <c r="AO81" s="130">
        <f t="shared" si="72"/>
        <v>0</v>
      </c>
      <c r="AP81" s="109">
        <f t="shared" si="85"/>
        <v>73</v>
      </c>
      <c r="AQ81" s="110">
        <f t="shared" si="63"/>
        <v>46665</v>
      </c>
      <c r="AR81" s="177">
        <f t="shared" si="57"/>
        <v>0.13900000000000001</v>
      </c>
      <c r="AS81" s="105">
        <f t="shared" si="73"/>
        <v>0</v>
      </c>
      <c r="AT81" s="105">
        <f t="shared" si="79"/>
        <v>0</v>
      </c>
      <c r="AU81" s="105">
        <f t="shared" si="80"/>
        <v>0</v>
      </c>
      <c r="AV81" s="105">
        <f t="shared" si="75"/>
        <v>0</v>
      </c>
      <c r="AW81" s="105">
        <f t="shared" si="65"/>
        <v>0</v>
      </c>
      <c r="AX81" s="105">
        <v>0</v>
      </c>
      <c r="AY81" s="105">
        <f t="shared" si="22"/>
        <v>0</v>
      </c>
      <c r="AZ81" s="105">
        <f t="shared" si="38"/>
        <v>0</v>
      </c>
      <c r="BA81" s="105">
        <f t="shared" si="37"/>
        <v>0</v>
      </c>
      <c r="BB81" s="105"/>
      <c r="BC81" s="105"/>
      <c r="BD81" s="105"/>
      <c r="BE81" s="105"/>
      <c r="BF81" s="105"/>
      <c r="BG81" s="105">
        <f t="shared" si="76"/>
        <v>0</v>
      </c>
      <c r="BH81" s="108">
        <f t="shared" si="86"/>
        <v>0</v>
      </c>
      <c r="BI81" s="108">
        <f t="shared" si="81"/>
        <v>0</v>
      </c>
      <c r="BJ81" s="22">
        <f t="shared" si="82"/>
        <v>46665</v>
      </c>
      <c r="BK81" s="108">
        <f t="shared" si="66"/>
        <v>0</v>
      </c>
      <c r="BL81" s="2" t="e">
        <f>IF(AND(G36&gt;=$W$9,G36&lt;=$W$9+5),0,IF($C$9&gt;$AF$51,ROUND(BG35*IF(#REF!="",0,#REF!)/(DATEVALUE(CONCATENATE("01/01/",YEAR(AQ36)+1))-DATEVALUE(CONCATENATE("01/01/",YEAR(AQ36))))*(AQ36-AQ35),2),0))</f>
        <v>#REF!</v>
      </c>
    </row>
    <row r="82" spans="1:64" s="16" customFormat="1" x14ac:dyDescent="0.3">
      <c r="A82" s="178"/>
      <c r="B82" s="178"/>
      <c r="C82" s="184"/>
      <c r="D82" s="178"/>
      <c r="E82" s="178"/>
      <c r="F82" s="178"/>
      <c r="G82" s="114">
        <f t="shared" si="83"/>
        <v>74</v>
      </c>
      <c r="H82" s="111">
        <f t="shared" si="61"/>
        <v>46696</v>
      </c>
      <c r="I82" s="176">
        <f t="shared" si="58"/>
        <v>9.9000000000000005E-2</v>
      </c>
      <c r="J82" s="24">
        <f t="shared" si="67"/>
        <v>0</v>
      </c>
      <c r="K82" s="242">
        <f t="shared" si="56"/>
        <v>0</v>
      </c>
      <c r="L82" s="24">
        <f t="shared" si="89"/>
        <v>0</v>
      </c>
      <c r="M82" s="24">
        <f t="shared" si="77"/>
        <v>0</v>
      </c>
      <c r="N82" s="24">
        <f t="shared" si="62"/>
        <v>0</v>
      </c>
      <c r="O82" s="24">
        <v>0</v>
      </c>
      <c r="P82" s="24">
        <f t="shared" si="25"/>
        <v>0</v>
      </c>
      <c r="Q82" s="24">
        <f t="shared" si="88"/>
        <v>0</v>
      </c>
      <c r="R82" s="24">
        <f t="shared" si="69"/>
        <v>0</v>
      </c>
      <c r="S82" s="24">
        <f t="shared" si="78"/>
        <v>0</v>
      </c>
      <c r="T82" s="24"/>
      <c r="U82" s="36">
        <f t="shared" si="84"/>
        <v>0</v>
      </c>
      <c r="V82" s="36">
        <f t="shared" si="71"/>
        <v>0</v>
      </c>
      <c r="W82" s="2" t="e">
        <f>IF(AND(G47&gt;=$W$9,G47&lt;=$W$9+5),0,IF($C$9&gt;$AF$51,ROUND(S46*#REF!/(DATEVALUE(CONCATENATE("01/01/",YEAR(H47)+1))-DATEVALUE(CONCATENATE("01/01/",YEAR(H47))))*(H47-H46),2),0))</f>
        <v>#REF!</v>
      </c>
      <c r="X82" s="34">
        <f t="shared" si="53"/>
        <v>7860</v>
      </c>
      <c r="Y82" s="57">
        <f t="shared" si="50"/>
        <v>58676</v>
      </c>
      <c r="Z82" s="60">
        <v>43858</v>
      </c>
      <c r="AE82" s="16">
        <f>500000*0.3*60</f>
        <v>9000000</v>
      </c>
      <c r="AL82" s="2" t="e">
        <f>IF(AND(#REF!&gt;=$W$9,#REF!&lt;=$W$9+5),0,IF($C$9&gt;$AF$51,ROUND(AI42*#REF!/(DATEVALUE(CONCATENATE("01/01/",YEAR(#REF!)+1))-DATEVALUE(CONCATENATE("01/01/",YEAR(#REF!))))*(#REF!-#REF!),2),0))</f>
        <v>#REF!</v>
      </c>
      <c r="AM82" s="34">
        <f t="shared" si="55"/>
        <v>8360</v>
      </c>
      <c r="AN82" s="57">
        <f t="shared" si="54"/>
        <v>57216</v>
      </c>
      <c r="AO82" s="130">
        <f t="shared" si="72"/>
        <v>0</v>
      </c>
      <c r="AP82" s="109">
        <f t="shared" si="85"/>
        <v>74</v>
      </c>
      <c r="AQ82" s="110">
        <f t="shared" si="63"/>
        <v>46696</v>
      </c>
      <c r="AR82" s="177">
        <f t="shared" si="57"/>
        <v>0.13900000000000001</v>
      </c>
      <c r="AS82" s="105">
        <f t="shared" si="73"/>
        <v>0</v>
      </c>
      <c r="AT82" s="105">
        <f t="shared" si="79"/>
        <v>0</v>
      </c>
      <c r="AU82" s="105">
        <f t="shared" si="80"/>
        <v>0</v>
      </c>
      <c r="AV82" s="105">
        <f t="shared" si="75"/>
        <v>0</v>
      </c>
      <c r="AW82" s="105">
        <f t="shared" si="65"/>
        <v>0</v>
      </c>
      <c r="AX82" s="105">
        <v>0</v>
      </c>
      <c r="AY82" s="105">
        <f t="shared" si="22"/>
        <v>0</v>
      </c>
      <c r="AZ82" s="105">
        <f t="shared" si="38"/>
        <v>0</v>
      </c>
      <c r="BA82" s="105">
        <f t="shared" si="37"/>
        <v>0</v>
      </c>
      <c r="BB82" s="105"/>
      <c r="BC82" s="105"/>
      <c r="BD82" s="105"/>
      <c r="BE82" s="105"/>
      <c r="BF82" s="105"/>
      <c r="BG82" s="105">
        <f t="shared" si="76"/>
        <v>0</v>
      </c>
      <c r="BH82" s="108">
        <f t="shared" si="86"/>
        <v>0</v>
      </c>
      <c r="BI82" s="108">
        <f t="shared" si="81"/>
        <v>0</v>
      </c>
      <c r="BJ82" s="22">
        <f t="shared" si="82"/>
        <v>46696</v>
      </c>
      <c r="BK82" s="108">
        <f t="shared" si="66"/>
        <v>0</v>
      </c>
      <c r="BL82" s="2" t="e">
        <f>IF(AND(G37&gt;=$W$9,G37&lt;=$W$9+5),0,IF($C$9&gt;$AF$51,ROUND(BG36*IF(#REF!="",0,#REF!)/(DATEVALUE(CONCATENATE("01/01/",YEAR(AQ37)+1))-DATEVALUE(CONCATENATE("01/01/",YEAR(AQ37))))*(AQ37-AQ36),2),0))</f>
        <v>#REF!</v>
      </c>
    </row>
    <row r="83" spans="1:64" s="16" customFormat="1" x14ac:dyDescent="0.3">
      <c r="A83" s="178"/>
      <c r="B83" s="178"/>
      <c r="C83" s="184"/>
      <c r="D83" s="178"/>
      <c r="E83" s="178"/>
      <c r="F83" s="178"/>
      <c r="G83" s="114">
        <f t="shared" si="83"/>
        <v>75</v>
      </c>
      <c r="H83" s="111">
        <f t="shared" si="61"/>
        <v>46726</v>
      </c>
      <c r="I83" s="176">
        <f t="shared" si="58"/>
        <v>9.9000000000000005E-2</v>
      </c>
      <c r="J83" s="24">
        <f t="shared" si="67"/>
        <v>0</v>
      </c>
      <c r="K83" s="242">
        <f t="shared" si="56"/>
        <v>0</v>
      </c>
      <c r="L83" s="24">
        <f t="shared" si="89"/>
        <v>0</v>
      </c>
      <c r="M83" s="24">
        <f t="shared" si="77"/>
        <v>0</v>
      </c>
      <c r="N83" s="24">
        <f t="shared" si="62"/>
        <v>0</v>
      </c>
      <c r="O83" s="24">
        <v>0</v>
      </c>
      <c r="P83" s="24">
        <f t="shared" si="25"/>
        <v>0</v>
      </c>
      <c r="Q83" s="24">
        <f t="shared" si="88"/>
        <v>0</v>
      </c>
      <c r="R83" s="24">
        <f t="shared" si="69"/>
        <v>0</v>
      </c>
      <c r="S83" s="24">
        <f t="shared" si="78"/>
        <v>0</v>
      </c>
      <c r="T83" s="24"/>
      <c r="U83" s="36">
        <f t="shared" si="84"/>
        <v>0</v>
      </c>
      <c r="V83" s="36">
        <f t="shared" si="71"/>
        <v>0</v>
      </c>
      <c r="W83" s="2" t="e">
        <f>IF(AND(G48&gt;=$W$9,G48&lt;=$W$9+5),0,IF($C$9&gt;$AF$51,ROUND(S47*#REF!/(DATEVALUE(CONCATENATE("01/01/",YEAR(H48)+1))-DATEVALUE(CONCATENATE("01/01/",YEAR(H48))))*(H48-H47),2),0))</f>
        <v>#REF!</v>
      </c>
      <c r="X83" s="34">
        <f t="shared" si="53"/>
        <v>7860</v>
      </c>
      <c r="Y83" s="57">
        <f t="shared" si="50"/>
        <v>59041</v>
      </c>
      <c r="AL83" s="2" t="e">
        <f>IF(AND(#REF!&gt;=$W$9,#REF!&lt;=$W$9+5),0,IF($C$9&gt;$AF$51,ROUND(AI43*#REF!/(DATEVALUE(CONCATENATE("01/01/",YEAR(#REF!)+1))-DATEVALUE(CONCATENATE("01/01/",YEAR(#REF!))))*(#REF!-#REF!),2),0))</f>
        <v>#REF!</v>
      </c>
      <c r="AM83" s="34">
        <f t="shared" si="55"/>
        <v>8360</v>
      </c>
      <c r="AN83" s="57">
        <f t="shared" si="54"/>
        <v>57581</v>
      </c>
      <c r="AO83" s="130">
        <f t="shared" si="72"/>
        <v>0</v>
      </c>
      <c r="AP83" s="109">
        <f t="shared" si="85"/>
        <v>75</v>
      </c>
      <c r="AQ83" s="110">
        <f t="shared" si="63"/>
        <v>46726</v>
      </c>
      <c r="AR83" s="177">
        <f t="shared" si="57"/>
        <v>0.13900000000000001</v>
      </c>
      <c r="AS83" s="105">
        <f t="shared" si="73"/>
        <v>0</v>
      </c>
      <c r="AT83" s="105">
        <f t="shared" si="79"/>
        <v>0</v>
      </c>
      <c r="AU83" s="105">
        <f t="shared" si="80"/>
        <v>0</v>
      </c>
      <c r="AV83" s="105">
        <f t="shared" si="75"/>
        <v>0</v>
      </c>
      <c r="AW83" s="105">
        <f t="shared" si="65"/>
        <v>0</v>
      </c>
      <c r="AX83" s="105">
        <v>0</v>
      </c>
      <c r="AY83" s="105">
        <f t="shared" si="22"/>
        <v>0</v>
      </c>
      <c r="AZ83" s="105">
        <f t="shared" si="38"/>
        <v>0</v>
      </c>
      <c r="BA83" s="105">
        <f t="shared" si="37"/>
        <v>0</v>
      </c>
      <c r="BB83" s="105"/>
      <c r="BC83" s="105"/>
      <c r="BD83" s="105"/>
      <c r="BE83" s="105"/>
      <c r="BF83" s="105"/>
      <c r="BG83" s="105">
        <f t="shared" si="76"/>
        <v>0</v>
      </c>
      <c r="BH83" s="108">
        <f t="shared" si="86"/>
        <v>0</v>
      </c>
      <c r="BI83" s="108">
        <f t="shared" si="81"/>
        <v>0</v>
      </c>
      <c r="BJ83" s="22">
        <f t="shared" si="82"/>
        <v>46726</v>
      </c>
      <c r="BK83" s="108">
        <f t="shared" si="66"/>
        <v>0</v>
      </c>
      <c r="BL83" s="2" t="e">
        <f>IF(AND(G38&gt;=$W$9,G38&lt;=$W$9+5),0,IF($C$9&gt;$AF$51,ROUND(BG37*IF(#REF!="",0,#REF!)/(DATEVALUE(CONCATENATE("01/01/",YEAR(AQ38)+1))-DATEVALUE(CONCATENATE("01/01/",YEAR(AQ38))))*(AQ38-AQ37),2),0))</f>
        <v>#REF!</v>
      </c>
    </row>
    <row r="84" spans="1:64" s="16" customFormat="1" x14ac:dyDescent="0.3">
      <c r="A84" s="178"/>
      <c r="B84" s="178"/>
      <c r="C84" s="184"/>
      <c r="D84" s="178"/>
      <c r="E84" s="178"/>
      <c r="F84" s="178"/>
      <c r="G84" s="114">
        <f t="shared" si="83"/>
        <v>76</v>
      </c>
      <c r="H84" s="111">
        <f t="shared" si="61"/>
        <v>46757</v>
      </c>
      <c r="I84" s="176">
        <f t="shared" si="58"/>
        <v>9.9000000000000005E-2</v>
      </c>
      <c r="J84" s="24">
        <f t="shared" si="67"/>
        <v>0</v>
      </c>
      <c r="K84" s="242">
        <f t="shared" si="56"/>
        <v>0</v>
      </c>
      <c r="L84" s="24">
        <f t="shared" si="89"/>
        <v>0</v>
      </c>
      <c r="M84" s="24">
        <f t="shared" si="77"/>
        <v>0</v>
      </c>
      <c r="N84" s="24">
        <f t="shared" si="62"/>
        <v>0</v>
      </c>
      <c r="O84" s="24">
        <v>0</v>
      </c>
      <c r="P84" s="24">
        <f t="shared" si="25"/>
        <v>0</v>
      </c>
      <c r="Q84" s="24">
        <f t="shared" si="88"/>
        <v>0</v>
      </c>
      <c r="R84" s="24">
        <f t="shared" si="69"/>
        <v>0</v>
      </c>
      <c r="S84" s="24">
        <f t="shared" si="78"/>
        <v>0</v>
      </c>
      <c r="T84" s="24"/>
      <c r="U84" s="36">
        <f t="shared" si="84"/>
        <v>0</v>
      </c>
      <c r="V84" s="36">
        <f t="shared" si="71"/>
        <v>0</v>
      </c>
      <c r="W84" s="2" t="e">
        <f>IF(AND(G49&gt;=$W$9,G49&lt;=$W$9+5),0,IF($C$9&gt;$AF$51,ROUND(S48*#REF!/(DATEVALUE(CONCATENATE("01/01/",YEAR(H49)+1))-DATEVALUE(CONCATENATE("01/01/",YEAR(H49))))*(H49-H48),2),0))</f>
        <v>#REF!</v>
      </c>
      <c r="X84" s="34">
        <f t="shared" si="53"/>
        <v>7860</v>
      </c>
      <c r="Y84" s="57">
        <f t="shared" si="50"/>
        <v>59406</v>
      </c>
      <c r="AL84" s="2" t="e">
        <f>IF(AND(#REF!&gt;=$W$9,#REF!&lt;=$W$9+5),0,IF($C$9&gt;$AF$51,ROUND(AI44*#REF!/(DATEVALUE(CONCATENATE("01/01/",YEAR(#REF!)+1))-DATEVALUE(CONCATENATE("01/01/",YEAR(#REF!))))*(#REF!-#REF!),2),0))</f>
        <v>#REF!</v>
      </c>
      <c r="AM84" s="34">
        <f t="shared" si="55"/>
        <v>8360</v>
      </c>
      <c r="AN84" s="57">
        <f t="shared" si="54"/>
        <v>57946</v>
      </c>
      <c r="AO84" s="130">
        <f t="shared" si="72"/>
        <v>0</v>
      </c>
      <c r="AP84" s="109">
        <f t="shared" si="85"/>
        <v>76</v>
      </c>
      <c r="AQ84" s="110">
        <f t="shared" si="63"/>
        <v>46757</v>
      </c>
      <c r="AR84" s="177">
        <f t="shared" si="57"/>
        <v>0.13900000000000001</v>
      </c>
      <c r="AS84" s="105">
        <f t="shared" si="73"/>
        <v>0</v>
      </c>
      <c r="AT84" s="105">
        <f t="shared" si="79"/>
        <v>0</v>
      </c>
      <c r="AU84" s="105">
        <f t="shared" si="80"/>
        <v>0</v>
      </c>
      <c r="AV84" s="105">
        <f t="shared" si="75"/>
        <v>0</v>
      </c>
      <c r="AW84" s="105">
        <f t="shared" si="65"/>
        <v>0</v>
      </c>
      <c r="AX84" s="105">
        <v>0</v>
      </c>
      <c r="AY84" s="105">
        <f t="shared" si="22"/>
        <v>0</v>
      </c>
      <c r="AZ84" s="105">
        <f t="shared" si="38"/>
        <v>0</v>
      </c>
      <c r="BA84" s="105">
        <f t="shared" ref="BA84:BA108" si="90">IF(BI90=0,0,0)</f>
        <v>0</v>
      </c>
      <c r="BB84" s="105"/>
      <c r="BC84" s="105"/>
      <c r="BD84" s="105"/>
      <c r="BE84" s="105"/>
      <c r="BF84" s="105"/>
      <c r="BG84" s="105">
        <f t="shared" si="76"/>
        <v>0</v>
      </c>
      <c r="BH84" s="108">
        <f t="shared" si="86"/>
        <v>0</v>
      </c>
      <c r="BI84" s="108">
        <f t="shared" si="81"/>
        <v>0</v>
      </c>
      <c r="BJ84" s="22">
        <f t="shared" si="82"/>
        <v>46757</v>
      </c>
      <c r="BK84" s="108">
        <f t="shared" si="66"/>
        <v>0</v>
      </c>
      <c r="BL84" s="2" t="e">
        <f>IF(AND(G39&gt;=$W$9,G39&lt;=$W$9+5),0,IF($C$9&gt;$AF$51,ROUND(BG38*IF(#REF!="",0,#REF!)/(DATEVALUE(CONCATENATE("01/01/",YEAR(AQ39)+1))-DATEVALUE(CONCATENATE("01/01/",YEAR(AQ39))))*(AQ39-AQ38),2),0))</f>
        <v>#REF!</v>
      </c>
    </row>
    <row r="85" spans="1:64" s="16" customFormat="1" x14ac:dyDescent="0.3">
      <c r="A85" s="178"/>
      <c r="B85" s="178"/>
      <c r="C85" s="184"/>
      <c r="D85" s="178"/>
      <c r="E85" s="178"/>
      <c r="F85" s="178"/>
      <c r="G85" s="114">
        <f t="shared" si="83"/>
        <v>77</v>
      </c>
      <c r="H85" s="111">
        <f t="shared" si="61"/>
        <v>46788</v>
      </c>
      <c r="I85" s="176">
        <f t="shared" si="58"/>
        <v>9.9000000000000005E-2</v>
      </c>
      <c r="J85" s="24">
        <f t="shared" si="67"/>
        <v>0</v>
      </c>
      <c r="K85" s="242">
        <f t="shared" si="56"/>
        <v>0</v>
      </c>
      <c r="L85" s="24">
        <f t="shared" si="89"/>
        <v>0</v>
      </c>
      <c r="M85" s="24">
        <f t="shared" si="77"/>
        <v>0</v>
      </c>
      <c r="N85" s="24">
        <f t="shared" si="62"/>
        <v>0</v>
      </c>
      <c r="O85" s="24">
        <v>0</v>
      </c>
      <c r="P85" s="24">
        <f t="shared" si="25"/>
        <v>0</v>
      </c>
      <c r="Q85" s="24">
        <f t="shared" si="88"/>
        <v>0</v>
      </c>
      <c r="R85" s="24">
        <f t="shared" si="69"/>
        <v>0</v>
      </c>
      <c r="S85" s="24">
        <f t="shared" si="78"/>
        <v>0</v>
      </c>
      <c r="T85" s="24"/>
      <c r="U85" s="36">
        <f t="shared" si="84"/>
        <v>0</v>
      </c>
      <c r="V85" s="36">
        <f t="shared" si="71"/>
        <v>0</v>
      </c>
      <c r="W85" s="2" t="e">
        <f>IF(AND(G50&gt;=$W$9,G50&lt;=$W$9+5),0,IF($C$9&gt;$AF$51,ROUND(S49*#REF!/(DATEVALUE(CONCATENATE("01/01/",YEAR(H50)+1))-DATEVALUE(CONCATENATE("01/01/",YEAR(H50))))*(H50-H49),2),0))</f>
        <v>#REF!</v>
      </c>
      <c r="X85" s="34">
        <f t="shared" si="53"/>
        <v>7860</v>
      </c>
      <c r="Y85" s="57">
        <f t="shared" si="50"/>
        <v>59771</v>
      </c>
      <c r="AL85" s="2" t="e">
        <f>IF(AND(Y42&gt;=$W$9,Y42&lt;=$W$9+5),0,IF($C$9&gt;$AF$51,ROUND(AI45*#REF!/(DATEVALUE(CONCATENATE("01/01/",YEAR(Z42)+1))-DATEVALUE(CONCATENATE("01/01/",YEAR(Z42))))*(Z42-#REF!),2),0))</f>
        <v>#REF!</v>
      </c>
      <c r="AM85" s="34">
        <f t="shared" si="55"/>
        <v>8360</v>
      </c>
      <c r="AN85" s="57">
        <f t="shared" si="54"/>
        <v>58311</v>
      </c>
      <c r="AO85" s="130">
        <f t="shared" si="72"/>
        <v>0</v>
      </c>
      <c r="AP85" s="109">
        <f t="shared" si="85"/>
        <v>77</v>
      </c>
      <c r="AQ85" s="110">
        <f t="shared" si="63"/>
        <v>46788</v>
      </c>
      <c r="AR85" s="177">
        <f t="shared" si="57"/>
        <v>0.13900000000000001</v>
      </c>
      <c r="AS85" s="105">
        <f t="shared" si="73"/>
        <v>0</v>
      </c>
      <c r="AT85" s="105">
        <f t="shared" si="79"/>
        <v>0</v>
      </c>
      <c r="AU85" s="105">
        <f t="shared" si="80"/>
        <v>0</v>
      </c>
      <c r="AV85" s="105">
        <f t="shared" si="75"/>
        <v>0</v>
      </c>
      <c r="AW85" s="105">
        <f t="shared" si="65"/>
        <v>0</v>
      </c>
      <c r="AX85" s="105">
        <v>0</v>
      </c>
      <c r="AY85" s="105">
        <f t="shared" si="22"/>
        <v>0</v>
      </c>
      <c r="AZ85" s="105">
        <f t="shared" ref="AZ85:AZ108" si="91">IF(BI91=0,0,0)</f>
        <v>0</v>
      </c>
      <c r="BA85" s="105">
        <f t="shared" si="90"/>
        <v>0</v>
      </c>
      <c r="BB85" s="105"/>
      <c r="BC85" s="105"/>
      <c r="BD85" s="105"/>
      <c r="BE85" s="105"/>
      <c r="BF85" s="105"/>
      <c r="BG85" s="105">
        <f t="shared" si="76"/>
        <v>0</v>
      </c>
      <c r="BH85" s="108">
        <f t="shared" si="86"/>
        <v>0</v>
      </c>
      <c r="BI85" s="108">
        <f t="shared" si="81"/>
        <v>0</v>
      </c>
      <c r="BJ85" s="22">
        <f t="shared" si="82"/>
        <v>46788</v>
      </c>
      <c r="BK85" s="108">
        <f t="shared" si="66"/>
        <v>0</v>
      </c>
      <c r="BL85" s="2" t="e">
        <f>IF(AND(G40&gt;=$W$9,G40&lt;=$W$9+5),0,IF($C$9&gt;$AF$51,ROUND(BG39*IF(#REF!="",0,#REF!)/(DATEVALUE(CONCATENATE("01/01/",YEAR(AQ40)+1))-DATEVALUE(CONCATENATE("01/01/",YEAR(AQ40))))*(AQ40-AQ39),2),0))</f>
        <v>#REF!</v>
      </c>
    </row>
    <row r="86" spans="1:64" s="16" customFormat="1" x14ac:dyDescent="0.3">
      <c r="A86" s="178"/>
      <c r="B86" s="178"/>
      <c r="C86" s="184"/>
      <c r="D86" s="178"/>
      <c r="E86" s="178"/>
      <c r="F86" s="178"/>
      <c r="G86" s="114">
        <f t="shared" si="83"/>
        <v>78</v>
      </c>
      <c r="H86" s="111">
        <f t="shared" si="61"/>
        <v>46817</v>
      </c>
      <c r="I86" s="176">
        <f t="shared" si="58"/>
        <v>9.9000000000000005E-2</v>
      </c>
      <c r="J86" s="24">
        <f t="shared" si="67"/>
        <v>0</v>
      </c>
      <c r="K86" s="242">
        <f t="shared" si="56"/>
        <v>0</v>
      </c>
      <c r="L86" s="24">
        <f t="shared" si="89"/>
        <v>0</v>
      </c>
      <c r="M86" s="24">
        <f t="shared" si="77"/>
        <v>0</v>
      </c>
      <c r="N86" s="24">
        <f t="shared" si="62"/>
        <v>0</v>
      </c>
      <c r="O86" s="24">
        <v>0</v>
      </c>
      <c r="P86" s="24">
        <f t="shared" ref="P86:P108" si="92">L86+Q86</f>
        <v>0</v>
      </c>
      <c r="Q86" s="24">
        <f t="shared" si="88"/>
        <v>0</v>
      </c>
      <c r="R86" s="24">
        <f t="shared" si="69"/>
        <v>0</v>
      </c>
      <c r="S86" s="24">
        <f t="shared" si="78"/>
        <v>0</v>
      </c>
      <c r="T86" s="24"/>
      <c r="U86" s="36">
        <f t="shared" si="84"/>
        <v>0</v>
      </c>
      <c r="V86" s="36">
        <f t="shared" si="71"/>
        <v>0</v>
      </c>
      <c r="W86" s="2" t="e">
        <f>IF(AND(G51&gt;=$W$9,G51&lt;=$W$9+5),0,IF($C$9&gt;$AF$51,ROUND(S50*#REF!/(DATEVALUE(CONCATENATE("01/01/",YEAR(H51)+1))-DATEVALUE(CONCATENATE("01/01/",YEAR(H51))))*(H51-H50),2),0))</f>
        <v>#REF!</v>
      </c>
      <c r="X86" s="34">
        <f t="shared" si="53"/>
        <v>7860</v>
      </c>
      <c r="Y86" s="57">
        <f t="shared" si="50"/>
        <v>60136</v>
      </c>
      <c r="AL86" s="2" t="e">
        <f>IF(AND(Y43&gt;=$W$9,Y43&lt;=$W$9+5),0,IF($C$9&gt;$AF$51,ROUND(AI46*#REF!/(DATEVALUE(CONCATENATE("01/01/",YEAR(Z43)+1))-DATEVALUE(CONCATENATE("01/01/",YEAR(Z43))))*(Z43-Z42),2),0))</f>
        <v>#REF!</v>
      </c>
      <c r="AM86" s="34">
        <f t="shared" si="55"/>
        <v>8360</v>
      </c>
      <c r="AN86" s="57">
        <f t="shared" si="54"/>
        <v>58676</v>
      </c>
      <c r="AO86" s="130">
        <f t="shared" si="72"/>
        <v>0</v>
      </c>
      <c r="AP86" s="109">
        <f t="shared" si="85"/>
        <v>78</v>
      </c>
      <c r="AQ86" s="110">
        <f t="shared" si="63"/>
        <v>46817</v>
      </c>
      <c r="AR86" s="177">
        <f t="shared" si="57"/>
        <v>0.13900000000000001</v>
      </c>
      <c r="AS86" s="105">
        <f t="shared" si="73"/>
        <v>0</v>
      </c>
      <c r="AT86" s="105">
        <f t="shared" si="79"/>
        <v>0</v>
      </c>
      <c r="AU86" s="105">
        <f t="shared" si="80"/>
        <v>0</v>
      </c>
      <c r="AV86" s="105">
        <f t="shared" si="75"/>
        <v>0</v>
      </c>
      <c r="AW86" s="105">
        <f t="shared" si="65"/>
        <v>0</v>
      </c>
      <c r="AX86" s="105">
        <v>0</v>
      </c>
      <c r="AY86" s="105">
        <f t="shared" ref="AY86:AY108" si="93">AU86+AZ86</f>
        <v>0</v>
      </c>
      <c r="AZ86" s="105">
        <f t="shared" si="91"/>
        <v>0</v>
      </c>
      <c r="BA86" s="105">
        <f t="shared" si="90"/>
        <v>0</v>
      </c>
      <c r="BB86" s="105"/>
      <c r="BC86" s="105"/>
      <c r="BD86" s="105"/>
      <c r="BE86" s="105"/>
      <c r="BF86" s="105"/>
      <c r="BG86" s="105">
        <f t="shared" si="76"/>
        <v>0</v>
      </c>
      <c r="BH86" s="108">
        <f t="shared" si="86"/>
        <v>0</v>
      </c>
      <c r="BI86" s="108">
        <f t="shared" si="81"/>
        <v>0</v>
      </c>
      <c r="BJ86" s="22">
        <f t="shared" si="82"/>
        <v>46817</v>
      </c>
      <c r="BK86" s="108">
        <f t="shared" si="66"/>
        <v>0</v>
      </c>
      <c r="BL86" s="2" t="e">
        <f>IF(AND(G41&gt;=$W$9,G41&lt;=$W$9+5),0,IF($C$9&gt;$AF$51,ROUND(BG40*IF(#REF!="",0,#REF!)/(DATEVALUE(CONCATENATE("01/01/",YEAR(AQ41)+1))-DATEVALUE(CONCATENATE("01/01/",YEAR(AQ41))))*(AQ41-AQ40),2),0))</f>
        <v>#REF!</v>
      </c>
    </row>
    <row r="87" spans="1:64" s="16" customFormat="1" x14ac:dyDescent="0.3">
      <c r="A87" s="178"/>
      <c r="B87" s="178"/>
      <c r="C87" s="525"/>
      <c r="D87" s="182"/>
      <c r="E87" s="178"/>
      <c r="F87" s="178"/>
      <c r="G87" s="114">
        <f t="shared" si="83"/>
        <v>79</v>
      </c>
      <c r="H87" s="111">
        <f t="shared" si="61"/>
        <v>46848</v>
      </c>
      <c r="I87" s="176">
        <f t="shared" si="58"/>
        <v>9.9000000000000005E-2</v>
      </c>
      <c r="J87" s="24">
        <f t="shared" si="67"/>
        <v>0</v>
      </c>
      <c r="K87" s="242">
        <f t="shared" si="56"/>
        <v>0</v>
      </c>
      <c r="L87" s="24">
        <f t="shared" si="89"/>
        <v>0</v>
      </c>
      <c r="M87" s="24">
        <f t="shared" si="77"/>
        <v>0</v>
      </c>
      <c r="N87" s="24">
        <f t="shared" si="62"/>
        <v>0</v>
      </c>
      <c r="O87" s="24">
        <v>0</v>
      </c>
      <c r="P87" s="24">
        <f t="shared" si="92"/>
        <v>0</v>
      </c>
      <c r="Q87" s="24">
        <f t="shared" si="88"/>
        <v>0</v>
      </c>
      <c r="R87" s="24">
        <f t="shared" si="69"/>
        <v>0</v>
      </c>
      <c r="S87" s="24">
        <f t="shared" si="78"/>
        <v>0</v>
      </c>
      <c r="T87" s="24"/>
      <c r="U87" s="36">
        <f t="shared" si="84"/>
        <v>0</v>
      </c>
      <c r="V87" s="36">
        <f t="shared" si="71"/>
        <v>0</v>
      </c>
      <c r="W87" s="2" t="e">
        <f>IF(AND(G52&gt;=$W$9,G52&lt;=$W$9+5),0,IF($C$9&gt;$AF$51,ROUND(S51*#REF!/(DATEVALUE(CONCATENATE("01/01/",YEAR(H52)+1))-DATEVALUE(CONCATENATE("01/01/",YEAR(H52))))*(H52-H51),2),0))</f>
        <v>#REF!</v>
      </c>
      <c r="X87" s="34">
        <f t="shared" si="53"/>
        <v>7860</v>
      </c>
      <c r="Y87" s="57">
        <f t="shared" si="50"/>
        <v>60501</v>
      </c>
      <c r="AL87" s="2" t="e">
        <f>IF(AND(Y44&gt;=$W$9,Y44&lt;=$W$9+5),0,IF($C$9&gt;$AF$51,ROUND(AI47*#REF!/(DATEVALUE(CONCATENATE("01/01/",YEAR(Z44)+1))-DATEVALUE(CONCATENATE("01/01/",YEAR(Z44))))*(Z44-Z43),2),0))</f>
        <v>#REF!</v>
      </c>
      <c r="AM87" s="34">
        <f t="shared" si="55"/>
        <v>8360</v>
      </c>
      <c r="AN87" s="57">
        <f t="shared" si="54"/>
        <v>59041</v>
      </c>
      <c r="AO87" s="130">
        <f t="shared" si="72"/>
        <v>0</v>
      </c>
      <c r="AP87" s="109">
        <f t="shared" si="85"/>
        <v>79</v>
      </c>
      <c r="AQ87" s="110">
        <f t="shared" si="63"/>
        <v>46848</v>
      </c>
      <c r="AR87" s="177">
        <f t="shared" si="57"/>
        <v>0.13900000000000001</v>
      </c>
      <c r="AS87" s="105">
        <f t="shared" si="73"/>
        <v>0</v>
      </c>
      <c r="AT87" s="105">
        <f t="shared" si="79"/>
        <v>0</v>
      </c>
      <c r="AU87" s="105">
        <f t="shared" si="80"/>
        <v>0</v>
      </c>
      <c r="AV87" s="105">
        <f t="shared" si="75"/>
        <v>0</v>
      </c>
      <c r="AW87" s="105">
        <f t="shared" si="65"/>
        <v>0</v>
      </c>
      <c r="AX87" s="105">
        <v>0</v>
      </c>
      <c r="AY87" s="105">
        <f t="shared" si="93"/>
        <v>0</v>
      </c>
      <c r="AZ87" s="105">
        <f t="shared" si="91"/>
        <v>0</v>
      </c>
      <c r="BA87" s="105">
        <f t="shared" si="90"/>
        <v>0</v>
      </c>
      <c r="BB87" s="105"/>
      <c r="BC87" s="105"/>
      <c r="BD87" s="105"/>
      <c r="BE87" s="105"/>
      <c r="BF87" s="105"/>
      <c r="BG87" s="105">
        <f t="shared" si="76"/>
        <v>0</v>
      </c>
      <c r="BH87" s="108">
        <f t="shared" si="86"/>
        <v>0</v>
      </c>
      <c r="BI87" s="108">
        <f t="shared" si="81"/>
        <v>0</v>
      </c>
      <c r="BJ87" s="22">
        <f t="shared" si="82"/>
        <v>46848</v>
      </c>
      <c r="BK87" s="108">
        <f t="shared" si="66"/>
        <v>0</v>
      </c>
      <c r="BL87" s="2" t="e">
        <f>IF(AND(G42&gt;=$W$9,G42&lt;=$W$9+5),0,IF($C$9&gt;$AF$51,ROUND(BG41*IF(#REF!="",0,#REF!)/(DATEVALUE(CONCATENATE("01/01/",YEAR(AQ42)+1))-DATEVALUE(CONCATENATE("01/01/",YEAR(AQ42))))*(AQ42-AQ41),2),0))</f>
        <v>#REF!</v>
      </c>
    </row>
    <row r="88" spans="1:64" s="16" customFormat="1" x14ac:dyDescent="0.3">
      <c r="A88" s="178"/>
      <c r="B88" s="178"/>
      <c r="C88" s="184"/>
      <c r="D88" s="182"/>
      <c r="E88" s="178"/>
      <c r="F88" s="178"/>
      <c r="G88" s="114">
        <f t="shared" si="83"/>
        <v>80</v>
      </c>
      <c r="H88" s="111">
        <f t="shared" si="61"/>
        <v>46878</v>
      </c>
      <c r="I88" s="176">
        <f t="shared" si="58"/>
        <v>9.9000000000000005E-2</v>
      </c>
      <c r="J88" s="24">
        <f t="shared" si="67"/>
        <v>0</v>
      </c>
      <c r="K88" s="242">
        <f t="shared" si="56"/>
        <v>0</v>
      </c>
      <c r="L88" s="24">
        <f t="shared" si="89"/>
        <v>0</v>
      </c>
      <c r="M88" s="24">
        <f t="shared" si="77"/>
        <v>0</v>
      </c>
      <c r="N88" s="24">
        <f t="shared" si="62"/>
        <v>0</v>
      </c>
      <c r="O88" s="24">
        <v>0</v>
      </c>
      <c r="P88" s="24">
        <f t="shared" si="92"/>
        <v>0</v>
      </c>
      <c r="Q88" s="24">
        <f t="shared" si="88"/>
        <v>0</v>
      </c>
      <c r="R88" s="24">
        <f t="shared" si="69"/>
        <v>0</v>
      </c>
      <c r="S88" s="24">
        <f t="shared" si="78"/>
        <v>0</v>
      </c>
      <c r="T88" s="24"/>
      <c r="U88" s="36">
        <f t="shared" si="84"/>
        <v>0</v>
      </c>
      <c r="V88" s="36">
        <f t="shared" si="71"/>
        <v>0</v>
      </c>
      <c r="W88" s="2" t="e">
        <f>IF(AND(G53&gt;=$W$9,G53&lt;=$W$9+5),0,IF($C$9&gt;$AF$51,ROUND(S52*#REF!/(DATEVALUE(CONCATENATE("01/01/",YEAR(H53)+1))-DATEVALUE(CONCATENATE("01/01/",YEAR(H53))))*(H53-H52),2),0))</f>
        <v>#REF!</v>
      </c>
      <c r="X88" s="34">
        <f t="shared" si="53"/>
        <v>7860</v>
      </c>
      <c r="Y88" s="57">
        <f t="shared" si="50"/>
        <v>60866</v>
      </c>
      <c r="AL88" s="2" t="e">
        <f>IF(AND(Y45&gt;=$W$9,Y45&lt;=$W$9+5),0,IF($C$9&gt;$AF$51,ROUND(AI48*#REF!/(DATEVALUE(CONCATENATE("01/01/",YEAR(Z45)+1))-DATEVALUE(CONCATENATE("01/01/",YEAR(Z45))))*(Z45-Z44),2),0))</f>
        <v>#REF!</v>
      </c>
      <c r="AM88" s="34">
        <f t="shared" si="55"/>
        <v>8360</v>
      </c>
      <c r="AN88" s="57">
        <f t="shared" si="54"/>
        <v>59406</v>
      </c>
      <c r="AO88" s="130">
        <f t="shared" si="72"/>
        <v>0</v>
      </c>
      <c r="AP88" s="109">
        <f t="shared" si="85"/>
        <v>80</v>
      </c>
      <c r="AQ88" s="110">
        <f t="shared" si="63"/>
        <v>46878</v>
      </c>
      <c r="AR88" s="177">
        <f t="shared" si="57"/>
        <v>0.13900000000000001</v>
      </c>
      <c r="AS88" s="105">
        <f t="shared" si="73"/>
        <v>0</v>
      </c>
      <c r="AT88" s="105">
        <f t="shared" si="79"/>
        <v>0</v>
      </c>
      <c r="AU88" s="105">
        <f t="shared" si="80"/>
        <v>0</v>
      </c>
      <c r="AV88" s="105">
        <f t="shared" si="75"/>
        <v>0</v>
      </c>
      <c r="AW88" s="105">
        <f t="shared" si="65"/>
        <v>0</v>
      </c>
      <c r="AX88" s="105">
        <v>0</v>
      </c>
      <c r="AY88" s="105">
        <f t="shared" si="93"/>
        <v>0</v>
      </c>
      <c r="AZ88" s="105">
        <f t="shared" si="91"/>
        <v>0</v>
      </c>
      <c r="BA88" s="105">
        <f t="shared" si="90"/>
        <v>0</v>
      </c>
      <c r="BB88" s="105"/>
      <c r="BC88" s="105"/>
      <c r="BD88" s="105"/>
      <c r="BE88" s="105"/>
      <c r="BF88" s="105"/>
      <c r="BG88" s="105">
        <f t="shared" si="76"/>
        <v>0</v>
      </c>
      <c r="BH88" s="108">
        <f t="shared" si="86"/>
        <v>0</v>
      </c>
      <c r="BI88" s="108">
        <f t="shared" si="81"/>
        <v>0</v>
      </c>
      <c r="BJ88" s="22">
        <f t="shared" si="82"/>
        <v>46878</v>
      </c>
      <c r="BK88" s="108">
        <f t="shared" si="66"/>
        <v>0</v>
      </c>
      <c r="BL88" s="2" t="e">
        <f>IF(AND(G43&gt;=$W$9,G43&lt;=$W$9+5),0,IF($C$9&gt;$AF$51,ROUND(BG42*IF(#REF!="",0,#REF!)/(DATEVALUE(CONCATENATE("01/01/",YEAR(AQ43)+1))-DATEVALUE(CONCATENATE("01/01/",YEAR(AQ43))))*(AQ43-AQ42),2),0))</f>
        <v>#REF!</v>
      </c>
    </row>
    <row r="89" spans="1:64" s="16" customFormat="1" x14ac:dyDescent="0.3">
      <c r="A89" s="178"/>
      <c r="B89" s="178"/>
      <c r="C89" s="184"/>
      <c r="D89" s="178"/>
      <c r="E89" s="178"/>
      <c r="F89" s="178"/>
      <c r="G89" s="114">
        <f t="shared" si="83"/>
        <v>81</v>
      </c>
      <c r="H89" s="111">
        <f t="shared" si="61"/>
        <v>46909</v>
      </c>
      <c r="I89" s="176">
        <f t="shared" si="58"/>
        <v>9.9000000000000005E-2</v>
      </c>
      <c r="J89" s="24">
        <f t="shared" si="67"/>
        <v>0</v>
      </c>
      <c r="K89" s="242">
        <f t="shared" si="56"/>
        <v>0</v>
      </c>
      <c r="L89" s="24">
        <f t="shared" si="89"/>
        <v>0</v>
      </c>
      <c r="M89" s="24">
        <f t="shared" si="77"/>
        <v>0</v>
      </c>
      <c r="N89" s="24">
        <f t="shared" si="62"/>
        <v>0</v>
      </c>
      <c r="O89" s="24">
        <v>0</v>
      </c>
      <c r="P89" s="24">
        <f t="shared" si="92"/>
        <v>0</v>
      </c>
      <c r="Q89" s="24">
        <f t="shared" si="88"/>
        <v>0</v>
      </c>
      <c r="R89" s="24">
        <f t="shared" si="69"/>
        <v>0</v>
      </c>
      <c r="S89" s="24">
        <f t="shared" si="78"/>
        <v>0</v>
      </c>
      <c r="T89" s="24"/>
      <c r="U89" s="36">
        <f t="shared" si="84"/>
        <v>0</v>
      </c>
      <c r="V89" s="36">
        <f t="shared" si="71"/>
        <v>0</v>
      </c>
      <c r="W89" s="2" t="e">
        <f>IF(AND(G54&gt;=$W$9,G54&lt;=$W$9+5),0,IF($C$9&gt;$AF$51,ROUND(S53*#REF!/(DATEVALUE(CONCATENATE("01/01/",YEAR(H54)+1))-DATEVALUE(CONCATENATE("01/01/",YEAR(H54))))*(H54-H53),2),0))</f>
        <v>#REF!</v>
      </c>
      <c r="X89" s="34">
        <f t="shared" si="53"/>
        <v>7860</v>
      </c>
      <c r="Y89" s="57">
        <f t="shared" si="50"/>
        <v>61231</v>
      </c>
      <c r="AL89" s="2" t="e">
        <f>IF(AND(Y46&gt;=$W$9,Y46&lt;=$W$9+5),0,IF($C$9&gt;$AF$51,ROUND(AI49*#REF!/(DATEVALUE(CONCATENATE("01/01/",YEAR(Z46)+1))-DATEVALUE(CONCATENATE("01/01/",YEAR(Z46))))*(Z46-Z45),2),0))</f>
        <v>#REF!</v>
      </c>
      <c r="AM89" s="34">
        <f t="shared" si="55"/>
        <v>8360</v>
      </c>
      <c r="AN89" s="57">
        <f t="shared" si="54"/>
        <v>59771</v>
      </c>
      <c r="AO89" s="130">
        <f t="shared" si="72"/>
        <v>0</v>
      </c>
      <c r="AP89" s="109">
        <f t="shared" si="85"/>
        <v>81</v>
      </c>
      <c r="AQ89" s="110">
        <f t="shared" si="63"/>
        <v>46909</v>
      </c>
      <c r="AR89" s="177">
        <f t="shared" si="57"/>
        <v>0.13900000000000001</v>
      </c>
      <c r="AS89" s="105">
        <f t="shared" si="73"/>
        <v>0</v>
      </c>
      <c r="AT89" s="105">
        <f t="shared" si="79"/>
        <v>0</v>
      </c>
      <c r="AU89" s="105">
        <f t="shared" si="80"/>
        <v>0</v>
      </c>
      <c r="AV89" s="105">
        <f t="shared" si="75"/>
        <v>0</v>
      </c>
      <c r="AW89" s="105">
        <f t="shared" si="65"/>
        <v>0</v>
      </c>
      <c r="AX89" s="105">
        <v>0</v>
      </c>
      <c r="AY89" s="105">
        <f t="shared" si="93"/>
        <v>0</v>
      </c>
      <c r="AZ89" s="105">
        <f t="shared" si="91"/>
        <v>0</v>
      </c>
      <c r="BA89" s="105">
        <f t="shared" si="90"/>
        <v>0</v>
      </c>
      <c r="BB89" s="105"/>
      <c r="BC89" s="105"/>
      <c r="BD89" s="105"/>
      <c r="BE89" s="105"/>
      <c r="BF89" s="105"/>
      <c r="BG89" s="105">
        <f t="shared" si="76"/>
        <v>0</v>
      </c>
      <c r="BH89" s="108">
        <f t="shared" si="86"/>
        <v>0</v>
      </c>
      <c r="BI89" s="108">
        <f t="shared" si="81"/>
        <v>0</v>
      </c>
      <c r="BJ89" s="22">
        <f t="shared" si="82"/>
        <v>46909</v>
      </c>
      <c r="BK89" s="108">
        <f t="shared" si="66"/>
        <v>0</v>
      </c>
      <c r="BL89" s="2" t="e">
        <f>IF(AND(G44&gt;=$W$9,G44&lt;=$W$9+5),0,IF($C$9&gt;$AF$51,ROUND(BG43*IF(#REF!="",0,#REF!)/(DATEVALUE(CONCATENATE("01/01/",YEAR(AQ44)+1))-DATEVALUE(CONCATENATE("01/01/",YEAR(AQ44))))*(AQ44-AQ43),2),0))</f>
        <v>#REF!</v>
      </c>
    </row>
    <row r="90" spans="1:64" s="16" customFormat="1" x14ac:dyDescent="0.3">
      <c r="A90" s="178"/>
      <c r="B90" s="178"/>
      <c r="C90" s="184"/>
      <c r="D90" s="178"/>
      <c r="E90" s="178"/>
      <c r="F90" s="184"/>
      <c r="G90" s="114">
        <f t="shared" si="83"/>
        <v>82</v>
      </c>
      <c r="H90" s="111">
        <f t="shared" si="61"/>
        <v>46939</v>
      </c>
      <c r="I90" s="176">
        <f t="shared" si="58"/>
        <v>9.9000000000000005E-2</v>
      </c>
      <c r="J90" s="24">
        <f t="shared" si="67"/>
        <v>0</v>
      </c>
      <c r="K90" s="242">
        <f t="shared" si="56"/>
        <v>0</v>
      </c>
      <c r="L90" s="24">
        <f t="shared" si="89"/>
        <v>0</v>
      </c>
      <c r="M90" s="24">
        <f t="shared" si="77"/>
        <v>0</v>
      </c>
      <c r="N90" s="24">
        <f t="shared" si="62"/>
        <v>0</v>
      </c>
      <c r="O90" s="24">
        <v>0</v>
      </c>
      <c r="P90" s="24">
        <f t="shared" si="92"/>
        <v>0</v>
      </c>
      <c r="Q90" s="24">
        <f t="shared" si="88"/>
        <v>0</v>
      </c>
      <c r="R90" s="24">
        <f t="shared" si="69"/>
        <v>0</v>
      </c>
      <c r="S90" s="24">
        <f t="shared" si="78"/>
        <v>0</v>
      </c>
      <c r="T90" s="24"/>
      <c r="U90" s="36">
        <f t="shared" si="84"/>
        <v>0</v>
      </c>
      <c r="V90" s="36">
        <f t="shared" si="71"/>
        <v>0</v>
      </c>
      <c r="W90" s="2" t="e">
        <f>IF(AND(G55&gt;=$W$9,G55&lt;=$W$9+5),0,IF($C$9&gt;$AF$51,ROUND(S54*#REF!/(DATEVALUE(CONCATENATE("01/01/",YEAR(H55)+1))-DATEVALUE(CONCATENATE("01/01/",YEAR(H55))))*(H55-H54),2),0))</f>
        <v>#REF!</v>
      </c>
      <c r="X90" s="34">
        <f t="shared" si="53"/>
        <v>7860</v>
      </c>
      <c r="Y90" s="57">
        <f t="shared" si="50"/>
        <v>61596</v>
      </c>
      <c r="AL90" s="2" t="e">
        <f>IF(AND(Y47&gt;=$W$9,Y47&lt;=$W$9+5),0,IF($C$9&gt;$AF$51,ROUND(AI50*#REF!/(DATEVALUE(CONCATENATE("01/01/",YEAR(Z47)+1))-DATEVALUE(CONCATENATE("01/01/",YEAR(Z47))))*(Z47-Z46),2),0))</f>
        <v>#REF!</v>
      </c>
      <c r="AM90" s="34">
        <f t="shared" si="55"/>
        <v>8360</v>
      </c>
      <c r="AN90" s="57">
        <f t="shared" si="54"/>
        <v>60136</v>
      </c>
      <c r="AO90" s="130">
        <f t="shared" si="72"/>
        <v>0</v>
      </c>
      <c r="AP90" s="109">
        <f t="shared" si="85"/>
        <v>82</v>
      </c>
      <c r="AQ90" s="110">
        <f t="shared" si="63"/>
        <v>46939</v>
      </c>
      <c r="AR90" s="177">
        <f t="shared" si="57"/>
        <v>0.13900000000000001</v>
      </c>
      <c r="AS90" s="105">
        <f t="shared" si="73"/>
        <v>0</v>
      </c>
      <c r="AT90" s="105">
        <f t="shared" si="79"/>
        <v>0</v>
      </c>
      <c r="AU90" s="105">
        <f t="shared" si="80"/>
        <v>0</v>
      </c>
      <c r="AV90" s="105">
        <f t="shared" si="75"/>
        <v>0</v>
      </c>
      <c r="AW90" s="105">
        <f t="shared" si="65"/>
        <v>0</v>
      </c>
      <c r="AX90" s="105">
        <v>0</v>
      </c>
      <c r="AY90" s="105">
        <f t="shared" si="93"/>
        <v>0</v>
      </c>
      <c r="AZ90" s="105">
        <f t="shared" si="91"/>
        <v>0</v>
      </c>
      <c r="BA90" s="105">
        <f t="shared" si="90"/>
        <v>0</v>
      </c>
      <c r="BB90" s="105"/>
      <c r="BC90" s="105"/>
      <c r="BD90" s="105"/>
      <c r="BE90" s="105"/>
      <c r="BF90" s="105"/>
      <c r="BG90" s="105">
        <f t="shared" si="76"/>
        <v>0</v>
      </c>
      <c r="BH90" s="108">
        <f t="shared" si="86"/>
        <v>0</v>
      </c>
      <c r="BI90" s="108">
        <f t="shared" si="81"/>
        <v>0</v>
      </c>
      <c r="BJ90" s="22">
        <f t="shared" si="82"/>
        <v>46939</v>
      </c>
      <c r="BK90" s="108">
        <f t="shared" si="66"/>
        <v>0</v>
      </c>
      <c r="BL90" s="2" t="e">
        <f>IF(AND(G45&gt;=$W$9,G45&lt;=$W$9+5),0,IF($C$9&gt;$AF$51,ROUND(BG44*IF(#REF!="",0,#REF!)/(DATEVALUE(CONCATENATE("01/01/",YEAR(AQ45)+1))-DATEVALUE(CONCATENATE("01/01/",YEAR(AQ45))))*(AQ45-AQ44),2),0))</f>
        <v>#REF!</v>
      </c>
    </row>
    <row r="91" spans="1:64" s="16" customFormat="1" x14ac:dyDescent="0.3">
      <c r="A91" s="178"/>
      <c r="B91" s="178"/>
      <c r="C91" s="184"/>
      <c r="D91" s="178"/>
      <c r="E91" s="178"/>
      <c r="F91" s="184"/>
      <c r="G91" s="114">
        <f t="shared" si="83"/>
        <v>83</v>
      </c>
      <c r="H91" s="111">
        <f t="shared" si="61"/>
        <v>46970</v>
      </c>
      <c r="I91" s="176">
        <f t="shared" si="58"/>
        <v>9.9000000000000005E-2</v>
      </c>
      <c r="J91" s="24">
        <f t="shared" si="67"/>
        <v>0</v>
      </c>
      <c r="K91" s="242">
        <f t="shared" si="56"/>
        <v>0</v>
      </c>
      <c r="L91" s="24">
        <f t="shared" si="89"/>
        <v>0</v>
      </c>
      <c r="M91" s="24">
        <f t="shared" si="77"/>
        <v>0</v>
      </c>
      <c r="N91" s="24">
        <f t="shared" si="62"/>
        <v>0</v>
      </c>
      <c r="O91" s="24">
        <v>0</v>
      </c>
      <c r="P91" s="24">
        <f t="shared" si="92"/>
        <v>0</v>
      </c>
      <c r="Q91" s="24">
        <f t="shared" si="88"/>
        <v>0</v>
      </c>
      <c r="R91" s="24">
        <f t="shared" si="69"/>
        <v>0</v>
      </c>
      <c r="S91" s="24">
        <f t="shared" si="78"/>
        <v>0</v>
      </c>
      <c r="T91" s="24"/>
      <c r="U91" s="36">
        <f t="shared" si="84"/>
        <v>0</v>
      </c>
      <c r="V91" s="36">
        <f t="shared" si="71"/>
        <v>0</v>
      </c>
      <c r="W91" s="2" t="e">
        <f>IF(AND(G56&gt;=$W$9,G56&lt;=$W$9+5),0,IF($C$9&gt;$AF$51,ROUND(S55*#REF!/(DATEVALUE(CONCATENATE("01/01/",YEAR(H56)+1))-DATEVALUE(CONCATENATE("01/01/",YEAR(H56))))*(H56-H55),2),0))</f>
        <v>#REF!</v>
      </c>
      <c r="X91" s="34">
        <f t="shared" si="53"/>
        <v>7860</v>
      </c>
      <c r="Y91" s="57">
        <f t="shared" si="50"/>
        <v>61961</v>
      </c>
      <c r="AL91" s="2" t="e">
        <f>IF(AND(Y48&gt;=$W$9,Y48&lt;=$W$9+5),0,IF($C$9&gt;$AF$51,ROUND(AI51*#REF!/(DATEVALUE(CONCATENATE("01/01/",YEAR(Z48)+1))-DATEVALUE(CONCATENATE("01/01/",YEAR(Z48))))*(Z48-Z47),2),0))</f>
        <v>#REF!</v>
      </c>
      <c r="AM91" s="34">
        <f t="shared" si="55"/>
        <v>8360</v>
      </c>
      <c r="AN91" s="57">
        <f t="shared" si="54"/>
        <v>60501</v>
      </c>
      <c r="AO91" s="130">
        <f t="shared" si="72"/>
        <v>0</v>
      </c>
      <c r="AP91" s="109">
        <f t="shared" si="85"/>
        <v>83</v>
      </c>
      <c r="AQ91" s="110">
        <f t="shared" si="63"/>
        <v>46970</v>
      </c>
      <c r="AR91" s="177">
        <f t="shared" si="57"/>
        <v>0.13900000000000001</v>
      </c>
      <c r="AS91" s="105">
        <f t="shared" si="73"/>
        <v>0</v>
      </c>
      <c r="AT91" s="105">
        <f t="shared" si="79"/>
        <v>0</v>
      </c>
      <c r="AU91" s="105">
        <f t="shared" si="80"/>
        <v>0</v>
      </c>
      <c r="AV91" s="105">
        <f t="shared" si="75"/>
        <v>0</v>
      </c>
      <c r="AW91" s="105">
        <f t="shared" si="65"/>
        <v>0</v>
      </c>
      <c r="AX91" s="105">
        <v>0</v>
      </c>
      <c r="AY91" s="105">
        <f t="shared" si="93"/>
        <v>0</v>
      </c>
      <c r="AZ91" s="105">
        <f t="shared" si="91"/>
        <v>0</v>
      </c>
      <c r="BA91" s="105">
        <f t="shared" si="90"/>
        <v>0</v>
      </c>
      <c r="BB91" s="105"/>
      <c r="BC91" s="105"/>
      <c r="BD91" s="105"/>
      <c r="BE91" s="105"/>
      <c r="BF91" s="105"/>
      <c r="BG91" s="105">
        <f t="shared" si="76"/>
        <v>0</v>
      </c>
      <c r="BH91" s="108">
        <f t="shared" si="86"/>
        <v>0</v>
      </c>
      <c r="BI91" s="108">
        <f t="shared" si="81"/>
        <v>0</v>
      </c>
      <c r="BJ91" s="22">
        <f t="shared" si="82"/>
        <v>46970</v>
      </c>
      <c r="BK91" s="108">
        <f t="shared" si="66"/>
        <v>0</v>
      </c>
      <c r="BL91" s="2" t="e">
        <f>IF(AND(G46&gt;=$W$9,G46&lt;=$W$9+5),0,IF($C$9&gt;$AF$51,ROUND(BG45*IF(#REF!="",0,#REF!)/(DATEVALUE(CONCATENATE("01/01/",YEAR(AQ46)+1))-DATEVALUE(CONCATENATE("01/01/",YEAR(AQ46))))*(AQ46-AQ45),2),0))</f>
        <v>#REF!</v>
      </c>
    </row>
    <row r="92" spans="1:64" s="16" customFormat="1" x14ac:dyDescent="0.3">
      <c r="A92" s="178"/>
      <c r="B92" s="178"/>
      <c r="C92" s="184"/>
      <c r="D92" s="178"/>
      <c r="E92" s="178"/>
      <c r="F92" s="184"/>
      <c r="G92" s="114">
        <f t="shared" si="83"/>
        <v>84</v>
      </c>
      <c r="H92" s="111">
        <f t="shared" si="61"/>
        <v>47001</v>
      </c>
      <c r="I92" s="176">
        <f t="shared" si="58"/>
        <v>9.9000000000000005E-2</v>
      </c>
      <c r="J92" s="24">
        <f t="shared" si="67"/>
        <v>0</v>
      </c>
      <c r="K92" s="242">
        <f t="shared" si="56"/>
        <v>0</v>
      </c>
      <c r="L92" s="24">
        <f t="shared" si="89"/>
        <v>0</v>
      </c>
      <c r="M92" s="24">
        <f t="shared" si="77"/>
        <v>0</v>
      </c>
      <c r="N92" s="24">
        <f t="shared" si="62"/>
        <v>0</v>
      </c>
      <c r="O92" s="24">
        <v>0</v>
      </c>
      <c r="P92" s="24">
        <f t="shared" si="92"/>
        <v>0</v>
      </c>
      <c r="Q92" s="24">
        <f t="shared" si="88"/>
        <v>0</v>
      </c>
      <c r="R92" s="24">
        <f t="shared" si="69"/>
        <v>0</v>
      </c>
      <c r="S92" s="24">
        <f t="shared" si="78"/>
        <v>0</v>
      </c>
      <c r="T92" s="24"/>
      <c r="U92" s="36">
        <f t="shared" si="84"/>
        <v>0</v>
      </c>
      <c r="V92" s="36">
        <f t="shared" si="71"/>
        <v>0</v>
      </c>
      <c r="W92" s="2" t="e">
        <f>IF(AND(G57&gt;=$W$9,G57&lt;=$W$9+5),0,IF($C$9&gt;$AF$51,ROUND(S56*#REF!/(DATEVALUE(CONCATENATE("01/01/",YEAR(H57)+1))-DATEVALUE(CONCATENATE("01/01/",YEAR(H57))))*(H57-H56),2),0))</f>
        <v>#REF!</v>
      </c>
      <c r="X92" s="34">
        <f t="shared" si="53"/>
        <v>7860</v>
      </c>
      <c r="Y92" s="57">
        <f t="shared" si="50"/>
        <v>62326</v>
      </c>
      <c r="AL92" s="2" t="e">
        <f>IF(AND(Y49&gt;=$W$9,Y49&lt;=$W$9+5),0,IF($C$9&gt;$AF$51,ROUND(AI52*#REF!/(DATEVALUE(CONCATENATE("01/01/",YEAR(Z49)+1))-DATEVALUE(CONCATENATE("01/01/",YEAR(Z49))))*(Z49-Z48),2),0))</f>
        <v>#REF!</v>
      </c>
      <c r="AM92" s="34">
        <f t="shared" si="55"/>
        <v>8360</v>
      </c>
      <c r="AN92" s="57">
        <f t="shared" si="54"/>
        <v>60866</v>
      </c>
      <c r="AO92" s="130">
        <f t="shared" si="72"/>
        <v>0</v>
      </c>
      <c r="AP92" s="109">
        <f t="shared" si="85"/>
        <v>84</v>
      </c>
      <c r="AQ92" s="110">
        <f t="shared" si="63"/>
        <v>47001</v>
      </c>
      <c r="AR92" s="177">
        <f t="shared" si="57"/>
        <v>0.13900000000000001</v>
      </c>
      <c r="AS92" s="105">
        <f t="shared" si="73"/>
        <v>0</v>
      </c>
      <c r="AT92" s="105">
        <f t="shared" si="79"/>
        <v>0</v>
      </c>
      <c r="AU92" s="105">
        <f t="shared" si="80"/>
        <v>0</v>
      </c>
      <c r="AV92" s="105">
        <f t="shared" si="75"/>
        <v>0</v>
      </c>
      <c r="AW92" s="105">
        <f t="shared" si="65"/>
        <v>0</v>
      </c>
      <c r="AX92" s="105">
        <v>0</v>
      </c>
      <c r="AY92" s="105">
        <f t="shared" si="93"/>
        <v>0</v>
      </c>
      <c r="AZ92" s="105">
        <f t="shared" si="91"/>
        <v>0</v>
      </c>
      <c r="BA92" s="105">
        <f t="shared" si="90"/>
        <v>0</v>
      </c>
      <c r="BB92" s="105"/>
      <c r="BC92" s="105"/>
      <c r="BD92" s="105"/>
      <c r="BE92" s="105"/>
      <c r="BF92" s="105"/>
      <c r="BG92" s="105">
        <f t="shared" si="76"/>
        <v>0</v>
      </c>
      <c r="BH92" s="108">
        <f t="shared" si="86"/>
        <v>0</v>
      </c>
      <c r="BI92" s="108">
        <f t="shared" si="81"/>
        <v>0</v>
      </c>
      <c r="BJ92" s="22">
        <f t="shared" si="82"/>
        <v>47001</v>
      </c>
      <c r="BK92" s="108">
        <f t="shared" si="66"/>
        <v>0</v>
      </c>
      <c r="BL92" s="2" t="e">
        <f>IF(AND(G47&gt;=$W$9,G47&lt;=$W$9+5),0,IF($C$9&gt;$AF$51,ROUND(BG46*IF(#REF!="",0,#REF!)/(DATEVALUE(CONCATENATE("01/01/",YEAR(AQ47)+1))-DATEVALUE(CONCATENATE("01/01/",YEAR(AQ47))))*(AQ47-AQ46),2),0))</f>
        <v>#REF!</v>
      </c>
    </row>
    <row r="93" spans="1:64" s="16" customFormat="1" x14ac:dyDescent="0.3">
      <c r="A93" s="178"/>
      <c r="B93" s="178"/>
      <c r="C93" s="184"/>
      <c r="D93" s="178"/>
      <c r="E93" s="178"/>
      <c r="F93" s="184"/>
      <c r="G93" s="114">
        <f t="shared" si="83"/>
        <v>85</v>
      </c>
      <c r="H93" s="111">
        <f t="shared" si="61"/>
        <v>47031</v>
      </c>
      <c r="I93" s="176">
        <f t="shared" si="58"/>
        <v>9.9000000000000005E-2</v>
      </c>
      <c r="J93" s="24">
        <f t="shared" si="67"/>
        <v>0</v>
      </c>
      <c r="K93" s="242">
        <f t="shared" si="56"/>
        <v>0</v>
      </c>
      <c r="L93" s="24">
        <f t="shared" si="89"/>
        <v>0</v>
      </c>
      <c r="M93" s="24">
        <f t="shared" si="77"/>
        <v>0</v>
      </c>
      <c r="N93" s="24">
        <f t="shared" si="62"/>
        <v>0</v>
      </c>
      <c r="O93" s="24">
        <v>0</v>
      </c>
      <c r="P93" s="24">
        <f t="shared" si="92"/>
        <v>0</v>
      </c>
      <c r="Q93" s="24">
        <f t="shared" si="88"/>
        <v>0</v>
      </c>
      <c r="R93" s="24">
        <f t="shared" si="69"/>
        <v>0</v>
      </c>
      <c r="S93" s="24">
        <f t="shared" si="78"/>
        <v>0</v>
      </c>
      <c r="T93" s="24"/>
      <c r="U93" s="36">
        <f t="shared" si="84"/>
        <v>0</v>
      </c>
      <c r="V93" s="36">
        <f t="shared" si="71"/>
        <v>0</v>
      </c>
      <c r="W93" s="2" t="e">
        <f>IF(AND(G58&gt;=$W$9,G58&lt;=$W$9+5),0,IF($C$9&gt;$AF$51,ROUND(S57*#REF!/(DATEVALUE(CONCATENATE("01/01/",YEAR(H58)+1))-DATEVALUE(CONCATENATE("01/01/",YEAR(H58))))*(H58-H57),2),0))</f>
        <v>#REF!</v>
      </c>
      <c r="X93" s="34">
        <f t="shared" si="53"/>
        <v>7860</v>
      </c>
      <c r="Y93" s="57">
        <f t="shared" si="50"/>
        <v>62691</v>
      </c>
      <c r="AL93" s="2" t="e">
        <f>IF(AND(Y50&gt;=$W$9,Y50&lt;=$W$9+5),0,IF($C$9&gt;$AF$51,ROUND(AI53*#REF!/(DATEVALUE(CONCATENATE("01/01/",YEAR(Z50)+1))-DATEVALUE(CONCATENATE("01/01/",YEAR(Z50))))*(Z50-Z49),2),0))</f>
        <v>#REF!</v>
      </c>
      <c r="AM93" s="34">
        <f t="shared" si="55"/>
        <v>8360</v>
      </c>
      <c r="AN93" s="57">
        <f t="shared" si="54"/>
        <v>61231</v>
      </c>
      <c r="AO93" s="130">
        <f t="shared" si="72"/>
        <v>0</v>
      </c>
      <c r="AP93" s="109">
        <f t="shared" si="85"/>
        <v>85</v>
      </c>
      <c r="AQ93" s="110">
        <f t="shared" si="63"/>
        <v>47031</v>
      </c>
      <c r="AR93" s="177">
        <f t="shared" si="57"/>
        <v>0.13900000000000001</v>
      </c>
      <c r="AS93" s="105">
        <f t="shared" si="73"/>
        <v>0</v>
      </c>
      <c r="AT93" s="105">
        <f t="shared" si="79"/>
        <v>0</v>
      </c>
      <c r="AU93" s="105">
        <f t="shared" si="80"/>
        <v>0</v>
      </c>
      <c r="AV93" s="105">
        <f t="shared" si="75"/>
        <v>0</v>
      </c>
      <c r="AW93" s="105">
        <f t="shared" si="65"/>
        <v>0</v>
      </c>
      <c r="AX93" s="105">
        <v>0</v>
      </c>
      <c r="AY93" s="105">
        <f t="shared" si="93"/>
        <v>0</v>
      </c>
      <c r="AZ93" s="105">
        <f t="shared" si="91"/>
        <v>0</v>
      </c>
      <c r="BA93" s="105">
        <f t="shared" si="90"/>
        <v>0</v>
      </c>
      <c r="BB93" s="105"/>
      <c r="BC93" s="105"/>
      <c r="BD93" s="105"/>
      <c r="BE93" s="105"/>
      <c r="BF93" s="105"/>
      <c r="BG93" s="105">
        <f t="shared" si="76"/>
        <v>0</v>
      </c>
      <c r="BH93" s="108">
        <f t="shared" si="86"/>
        <v>0</v>
      </c>
      <c r="BI93" s="108">
        <f t="shared" si="81"/>
        <v>0</v>
      </c>
      <c r="BJ93" s="22">
        <f t="shared" si="82"/>
        <v>47031</v>
      </c>
      <c r="BK93" s="108">
        <f t="shared" si="66"/>
        <v>0</v>
      </c>
      <c r="BL93" s="2" t="e">
        <f>IF(AND(G48&gt;=$W$9,G48&lt;=$W$9+5),0,IF($C$9&gt;$AF$51,ROUND(BG47*IF(#REF!="",0,#REF!)/(DATEVALUE(CONCATENATE("01/01/",YEAR(AQ48)+1))-DATEVALUE(CONCATENATE("01/01/",YEAR(AQ48))))*(AQ48-AQ47),2),0))</f>
        <v>#REF!</v>
      </c>
    </row>
    <row r="94" spans="1:64" s="16" customFormat="1" x14ac:dyDescent="0.3">
      <c r="A94" s="178"/>
      <c r="B94" s="178"/>
      <c r="C94" s="184"/>
      <c r="D94" s="178"/>
      <c r="E94" s="178"/>
      <c r="F94" s="184"/>
      <c r="G94" s="114">
        <f t="shared" si="83"/>
        <v>86</v>
      </c>
      <c r="H94" s="111">
        <f t="shared" si="61"/>
        <v>47062</v>
      </c>
      <c r="I94" s="176">
        <f t="shared" si="58"/>
        <v>9.9000000000000005E-2</v>
      </c>
      <c r="J94" s="24">
        <f t="shared" si="67"/>
        <v>0</v>
      </c>
      <c r="K94" s="242">
        <f t="shared" si="56"/>
        <v>0</v>
      </c>
      <c r="L94" s="24">
        <f t="shared" si="89"/>
        <v>0</v>
      </c>
      <c r="M94" s="24">
        <f t="shared" si="77"/>
        <v>0</v>
      </c>
      <c r="N94" s="24">
        <f t="shared" si="62"/>
        <v>0</v>
      </c>
      <c r="O94" s="24">
        <v>0</v>
      </c>
      <c r="P94" s="24">
        <f t="shared" si="92"/>
        <v>0</v>
      </c>
      <c r="Q94" s="24">
        <f t="shared" si="88"/>
        <v>0</v>
      </c>
      <c r="R94" s="24">
        <f t="shared" si="69"/>
        <v>0</v>
      </c>
      <c r="S94" s="24">
        <f t="shared" si="78"/>
        <v>0</v>
      </c>
      <c r="T94" s="24"/>
      <c r="U94" s="36">
        <f t="shared" si="84"/>
        <v>0</v>
      </c>
      <c r="V94" s="36">
        <f t="shared" si="71"/>
        <v>0</v>
      </c>
      <c r="W94" s="2" t="e">
        <f>IF(AND(G59&gt;=$W$9,G59&lt;=$W$9+5),0,IF($C$9&gt;$AF$51,ROUND(S58*#REF!/(DATEVALUE(CONCATENATE("01/01/",YEAR(H59)+1))-DATEVALUE(CONCATENATE("01/01/",YEAR(H59))))*(H59-H58),2),0))</f>
        <v>#REF!</v>
      </c>
      <c r="X94" s="34">
        <f t="shared" si="53"/>
        <v>7860</v>
      </c>
      <c r="Y94" s="57">
        <f t="shared" si="50"/>
        <v>63056</v>
      </c>
      <c r="AL94" s="2" t="e">
        <f>IF(AND(Y51&gt;=$W$9,Y51&lt;=$W$9+5),0,IF($C$9&gt;$AF$51,ROUND(AI54*#REF!/(DATEVALUE(CONCATENATE("01/01/",YEAR(Z51)+1))-DATEVALUE(CONCATENATE("01/01/",YEAR(Z51))))*(Z51-Z50),2),0))</f>
        <v>#REF!</v>
      </c>
      <c r="AM94" s="34">
        <f t="shared" si="55"/>
        <v>8360</v>
      </c>
      <c r="AN94" s="57">
        <f t="shared" si="54"/>
        <v>61596</v>
      </c>
      <c r="AO94" s="130">
        <f t="shared" si="72"/>
        <v>0</v>
      </c>
      <c r="AP94" s="109">
        <f t="shared" si="85"/>
        <v>86</v>
      </c>
      <c r="AQ94" s="110">
        <f t="shared" si="63"/>
        <v>47062</v>
      </c>
      <c r="AR94" s="177">
        <f t="shared" si="57"/>
        <v>0.13900000000000001</v>
      </c>
      <c r="AS94" s="105">
        <f t="shared" si="73"/>
        <v>0</v>
      </c>
      <c r="AT94" s="105">
        <f t="shared" si="79"/>
        <v>0</v>
      </c>
      <c r="AU94" s="105">
        <f t="shared" si="80"/>
        <v>0</v>
      </c>
      <c r="AV94" s="105">
        <f t="shared" si="75"/>
        <v>0</v>
      </c>
      <c r="AW94" s="105">
        <f t="shared" si="65"/>
        <v>0</v>
      </c>
      <c r="AX94" s="105">
        <v>0</v>
      </c>
      <c r="AY94" s="105">
        <f t="shared" si="93"/>
        <v>0</v>
      </c>
      <c r="AZ94" s="105">
        <f t="shared" si="91"/>
        <v>0</v>
      </c>
      <c r="BA94" s="105">
        <f t="shared" si="90"/>
        <v>0</v>
      </c>
      <c r="BB94" s="105"/>
      <c r="BC94" s="105"/>
      <c r="BD94" s="105"/>
      <c r="BE94" s="105"/>
      <c r="BF94" s="105"/>
      <c r="BG94" s="105">
        <f t="shared" si="76"/>
        <v>0</v>
      </c>
      <c r="BH94" s="108">
        <f t="shared" si="86"/>
        <v>0</v>
      </c>
      <c r="BI94" s="108">
        <f t="shared" si="81"/>
        <v>0</v>
      </c>
      <c r="BJ94" s="22">
        <f t="shared" si="82"/>
        <v>47062</v>
      </c>
      <c r="BK94" s="108">
        <f t="shared" si="66"/>
        <v>0</v>
      </c>
      <c r="BL94" s="2" t="e">
        <f>IF(AND(G49&gt;=$W$9,G49&lt;=$W$9+5),0,IF($C$9&gt;$AF$51,ROUND(BG48*IF(#REF!="",0,#REF!)/(DATEVALUE(CONCATENATE("01/01/",YEAR(AQ49)+1))-DATEVALUE(CONCATENATE("01/01/",YEAR(AQ49))))*(AQ49-AQ48),2),0))</f>
        <v>#REF!</v>
      </c>
    </row>
    <row r="95" spans="1:64" s="16" customFormat="1" x14ac:dyDescent="0.3">
      <c r="A95" s="178"/>
      <c r="B95" s="178"/>
      <c r="C95" s="184"/>
      <c r="D95" s="178"/>
      <c r="E95" s="178"/>
      <c r="F95" s="184"/>
      <c r="G95" s="114">
        <f t="shared" si="83"/>
        <v>87</v>
      </c>
      <c r="H95" s="111">
        <f t="shared" si="61"/>
        <v>47092</v>
      </c>
      <c r="I95" s="176">
        <f t="shared" si="58"/>
        <v>9.9000000000000005E-2</v>
      </c>
      <c r="J95" s="24">
        <f t="shared" si="67"/>
        <v>0</v>
      </c>
      <c r="K95" s="242">
        <f t="shared" si="56"/>
        <v>0</v>
      </c>
      <c r="L95" s="24">
        <f t="shared" si="89"/>
        <v>0</v>
      </c>
      <c r="M95" s="24">
        <f t="shared" si="77"/>
        <v>0</v>
      </c>
      <c r="N95" s="24">
        <f t="shared" si="62"/>
        <v>0</v>
      </c>
      <c r="O95" s="24">
        <v>0</v>
      </c>
      <c r="P95" s="24">
        <f t="shared" si="92"/>
        <v>0</v>
      </c>
      <c r="Q95" s="24">
        <f t="shared" si="88"/>
        <v>0</v>
      </c>
      <c r="R95" s="24">
        <f t="shared" si="69"/>
        <v>0</v>
      </c>
      <c r="S95" s="24">
        <f t="shared" si="78"/>
        <v>0</v>
      </c>
      <c r="T95" s="24"/>
      <c r="U95" s="36">
        <f t="shared" si="84"/>
        <v>0</v>
      </c>
      <c r="V95" s="36">
        <f t="shared" si="71"/>
        <v>0</v>
      </c>
      <c r="W95" s="2" t="e">
        <f>IF(AND(G60&gt;=$W$9,G60&lt;=$W$9+5),0,IF($C$9&gt;$AF$51,ROUND(S59*#REF!/(DATEVALUE(CONCATENATE("01/01/",YEAR(H60)+1))-DATEVALUE(CONCATENATE("01/01/",YEAR(H60))))*(H60-H59),2),0))</f>
        <v>#REF!</v>
      </c>
      <c r="X95" s="34">
        <f t="shared" si="53"/>
        <v>7860</v>
      </c>
      <c r="Y95" s="57">
        <f t="shared" si="50"/>
        <v>63421</v>
      </c>
      <c r="AL95" s="2" t="e">
        <f>IF(AND(Y52&gt;=$W$9,Y52&lt;=$W$9+5),0,IF($C$9&gt;$AF$51,ROUND(AI55*#REF!/(DATEVALUE(CONCATENATE("01/01/",YEAR(Z52)+1))-DATEVALUE(CONCATENATE("01/01/",YEAR(Z52))))*(Z52-Z51),2),0))</f>
        <v>#REF!</v>
      </c>
      <c r="AM95" s="34">
        <f t="shared" si="55"/>
        <v>8360</v>
      </c>
      <c r="AN95" s="57">
        <f t="shared" si="54"/>
        <v>61961</v>
      </c>
      <c r="AO95" s="130">
        <f t="shared" si="72"/>
        <v>0</v>
      </c>
      <c r="AP95" s="109">
        <f t="shared" si="85"/>
        <v>87</v>
      </c>
      <c r="AQ95" s="110">
        <f t="shared" si="63"/>
        <v>47092</v>
      </c>
      <c r="AR95" s="177">
        <f t="shared" si="57"/>
        <v>0.13900000000000001</v>
      </c>
      <c r="AS95" s="105">
        <f t="shared" si="73"/>
        <v>0</v>
      </c>
      <c r="AT95" s="105">
        <f t="shared" si="79"/>
        <v>0</v>
      </c>
      <c r="AU95" s="105">
        <f t="shared" si="80"/>
        <v>0</v>
      </c>
      <c r="AV95" s="105">
        <f t="shared" si="75"/>
        <v>0</v>
      </c>
      <c r="AW95" s="105">
        <f t="shared" si="65"/>
        <v>0</v>
      </c>
      <c r="AX95" s="105">
        <v>0</v>
      </c>
      <c r="AY95" s="105">
        <f t="shared" si="93"/>
        <v>0</v>
      </c>
      <c r="AZ95" s="105">
        <f t="shared" si="91"/>
        <v>0</v>
      </c>
      <c r="BA95" s="105">
        <f t="shared" si="90"/>
        <v>0</v>
      </c>
      <c r="BB95" s="105"/>
      <c r="BC95" s="105"/>
      <c r="BD95" s="105"/>
      <c r="BE95" s="105"/>
      <c r="BF95" s="105"/>
      <c r="BG95" s="105">
        <f t="shared" si="76"/>
        <v>0</v>
      </c>
      <c r="BH95" s="108">
        <f t="shared" si="86"/>
        <v>0</v>
      </c>
      <c r="BI95" s="108">
        <f t="shared" si="81"/>
        <v>0</v>
      </c>
      <c r="BJ95" s="22">
        <f t="shared" si="82"/>
        <v>47092</v>
      </c>
      <c r="BK95" s="108">
        <f t="shared" si="66"/>
        <v>0</v>
      </c>
      <c r="BL95" s="2" t="e">
        <f>IF(AND(G50&gt;=$W$9,G50&lt;=$W$9+5),0,IF($C$9&gt;$AF$51,ROUND(BG49*IF(#REF!="",0,#REF!)/(DATEVALUE(CONCATENATE("01/01/",YEAR(AQ50)+1))-DATEVALUE(CONCATENATE("01/01/",YEAR(AQ50))))*(AQ50-AQ49),2),0))</f>
        <v>#REF!</v>
      </c>
    </row>
    <row r="96" spans="1:64" s="16" customFormat="1" x14ac:dyDescent="0.3">
      <c r="A96" s="178"/>
      <c r="B96" s="178"/>
      <c r="C96" s="184"/>
      <c r="D96" s="178"/>
      <c r="E96" s="178"/>
      <c r="F96" s="184"/>
      <c r="G96" s="114">
        <f t="shared" si="83"/>
        <v>88</v>
      </c>
      <c r="H96" s="111">
        <f t="shared" si="61"/>
        <v>47123</v>
      </c>
      <c r="I96" s="176">
        <f t="shared" si="58"/>
        <v>9.9000000000000005E-2</v>
      </c>
      <c r="J96" s="24">
        <f t="shared" si="67"/>
        <v>0</v>
      </c>
      <c r="K96" s="242">
        <f t="shared" si="56"/>
        <v>0</v>
      </c>
      <c r="L96" s="24">
        <f t="shared" si="89"/>
        <v>0</v>
      </c>
      <c r="M96" s="24">
        <f t="shared" si="77"/>
        <v>0</v>
      </c>
      <c r="N96" s="24">
        <f t="shared" si="62"/>
        <v>0</v>
      </c>
      <c r="O96" s="24">
        <v>0</v>
      </c>
      <c r="P96" s="24">
        <f t="shared" si="92"/>
        <v>0</v>
      </c>
      <c r="Q96" s="24">
        <f t="shared" si="88"/>
        <v>0</v>
      </c>
      <c r="R96" s="24">
        <f t="shared" si="69"/>
        <v>0</v>
      </c>
      <c r="S96" s="24">
        <f t="shared" si="78"/>
        <v>0</v>
      </c>
      <c r="T96" s="24"/>
      <c r="U96" s="36">
        <f t="shared" si="84"/>
        <v>0</v>
      </c>
      <c r="V96" s="36">
        <f t="shared" si="71"/>
        <v>0</v>
      </c>
      <c r="W96" s="2" t="e">
        <f>IF(AND(G61&gt;=$W$9,G61&lt;=$W$9+5),0,IF($C$9&gt;$AF$51,ROUND(S60*#REF!/(DATEVALUE(CONCATENATE("01/01/",YEAR(H61)+1))-DATEVALUE(CONCATENATE("01/01/",YEAR(H61))))*(H61-H60),2),0))</f>
        <v>#REF!</v>
      </c>
      <c r="X96" s="34">
        <f t="shared" si="53"/>
        <v>7860</v>
      </c>
      <c r="Y96" s="57">
        <f t="shared" si="50"/>
        <v>63786</v>
      </c>
      <c r="AL96" s="2" t="e">
        <f>IF(AND(Y53&gt;=$W$9,Y53&lt;=$W$9+5),0,IF($C$9&gt;$AF$51,ROUND(AI56*#REF!/(DATEVALUE(CONCATENATE("01/01/",YEAR(Z53)+1))-DATEVALUE(CONCATENATE("01/01/",YEAR(Z53))))*(Z53-Z52),2),0))</f>
        <v>#REF!</v>
      </c>
      <c r="AM96" s="34">
        <f t="shared" si="55"/>
        <v>8360</v>
      </c>
      <c r="AN96" s="57">
        <f t="shared" si="54"/>
        <v>62326</v>
      </c>
      <c r="AO96" s="130">
        <f t="shared" si="72"/>
        <v>0</v>
      </c>
      <c r="AP96" s="109">
        <f t="shared" si="85"/>
        <v>88</v>
      </c>
      <c r="AQ96" s="110">
        <f t="shared" si="63"/>
        <v>47123</v>
      </c>
      <c r="AR96" s="177">
        <f t="shared" si="57"/>
        <v>0.13900000000000001</v>
      </c>
      <c r="AS96" s="105">
        <f t="shared" si="73"/>
        <v>0</v>
      </c>
      <c r="AT96" s="105">
        <f t="shared" si="79"/>
        <v>0</v>
      </c>
      <c r="AU96" s="105">
        <f t="shared" si="80"/>
        <v>0</v>
      </c>
      <c r="AV96" s="105">
        <f t="shared" si="75"/>
        <v>0</v>
      </c>
      <c r="AW96" s="105">
        <f t="shared" si="65"/>
        <v>0</v>
      </c>
      <c r="AX96" s="105">
        <v>0</v>
      </c>
      <c r="AY96" s="105">
        <f t="shared" si="93"/>
        <v>0</v>
      </c>
      <c r="AZ96" s="105">
        <f t="shared" si="91"/>
        <v>0</v>
      </c>
      <c r="BA96" s="105">
        <f t="shared" si="90"/>
        <v>0</v>
      </c>
      <c r="BB96" s="105"/>
      <c r="BC96" s="105"/>
      <c r="BD96" s="105"/>
      <c r="BE96" s="105"/>
      <c r="BF96" s="105"/>
      <c r="BG96" s="105">
        <f t="shared" si="76"/>
        <v>0</v>
      </c>
      <c r="BH96" s="108">
        <f t="shared" si="86"/>
        <v>0</v>
      </c>
      <c r="BI96" s="108">
        <f t="shared" si="81"/>
        <v>0</v>
      </c>
      <c r="BJ96" s="22">
        <f t="shared" si="82"/>
        <v>47123</v>
      </c>
      <c r="BK96" s="108">
        <f t="shared" si="66"/>
        <v>0</v>
      </c>
      <c r="BL96" s="2" t="e">
        <f>IF(AND(G51&gt;=$W$9,G51&lt;=$W$9+5),0,IF($C$9&gt;$AF$51,ROUND(BG50*IF(#REF!="",0,#REF!)/(DATEVALUE(CONCATENATE("01/01/",YEAR(AQ51)+1))-DATEVALUE(CONCATENATE("01/01/",YEAR(AQ51))))*(AQ51-AQ50),2),0))</f>
        <v>#REF!</v>
      </c>
    </row>
    <row r="97" spans="1:1217" s="16" customFormat="1" x14ac:dyDescent="0.3">
      <c r="A97" s="178"/>
      <c r="B97" s="178"/>
      <c r="C97" s="184"/>
      <c r="D97" s="178"/>
      <c r="E97" s="178"/>
      <c r="F97" s="184"/>
      <c r="G97" s="114">
        <f t="shared" si="83"/>
        <v>89</v>
      </c>
      <c r="H97" s="111">
        <f t="shared" si="61"/>
        <v>47154</v>
      </c>
      <c r="I97" s="176">
        <f t="shared" si="58"/>
        <v>9.9000000000000005E-2</v>
      </c>
      <c r="J97" s="24">
        <f t="shared" si="67"/>
        <v>0</v>
      </c>
      <c r="K97" s="242">
        <f t="shared" si="56"/>
        <v>0</v>
      </c>
      <c r="L97" s="24">
        <f t="shared" si="89"/>
        <v>0</v>
      </c>
      <c r="M97" s="24">
        <f t="shared" si="77"/>
        <v>0</v>
      </c>
      <c r="N97" s="24">
        <f t="shared" si="62"/>
        <v>0</v>
      </c>
      <c r="O97" s="24">
        <v>0</v>
      </c>
      <c r="P97" s="24">
        <f t="shared" si="92"/>
        <v>0</v>
      </c>
      <c r="Q97" s="24">
        <f t="shared" si="88"/>
        <v>0</v>
      </c>
      <c r="R97" s="24">
        <f t="shared" si="69"/>
        <v>0</v>
      </c>
      <c r="S97" s="24">
        <f t="shared" si="78"/>
        <v>0</v>
      </c>
      <c r="T97" s="24"/>
      <c r="U97" s="36">
        <f t="shared" si="84"/>
        <v>0</v>
      </c>
      <c r="V97" s="36">
        <f t="shared" si="71"/>
        <v>0</v>
      </c>
      <c r="W97" s="2" t="e">
        <f>IF(AND(G62&gt;=$W$9,G62&lt;=$W$9+5),0,IF($C$9&gt;$AF$51,ROUND(S61*#REF!/(DATEVALUE(CONCATENATE("01/01/",YEAR(H62)+1))-DATEVALUE(CONCATENATE("01/01/",YEAR(H62))))*(H62-H61),2),0))</f>
        <v>#REF!</v>
      </c>
      <c r="X97" s="34">
        <f t="shared" si="53"/>
        <v>7860</v>
      </c>
      <c r="Y97" s="57">
        <f t="shared" si="50"/>
        <v>64151</v>
      </c>
      <c r="AL97" s="2" t="e">
        <f>IF(AND(Y54&gt;=$W$9,Y54&lt;=$W$9+5),0,IF($C$9&gt;$AF$51,ROUND(AI57*#REF!/(DATEVALUE(CONCATENATE("01/01/",YEAR(Z54)+1))-DATEVALUE(CONCATENATE("01/01/",YEAR(Z54))))*(Z54-Z53),2),0))</f>
        <v>#REF!</v>
      </c>
      <c r="AM97" s="34">
        <f t="shared" si="55"/>
        <v>8360</v>
      </c>
      <c r="AN97" s="57">
        <f t="shared" si="54"/>
        <v>62691</v>
      </c>
      <c r="AO97" s="130">
        <f t="shared" si="72"/>
        <v>0</v>
      </c>
      <c r="AP97" s="109">
        <f t="shared" si="85"/>
        <v>89</v>
      </c>
      <c r="AQ97" s="110">
        <f t="shared" si="63"/>
        <v>47154</v>
      </c>
      <c r="AR97" s="177">
        <f t="shared" si="57"/>
        <v>0.13900000000000001</v>
      </c>
      <c r="AS97" s="105">
        <f t="shared" si="73"/>
        <v>0</v>
      </c>
      <c r="AT97" s="105">
        <f t="shared" si="79"/>
        <v>0</v>
      </c>
      <c r="AU97" s="105">
        <f t="shared" si="80"/>
        <v>0</v>
      </c>
      <c r="AV97" s="105">
        <f t="shared" si="75"/>
        <v>0</v>
      </c>
      <c r="AW97" s="105">
        <f t="shared" si="65"/>
        <v>0</v>
      </c>
      <c r="AX97" s="105">
        <v>0</v>
      </c>
      <c r="AY97" s="105">
        <f t="shared" si="93"/>
        <v>0</v>
      </c>
      <c r="AZ97" s="105">
        <f t="shared" si="91"/>
        <v>0</v>
      </c>
      <c r="BA97" s="105">
        <f t="shared" si="90"/>
        <v>0</v>
      </c>
      <c r="BB97" s="105"/>
      <c r="BC97" s="105"/>
      <c r="BD97" s="105"/>
      <c r="BE97" s="105"/>
      <c r="BF97" s="105"/>
      <c r="BG97" s="105">
        <f t="shared" si="76"/>
        <v>0</v>
      </c>
      <c r="BH97" s="108">
        <f t="shared" si="86"/>
        <v>0</v>
      </c>
      <c r="BI97" s="108">
        <f t="shared" si="81"/>
        <v>0</v>
      </c>
      <c r="BJ97" s="22">
        <f t="shared" si="82"/>
        <v>47154</v>
      </c>
      <c r="BK97" s="108">
        <f t="shared" si="66"/>
        <v>0</v>
      </c>
      <c r="BL97" s="2" t="e">
        <f>IF(AND(G52&gt;=$W$9,G52&lt;=$W$9+5),0,IF($C$9&gt;$AF$51,ROUND(BG51*IF(#REF!="",0,#REF!)/(DATEVALUE(CONCATENATE("01/01/",YEAR(AQ52)+1))-DATEVALUE(CONCATENATE("01/01/",YEAR(AQ52))))*(AQ52-AQ51),2),0))</f>
        <v>#REF!</v>
      </c>
    </row>
    <row r="98" spans="1:1217" s="16" customFormat="1" x14ac:dyDescent="0.3">
      <c r="A98" s="178"/>
      <c r="B98" s="178"/>
      <c r="C98" s="184"/>
      <c r="D98" s="178"/>
      <c r="E98" s="178"/>
      <c r="F98" s="184"/>
      <c r="G98" s="114">
        <f t="shared" si="83"/>
        <v>90</v>
      </c>
      <c r="H98" s="111">
        <f t="shared" si="61"/>
        <v>47182</v>
      </c>
      <c r="I98" s="176">
        <f t="shared" si="58"/>
        <v>9.9000000000000005E-2</v>
      </c>
      <c r="J98" s="24">
        <f t="shared" si="67"/>
        <v>0</v>
      </c>
      <c r="K98" s="242">
        <f t="shared" si="56"/>
        <v>0</v>
      </c>
      <c r="L98" s="24">
        <f t="shared" si="89"/>
        <v>0</v>
      </c>
      <c r="M98" s="24">
        <f t="shared" si="77"/>
        <v>0</v>
      </c>
      <c r="N98" s="24">
        <f t="shared" si="62"/>
        <v>0</v>
      </c>
      <c r="O98" s="24">
        <v>0</v>
      </c>
      <c r="P98" s="24">
        <f t="shared" si="92"/>
        <v>0</v>
      </c>
      <c r="Q98" s="24">
        <f t="shared" si="88"/>
        <v>0</v>
      </c>
      <c r="R98" s="24">
        <f t="shared" si="69"/>
        <v>0</v>
      </c>
      <c r="S98" s="24">
        <f t="shared" si="78"/>
        <v>0</v>
      </c>
      <c r="T98" s="24"/>
      <c r="U98" s="36">
        <f t="shared" si="84"/>
        <v>0</v>
      </c>
      <c r="V98" s="36">
        <f t="shared" si="71"/>
        <v>0</v>
      </c>
      <c r="W98" s="2" t="e">
        <f>IF(AND(G63&gt;=$W$9,G63&lt;=$W$9+5),0,IF($C$9&gt;$AF$51,ROUND(S62*#REF!/(DATEVALUE(CONCATENATE("01/01/",YEAR(H63)+1))-DATEVALUE(CONCATENATE("01/01/",YEAR(H63))))*(H63-H62),2),0))</f>
        <v>#REF!</v>
      </c>
      <c r="X98" s="34">
        <f t="shared" si="53"/>
        <v>7860</v>
      </c>
      <c r="Y98" s="57">
        <f t="shared" si="50"/>
        <v>64516</v>
      </c>
      <c r="AL98" s="2" t="e">
        <f>IF(AND(Y55&gt;=$W$9,Y55&lt;=$W$9+5),0,IF($C$9&gt;$AF$51,ROUND(AI58*#REF!/(DATEVALUE(CONCATENATE("01/01/",YEAR(Z55)+1))-DATEVALUE(CONCATENATE("01/01/",YEAR(Z55))))*(Z55-Z54),2),0))</f>
        <v>#REF!</v>
      </c>
      <c r="AM98" s="34">
        <f t="shared" si="55"/>
        <v>8360</v>
      </c>
      <c r="AN98" s="57">
        <f t="shared" si="54"/>
        <v>63056</v>
      </c>
      <c r="AO98" s="130">
        <f t="shared" si="72"/>
        <v>0</v>
      </c>
      <c r="AP98" s="109">
        <f t="shared" si="85"/>
        <v>90</v>
      </c>
      <c r="AQ98" s="110">
        <f t="shared" si="63"/>
        <v>47182</v>
      </c>
      <c r="AR98" s="177">
        <f t="shared" si="57"/>
        <v>0.13900000000000001</v>
      </c>
      <c r="AS98" s="105">
        <f t="shared" si="73"/>
        <v>0</v>
      </c>
      <c r="AT98" s="105">
        <f t="shared" si="79"/>
        <v>0</v>
      </c>
      <c r="AU98" s="105">
        <f t="shared" si="80"/>
        <v>0</v>
      </c>
      <c r="AV98" s="105">
        <f t="shared" si="75"/>
        <v>0</v>
      </c>
      <c r="AW98" s="105">
        <f t="shared" si="65"/>
        <v>0</v>
      </c>
      <c r="AX98" s="105">
        <v>0</v>
      </c>
      <c r="AY98" s="105">
        <f t="shared" si="93"/>
        <v>0</v>
      </c>
      <c r="AZ98" s="105">
        <f t="shared" si="91"/>
        <v>0</v>
      </c>
      <c r="BA98" s="105">
        <f t="shared" si="90"/>
        <v>0</v>
      </c>
      <c r="BB98" s="105"/>
      <c r="BC98" s="105"/>
      <c r="BD98" s="105"/>
      <c r="BE98" s="105"/>
      <c r="BF98" s="105"/>
      <c r="BG98" s="105">
        <f t="shared" si="76"/>
        <v>0</v>
      </c>
      <c r="BH98" s="108">
        <f t="shared" si="86"/>
        <v>0</v>
      </c>
      <c r="BI98" s="108">
        <f t="shared" si="81"/>
        <v>0</v>
      </c>
      <c r="BJ98" s="22">
        <f t="shared" si="82"/>
        <v>47182</v>
      </c>
      <c r="BK98" s="108">
        <f t="shared" si="66"/>
        <v>0</v>
      </c>
      <c r="BL98" s="2" t="e">
        <f>IF(AND(G53&gt;=$W$9,G53&lt;=$W$9+5),0,IF($C$9&gt;$AF$51,ROUND(BG52*IF(#REF!="",0,#REF!)/(DATEVALUE(CONCATENATE("01/01/",YEAR(AQ53)+1))-DATEVALUE(CONCATENATE("01/01/",YEAR(AQ53))))*(AQ53-AQ52),2),0))</f>
        <v>#REF!</v>
      </c>
    </row>
    <row r="99" spans="1:1217" s="16" customFormat="1" x14ac:dyDescent="0.3">
      <c r="A99" s="183"/>
      <c r="B99" s="180"/>
      <c r="C99" s="184"/>
      <c r="D99" s="182"/>
      <c r="E99" s="178"/>
      <c r="F99" s="184"/>
      <c r="G99" s="114">
        <f t="shared" si="83"/>
        <v>91</v>
      </c>
      <c r="H99" s="111">
        <f t="shared" si="61"/>
        <v>47213</v>
      </c>
      <c r="I99" s="176">
        <f t="shared" si="58"/>
        <v>9.9000000000000005E-2</v>
      </c>
      <c r="J99" s="24">
        <f t="shared" si="67"/>
        <v>0</v>
      </c>
      <c r="K99" s="242">
        <f t="shared" si="56"/>
        <v>0</v>
      </c>
      <c r="L99" s="24">
        <f t="shared" si="89"/>
        <v>0</v>
      </c>
      <c r="M99" s="24">
        <f t="shared" si="77"/>
        <v>0</v>
      </c>
      <c r="N99" s="24">
        <f t="shared" si="62"/>
        <v>0</v>
      </c>
      <c r="O99" s="24">
        <v>0</v>
      </c>
      <c r="P99" s="24">
        <f t="shared" si="92"/>
        <v>0</v>
      </c>
      <c r="Q99" s="24">
        <f t="shared" si="88"/>
        <v>0</v>
      </c>
      <c r="R99" s="24">
        <f t="shared" si="69"/>
        <v>0</v>
      </c>
      <c r="S99" s="24">
        <f t="shared" si="78"/>
        <v>0</v>
      </c>
      <c r="T99" s="24"/>
      <c r="U99" s="36">
        <f t="shared" si="84"/>
        <v>0</v>
      </c>
      <c r="V99" s="36">
        <f t="shared" si="71"/>
        <v>0</v>
      </c>
      <c r="W99" s="2" t="e">
        <f>IF(AND(G64&gt;=$W$9,G64&lt;=$W$9+5),0,IF($C$9&gt;$AF$51,ROUND(S63*#REF!/(DATEVALUE(CONCATENATE("01/01/",YEAR(H64)+1))-DATEVALUE(CONCATENATE("01/01/",YEAR(H64))))*(H64-H63),2),0))</f>
        <v>#REF!</v>
      </c>
      <c r="X99" s="34">
        <f t="shared" si="53"/>
        <v>7860</v>
      </c>
      <c r="Y99" s="57">
        <f t="shared" si="50"/>
        <v>64881</v>
      </c>
      <c r="AL99" s="2" t="e">
        <f>IF(AND(Y56&gt;=$W$9,Y56&lt;=$W$9+5),0,IF($C$9&gt;$AF$51,ROUND(AI59*#REF!/(DATEVALUE(CONCATENATE("01/01/",YEAR(Z56)+1))-DATEVALUE(CONCATENATE("01/01/",YEAR(Z56))))*(Z56-Z55),2),0))</f>
        <v>#VALUE!</v>
      </c>
      <c r="AM99" s="34">
        <f t="shared" si="55"/>
        <v>8360</v>
      </c>
      <c r="AN99" s="57">
        <f t="shared" si="54"/>
        <v>63421</v>
      </c>
      <c r="AO99" s="130">
        <f t="shared" si="72"/>
        <v>0</v>
      </c>
      <c r="AP99" s="109">
        <f t="shared" si="85"/>
        <v>91</v>
      </c>
      <c r="AQ99" s="110">
        <f t="shared" si="63"/>
        <v>47213</v>
      </c>
      <c r="AR99" s="177">
        <f t="shared" si="57"/>
        <v>0.13900000000000001</v>
      </c>
      <c r="AS99" s="105">
        <f t="shared" si="73"/>
        <v>0</v>
      </c>
      <c r="AT99" s="105">
        <f t="shared" si="79"/>
        <v>0</v>
      </c>
      <c r="AU99" s="105">
        <f t="shared" si="80"/>
        <v>0</v>
      </c>
      <c r="AV99" s="105">
        <f t="shared" si="75"/>
        <v>0</v>
      </c>
      <c r="AW99" s="105">
        <f t="shared" si="65"/>
        <v>0</v>
      </c>
      <c r="AX99" s="105">
        <v>0</v>
      </c>
      <c r="AY99" s="105">
        <f t="shared" si="93"/>
        <v>0</v>
      </c>
      <c r="AZ99" s="105">
        <f t="shared" si="91"/>
        <v>0</v>
      </c>
      <c r="BA99" s="105">
        <f t="shared" si="90"/>
        <v>0</v>
      </c>
      <c r="BB99" s="105"/>
      <c r="BC99" s="105"/>
      <c r="BD99" s="105"/>
      <c r="BE99" s="105"/>
      <c r="BF99" s="105"/>
      <c r="BG99" s="105">
        <f t="shared" si="76"/>
        <v>0</v>
      </c>
      <c r="BH99" s="108">
        <f t="shared" si="86"/>
        <v>0</v>
      </c>
      <c r="BI99" s="108">
        <f t="shared" si="81"/>
        <v>0</v>
      </c>
      <c r="BJ99" s="22">
        <f t="shared" si="82"/>
        <v>47213</v>
      </c>
      <c r="BK99" s="108">
        <f t="shared" si="66"/>
        <v>0</v>
      </c>
      <c r="BL99" s="2" t="e">
        <f>IF(AND(G54&gt;=$W$9,G54&lt;=$W$9+5),0,IF($C$9&gt;$AF$51,ROUND(BG53*IF(#REF!="",0,#REF!)/(DATEVALUE(CONCATENATE("01/01/",YEAR(AQ54)+1))-DATEVALUE(CONCATENATE("01/01/",YEAR(AQ54))))*(AQ54-AQ53),2),0))</f>
        <v>#REF!</v>
      </c>
    </row>
    <row r="100" spans="1:1217" s="16" customFormat="1" x14ac:dyDescent="0.3">
      <c r="A100" s="183"/>
      <c r="B100" s="178"/>
      <c r="C100" s="184"/>
      <c r="D100" s="178"/>
      <c r="E100" s="178"/>
      <c r="F100" s="184"/>
      <c r="G100" s="114">
        <f t="shared" si="83"/>
        <v>92</v>
      </c>
      <c r="H100" s="111">
        <f t="shared" si="61"/>
        <v>47243</v>
      </c>
      <c r="I100" s="176">
        <f t="shared" si="58"/>
        <v>9.9000000000000005E-2</v>
      </c>
      <c r="J100" s="24">
        <f t="shared" si="67"/>
        <v>0</v>
      </c>
      <c r="K100" s="242">
        <f t="shared" si="56"/>
        <v>0</v>
      </c>
      <c r="L100" s="24">
        <f t="shared" si="89"/>
        <v>0</v>
      </c>
      <c r="M100" s="24">
        <f t="shared" si="77"/>
        <v>0</v>
      </c>
      <c r="N100" s="24">
        <f t="shared" si="62"/>
        <v>0</v>
      </c>
      <c r="O100" s="24">
        <v>0</v>
      </c>
      <c r="P100" s="24">
        <f t="shared" si="92"/>
        <v>0</v>
      </c>
      <c r="Q100" s="24">
        <f t="shared" si="88"/>
        <v>0</v>
      </c>
      <c r="R100" s="24">
        <f t="shared" si="69"/>
        <v>0</v>
      </c>
      <c r="S100" s="24">
        <f t="shared" si="78"/>
        <v>0</v>
      </c>
      <c r="T100" s="24"/>
      <c r="U100" s="36">
        <f t="shared" si="84"/>
        <v>0</v>
      </c>
      <c r="V100" s="36">
        <f t="shared" si="71"/>
        <v>0</v>
      </c>
      <c r="W100" s="2" t="e">
        <f>IF(AND(G65&gt;=$W$9,G65&lt;=$W$9+5),0,IF($C$9&gt;$AF$51,ROUND(S64*#REF!/(DATEVALUE(CONCATENATE("01/01/",YEAR(H65)+1))-DATEVALUE(CONCATENATE("01/01/",YEAR(H65))))*(H65-H64),2),0))</f>
        <v>#REF!</v>
      </c>
      <c r="X100" s="34">
        <f t="shared" si="53"/>
        <v>7860</v>
      </c>
      <c r="Y100" s="57">
        <f t="shared" si="50"/>
        <v>65246</v>
      </c>
      <c r="AL100" s="2" t="e">
        <f>IF(AND(Y57&gt;=$W$9,Y57&lt;=$W$9+5),0,IF($C$9&gt;$AF$51,ROUND(AI60*#REF!/(DATEVALUE(CONCATENATE("01/01/",YEAR(Z57)+1))-DATEVALUE(CONCATENATE("01/01/",YEAR(Z57))))*(Z57-Z56),2),0))</f>
        <v>#REF!</v>
      </c>
      <c r="AM100" s="34">
        <f t="shared" si="55"/>
        <v>8360</v>
      </c>
      <c r="AN100" s="57">
        <f t="shared" si="54"/>
        <v>63786</v>
      </c>
      <c r="AO100" s="130">
        <f t="shared" si="72"/>
        <v>0</v>
      </c>
      <c r="AP100" s="109">
        <f t="shared" si="85"/>
        <v>92</v>
      </c>
      <c r="AQ100" s="110">
        <f t="shared" si="63"/>
        <v>47243</v>
      </c>
      <c r="AR100" s="177">
        <f t="shared" si="57"/>
        <v>0.13900000000000001</v>
      </c>
      <c r="AS100" s="105">
        <f t="shared" si="73"/>
        <v>0</v>
      </c>
      <c r="AT100" s="105">
        <f t="shared" si="79"/>
        <v>0</v>
      </c>
      <c r="AU100" s="105">
        <f t="shared" si="80"/>
        <v>0</v>
      </c>
      <c r="AV100" s="105">
        <f t="shared" si="75"/>
        <v>0</v>
      </c>
      <c r="AW100" s="105">
        <f t="shared" si="65"/>
        <v>0</v>
      </c>
      <c r="AX100" s="105">
        <v>0</v>
      </c>
      <c r="AY100" s="105">
        <f t="shared" si="93"/>
        <v>0</v>
      </c>
      <c r="AZ100" s="105">
        <f t="shared" si="91"/>
        <v>0</v>
      </c>
      <c r="BA100" s="105">
        <f t="shared" si="90"/>
        <v>0</v>
      </c>
      <c r="BB100" s="105"/>
      <c r="BC100" s="105"/>
      <c r="BD100" s="105"/>
      <c r="BE100" s="105"/>
      <c r="BF100" s="105"/>
      <c r="BG100" s="105">
        <f t="shared" si="76"/>
        <v>0</v>
      </c>
      <c r="BH100" s="108">
        <f t="shared" si="86"/>
        <v>0</v>
      </c>
      <c r="BI100" s="108">
        <f t="shared" si="81"/>
        <v>0</v>
      </c>
      <c r="BJ100" s="22">
        <f t="shared" si="82"/>
        <v>47243</v>
      </c>
      <c r="BK100" s="108">
        <f t="shared" si="66"/>
        <v>0</v>
      </c>
      <c r="BL100" s="2" t="e">
        <f>IF(AND(G55&gt;=$W$9,G55&lt;=$W$9+5),0,IF($C$9&gt;$AF$51,ROUND(BG54*IF(#REF!="",0,#REF!)/(DATEVALUE(CONCATENATE("01/01/",YEAR(AQ55)+1))-DATEVALUE(CONCATENATE("01/01/",YEAR(AQ55))))*(AQ55-AQ54),2),0))</f>
        <v>#REF!</v>
      </c>
    </row>
    <row r="101" spans="1:1217" s="16" customFormat="1" x14ac:dyDescent="0.3">
      <c r="A101" s="178"/>
      <c r="B101" s="178"/>
      <c r="C101" s="184"/>
      <c r="D101" s="184"/>
      <c r="E101" s="178"/>
      <c r="F101" s="184"/>
      <c r="G101" s="114">
        <f t="shared" si="83"/>
        <v>93</v>
      </c>
      <c r="H101" s="111">
        <f t="shared" si="61"/>
        <v>47274</v>
      </c>
      <c r="I101" s="176">
        <f t="shared" si="58"/>
        <v>9.9000000000000005E-2</v>
      </c>
      <c r="J101" s="24">
        <f t="shared" si="67"/>
        <v>0</v>
      </c>
      <c r="K101" s="242">
        <f t="shared" si="56"/>
        <v>0</v>
      </c>
      <c r="L101" s="24">
        <f t="shared" si="89"/>
        <v>0</v>
      </c>
      <c r="M101" s="24">
        <f t="shared" si="77"/>
        <v>0</v>
      </c>
      <c r="N101" s="24">
        <f t="shared" si="62"/>
        <v>0</v>
      </c>
      <c r="O101" s="24">
        <v>0</v>
      </c>
      <c r="P101" s="24">
        <f t="shared" si="92"/>
        <v>0</v>
      </c>
      <c r="Q101" s="24">
        <f t="shared" si="88"/>
        <v>0</v>
      </c>
      <c r="R101" s="24">
        <f t="shared" si="69"/>
        <v>0</v>
      </c>
      <c r="S101" s="24">
        <f t="shared" si="78"/>
        <v>0</v>
      </c>
      <c r="T101" s="24"/>
      <c r="U101" s="36">
        <f t="shared" si="84"/>
        <v>0</v>
      </c>
      <c r="V101" s="36">
        <f t="shared" si="71"/>
        <v>0</v>
      </c>
      <c r="W101" s="2" t="e">
        <f>IF(AND(G66&gt;=$W$9,G66&lt;=$W$9+5),0,IF($C$9&gt;$AF$51,ROUND(S65*#REF!/(DATEVALUE(CONCATENATE("01/01/",YEAR(H66)+1))-DATEVALUE(CONCATENATE("01/01/",YEAR(H66))))*(H66-H65),2),0))</f>
        <v>#REF!</v>
      </c>
      <c r="X101" s="34">
        <f t="shared" si="53"/>
        <v>7860</v>
      </c>
      <c r="Y101" s="57">
        <f t="shared" si="50"/>
        <v>65611</v>
      </c>
      <c r="AL101" s="2" t="e">
        <f>IF(AND(Y58&gt;=$W$9,Y58&lt;=$W$9+5),0,IF($C$9&gt;$AF$51,ROUND(AI61*#REF!/(DATEVALUE(CONCATENATE("01/01/",YEAR(Z58)+1))-DATEVALUE(CONCATENATE("01/01/",YEAR(Z58))))*(Z58-Z57),2),0))</f>
        <v>#REF!</v>
      </c>
      <c r="AM101" s="34">
        <f t="shared" si="55"/>
        <v>8360</v>
      </c>
      <c r="AN101" s="57">
        <f t="shared" si="54"/>
        <v>64151</v>
      </c>
      <c r="AO101" s="130">
        <f t="shared" si="72"/>
        <v>0</v>
      </c>
      <c r="AP101" s="109">
        <f t="shared" si="85"/>
        <v>93</v>
      </c>
      <c r="AQ101" s="110">
        <f t="shared" si="63"/>
        <v>47274</v>
      </c>
      <c r="AR101" s="177">
        <f t="shared" si="57"/>
        <v>0.13900000000000001</v>
      </c>
      <c r="AS101" s="105">
        <f t="shared" si="73"/>
        <v>0</v>
      </c>
      <c r="AT101" s="105">
        <f t="shared" si="79"/>
        <v>0</v>
      </c>
      <c r="AU101" s="105">
        <f t="shared" si="80"/>
        <v>0</v>
      </c>
      <c r="AV101" s="105">
        <f t="shared" si="75"/>
        <v>0</v>
      </c>
      <c r="AW101" s="105">
        <f t="shared" si="65"/>
        <v>0</v>
      </c>
      <c r="AX101" s="105">
        <v>0</v>
      </c>
      <c r="AY101" s="105">
        <f t="shared" si="93"/>
        <v>0</v>
      </c>
      <c r="AZ101" s="105">
        <f t="shared" si="91"/>
        <v>0</v>
      </c>
      <c r="BA101" s="105">
        <f t="shared" si="90"/>
        <v>0</v>
      </c>
      <c r="BB101" s="105"/>
      <c r="BC101" s="105"/>
      <c r="BD101" s="105"/>
      <c r="BE101" s="105"/>
      <c r="BF101" s="105"/>
      <c r="BG101" s="105">
        <f t="shared" si="76"/>
        <v>0</v>
      </c>
      <c r="BH101" s="108">
        <f t="shared" si="86"/>
        <v>0</v>
      </c>
      <c r="BI101" s="108">
        <f t="shared" si="81"/>
        <v>0</v>
      </c>
      <c r="BJ101" s="22">
        <f t="shared" si="82"/>
        <v>47274</v>
      </c>
      <c r="BK101" s="108">
        <f t="shared" si="66"/>
        <v>0</v>
      </c>
      <c r="BL101" s="2" t="e">
        <f>IF(AND(G56&gt;=$W$9,G56&lt;=$W$9+5),0,IF($C$9&gt;$AF$51,ROUND(BG55*IF(#REF!="",0,#REF!)/(DATEVALUE(CONCATENATE("01/01/",YEAR(AQ56)+1))-DATEVALUE(CONCATENATE("01/01/",YEAR(AQ56))))*(AQ56-AQ55),2),0))</f>
        <v>#REF!</v>
      </c>
    </row>
    <row r="102" spans="1:1217" s="16" customFormat="1" x14ac:dyDescent="0.3">
      <c r="A102" s="178"/>
      <c r="B102" s="178"/>
      <c r="C102" s="184"/>
      <c r="D102" s="184"/>
      <c r="E102" s="178"/>
      <c r="F102" s="184"/>
      <c r="G102" s="114">
        <f t="shared" si="83"/>
        <v>94</v>
      </c>
      <c r="H102" s="111">
        <f t="shared" si="61"/>
        <v>47304</v>
      </c>
      <c r="I102" s="176">
        <f t="shared" si="58"/>
        <v>9.9000000000000005E-2</v>
      </c>
      <c r="J102" s="24">
        <f t="shared" si="67"/>
        <v>0</v>
      </c>
      <c r="K102" s="242">
        <f t="shared" si="56"/>
        <v>0</v>
      </c>
      <c r="L102" s="24">
        <f t="shared" si="89"/>
        <v>0</v>
      </c>
      <c r="M102" s="24">
        <f t="shared" si="77"/>
        <v>0</v>
      </c>
      <c r="N102" s="24">
        <f t="shared" si="62"/>
        <v>0</v>
      </c>
      <c r="O102" s="24">
        <v>0</v>
      </c>
      <c r="P102" s="24">
        <f t="shared" si="92"/>
        <v>0</v>
      </c>
      <c r="Q102" s="24">
        <f t="shared" si="88"/>
        <v>0</v>
      </c>
      <c r="R102" s="24">
        <f t="shared" si="69"/>
        <v>0</v>
      </c>
      <c r="S102" s="24">
        <f t="shared" si="78"/>
        <v>0</v>
      </c>
      <c r="T102" s="24"/>
      <c r="U102" s="36">
        <f t="shared" si="84"/>
        <v>0</v>
      </c>
      <c r="V102" s="36">
        <f t="shared" si="71"/>
        <v>0</v>
      </c>
      <c r="W102" s="2" t="e">
        <f>IF(AND(G67&gt;=$W$9,G67&lt;=$W$9+5),0,IF($C$9&gt;$AF$51,ROUND(S66*#REF!/(DATEVALUE(CONCATENATE("01/01/",YEAR(H67)+1))-DATEVALUE(CONCATENATE("01/01/",YEAR(H67))))*(H67-H66),2),0))</f>
        <v>#REF!</v>
      </c>
      <c r="X102" s="34">
        <f t="shared" si="53"/>
        <v>7860</v>
      </c>
      <c r="Y102" s="57">
        <f t="shared" si="50"/>
        <v>65976</v>
      </c>
      <c r="AL102" s="2" t="e">
        <f>IF(AND(Y59&gt;=$W$9,Y59&lt;=$W$9+5),0,IF($C$9&gt;$AF$51,ROUND(AI62*#REF!/(DATEVALUE(CONCATENATE("01/01/",YEAR(Z59)+1))-DATEVALUE(CONCATENATE("01/01/",YEAR(Z59))))*(Z59-Z58),2),0))</f>
        <v>#REF!</v>
      </c>
      <c r="AM102" s="34">
        <f t="shared" si="55"/>
        <v>8360</v>
      </c>
      <c r="AN102" s="57">
        <f t="shared" si="54"/>
        <v>64516</v>
      </c>
      <c r="AO102" s="130">
        <f t="shared" si="72"/>
        <v>0</v>
      </c>
      <c r="AP102" s="109">
        <f t="shared" si="85"/>
        <v>94</v>
      </c>
      <c r="AQ102" s="110">
        <f t="shared" si="63"/>
        <v>47304</v>
      </c>
      <c r="AR102" s="177">
        <f t="shared" si="57"/>
        <v>0.13900000000000001</v>
      </c>
      <c r="AS102" s="105">
        <f t="shared" si="73"/>
        <v>0</v>
      </c>
      <c r="AT102" s="105">
        <f t="shared" si="79"/>
        <v>0</v>
      </c>
      <c r="AU102" s="105">
        <f t="shared" si="80"/>
        <v>0</v>
      </c>
      <c r="AV102" s="105">
        <f t="shared" si="75"/>
        <v>0</v>
      </c>
      <c r="AW102" s="105">
        <f t="shared" si="65"/>
        <v>0</v>
      </c>
      <c r="AX102" s="105">
        <v>0</v>
      </c>
      <c r="AY102" s="105">
        <f t="shared" si="93"/>
        <v>0</v>
      </c>
      <c r="AZ102" s="105">
        <f t="shared" si="91"/>
        <v>0</v>
      </c>
      <c r="BA102" s="105">
        <f t="shared" si="90"/>
        <v>0</v>
      </c>
      <c r="BB102" s="105"/>
      <c r="BC102" s="105"/>
      <c r="BD102" s="105"/>
      <c r="BE102" s="105"/>
      <c r="BF102" s="105"/>
      <c r="BG102" s="105">
        <f t="shared" si="76"/>
        <v>0</v>
      </c>
      <c r="BH102" s="108">
        <f t="shared" si="86"/>
        <v>0</v>
      </c>
      <c r="BI102" s="108">
        <f t="shared" si="81"/>
        <v>0</v>
      </c>
      <c r="BJ102" s="22">
        <f t="shared" si="82"/>
        <v>47304</v>
      </c>
      <c r="BK102" s="108">
        <f t="shared" si="66"/>
        <v>0</v>
      </c>
      <c r="BL102" s="2" t="e">
        <f>IF(AND(G57&gt;=$W$9,G57&lt;=$W$9+5),0,IF($C$9&gt;$AF$51,ROUND(BG56*IF(#REF!="",0,#REF!)/(DATEVALUE(CONCATENATE("01/01/",YEAR(AQ57)+1))-DATEVALUE(CONCATENATE("01/01/",YEAR(AQ57))))*(AQ57-AQ56),2),0))</f>
        <v>#REF!</v>
      </c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  <c r="AAB102" s="2"/>
      <c r="AAC102" s="2"/>
      <c r="AAD102" s="2"/>
      <c r="AAE102" s="2"/>
      <c r="AAF102" s="2"/>
      <c r="AAG102" s="2"/>
      <c r="AAH102" s="2"/>
      <c r="AAI102" s="2"/>
      <c r="AAJ102" s="2"/>
      <c r="AAK102" s="2"/>
      <c r="AAL102" s="2"/>
      <c r="AAM102" s="2"/>
      <c r="AAN102" s="2"/>
      <c r="AAO102" s="2"/>
      <c r="AAP102" s="2"/>
      <c r="AAQ102" s="2"/>
      <c r="AAR102" s="2"/>
      <c r="AAS102" s="2"/>
      <c r="AAT102" s="2"/>
      <c r="AAU102" s="2"/>
      <c r="AAV102" s="2"/>
      <c r="AAW102" s="2"/>
      <c r="AAX102" s="2"/>
      <c r="AAY102" s="2"/>
      <c r="AAZ102" s="2"/>
      <c r="ABA102" s="2"/>
      <c r="ABB102" s="2"/>
      <c r="ABC102" s="2"/>
      <c r="ABD102" s="2"/>
      <c r="ABE102" s="2"/>
      <c r="ABF102" s="2"/>
      <c r="ABG102" s="2"/>
      <c r="ABH102" s="2"/>
      <c r="ABI102" s="2"/>
      <c r="ABJ102" s="2"/>
      <c r="ABK102" s="2"/>
      <c r="ABL102" s="2"/>
      <c r="ABM102" s="2"/>
      <c r="ABN102" s="2"/>
      <c r="ABO102" s="2"/>
      <c r="ABP102" s="2"/>
      <c r="ABQ102" s="2"/>
      <c r="ABR102" s="2"/>
      <c r="ABS102" s="2"/>
      <c r="ABT102" s="2"/>
      <c r="ABU102" s="2"/>
      <c r="ABV102" s="2"/>
      <c r="ABW102" s="2"/>
      <c r="ABX102" s="2"/>
      <c r="ABY102" s="2"/>
      <c r="ABZ102" s="2"/>
      <c r="ACA102" s="2"/>
      <c r="ACB102" s="2"/>
      <c r="ACC102" s="2"/>
      <c r="ACD102" s="2"/>
      <c r="ACE102" s="2"/>
      <c r="ACF102" s="2"/>
      <c r="ACG102" s="2"/>
      <c r="ACH102" s="2"/>
      <c r="ACI102" s="2"/>
      <c r="ACJ102" s="2"/>
      <c r="ACK102" s="2"/>
      <c r="ACL102" s="2"/>
      <c r="ACM102" s="2"/>
      <c r="ACN102" s="2"/>
      <c r="ACO102" s="2"/>
      <c r="ACP102" s="2"/>
      <c r="ACQ102" s="2"/>
      <c r="ACR102" s="2"/>
      <c r="ACS102" s="2"/>
      <c r="ACT102" s="2"/>
      <c r="ACU102" s="2"/>
      <c r="ACV102" s="2"/>
      <c r="ACW102" s="2"/>
      <c r="ACX102" s="2"/>
      <c r="ACY102" s="2"/>
      <c r="ACZ102" s="2"/>
      <c r="ADA102" s="2"/>
      <c r="ADB102" s="2"/>
      <c r="ADC102" s="2"/>
      <c r="ADD102" s="2"/>
      <c r="ADE102" s="2"/>
      <c r="ADF102" s="2"/>
      <c r="ADG102" s="2"/>
      <c r="ADH102" s="2"/>
      <c r="ADI102" s="2"/>
      <c r="ADJ102" s="2"/>
      <c r="ADK102" s="2"/>
      <c r="ADL102" s="2"/>
      <c r="ADM102" s="2"/>
      <c r="ADN102" s="2"/>
      <c r="ADO102" s="2"/>
      <c r="ADP102" s="2"/>
      <c r="ADQ102" s="2"/>
      <c r="ADR102" s="2"/>
      <c r="ADS102" s="2"/>
      <c r="ADT102" s="2"/>
      <c r="ADU102" s="2"/>
      <c r="ADV102" s="2"/>
      <c r="ADW102" s="2"/>
      <c r="ADX102" s="2"/>
      <c r="ADY102" s="2"/>
      <c r="ADZ102" s="2"/>
      <c r="AEA102" s="2"/>
      <c r="AEB102" s="2"/>
      <c r="AEC102" s="2"/>
      <c r="AED102" s="2"/>
      <c r="AEE102" s="2"/>
      <c r="AEF102" s="2"/>
      <c r="AEG102" s="2"/>
      <c r="AEH102" s="2"/>
      <c r="AEI102" s="2"/>
      <c r="AEJ102" s="2"/>
      <c r="AEK102" s="2"/>
      <c r="AEL102" s="2"/>
      <c r="AEM102" s="2"/>
      <c r="AEN102" s="2"/>
      <c r="AEO102" s="2"/>
      <c r="AEP102" s="2"/>
      <c r="AEQ102" s="2"/>
      <c r="AER102" s="2"/>
      <c r="AES102" s="2"/>
      <c r="AET102" s="2"/>
      <c r="AEU102" s="2"/>
      <c r="AEV102" s="2"/>
      <c r="AEW102" s="2"/>
      <c r="AEX102" s="2"/>
      <c r="AEY102" s="2"/>
      <c r="AEZ102" s="2"/>
      <c r="AFA102" s="2"/>
      <c r="AFB102" s="2"/>
      <c r="AFC102" s="2"/>
      <c r="AFD102" s="2"/>
      <c r="AFE102" s="2"/>
      <c r="AFF102" s="2"/>
      <c r="AFG102" s="2"/>
      <c r="AFH102" s="2"/>
      <c r="AFI102" s="2"/>
      <c r="AFJ102" s="2"/>
      <c r="AFK102" s="2"/>
      <c r="AFL102" s="2"/>
      <c r="AFM102" s="2"/>
      <c r="AFN102" s="2"/>
      <c r="AFO102" s="2"/>
      <c r="AFP102" s="2"/>
      <c r="AFQ102" s="2"/>
      <c r="AFR102" s="2"/>
      <c r="AFS102" s="2"/>
      <c r="AFT102" s="2"/>
      <c r="AFU102" s="2"/>
      <c r="AFV102" s="2"/>
      <c r="AFW102" s="2"/>
      <c r="AFX102" s="2"/>
      <c r="AFY102" s="2"/>
      <c r="AFZ102" s="2"/>
      <c r="AGA102" s="2"/>
      <c r="AGB102" s="2"/>
      <c r="AGC102" s="2"/>
      <c r="AGD102" s="2"/>
      <c r="AGE102" s="2"/>
      <c r="AGF102" s="2"/>
      <c r="AGG102" s="2"/>
      <c r="AGH102" s="2"/>
      <c r="AGI102" s="2"/>
      <c r="AGJ102" s="2"/>
      <c r="AGK102" s="2"/>
      <c r="AGL102" s="2"/>
      <c r="AGM102" s="2"/>
      <c r="AGN102" s="2"/>
      <c r="AGO102" s="2"/>
      <c r="AGP102" s="2"/>
      <c r="AGQ102" s="2"/>
      <c r="AGR102" s="2"/>
      <c r="AGS102" s="2"/>
      <c r="AGT102" s="2"/>
      <c r="AGU102" s="2"/>
      <c r="AGV102" s="2"/>
      <c r="AGW102" s="2"/>
      <c r="AGX102" s="2"/>
      <c r="AGY102" s="2"/>
      <c r="AGZ102" s="2"/>
      <c r="AHA102" s="2"/>
      <c r="AHB102" s="2"/>
      <c r="AHC102" s="2"/>
      <c r="AHD102" s="2"/>
      <c r="AHE102" s="2"/>
      <c r="AHF102" s="2"/>
      <c r="AHG102" s="2"/>
      <c r="AHH102" s="2"/>
      <c r="AHI102" s="2"/>
      <c r="AHJ102" s="2"/>
      <c r="AHK102" s="2"/>
      <c r="AHL102" s="2"/>
      <c r="AHM102" s="2"/>
      <c r="AHN102" s="2"/>
      <c r="AHO102" s="2"/>
      <c r="AHP102" s="2"/>
      <c r="AHQ102" s="2"/>
      <c r="AHR102" s="2"/>
      <c r="AHS102" s="2"/>
      <c r="AHT102" s="2"/>
      <c r="AHU102" s="2"/>
      <c r="AHV102" s="2"/>
      <c r="AHW102" s="2"/>
      <c r="AHX102" s="2"/>
      <c r="AHY102" s="2"/>
      <c r="AHZ102" s="2"/>
      <c r="AIA102" s="2"/>
      <c r="AIB102" s="2"/>
      <c r="AIC102" s="2"/>
      <c r="AID102" s="2"/>
      <c r="AIE102" s="2"/>
      <c r="AIF102" s="2"/>
      <c r="AIG102" s="2"/>
      <c r="AIH102" s="2"/>
      <c r="AII102" s="2"/>
      <c r="AIJ102" s="2"/>
      <c r="AIK102" s="2"/>
      <c r="AIL102" s="2"/>
      <c r="AIM102" s="2"/>
      <c r="AIN102" s="2"/>
      <c r="AIO102" s="2"/>
      <c r="AIP102" s="2"/>
      <c r="AIQ102" s="2"/>
      <c r="AIR102" s="2"/>
      <c r="AIS102" s="2"/>
      <c r="AIT102" s="2"/>
      <c r="AIU102" s="2"/>
      <c r="AIV102" s="2"/>
      <c r="AIW102" s="2"/>
      <c r="AIX102" s="2"/>
      <c r="AIY102" s="2"/>
      <c r="AIZ102" s="2"/>
      <c r="AJA102" s="2"/>
      <c r="AJB102" s="2"/>
      <c r="AJC102" s="2"/>
      <c r="AJD102" s="2"/>
      <c r="AJE102" s="2"/>
      <c r="AJF102" s="2"/>
      <c r="AJG102" s="2"/>
      <c r="AJH102" s="2"/>
      <c r="AJI102" s="2"/>
      <c r="AJJ102" s="2"/>
      <c r="AJK102" s="2"/>
      <c r="AJL102" s="2"/>
      <c r="AJM102" s="2"/>
      <c r="AJN102" s="2"/>
      <c r="AJO102" s="2"/>
      <c r="AJP102" s="2"/>
      <c r="AJQ102" s="2"/>
      <c r="AJR102" s="2"/>
      <c r="AJS102" s="2"/>
      <c r="AJT102" s="2"/>
      <c r="AJU102" s="2"/>
      <c r="AJV102" s="2"/>
      <c r="AJW102" s="2"/>
      <c r="AJX102" s="2"/>
      <c r="AJY102" s="2"/>
      <c r="AJZ102" s="2"/>
      <c r="AKA102" s="2"/>
      <c r="AKB102" s="2"/>
      <c r="AKC102" s="2"/>
      <c r="AKD102" s="2"/>
      <c r="AKE102" s="2"/>
      <c r="AKF102" s="2"/>
      <c r="AKG102" s="2"/>
      <c r="AKH102" s="2"/>
      <c r="AKI102" s="2"/>
      <c r="AKJ102" s="2"/>
      <c r="AKK102" s="2"/>
      <c r="AKL102" s="2"/>
      <c r="AKM102" s="2"/>
      <c r="AKN102" s="2"/>
      <c r="AKO102" s="2"/>
      <c r="AKP102" s="2"/>
      <c r="AKQ102" s="2"/>
      <c r="AKR102" s="2"/>
      <c r="AKS102" s="2"/>
      <c r="AKT102" s="2"/>
      <c r="AKU102" s="2"/>
      <c r="AKV102" s="2"/>
      <c r="AKW102" s="2"/>
      <c r="AKX102" s="2"/>
      <c r="AKY102" s="2"/>
      <c r="AKZ102" s="2"/>
      <c r="ALA102" s="2"/>
      <c r="ALB102" s="2"/>
      <c r="ALC102" s="2"/>
      <c r="ALD102" s="2"/>
      <c r="ALE102" s="2"/>
      <c r="ALF102" s="2"/>
      <c r="ALG102" s="2"/>
      <c r="ALH102" s="2"/>
      <c r="ALI102" s="2"/>
      <c r="ALJ102" s="2"/>
      <c r="ALK102" s="2"/>
      <c r="ALL102" s="2"/>
      <c r="ALM102" s="2"/>
      <c r="ALN102" s="2"/>
      <c r="ALO102" s="2"/>
      <c r="ALP102" s="2"/>
      <c r="ALQ102" s="2"/>
      <c r="ALR102" s="2"/>
      <c r="ALS102" s="2"/>
      <c r="ALT102" s="2"/>
      <c r="ALU102" s="2"/>
      <c r="ALV102" s="2"/>
      <c r="ALW102" s="2"/>
      <c r="ALX102" s="2"/>
      <c r="ALY102" s="2"/>
      <c r="ALZ102" s="2"/>
      <c r="AMA102" s="2"/>
      <c r="AMB102" s="2"/>
      <c r="AMC102" s="2"/>
      <c r="AMD102" s="2"/>
      <c r="AME102" s="2"/>
      <c r="AMF102" s="2"/>
      <c r="AMG102" s="2"/>
      <c r="AMH102" s="2"/>
      <c r="AMI102" s="2"/>
      <c r="AMJ102" s="2"/>
      <c r="AMK102" s="2"/>
      <c r="AML102" s="2"/>
      <c r="AMM102" s="2"/>
      <c r="AMN102" s="2"/>
      <c r="AMO102" s="2"/>
      <c r="AMP102" s="2"/>
      <c r="AMQ102" s="2"/>
      <c r="AMR102" s="2"/>
      <c r="AMS102" s="2"/>
      <c r="AMT102" s="2"/>
      <c r="AMU102" s="2"/>
      <c r="AMV102" s="2"/>
      <c r="AMW102" s="2"/>
      <c r="AMX102" s="2"/>
      <c r="AMY102" s="2"/>
      <c r="AMZ102" s="2"/>
      <c r="ANA102" s="2"/>
      <c r="ANB102" s="2"/>
      <c r="ANC102" s="2"/>
      <c r="AND102" s="2"/>
      <c r="ANE102" s="2"/>
      <c r="ANF102" s="2"/>
      <c r="ANG102" s="2"/>
      <c r="ANH102" s="2"/>
      <c r="ANI102" s="2"/>
      <c r="ANJ102" s="2"/>
      <c r="ANK102" s="2"/>
      <c r="ANL102" s="2"/>
      <c r="ANM102" s="2"/>
      <c r="ANN102" s="2"/>
      <c r="ANO102" s="2"/>
      <c r="ANP102" s="2"/>
      <c r="ANQ102" s="2"/>
      <c r="ANR102" s="2"/>
      <c r="ANS102" s="2"/>
      <c r="ANT102" s="2"/>
      <c r="ANU102" s="2"/>
      <c r="ANV102" s="2"/>
      <c r="ANW102" s="2"/>
      <c r="ANX102" s="2"/>
      <c r="ANY102" s="2"/>
      <c r="ANZ102" s="2"/>
      <c r="AOA102" s="2"/>
      <c r="AOB102" s="2"/>
      <c r="AOC102" s="2"/>
      <c r="AOD102" s="2"/>
      <c r="AOE102" s="2"/>
      <c r="AOF102" s="2"/>
      <c r="AOG102" s="2"/>
      <c r="AOH102" s="2"/>
      <c r="AOI102" s="2"/>
      <c r="AOJ102" s="2"/>
      <c r="AOK102" s="2"/>
      <c r="AOL102" s="2"/>
      <c r="AOM102" s="2"/>
      <c r="AON102" s="2"/>
      <c r="AOO102" s="2"/>
      <c r="AOP102" s="2"/>
      <c r="AOQ102" s="2"/>
      <c r="AOR102" s="2"/>
      <c r="AOS102" s="2"/>
      <c r="AOT102" s="2"/>
      <c r="AOU102" s="2"/>
      <c r="AOV102" s="2"/>
      <c r="AOW102" s="2"/>
      <c r="AOX102" s="2"/>
      <c r="AOY102" s="2"/>
      <c r="AOZ102" s="2"/>
      <c r="APA102" s="2"/>
      <c r="APB102" s="2"/>
      <c r="APC102" s="2"/>
      <c r="APD102" s="2"/>
      <c r="APE102" s="2"/>
      <c r="APF102" s="2"/>
      <c r="APG102" s="2"/>
      <c r="APH102" s="2"/>
      <c r="API102" s="2"/>
      <c r="APJ102" s="2"/>
      <c r="APK102" s="2"/>
      <c r="APL102" s="2"/>
      <c r="APM102" s="2"/>
      <c r="APN102" s="2"/>
      <c r="APO102" s="2"/>
      <c r="APP102" s="2"/>
      <c r="APQ102" s="2"/>
      <c r="APR102" s="2"/>
      <c r="APS102" s="2"/>
      <c r="APT102" s="2"/>
      <c r="APU102" s="2"/>
      <c r="APV102" s="2"/>
      <c r="APW102" s="2"/>
      <c r="APX102" s="2"/>
      <c r="APY102" s="2"/>
      <c r="APZ102" s="2"/>
      <c r="AQA102" s="2"/>
      <c r="AQB102" s="2"/>
      <c r="AQC102" s="2"/>
      <c r="AQD102" s="2"/>
      <c r="AQE102" s="2"/>
      <c r="AQF102" s="2"/>
      <c r="AQG102" s="2"/>
      <c r="AQH102" s="2"/>
      <c r="AQI102" s="2"/>
      <c r="AQJ102" s="2"/>
      <c r="AQK102" s="2"/>
      <c r="AQL102" s="2"/>
      <c r="AQM102" s="2"/>
      <c r="AQN102" s="2"/>
      <c r="AQO102" s="2"/>
      <c r="AQP102" s="2"/>
      <c r="AQQ102" s="2"/>
      <c r="AQR102" s="2"/>
      <c r="AQS102" s="2"/>
      <c r="AQT102" s="2"/>
      <c r="AQU102" s="2"/>
      <c r="AQV102" s="2"/>
      <c r="AQW102" s="2"/>
      <c r="AQX102" s="2"/>
      <c r="AQY102" s="2"/>
      <c r="AQZ102" s="2"/>
      <c r="ARA102" s="2"/>
      <c r="ARB102" s="2"/>
      <c r="ARC102" s="2"/>
      <c r="ARD102" s="2"/>
      <c r="ARE102" s="2"/>
      <c r="ARF102" s="2"/>
      <c r="ARG102" s="2"/>
      <c r="ARH102" s="2"/>
      <c r="ARI102" s="2"/>
      <c r="ARJ102" s="2"/>
      <c r="ARK102" s="2"/>
      <c r="ARL102" s="2"/>
      <c r="ARM102" s="2"/>
      <c r="ARN102" s="2"/>
      <c r="ARO102" s="2"/>
      <c r="ARP102" s="2"/>
      <c r="ARQ102" s="2"/>
      <c r="ARR102" s="2"/>
      <c r="ARS102" s="2"/>
      <c r="ART102" s="2"/>
      <c r="ARU102" s="2"/>
      <c r="ARV102" s="2"/>
      <c r="ARW102" s="2"/>
      <c r="ARX102" s="2"/>
      <c r="ARY102" s="2"/>
      <c r="ARZ102" s="2"/>
      <c r="ASA102" s="2"/>
      <c r="ASB102" s="2"/>
      <c r="ASC102" s="2"/>
      <c r="ASD102" s="2"/>
      <c r="ASE102" s="2"/>
      <c r="ASF102" s="2"/>
      <c r="ASG102" s="2"/>
      <c r="ASH102" s="2"/>
      <c r="ASI102" s="2"/>
      <c r="ASJ102" s="2"/>
      <c r="ASK102" s="2"/>
      <c r="ASL102" s="2"/>
      <c r="ASM102" s="2"/>
      <c r="ASN102" s="2"/>
      <c r="ASO102" s="2"/>
      <c r="ASP102" s="2"/>
      <c r="ASQ102" s="2"/>
      <c r="ASR102" s="2"/>
      <c r="ASS102" s="2"/>
      <c r="AST102" s="2"/>
      <c r="ASU102" s="2"/>
      <c r="ASV102" s="2"/>
      <c r="ASW102" s="2"/>
      <c r="ASX102" s="2"/>
      <c r="ASY102" s="2"/>
      <c r="ASZ102" s="2"/>
      <c r="ATA102" s="2"/>
      <c r="ATB102" s="2"/>
      <c r="ATC102" s="2"/>
      <c r="ATD102" s="2"/>
      <c r="ATE102" s="2"/>
      <c r="ATF102" s="2"/>
      <c r="ATG102" s="2"/>
      <c r="ATH102" s="2"/>
      <c r="ATI102" s="2"/>
      <c r="ATJ102" s="2"/>
      <c r="ATK102" s="2"/>
      <c r="ATL102" s="2"/>
      <c r="ATM102" s="2"/>
      <c r="ATN102" s="2"/>
      <c r="ATO102" s="2"/>
      <c r="ATP102" s="2"/>
      <c r="ATQ102" s="2"/>
      <c r="ATR102" s="2"/>
      <c r="ATS102" s="2"/>
      <c r="ATT102" s="2"/>
      <c r="ATU102" s="2"/>
    </row>
    <row r="103" spans="1:1217" x14ac:dyDescent="0.3">
      <c r="A103" s="178"/>
      <c r="B103" s="178"/>
      <c r="C103" s="184"/>
      <c r="D103" s="184"/>
      <c r="E103" s="178"/>
      <c r="F103" s="184"/>
      <c r="G103" s="114">
        <f t="shared" si="83"/>
        <v>95</v>
      </c>
      <c r="H103" s="111">
        <f t="shared" si="61"/>
        <v>47335</v>
      </c>
      <c r="I103" s="176">
        <f t="shared" si="58"/>
        <v>9.9000000000000005E-2</v>
      </c>
      <c r="J103" s="24">
        <f t="shared" si="67"/>
        <v>0</v>
      </c>
      <c r="K103" s="242">
        <f t="shared" si="56"/>
        <v>0</v>
      </c>
      <c r="L103" s="24">
        <f t="shared" si="89"/>
        <v>0</v>
      </c>
      <c r="M103" s="24">
        <f t="shared" si="77"/>
        <v>0</v>
      </c>
      <c r="N103" s="24">
        <f t="shared" si="62"/>
        <v>0</v>
      </c>
      <c r="O103" s="24">
        <v>0</v>
      </c>
      <c r="P103" s="24">
        <f t="shared" si="92"/>
        <v>0</v>
      </c>
      <c r="Q103" s="24">
        <f t="shared" si="88"/>
        <v>0</v>
      </c>
      <c r="R103" s="24">
        <f t="shared" si="69"/>
        <v>0</v>
      </c>
      <c r="S103" s="24">
        <f t="shared" si="78"/>
        <v>0</v>
      </c>
      <c r="T103" s="24"/>
      <c r="U103" s="36">
        <f t="shared" si="84"/>
        <v>0</v>
      </c>
      <c r="V103" s="36">
        <f t="shared" si="71"/>
        <v>0</v>
      </c>
      <c r="W103" s="2" t="e">
        <f>IF(AND(G68&gt;=$W$9,G68&lt;=$W$9+5),0,IF($C$9&gt;$AF$51,ROUND(S67*#REF!/(DATEVALUE(CONCATENATE("01/01/",YEAR(H68)+1))-DATEVALUE(CONCATENATE("01/01/",YEAR(H68))))*(H68-H67),2),0))</f>
        <v>#REF!</v>
      </c>
      <c r="X103" s="34">
        <f t="shared" si="53"/>
        <v>7860</v>
      </c>
      <c r="Y103" s="57">
        <f t="shared" si="50"/>
        <v>66341</v>
      </c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2" t="e">
        <f>IF(AND(Y60&gt;=$W$9,Y60&lt;=$W$9+5),0,IF($C$9&gt;$AF$51,ROUND(AI63*#REF!/(DATEVALUE(CONCATENATE("01/01/",YEAR(Z60)+1))-DATEVALUE(CONCATENATE("01/01/",YEAR(Z60))))*(Z60-Z59),2),0))</f>
        <v>#REF!</v>
      </c>
      <c r="AM103" s="34">
        <f t="shared" si="55"/>
        <v>8360</v>
      </c>
      <c r="AN103" s="57">
        <f t="shared" si="54"/>
        <v>64881</v>
      </c>
      <c r="AO103" s="130">
        <f t="shared" si="72"/>
        <v>0</v>
      </c>
      <c r="AP103" s="109">
        <f t="shared" si="85"/>
        <v>95</v>
      </c>
      <c r="AQ103" s="110">
        <f t="shared" si="63"/>
        <v>47335</v>
      </c>
      <c r="AR103" s="177">
        <f t="shared" si="57"/>
        <v>0.13900000000000001</v>
      </c>
      <c r="AS103" s="105">
        <f t="shared" si="73"/>
        <v>0</v>
      </c>
      <c r="AT103" s="105">
        <f t="shared" si="79"/>
        <v>0</v>
      </c>
      <c r="AU103" s="105">
        <f t="shared" si="80"/>
        <v>0</v>
      </c>
      <c r="AV103" s="105">
        <f t="shared" si="75"/>
        <v>0</v>
      </c>
      <c r="AW103" s="105">
        <f t="shared" si="65"/>
        <v>0</v>
      </c>
      <c r="AX103" s="105">
        <v>0</v>
      </c>
      <c r="AY103" s="105">
        <f t="shared" si="93"/>
        <v>0</v>
      </c>
      <c r="AZ103" s="105">
        <f t="shared" si="91"/>
        <v>0</v>
      </c>
      <c r="BA103" s="105">
        <f t="shared" si="90"/>
        <v>0</v>
      </c>
      <c r="BB103" s="105"/>
      <c r="BC103" s="105"/>
      <c r="BD103" s="105"/>
      <c r="BE103" s="105"/>
      <c r="BF103" s="105"/>
      <c r="BG103" s="105">
        <f t="shared" si="76"/>
        <v>0</v>
      </c>
      <c r="BH103" s="108">
        <f t="shared" si="86"/>
        <v>0</v>
      </c>
      <c r="BI103" s="108">
        <f t="shared" si="81"/>
        <v>0</v>
      </c>
      <c r="BJ103" s="22">
        <f t="shared" si="82"/>
        <v>47335</v>
      </c>
      <c r="BK103" s="108">
        <f t="shared" si="66"/>
        <v>0</v>
      </c>
      <c r="BL103" s="2" t="e">
        <f>IF(AND(G58&gt;=$W$9,G58&lt;=$W$9+5),0,IF($C$9&gt;$AF$51,ROUND(BG57*IF(#REF!="",0,#REF!)/(DATEVALUE(CONCATENATE("01/01/",YEAR(AQ58)+1))-DATEVALUE(CONCATENATE("01/01/",YEAR(AQ58))))*(AQ58-AQ57),2),0))</f>
        <v>#REF!</v>
      </c>
    </row>
    <row r="104" spans="1:1217" x14ac:dyDescent="0.3">
      <c r="A104" s="178"/>
      <c r="B104" s="178"/>
      <c r="C104" s="184"/>
      <c r="D104" s="184"/>
      <c r="E104" s="178"/>
      <c r="F104" s="184"/>
      <c r="G104" s="114">
        <f t="shared" si="83"/>
        <v>96</v>
      </c>
      <c r="H104" s="111">
        <f t="shared" si="61"/>
        <v>47366</v>
      </c>
      <c r="I104" s="176">
        <f t="shared" si="58"/>
        <v>9.9000000000000005E-2</v>
      </c>
      <c r="J104" s="24">
        <f t="shared" si="67"/>
        <v>0</v>
      </c>
      <c r="K104" s="242">
        <f t="shared" si="56"/>
        <v>0</v>
      </c>
      <c r="L104" s="24">
        <f t="shared" si="89"/>
        <v>0</v>
      </c>
      <c r="M104" s="24">
        <f t="shared" si="77"/>
        <v>0</v>
      </c>
      <c r="N104" s="24">
        <f t="shared" si="62"/>
        <v>0</v>
      </c>
      <c r="O104" s="24">
        <v>0</v>
      </c>
      <c r="P104" s="24">
        <f t="shared" si="92"/>
        <v>0</v>
      </c>
      <c r="Q104" s="24">
        <f t="shared" si="88"/>
        <v>0</v>
      </c>
      <c r="R104" s="24">
        <f t="shared" si="69"/>
        <v>0</v>
      </c>
      <c r="S104" s="24">
        <f t="shared" si="78"/>
        <v>0</v>
      </c>
      <c r="T104" s="24"/>
      <c r="U104" s="36">
        <f t="shared" si="84"/>
        <v>0</v>
      </c>
      <c r="V104" s="36">
        <f t="shared" si="71"/>
        <v>0</v>
      </c>
      <c r="W104" s="2" t="e">
        <f>IF(AND(G69&gt;=$W$9,G69&lt;=$W$9+5),0,IF($C$9&gt;$AF$51,ROUND(S68*#REF!/(DATEVALUE(CONCATENATE("01/01/",YEAR(H69)+1))-DATEVALUE(CONCATENATE("01/01/",YEAR(H69))))*(H69-H68),2),0))</f>
        <v>#REF!</v>
      </c>
      <c r="X104" s="34">
        <f t="shared" si="53"/>
        <v>7860</v>
      </c>
      <c r="Y104" s="57">
        <f t="shared" si="50"/>
        <v>66706</v>
      </c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2" t="e">
        <f>IF(AND(Y61&gt;=$W$9,Y61&lt;=$W$9+5),0,IF($C$9&gt;$AF$51,ROUND(AI64*#REF!/(DATEVALUE(CONCATENATE("01/01/",YEAR(Z61)+1))-DATEVALUE(CONCATENATE("01/01/",YEAR(Z61))))*(Z61-Z60),2),0))</f>
        <v>#REF!</v>
      </c>
      <c r="AM104" s="34">
        <f t="shared" si="55"/>
        <v>8360</v>
      </c>
      <c r="AN104" s="57">
        <f t="shared" si="54"/>
        <v>65246</v>
      </c>
      <c r="AO104" s="130">
        <f t="shared" si="72"/>
        <v>0</v>
      </c>
      <c r="AP104" s="109">
        <f t="shared" si="85"/>
        <v>96</v>
      </c>
      <c r="AQ104" s="110">
        <f t="shared" si="63"/>
        <v>47366</v>
      </c>
      <c r="AR104" s="177">
        <f t="shared" si="57"/>
        <v>0.13900000000000001</v>
      </c>
      <c r="AS104" s="105">
        <f t="shared" si="73"/>
        <v>0</v>
      </c>
      <c r="AT104" s="105">
        <f t="shared" si="79"/>
        <v>0</v>
      </c>
      <c r="AU104" s="105">
        <f t="shared" si="80"/>
        <v>0</v>
      </c>
      <c r="AV104" s="105">
        <f t="shared" si="75"/>
        <v>0</v>
      </c>
      <c r="AW104" s="105">
        <f t="shared" si="65"/>
        <v>0</v>
      </c>
      <c r="AX104" s="105">
        <v>0</v>
      </c>
      <c r="AY104" s="105">
        <f t="shared" si="93"/>
        <v>0</v>
      </c>
      <c r="AZ104" s="105">
        <f t="shared" si="91"/>
        <v>0</v>
      </c>
      <c r="BA104" s="105">
        <f t="shared" si="90"/>
        <v>0</v>
      </c>
      <c r="BB104" s="105"/>
      <c r="BC104" s="105"/>
      <c r="BD104" s="105"/>
      <c r="BE104" s="105"/>
      <c r="BF104" s="105"/>
      <c r="BG104" s="105">
        <f t="shared" si="76"/>
        <v>0</v>
      </c>
      <c r="BH104" s="108">
        <f t="shared" si="86"/>
        <v>0</v>
      </c>
      <c r="BI104" s="108">
        <f t="shared" si="81"/>
        <v>0</v>
      </c>
      <c r="BJ104" s="22">
        <f t="shared" si="82"/>
        <v>47366</v>
      </c>
      <c r="BK104" s="108">
        <f t="shared" si="66"/>
        <v>0</v>
      </c>
      <c r="BL104" s="2" t="e">
        <f>IF(AND(G59&gt;=$W$9,G59&lt;=$W$9+5),0,IF($C$9&gt;$AF$51,ROUND(BG58*IF(#REF!="",0,#REF!)/(DATEVALUE(CONCATENATE("01/01/",YEAR(AQ59)+1))-DATEVALUE(CONCATENATE("01/01/",YEAR(AQ59))))*(AQ59-AQ58),2),0))</f>
        <v>#REF!</v>
      </c>
    </row>
    <row r="105" spans="1:1217" x14ac:dyDescent="0.3">
      <c r="A105" s="178"/>
      <c r="B105" s="178"/>
      <c r="C105" s="184"/>
      <c r="D105" s="184"/>
      <c r="E105" s="178"/>
      <c r="F105" s="184"/>
      <c r="G105" s="114">
        <f t="shared" si="83"/>
        <v>97</v>
      </c>
      <c r="H105" s="111">
        <f t="shared" si="61"/>
        <v>47396</v>
      </c>
      <c r="I105" s="176">
        <f t="shared" si="58"/>
        <v>9.9000000000000005E-2</v>
      </c>
      <c r="J105" s="24">
        <f t="shared" si="67"/>
        <v>0</v>
      </c>
      <c r="K105" s="242">
        <f t="shared" si="56"/>
        <v>0</v>
      </c>
      <c r="L105" s="24">
        <f t="shared" si="89"/>
        <v>0</v>
      </c>
      <c r="M105" s="24">
        <f t="shared" si="77"/>
        <v>0</v>
      </c>
      <c r="N105" s="24">
        <f t="shared" si="62"/>
        <v>0</v>
      </c>
      <c r="O105" s="24">
        <v>0</v>
      </c>
      <c r="P105" s="24">
        <f t="shared" si="92"/>
        <v>0</v>
      </c>
      <c r="Q105" s="24">
        <f t="shared" si="88"/>
        <v>0</v>
      </c>
      <c r="R105" s="24">
        <f t="shared" si="69"/>
        <v>0</v>
      </c>
      <c r="S105" s="24">
        <f t="shared" si="78"/>
        <v>0</v>
      </c>
      <c r="T105" s="24"/>
      <c r="U105" s="36">
        <f t="shared" si="84"/>
        <v>0</v>
      </c>
      <c r="V105" s="36">
        <f t="shared" si="71"/>
        <v>0</v>
      </c>
      <c r="W105" s="2" t="e">
        <f>IF(AND(G70&gt;=$W$9,G70&lt;=$W$9+5),0,IF($C$9&gt;$AF$51,ROUND(S69*#REF!/(DATEVALUE(CONCATENATE("01/01/",YEAR(H70)+1))-DATEVALUE(CONCATENATE("01/01/",YEAR(H70))))*(H70-H69),2),0))</f>
        <v>#REF!</v>
      </c>
      <c r="X105" s="34">
        <f t="shared" si="53"/>
        <v>7860</v>
      </c>
      <c r="Y105" s="57">
        <f t="shared" si="50"/>
        <v>67071</v>
      </c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2" t="e">
        <f>IF(AND(Y62&gt;=$W$9,Y62&lt;=$W$9+5),0,IF($C$9&gt;$AF$51,ROUND(AI65*#REF!/(DATEVALUE(CONCATENATE("01/01/",YEAR(Z62)+1))-DATEVALUE(CONCATENATE("01/01/",YEAR(Z62))))*(Z62-Z61),2),0))</f>
        <v>#REF!</v>
      </c>
      <c r="AM105" s="34">
        <f t="shared" si="55"/>
        <v>8360</v>
      </c>
      <c r="AN105" s="57">
        <f t="shared" si="54"/>
        <v>65611</v>
      </c>
      <c r="AO105" s="130">
        <f t="shared" si="72"/>
        <v>0</v>
      </c>
      <c r="AP105" s="109">
        <f t="shared" si="85"/>
        <v>97</v>
      </c>
      <c r="AQ105" s="110">
        <f t="shared" si="63"/>
        <v>47396</v>
      </c>
      <c r="AR105" s="177">
        <f t="shared" si="57"/>
        <v>0.13900000000000001</v>
      </c>
      <c r="AS105" s="105">
        <f t="shared" si="73"/>
        <v>0</v>
      </c>
      <c r="AT105" s="105">
        <f t="shared" si="79"/>
        <v>0</v>
      </c>
      <c r="AU105" s="105">
        <f t="shared" si="80"/>
        <v>0</v>
      </c>
      <c r="AV105" s="105">
        <f t="shared" si="75"/>
        <v>0</v>
      </c>
      <c r="AW105" s="105">
        <f t="shared" ref="AW105:AW108" si="94">IF(AY105-AZ105&gt;$D$23,$D$23-AU105,IF(BI105=0,0,BA105)+BX153)</f>
        <v>0</v>
      </c>
      <c r="AX105" s="105">
        <v>0</v>
      </c>
      <c r="AY105" s="105">
        <f t="shared" si="93"/>
        <v>0</v>
      </c>
      <c r="AZ105" s="105">
        <f t="shared" si="91"/>
        <v>0</v>
      </c>
      <c r="BA105" s="105">
        <f t="shared" si="90"/>
        <v>0</v>
      </c>
      <c r="BB105" s="105"/>
      <c r="BC105" s="105"/>
      <c r="BD105" s="105"/>
      <c r="BE105" s="105"/>
      <c r="BF105" s="105"/>
      <c r="BG105" s="105">
        <f t="shared" si="76"/>
        <v>0</v>
      </c>
      <c r="BH105" s="108">
        <f t="shared" si="86"/>
        <v>0</v>
      </c>
      <c r="BI105" s="108">
        <f t="shared" si="81"/>
        <v>0</v>
      </c>
      <c r="BJ105" s="22">
        <f t="shared" si="82"/>
        <v>47396</v>
      </c>
      <c r="BK105" s="108">
        <f t="shared" si="66"/>
        <v>0</v>
      </c>
      <c r="BL105" s="2" t="e">
        <f>IF(AND(G60&gt;=$W$9,G60&lt;=$W$9+5),0,IF($C$9&gt;$AF$51,ROUND(BG59*IF(#REF!="",0,#REF!)/(DATEVALUE(CONCATENATE("01/01/",YEAR(AQ60)+1))-DATEVALUE(CONCATENATE("01/01/",YEAR(AQ60))))*(AQ60-AQ59),2),0))</f>
        <v>#REF!</v>
      </c>
    </row>
    <row r="106" spans="1:1217" x14ac:dyDescent="0.3">
      <c r="A106" s="178"/>
      <c r="B106" s="178"/>
      <c r="C106" s="184"/>
      <c r="D106" s="184"/>
      <c r="E106" s="178"/>
      <c r="F106" s="184"/>
      <c r="G106" s="114">
        <f t="shared" si="83"/>
        <v>98</v>
      </c>
      <c r="H106" s="111">
        <f t="shared" si="61"/>
        <v>47427</v>
      </c>
      <c r="I106" s="176">
        <f t="shared" si="58"/>
        <v>9.9000000000000005E-2</v>
      </c>
      <c r="J106" s="24">
        <f t="shared" si="67"/>
        <v>0</v>
      </c>
      <c r="K106" s="242">
        <f t="shared" si="56"/>
        <v>0</v>
      </c>
      <c r="L106" s="24">
        <f t="shared" si="89"/>
        <v>0</v>
      </c>
      <c r="M106" s="24">
        <f t="shared" si="77"/>
        <v>0</v>
      </c>
      <c r="N106" s="24">
        <f t="shared" si="62"/>
        <v>0</v>
      </c>
      <c r="O106" s="24">
        <v>0</v>
      </c>
      <c r="P106" s="24">
        <f t="shared" si="92"/>
        <v>0</v>
      </c>
      <c r="Q106" s="24">
        <f t="shared" si="88"/>
        <v>0</v>
      </c>
      <c r="R106" s="24">
        <f t="shared" si="69"/>
        <v>0</v>
      </c>
      <c r="S106" s="24">
        <f t="shared" si="78"/>
        <v>0</v>
      </c>
      <c r="T106" s="24"/>
      <c r="U106" s="36">
        <f t="shared" si="84"/>
        <v>0</v>
      </c>
      <c r="V106" s="36">
        <f t="shared" si="71"/>
        <v>0</v>
      </c>
      <c r="W106" s="2" t="e">
        <f>IF(AND(G71&gt;=$W$9,G71&lt;=$W$9+5),0,IF($C$9&gt;$AF$51,ROUND(S70*#REF!/(DATEVALUE(CONCATENATE("01/01/",YEAR(H71)+1))-DATEVALUE(CONCATENATE("01/01/",YEAR(H71))))*(H71-H70),2),0))</f>
        <v>#REF!</v>
      </c>
      <c r="X106" s="34">
        <f t="shared" si="53"/>
        <v>7860</v>
      </c>
      <c r="Y106" s="57">
        <f t="shared" si="50"/>
        <v>67436</v>
      </c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2" t="e">
        <f>IF(AND(Y63&gt;=$W$9,Y63&lt;=$W$9+5),0,IF($C$9&gt;$AF$51,ROUND(AI66*#REF!/(DATEVALUE(CONCATENATE("01/01/",YEAR(Z63)+1))-DATEVALUE(CONCATENATE("01/01/",YEAR(Z63))))*(Z63-Z62),2),0))</f>
        <v>#REF!</v>
      </c>
      <c r="AM106" s="34">
        <f t="shared" si="55"/>
        <v>8360</v>
      </c>
      <c r="AN106" s="57">
        <f t="shared" si="54"/>
        <v>65976</v>
      </c>
      <c r="AO106" s="130">
        <f t="shared" si="72"/>
        <v>0</v>
      </c>
      <c r="AP106" s="109">
        <f t="shared" si="85"/>
        <v>98</v>
      </c>
      <c r="AQ106" s="110">
        <f t="shared" si="63"/>
        <v>47427</v>
      </c>
      <c r="AR106" s="177">
        <f t="shared" si="57"/>
        <v>0.13900000000000001</v>
      </c>
      <c r="AS106" s="105">
        <f t="shared" si="73"/>
        <v>0</v>
      </c>
      <c r="AT106" s="105">
        <f t="shared" si="79"/>
        <v>0</v>
      </c>
      <c r="AU106" s="105">
        <f t="shared" si="80"/>
        <v>0</v>
      </c>
      <c r="AV106" s="105">
        <f t="shared" si="75"/>
        <v>0</v>
      </c>
      <c r="AW106" s="105">
        <f t="shared" si="94"/>
        <v>0</v>
      </c>
      <c r="AX106" s="105">
        <v>0</v>
      </c>
      <c r="AY106" s="105">
        <f t="shared" si="93"/>
        <v>0</v>
      </c>
      <c r="AZ106" s="105">
        <f t="shared" si="91"/>
        <v>0</v>
      </c>
      <c r="BA106" s="105">
        <f t="shared" si="90"/>
        <v>0</v>
      </c>
      <c r="BB106" s="105"/>
      <c r="BC106" s="105"/>
      <c r="BD106" s="105"/>
      <c r="BE106" s="105"/>
      <c r="BF106" s="105"/>
      <c r="BG106" s="105">
        <f t="shared" si="76"/>
        <v>0</v>
      </c>
      <c r="BH106" s="108">
        <f t="shared" si="86"/>
        <v>0</v>
      </c>
      <c r="BI106" s="108">
        <f t="shared" si="81"/>
        <v>0</v>
      </c>
      <c r="BJ106" s="22">
        <f t="shared" si="82"/>
        <v>47427</v>
      </c>
      <c r="BK106" s="108">
        <f t="shared" si="66"/>
        <v>0</v>
      </c>
      <c r="BL106" s="2" t="e">
        <f>IF(AND(G61&gt;=$W$9,G61&lt;=$W$9+5),0,IF($C$9&gt;$AF$51,ROUND(BG60*IF(#REF!="",0,#REF!)/(DATEVALUE(CONCATENATE("01/01/",YEAR(AQ61)+1))-DATEVALUE(CONCATENATE("01/01/",YEAR(AQ61))))*(AQ61-AQ60),2),0))</f>
        <v>#REF!</v>
      </c>
    </row>
    <row r="107" spans="1:1217" x14ac:dyDescent="0.3">
      <c r="A107" s="178"/>
      <c r="B107" s="178"/>
      <c r="C107" s="184"/>
      <c r="D107" s="184"/>
      <c r="E107" s="184"/>
      <c r="F107" s="184"/>
      <c r="G107" s="114">
        <f t="shared" si="83"/>
        <v>99</v>
      </c>
      <c r="H107" s="111">
        <f t="shared" si="61"/>
        <v>47457</v>
      </c>
      <c r="I107" s="176">
        <f t="shared" si="58"/>
        <v>9.9000000000000005E-2</v>
      </c>
      <c r="J107" s="24">
        <f t="shared" si="67"/>
        <v>0</v>
      </c>
      <c r="K107" s="242">
        <f t="shared" si="56"/>
        <v>0</v>
      </c>
      <c r="L107" s="24">
        <f t="shared" si="89"/>
        <v>0</v>
      </c>
      <c r="M107" s="24">
        <f t="shared" si="77"/>
        <v>0</v>
      </c>
      <c r="N107" s="24">
        <f t="shared" si="62"/>
        <v>0</v>
      </c>
      <c r="O107" s="24">
        <v>0</v>
      </c>
      <c r="P107" s="24">
        <f t="shared" si="92"/>
        <v>0</v>
      </c>
      <c r="Q107" s="24">
        <f t="shared" si="88"/>
        <v>0</v>
      </c>
      <c r="R107" s="24">
        <f t="shared" si="69"/>
        <v>0</v>
      </c>
      <c r="S107" s="24">
        <f t="shared" si="78"/>
        <v>0</v>
      </c>
      <c r="T107" s="24"/>
      <c r="U107" s="36">
        <f t="shared" si="84"/>
        <v>0</v>
      </c>
      <c r="V107" s="36">
        <f t="shared" si="71"/>
        <v>0</v>
      </c>
      <c r="W107" s="2" t="e">
        <f>IF(AND(G72&gt;=$W$9,G72&lt;=$W$9+5),0,IF($C$9&gt;$AF$51,ROUND(S71*#REF!/(DATEVALUE(CONCATENATE("01/01/",YEAR(H72)+1))-DATEVALUE(CONCATENATE("01/01/",YEAR(H72))))*(H72-H71),2),0))</f>
        <v>#REF!</v>
      </c>
      <c r="X107" s="34">
        <f t="shared" si="53"/>
        <v>5211.9699999999766</v>
      </c>
      <c r="Y107" s="57">
        <f t="shared" si="50"/>
        <v>67801</v>
      </c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2" t="e">
        <f>IF(AND(Y64&gt;=$W$9,Y64&lt;=$W$9+5),0,IF($C$9&gt;$AF$51,ROUND(AI67*#REF!/(DATEVALUE(CONCATENATE("01/01/",YEAR(Z64)+1))-DATEVALUE(CONCATENATE("01/01/",YEAR(Z64))))*(Z64-Z63),2),0))</f>
        <v>#REF!</v>
      </c>
      <c r="AM107" s="34">
        <f t="shared" si="55"/>
        <v>7690.1499999998841</v>
      </c>
      <c r="AN107" s="57">
        <f t="shared" si="54"/>
        <v>66341</v>
      </c>
      <c r="AO107" s="130">
        <f t="shared" si="72"/>
        <v>0</v>
      </c>
      <c r="AP107" s="109">
        <f t="shared" si="85"/>
        <v>99</v>
      </c>
      <c r="AQ107" s="110">
        <f t="shared" si="63"/>
        <v>47457</v>
      </c>
      <c r="AR107" s="177">
        <f t="shared" si="57"/>
        <v>0.13900000000000001</v>
      </c>
      <c r="AS107" s="105">
        <f t="shared" si="73"/>
        <v>0</v>
      </c>
      <c r="AT107" s="105">
        <f t="shared" si="79"/>
        <v>0</v>
      </c>
      <c r="AU107" s="105">
        <f t="shared" si="80"/>
        <v>0</v>
      </c>
      <c r="AV107" s="105">
        <f t="shared" si="75"/>
        <v>0</v>
      </c>
      <c r="AW107" s="105">
        <f t="shared" si="94"/>
        <v>0</v>
      </c>
      <c r="AX107" s="105">
        <v>0</v>
      </c>
      <c r="AY107" s="105">
        <f t="shared" si="93"/>
        <v>0</v>
      </c>
      <c r="AZ107" s="105">
        <f t="shared" si="91"/>
        <v>0</v>
      </c>
      <c r="BA107" s="105">
        <f t="shared" si="90"/>
        <v>0</v>
      </c>
      <c r="BB107" s="105"/>
      <c r="BC107" s="105"/>
      <c r="BD107" s="105"/>
      <c r="BE107" s="105"/>
      <c r="BF107" s="105"/>
      <c r="BG107" s="105">
        <f t="shared" si="76"/>
        <v>0</v>
      </c>
      <c r="BH107" s="108">
        <f t="shared" si="86"/>
        <v>0</v>
      </c>
      <c r="BI107" s="108">
        <f t="shared" si="81"/>
        <v>0</v>
      </c>
      <c r="BJ107" s="22">
        <f t="shared" si="82"/>
        <v>47457</v>
      </c>
      <c r="BK107" s="108">
        <f t="shared" si="66"/>
        <v>0</v>
      </c>
      <c r="BL107" s="2" t="e">
        <f>IF(AND(G62&gt;=$W$9,G62&lt;=$W$9+5),0,IF($C$9&gt;$AF$51,ROUND(BG61*IF(#REF!="",0,#REF!)/(DATEVALUE(CONCATENATE("01/01/",YEAR(AQ62)+1))-DATEVALUE(CONCATENATE("01/01/",YEAR(AQ62))))*(AQ62-AQ61),2),0))</f>
        <v>#REF!</v>
      </c>
    </row>
    <row r="108" spans="1:1217" x14ac:dyDescent="0.3">
      <c r="A108" s="178"/>
      <c r="B108" s="178"/>
      <c r="C108" s="184"/>
      <c r="D108" s="184"/>
      <c r="E108" s="184"/>
      <c r="F108" s="184"/>
      <c r="G108" s="114">
        <f t="shared" si="83"/>
        <v>100</v>
      </c>
      <c r="H108" s="111">
        <f t="shared" si="61"/>
        <v>47488</v>
      </c>
      <c r="I108" s="176">
        <f t="shared" si="58"/>
        <v>9.9000000000000005E-2</v>
      </c>
      <c r="J108" s="24">
        <f t="shared" si="67"/>
        <v>0</v>
      </c>
      <c r="K108" s="242">
        <f t="shared" si="56"/>
        <v>0</v>
      </c>
      <c r="L108" s="24">
        <f t="shared" si="89"/>
        <v>0</v>
      </c>
      <c r="M108" s="24">
        <f t="shared" si="77"/>
        <v>0</v>
      </c>
      <c r="N108" s="24">
        <f t="shared" si="62"/>
        <v>0</v>
      </c>
      <c r="O108" s="24">
        <v>0</v>
      </c>
      <c r="P108" s="24">
        <f t="shared" si="92"/>
        <v>0</v>
      </c>
      <c r="Q108" s="24">
        <f t="shared" si="88"/>
        <v>0</v>
      </c>
      <c r="R108" s="24">
        <f t="shared" si="69"/>
        <v>0</v>
      </c>
      <c r="S108" s="24">
        <f t="shared" si="78"/>
        <v>0</v>
      </c>
      <c r="T108" s="24"/>
      <c r="U108" s="36">
        <f t="shared" si="84"/>
        <v>0</v>
      </c>
      <c r="V108" s="36">
        <f>IF(ISERR(CEILING(FLOOR(NPER($C$11/12,-$AD$55,S107),0.1),1))=TRUE,0,CEILING(FLOOR(NPER($C$11/12,-$AD$55,S107),0.1),1))</f>
        <v>0</v>
      </c>
      <c r="W108" s="2" t="e">
        <f>IF(AND(G73&gt;=$W$9,G73&lt;=$W$9+5),0,IF($C$9&gt;$AF$51,ROUND(S72*#REF!/(DATEVALUE(CONCATENATE("01/01/",YEAR(H73)+1))-DATEVALUE(CONCATENATE("01/01/",YEAR(H73))))*(H73-H72),2),0))</f>
        <v>#REF!</v>
      </c>
      <c r="X108" s="34">
        <f t="shared" si="53"/>
        <v>0</v>
      </c>
      <c r="Y108" s="57">
        <f t="shared" si="50"/>
        <v>68166</v>
      </c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2" t="e">
        <f>IF(AND(Y65&gt;=$W$9,Y65&lt;=$W$9+5),0,IF($C$9&gt;$AF$51,ROUND(AI68*#REF!/(DATEVALUE(CONCATENATE("01/01/",YEAR(Z65)+1))-DATEVALUE(CONCATENATE("01/01/",YEAR(Z65))))*(Z65-Z64),2),0))</f>
        <v>#REF!</v>
      </c>
      <c r="AM108" s="34">
        <f t="shared" si="55"/>
        <v>0</v>
      </c>
      <c r="AN108" s="57">
        <f t="shared" si="54"/>
        <v>66706</v>
      </c>
      <c r="AO108" s="130">
        <f t="shared" si="72"/>
        <v>0</v>
      </c>
      <c r="AP108" s="109">
        <f t="shared" si="85"/>
        <v>100</v>
      </c>
      <c r="AQ108" s="110">
        <f t="shared" si="63"/>
        <v>47488</v>
      </c>
      <c r="AR108" s="177">
        <f t="shared" si="57"/>
        <v>0.13900000000000001</v>
      </c>
      <c r="AS108" s="105">
        <f t="shared" si="73"/>
        <v>0</v>
      </c>
      <c r="AT108" s="105">
        <f t="shared" si="79"/>
        <v>0</v>
      </c>
      <c r="AU108" s="105">
        <f t="shared" si="80"/>
        <v>0</v>
      </c>
      <c r="AV108" s="105">
        <f t="shared" si="75"/>
        <v>0</v>
      </c>
      <c r="AW108" s="105">
        <f t="shared" si="94"/>
        <v>0</v>
      </c>
      <c r="AX108" s="105">
        <v>0</v>
      </c>
      <c r="AY108" s="105">
        <f t="shared" si="93"/>
        <v>0</v>
      </c>
      <c r="AZ108" s="105">
        <f t="shared" si="91"/>
        <v>0</v>
      </c>
      <c r="BA108" s="105">
        <f t="shared" si="90"/>
        <v>0</v>
      </c>
      <c r="BB108" s="105"/>
      <c r="BC108" s="105"/>
      <c r="BD108" s="105"/>
      <c r="BE108" s="105"/>
      <c r="BF108" s="105"/>
      <c r="BG108" s="105">
        <f t="shared" si="76"/>
        <v>0</v>
      </c>
      <c r="BH108" s="108">
        <f t="shared" si="86"/>
        <v>0</v>
      </c>
      <c r="BI108" s="108">
        <f t="shared" si="81"/>
        <v>0</v>
      </c>
      <c r="BJ108" s="22">
        <f t="shared" si="82"/>
        <v>47488</v>
      </c>
      <c r="BK108" s="108">
        <f t="shared" si="66"/>
        <v>0</v>
      </c>
      <c r="BL108" s="2" t="e">
        <f>IF(AND(G63&gt;=$W$9,G63&lt;=$W$9+5),0,IF($C$9&gt;$AF$51,ROUND(BG62*IF(#REF!="",0,#REF!)/(DATEVALUE(CONCATENATE("01/01/",YEAR(AQ63)+1))-DATEVALUE(CONCATENATE("01/01/",YEAR(AQ63))))*(AQ63-AQ62),2),0))</f>
        <v>#REF!</v>
      </c>
    </row>
    <row r="109" spans="1:1217" x14ac:dyDescent="0.3">
      <c r="A109" s="178"/>
      <c r="B109" s="178"/>
      <c r="C109" s="184"/>
      <c r="D109" s="184"/>
      <c r="E109" s="184"/>
      <c r="F109" s="184"/>
      <c r="G109" s="28"/>
      <c r="H109" s="29" t="s">
        <v>7</v>
      </c>
      <c r="I109" s="29"/>
      <c r="J109" s="30">
        <f>(SUM(J9:J108))</f>
        <v>495231.97</v>
      </c>
      <c r="K109" s="30">
        <f>(SUM(K9:K108)-IF(CODE(C12)=209,AI51,0))</f>
        <v>453231.97</v>
      </c>
      <c r="L109" s="30">
        <f t="shared" ref="L109:R109" si="95">SUM(L9:L108)</f>
        <v>93831.97</v>
      </c>
      <c r="M109" s="30">
        <f t="shared" si="95"/>
        <v>359400.00000000006</v>
      </c>
      <c r="N109" s="31">
        <f t="shared" si="95"/>
        <v>0</v>
      </c>
      <c r="O109" s="31">
        <f t="shared" si="95"/>
        <v>0</v>
      </c>
      <c r="P109" s="31">
        <f t="shared" si="95"/>
        <v>135831.97000000003</v>
      </c>
      <c r="Q109" s="31">
        <f t="shared" si="95"/>
        <v>42000</v>
      </c>
      <c r="R109" s="31">
        <f t="shared" si="95"/>
        <v>0</v>
      </c>
      <c r="S109" s="31"/>
      <c r="T109" s="31"/>
      <c r="U109" s="31"/>
      <c r="V109" s="31"/>
      <c r="W109" s="2" t="e">
        <f>IF(AND(G74&gt;=$W$9,G74&lt;=$W$9+5),0,IF($C$9&gt;$AF$51,ROUND(S73*#REF!/(DATEVALUE(CONCATENATE("01/01/",YEAR(H74)+1))-DATEVALUE(CONCATENATE("01/01/",YEAR(H74))))*(H74-H73),2),0))</f>
        <v>#REF!</v>
      </c>
      <c r="X109" s="34">
        <f t="shared" si="53"/>
        <v>0</v>
      </c>
      <c r="Y109" s="57">
        <f t="shared" ref="Y109:Y143" si="96">Y108+365</f>
        <v>68531</v>
      </c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2" t="e">
        <f>IF(AND(Y66&gt;=$W$9,Y66&lt;=$W$9+5),0,IF($C$9&gt;$AF$51,ROUND(AI69*#REF!/(DATEVALUE(CONCATENATE("01/01/",YEAR(Z66)+1))-DATEVALUE(CONCATENATE("01/01/",YEAR(Z66))))*(Z66-Z65),2),0))</f>
        <v>#REF!</v>
      </c>
      <c r="AM109" s="34">
        <f t="shared" si="55"/>
        <v>0</v>
      </c>
      <c r="AN109" s="57">
        <f t="shared" si="54"/>
        <v>67071</v>
      </c>
      <c r="AO109" s="130"/>
      <c r="AP109" s="28"/>
      <c r="AQ109" s="29" t="s">
        <v>7</v>
      </c>
      <c r="AR109" s="29"/>
      <c r="AS109" s="30">
        <f>SUM(AS9:AS108)</f>
        <v>500930.14999999991</v>
      </c>
      <c r="AT109" s="30">
        <f>(SUM(AT9:AT108)-IF(CODE(C12)=209,BX57,0))</f>
        <v>500930.14999999991</v>
      </c>
      <c r="AU109" s="30">
        <f>SUM(AU9:AU108)</f>
        <v>141530.14999999997</v>
      </c>
      <c r="AV109" s="30">
        <f>SUM(AV9:AV108)</f>
        <v>359400</v>
      </c>
      <c r="AW109" s="30">
        <f>SUM(AW9:AW108)</f>
        <v>0</v>
      </c>
      <c r="AX109" s="31"/>
      <c r="AY109" s="31"/>
      <c r="AZ109" s="30">
        <f>SUM(AZ9:AZ108)</f>
        <v>0</v>
      </c>
      <c r="BA109" s="31"/>
      <c r="BB109" s="31"/>
      <c r="BC109" s="31"/>
      <c r="BD109" s="31"/>
      <c r="BE109" s="31"/>
      <c r="BF109" s="31"/>
      <c r="BG109" s="31"/>
      <c r="BH109" s="108">
        <f t="shared" si="86"/>
        <v>0</v>
      </c>
      <c r="BI109" s="108">
        <f t="shared" si="81"/>
        <v>0</v>
      </c>
      <c r="BJ109" s="22" t="str">
        <f t="shared" si="82"/>
        <v>Итого</v>
      </c>
      <c r="BK109" s="108">
        <f t="shared" si="66"/>
        <v>453231.97</v>
      </c>
      <c r="BL109" s="2" t="e">
        <f>IF(AND(G64&gt;=$W$9,G64&lt;=$W$9+5),0,IF($C$9&gt;$AF$51,ROUND(BG63*IF(#REF!="",0,#REF!)/(DATEVALUE(CONCATENATE("01/01/",YEAR(AQ64)+1))-DATEVALUE(CONCATENATE("01/01/",YEAR(AQ64))))*(AQ64-AQ63),2),0))</f>
        <v>#REF!</v>
      </c>
    </row>
    <row r="110" spans="1:1217" ht="13.8" x14ac:dyDescent="0.3">
      <c r="A110" s="178"/>
      <c r="B110" s="178"/>
      <c r="C110" s="184"/>
      <c r="D110" s="184"/>
      <c r="E110" s="184"/>
      <c r="W110" s="2" t="e">
        <f>IF(AND(G75&gt;=$W$9,G75&lt;=$W$9+5),0,IF($C$9&gt;$AF$51,ROUND(S74*#REF!/(DATEVALUE(CONCATENATE("01/01/",YEAR(H75)+1))-DATEVALUE(CONCATENATE("01/01/",YEAR(H75))))*(H75-H74),2),0))</f>
        <v>#REF!</v>
      </c>
      <c r="X110" s="34">
        <f t="shared" ref="X110:X142" si="97">IF(K75 &gt; 0, K75, 0)</f>
        <v>0</v>
      </c>
      <c r="Y110" s="57">
        <f t="shared" si="96"/>
        <v>68896</v>
      </c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2" t="e">
        <f>IF(AND(Y67&gt;=$W$9,Y67&lt;=$W$9+5),0,IF($C$9&gt;$AF$51,ROUND(AI70*#REF!/(DATEVALUE(CONCATENATE("01/01/",YEAR(Z67)+1))-DATEVALUE(CONCATENATE("01/01/",YEAR(Z67))))*(Z67-Z66),2),0))</f>
        <v>#VALUE!</v>
      </c>
      <c r="AM110" s="34">
        <f t="shared" si="55"/>
        <v>0</v>
      </c>
      <c r="AN110" s="57">
        <f t="shared" si="54"/>
        <v>67436</v>
      </c>
      <c r="AO110" s="130"/>
      <c r="BH110" s="108">
        <f t="shared" si="86"/>
        <v>0</v>
      </c>
      <c r="BI110" s="108">
        <f t="shared" si="81"/>
        <v>0</v>
      </c>
      <c r="BJ110" s="22">
        <f t="shared" si="82"/>
        <v>0</v>
      </c>
      <c r="BK110" s="108">
        <f t="shared" si="66"/>
        <v>0</v>
      </c>
      <c r="BL110" s="2" t="e">
        <f>IF(AND(G65&gt;=$W$9,G65&lt;=$W$9+5),0,IF($C$9&gt;$AF$51,ROUND(BG64*IF(#REF!="",0,#REF!)/(DATEVALUE(CONCATENATE("01/01/",YEAR(AQ65)+1))-DATEVALUE(CONCATENATE("01/01/",YEAR(AQ65))))*(AQ65-AQ64),2),0))</f>
        <v>#REF!</v>
      </c>
    </row>
    <row r="111" spans="1:1217" ht="13.8" x14ac:dyDescent="0.3">
      <c r="A111" s="178"/>
      <c r="B111" s="178"/>
      <c r="C111" s="184"/>
      <c r="D111" s="184"/>
      <c r="E111" s="184"/>
      <c r="W111" s="2" t="e">
        <f>IF(AND(G76&gt;=$W$9,G76&lt;=$W$9+5),0,IF($C$9&gt;$AF$51,ROUND(S75*#REF!/(DATEVALUE(CONCATENATE("01/01/",YEAR(H76)+1))-DATEVALUE(CONCATENATE("01/01/",YEAR(H76))))*(H76-H75),2),0))</f>
        <v>#REF!</v>
      </c>
      <c r="X111" s="34">
        <f t="shared" si="97"/>
        <v>0</v>
      </c>
      <c r="Y111" s="57">
        <f t="shared" si="96"/>
        <v>69261</v>
      </c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2" t="e">
        <f>IF(AND(Y68&gt;=$W$9,Y68&lt;=$W$9+5),0,IF($C$9&gt;$AF$51,ROUND(AI71*#REF!/(DATEVALUE(CONCATENATE("01/01/",YEAR(Z68)+1))-DATEVALUE(CONCATENATE("01/01/",YEAR(Z68))))*(Z68-Z67),2),0))</f>
        <v>#REF!</v>
      </c>
      <c r="AM111" s="34">
        <f t="shared" si="55"/>
        <v>0</v>
      </c>
      <c r="AN111" s="57">
        <f t="shared" si="54"/>
        <v>67801</v>
      </c>
      <c r="AO111" s="130"/>
      <c r="BH111" s="108">
        <f t="shared" si="86"/>
        <v>0</v>
      </c>
      <c r="BI111" s="108">
        <f t="shared" si="81"/>
        <v>0</v>
      </c>
      <c r="BJ111" s="22">
        <f t="shared" si="82"/>
        <v>0</v>
      </c>
      <c r="BK111" s="108">
        <f t="shared" si="66"/>
        <v>0</v>
      </c>
      <c r="BL111" s="2" t="e">
        <f>IF(AND(G66&gt;=$W$9,G66&lt;=$W$9+5),0,IF($C$9&gt;$AF$51,ROUND(BG65*IF(#REF!="",0,#REF!)/(DATEVALUE(CONCATENATE("01/01/",YEAR(AQ66)+1))-DATEVALUE(CONCATENATE("01/01/",YEAR(AQ66))))*(AQ66-AQ65),2),0))</f>
        <v>#REF!</v>
      </c>
    </row>
    <row r="112" spans="1:1217" ht="13.8" x14ac:dyDescent="0.3">
      <c r="A112" s="178"/>
      <c r="B112" s="178"/>
      <c r="C112" s="184"/>
      <c r="D112" s="184"/>
      <c r="E112" s="184"/>
      <c r="W112" s="2" t="e">
        <f>IF(AND(G77&gt;=$W$9,G77&lt;=$W$9+5),0,IF($C$9&gt;$AF$51,ROUND(S76*#REF!/(DATEVALUE(CONCATENATE("01/01/",YEAR(H77)+1))-DATEVALUE(CONCATENATE("01/01/",YEAR(H77))))*(H77-H76),2),0))</f>
        <v>#REF!</v>
      </c>
      <c r="X112" s="34">
        <f t="shared" si="97"/>
        <v>0</v>
      </c>
      <c r="Y112" s="57">
        <f t="shared" si="96"/>
        <v>69626</v>
      </c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2" t="e">
        <f>IF(AND(Y69&gt;=$W$9,Y69&lt;=$W$9+5),0,IF($C$9&gt;$AF$51,ROUND(AI72*#REF!/(DATEVALUE(CONCATENATE("01/01/",YEAR(Z69)+1))-DATEVALUE(CONCATENATE("01/01/",YEAR(Z69))))*(Z69-Z68),2),0))</f>
        <v>#REF!</v>
      </c>
      <c r="AM112" s="34">
        <f t="shared" si="55"/>
        <v>0</v>
      </c>
      <c r="AN112" s="57">
        <f t="shared" si="54"/>
        <v>68166</v>
      </c>
      <c r="AO112" s="130"/>
      <c r="BH112" s="108">
        <f t="shared" si="86"/>
        <v>0</v>
      </c>
      <c r="BI112" s="108">
        <f t="shared" si="81"/>
        <v>0</v>
      </c>
      <c r="BJ112" s="22">
        <f t="shared" si="82"/>
        <v>0</v>
      </c>
      <c r="BK112" s="108">
        <f t="shared" si="66"/>
        <v>0</v>
      </c>
      <c r="BL112" s="2" t="e">
        <f>IF(AND(G67&gt;=$W$9,G67&lt;=$W$9+5),0,IF($C$9&gt;$AF$51,ROUND(BG66*IF(#REF!="",0,#REF!)/(DATEVALUE(CONCATENATE("01/01/",YEAR(AQ67)+1))-DATEVALUE(CONCATENATE("01/01/",YEAR(AQ67))))*(AQ67-AQ66),2),0))</f>
        <v>#REF!</v>
      </c>
    </row>
    <row r="113" spans="1:64" ht="13.8" x14ac:dyDescent="0.3">
      <c r="A113" s="178"/>
      <c r="B113" s="178"/>
      <c r="C113" s="184"/>
      <c r="D113" s="184"/>
      <c r="E113" s="184"/>
      <c r="W113" s="2" t="e">
        <f>IF(AND(G78&gt;=$W$9,G78&lt;=$W$9+5),0,IF($C$9&gt;$AF$51,ROUND(S77*#REF!/(DATEVALUE(CONCATENATE("01/01/",YEAR(H78)+1))-DATEVALUE(CONCATENATE("01/01/",YEAR(H78))))*(H78-H77),2),0))</f>
        <v>#REF!</v>
      </c>
      <c r="X113" s="34">
        <f t="shared" si="97"/>
        <v>0</v>
      </c>
      <c r="Y113" s="57">
        <f t="shared" si="96"/>
        <v>69991</v>
      </c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2" t="e">
        <f>IF(AND(Y70&gt;=$W$9,Y70&lt;=$W$9+5),0,IF($C$9&gt;$AF$51,ROUND(AI73*#REF!/(DATEVALUE(CONCATENATE("01/01/",YEAR(Z70)+1))-DATEVALUE(CONCATENATE("01/01/",YEAR(Z70))))*(Z70-Z69),2),0))</f>
        <v>#REF!</v>
      </c>
      <c r="AM113" s="34">
        <f t="shared" si="55"/>
        <v>0</v>
      </c>
      <c r="AN113" s="57">
        <f t="shared" ref="AN113:AN147" si="98">AN112+365</f>
        <v>68531</v>
      </c>
      <c r="AO113" s="130"/>
      <c r="BH113" s="108">
        <f t="shared" si="86"/>
        <v>0</v>
      </c>
      <c r="BI113" s="108">
        <f t="shared" si="81"/>
        <v>0</v>
      </c>
      <c r="BJ113" s="22">
        <f t="shared" si="82"/>
        <v>0</v>
      </c>
      <c r="BK113" s="108">
        <f t="shared" si="66"/>
        <v>0</v>
      </c>
      <c r="BL113" s="2" t="e">
        <f>IF(AND(G68&gt;=$W$9,G68&lt;=$W$9+5),0,IF($C$9&gt;$AF$51,ROUND(BG67*IF(#REF!="",0,#REF!)/(DATEVALUE(CONCATENATE("01/01/",YEAR(AQ68)+1))-DATEVALUE(CONCATENATE("01/01/",YEAR(AQ68))))*(AQ68-AQ67),2),0))</f>
        <v>#REF!</v>
      </c>
    </row>
    <row r="114" spans="1:64" ht="13.8" x14ac:dyDescent="0.3">
      <c r="A114" s="178"/>
      <c r="B114" s="178"/>
      <c r="C114" s="184"/>
      <c r="D114" s="184"/>
      <c r="E114" s="184"/>
      <c r="W114" s="2" t="e">
        <f>IF(AND(G79&gt;=$W$9,G79&lt;=$W$9+5),0,IF($C$9&gt;$AF$51,ROUND(S78*#REF!/(DATEVALUE(CONCATENATE("01/01/",YEAR(H79)+1))-DATEVALUE(CONCATENATE("01/01/",YEAR(H79))))*(H79-H78),2),0))</f>
        <v>#REF!</v>
      </c>
      <c r="X114" s="34">
        <f t="shared" si="97"/>
        <v>0</v>
      </c>
      <c r="Y114" s="57">
        <f>Y83+365</f>
        <v>59406</v>
      </c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2" t="e">
        <f>IF(AND(Y71&gt;=$W$9,Y71&lt;=$W$9+5),0,IF($C$9&gt;$AF$51,ROUND(AI74*#REF!/(DATEVALUE(CONCATENATE("01/01/",YEAR(Z71)+1))-DATEVALUE(CONCATENATE("01/01/",YEAR(Z71))))*(Z71-Z70),2),0))</f>
        <v>#REF!</v>
      </c>
      <c r="AM114" s="34">
        <f t="shared" ref="AM114:AM147" si="99">AT75</f>
        <v>0</v>
      </c>
      <c r="AN114" s="57">
        <f t="shared" si="98"/>
        <v>68896</v>
      </c>
      <c r="AO114" s="130"/>
      <c r="BH114" s="108">
        <f t="shared" si="86"/>
        <v>0</v>
      </c>
      <c r="BI114" s="108">
        <f t="shared" si="81"/>
        <v>0</v>
      </c>
      <c r="BJ114" s="22">
        <f t="shared" si="82"/>
        <v>0</v>
      </c>
      <c r="BK114" s="108">
        <f t="shared" si="66"/>
        <v>0</v>
      </c>
      <c r="BL114" s="2" t="e">
        <f>IF(AND(G69&gt;=$W$9,G69&lt;=$W$9+5),0,IF($C$9&gt;$AF$51,ROUND(BG68*IF(#REF!="",0,#REF!)/(DATEVALUE(CONCATENATE("01/01/",YEAR(AQ69)+1))-DATEVALUE(CONCATENATE("01/01/",YEAR(AQ69))))*(AQ69-AQ68),2),0))</f>
        <v>#REF!</v>
      </c>
    </row>
    <row r="115" spans="1:64" ht="13.8" x14ac:dyDescent="0.3">
      <c r="A115" s="178"/>
      <c r="B115" s="178"/>
      <c r="C115" s="184"/>
      <c r="D115" s="184"/>
      <c r="E115" s="184"/>
      <c r="W115" s="2" t="e">
        <f>IF(AND(G80&gt;=$W$9,G80&lt;=$W$9+5),0,IF($C$9&gt;$AF$51,ROUND(S79*#REF!/(DATEVALUE(CONCATENATE("01/01/",YEAR(H80)+1))-DATEVALUE(CONCATENATE("01/01/",YEAR(H80))))*(H80-H79),2),0))</f>
        <v>#REF!</v>
      </c>
      <c r="X115" s="34">
        <f t="shared" si="97"/>
        <v>0</v>
      </c>
      <c r="Y115" s="57">
        <f t="shared" si="96"/>
        <v>59771</v>
      </c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2" t="e">
        <f>IF(AND(Y72&gt;=$W$9,Y72&lt;=$W$9+5),0,IF($C$9&gt;$AF$51,ROUND(AI75*#REF!/(DATEVALUE(CONCATENATE("01/01/",YEAR(Z72)+1))-DATEVALUE(CONCATENATE("01/01/",YEAR(Z72))))*(Z72-Z71),2),0))</f>
        <v>#REF!</v>
      </c>
      <c r="AM115" s="34">
        <f t="shared" si="99"/>
        <v>0</v>
      </c>
      <c r="AN115" s="57">
        <f t="shared" si="98"/>
        <v>69261</v>
      </c>
      <c r="AO115" s="130"/>
      <c r="BH115" s="31"/>
      <c r="BI115" s="51"/>
      <c r="BJ115" s="29" t="s">
        <v>67</v>
      </c>
      <c r="BK115" s="152" t="e">
        <f>XIRR(BK7:BK114,BJ7:BJ114)</f>
        <v>#VALUE!</v>
      </c>
      <c r="BL115" s="2" t="e">
        <f>IF(AND(G70&gt;=$W$9,G70&lt;=$W$9+5),0,IF($C$9&gt;$AF$51,ROUND(BG69*IF(#REF!="",0,#REF!)/(DATEVALUE(CONCATENATE("01/01/",YEAR(AQ70)+1))-DATEVALUE(CONCATENATE("01/01/",YEAR(AQ70))))*(AQ70-AQ69),2),0))</f>
        <v>#REF!</v>
      </c>
    </row>
    <row r="116" spans="1:64" ht="13.8" x14ac:dyDescent="0.3">
      <c r="A116" s="178"/>
      <c r="B116" s="178"/>
      <c r="C116" s="184"/>
      <c r="D116" s="184"/>
      <c r="E116" s="184"/>
      <c r="W116" s="2" t="e">
        <f>IF(AND(G81&gt;=$W$9,G81&lt;=$W$9+5),0,IF($C$9&gt;$AF$51,ROUND(S80*#REF!/(DATEVALUE(CONCATENATE("01/01/",YEAR(H81)+1))-DATEVALUE(CONCATENATE("01/01/",YEAR(H81))))*(H81-H80),2),0))</f>
        <v>#REF!</v>
      </c>
      <c r="X116" s="34">
        <f t="shared" si="97"/>
        <v>0</v>
      </c>
      <c r="Y116" s="57">
        <f t="shared" si="96"/>
        <v>60136</v>
      </c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2" t="e">
        <f>IF(AND(Y73&gt;=$W$9,Y73&lt;=$W$9+5),0,IF($C$9&gt;$AF$51,ROUND(AI76*#REF!/(DATEVALUE(CONCATENATE("01/01/",YEAR(Z73)+1))-DATEVALUE(CONCATENATE("01/01/",YEAR(Z73))))*(Z73-Z72),2),0))</f>
        <v>#REF!</v>
      </c>
      <c r="AM116" s="34">
        <f t="shared" si="99"/>
        <v>0</v>
      </c>
      <c r="AN116" s="57">
        <f t="shared" si="98"/>
        <v>69626</v>
      </c>
      <c r="AO116" s="130"/>
      <c r="BL116" s="2" t="e">
        <f>IF(AND(G71&gt;=$W$9,G71&lt;=$W$9+5),0,IF($C$9&gt;$AF$51,ROUND(BG70*IF(#REF!="",0,#REF!)/(DATEVALUE(CONCATENATE("01/01/",YEAR(AQ71)+1))-DATEVALUE(CONCATENATE("01/01/",YEAR(AQ71))))*(AQ71-AQ70),2),0))</f>
        <v>#REF!</v>
      </c>
    </row>
    <row r="117" spans="1:64" ht="13.8" x14ac:dyDescent="0.3">
      <c r="A117" s="178"/>
      <c r="B117" s="178"/>
      <c r="C117" s="184"/>
      <c r="D117" s="184"/>
      <c r="E117" s="184"/>
      <c r="W117" s="2" t="e">
        <f>IF(AND(G82&gt;=$W$9,G82&lt;=$W$9+5),0,IF($C$9&gt;$AF$51,ROUND(S81*#REF!/(DATEVALUE(CONCATENATE("01/01/",YEAR(H82)+1))-DATEVALUE(CONCATENATE("01/01/",YEAR(H82))))*(H82-H81),2),0))</f>
        <v>#REF!</v>
      </c>
      <c r="X117" s="34">
        <f t="shared" si="97"/>
        <v>0</v>
      </c>
      <c r="Y117" s="57">
        <f t="shared" si="96"/>
        <v>60501</v>
      </c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2" t="e">
        <f>IF(AND(Y74&gt;=$W$9,Y74&lt;=$W$9+5),0,IF($C$9&gt;$AF$51,ROUND(AI77*#REF!/(DATEVALUE(CONCATENATE("01/01/",YEAR(Z74)+1))-DATEVALUE(CONCATENATE("01/01/",YEAR(Z74))))*(Z74-Z73),2),0))</f>
        <v>#REF!</v>
      </c>
      <c r="AM117" s="34">
        <f t="shared" si="99"/>
        <v>0</v>
      </c>
      <c r="AN117" s="57">
        <f t="shared" si="98"/>
        <v>69991</v>
      </c>
      <c r="AO117" s="130"/>
      <c r="BL117" s="2" t="e">
        <f>IF(AND(G72&gt;=$W$9,G72&lt;=$W$9+5),0,IF($C$9&gt;$AF$51,ROUND(BG71*IF(#REF!="",0,#REF!)/(DATEVALUE(CONCATENATE("01/01/",YEAR(AQ72)+1))-DATEVALUE(CONCATENATE("01/01/",YEAR(AQ72))))*(AQ72-AQ71),2),0))</f>
        <v>#REF!</v>
      </c>
    </row>
    <row r="118" spans="1:64" ht="13.8" x14ac:dyDescent="0.3">
      <c r="A118" s="178"/>
      <c r="B118" s="178"/>
      <c r="C118" s="184"/>
      <c r="D118" s="184"/>
      <c r="E118" s="184"/>
      <c r="W118" s="2" t="e">
        <f>IF(AND(G83&gt;=$W$9,G83&lt;=$W$9+5),0,IF($C$9&gt;$AF$51,ROUND(S82*#REF!/(DATEVALUE(CONCATENATE("01/01/",YEAR(H83)+1))-DATEVALUE(CONCATENATE("01/01/",YEAR(H83))))*(H83-H82),2),0))</f>
        <v>#REF!</v>
      </c>
      <c r="X118" s="34">
        <f t="shared" si="97"/>
        <v>0</v>
      </c>
      <c r="Y118" s="57">
        <f t="shared" si="96"/>
        <v>60866</v>
      </c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2" t="e">
        <f>IF(AND(Y75&gt;=$W$9,Y75&lt;=$W$9+5),0,IF($C$9&gt;$AF$51,ROUND(AI78*#REF!/(DATEVALUE(CONCATENATE("01/01/",YEAR(Z75)+1))-DATEVALUE(CONCATENATE("01/01/",YEAR(Z75))))*(Z75-Z74),2),0))</f>
        <v>#VALUE!</v>
      </c>
      <c r="AM118" s="34">
        <f t="shared" si="99"/>
        <v>0</v>
      </c>
      <c r="AN118" s="57">
        <f>AN87+365</f>
        <v>59406</v>
      </c>
      <c r="AO118" s="130"/>
      <c r="BL118" s="2" t="e">
        <f>IF(AND(G73&gt;=$W$9,G73&lt;=$W$9+5),0,IF($C$9&gt;$AF$51,ROUND(BG72*IF(#REF!="",0,#REF!)/(DATEVALUE(CONCATENATE("01/01/",YEAR(AQ73)+1))-DATEVALUE(CONCATENATE("01/01/",YEAR(AQ73))))*(AQ73-AQ72),2),0))</f>
        <v>#REF!</v>
      </c>
    </row>
    <row r="119" spans="1:64" ht="13.8" x14ac:dyDescent="0.3">
      <c r="A119" s="178"/>
      <c r="B119" s="178"/>
      <c r="C119" s="184"/>
      <c r="D119" s="184"/>
      <c r="E119" s="184"/>
      <c r="W119" s="2" t="e">
        <f>IF(AND(G84&gt;=$W$9,G84&lt;=$W$9+5),0,IF($C$9&gt;$AF$51,ROUND(S83*#REF!/(DATEVALUE(CONCATENATE("01/01/",YEAR(H84)+1))-DATEVALUE(CONCATENATE("01/01/",YEAR(H84))))*(H84-H83),2),0))</f>
        <v>#REF!</v>
      </c>
      <c r="X119" s="34">
        <f t="shared" si="97"/>
        <v>0</v>
      </c>
      <c r="Y119" s="57">
        <f t="shared" si="96"/>
        <v>61231</v>
      </c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2" t="e">
        <f>IF(AND(Y76&gt;=$W$9,Y76&lt;=$W$9+5),0,IF($C$9&gt;$AF$51,ROUND(AI79*#REF!/(DATEVALUE(CONCATENATE("01/01/",YEAR(Z76)+1))-DATEVALUE(CONCATENATE("01/01/",YEAR(Z76))))*(Z76-Z75),2),0))</f>
        <v>#REF!</v>
      </c>
      <c r="AM119" s="34">
        <f t="shared" si="99"/>
        <v>0</v>
      </c>
      <c r="AN119" s="57">
        <f t="shared" si="98"/>
        <v>59771</v>
      </c>
      <c r="AO119" s="130"/>
      <c r="BL119" s="2" t="e">
        <f>IF(AND(G74&gt;=$W$9,G74&lt;=$W$9+5),0,IF($C$9&gt;$AF$51,ROUND(BG73*IF(#REF!="",0,#REF!)/(DATEVALUE(CONCATENATE("01/01/",YEAR(AQ74)+1))-DATEVALUE(CONCATENATE("01/01/",YEAR(AQ74))))*(AQ74-AQ73),2),0))</f>
        <v>#REF!</v>
      </c>
    </row>
    <row r="120" spans="1:64" ht="13.8" x14ac:dyDescent="0.3">
      <c r="A120" s="178"/>
      <c r="B120" s="178"/>
      <c r="C120" s="184"/>
      <c r="D120" s="184"/>
      <c r="E120" s="184"/>
      <c r="W120" s="2" t="e">
        <f>IF(AND(G85&gt;=$W$9,G85&lt;=$W$9+5),0,IF($C$9&gt;$AF$51,ROUND(S84*#REF!/(DATEVALUE(CONCATENATE("01/01/",YEAR(H85)+1))-DATEVALUE(CONCATENATE("01/01/",YEAR(H85))))*(H85-H84),2),0))</f>
        <v>#REF!</v>
      </c>
      <c r="X120" s="34">
        <f t="shared" si="97"/>
        <v>0</v>
      </c>
      <c r="Y120" s="57">
        <f t="shared" si="96"/>
        <v>61596</v>
      </c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2" t="e">
        <f>IF(AND(Y77&gt;=$W$9,Y77&lt;=$W$9+5),0,IF($C$9&gt;$AF$51,ROUND(AI80*#REF!/(DATEVALUE(CONCATENATE("01/01/",YEAR(Z77)+1))-DATEVALUE(CONCATENATE("01/01/",YEAR(Z77))))*(Z77-Z76),2),0))</f>
        <v>#REF!</v>
      </c>
      <c r="AM120" s="34">
        <f t="shared" si="99"/>
        <v>0</v>
      </c>
      <c r="AN120" s="57">
        <f t="shared" si="98"/>
        <v>60136</v>
      </c>
      <c r="AO120" s="130"/>
      <c r="BL120" s="2" t="e">
        <f>IF(AND(G75&gt;=$W$9,G75&lt;=$W$9+5),0,IF($C$9&gt;$AF$51,ROUND(BG74*IF(#REF!="",0,#REF!)/(DATEVALUE(CONCATENATE("01/01/",YEAR(AQ75)+1))-DATEVALUE(CONCATENATE("01/01/",YEAR(AQ75))))*(AQ75-AQ74),2),0))</f>
        <v>#REF!</v>
      </c>
    </row>
    <row r="121" spans="1:64" ht="13.8" x14ac:dyDescent="0.3">
      <c r="A121" s="178"/>
      <c r="B121" s="178"/>
      <c r="C121" s="184"/>
      <c r="D121" s="184"/>
      <c r="E121" s="184"/>
      <c r="W121" s="2" t="e">
        <f>IF(AND(G86&gt;=$W$9,G86&lt;=$W$9+5),0,IF($C$9&gt;$AF$51,ROUND(S85*#REF!/(DATEVALUE(CONCATENATE("01/01/",YEAR(H86)+1))-DATEVALUE(CONCATENATE("01/01/",YEAR(H86))))*(H86-H85),2),0))</f>
        <v>#REF!</v>
      </c>
      <c r="X121" s="34">
        <f t="shared" si="97"/>
        <v>0</v>
      </c>
      <c r="Y121" s="57">
        <f t="shared" si="96"/>
        <v>61961</v>
      </c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2" t="e">
        <f>IF(AND(Y78&gt;=$W$9,Y78&lt;=$W$9+5),0,IF($C$9&gt;$AF$51,ROUND(AI81*#REF!/(DATEVALUE(CONCATENATE("01/01/",YEAR(Z78)+1))-DATEVALUE(CONCATENATE("01/01/",YEAR(Z78))))*(Z78-Z77),2),0))</f>
        <v>#REF!</v>
      </c>
      <c r="AM121" s="34">
        <f t="shared" si="99"/>
        <v>0</v>
      </c>
      <c r="AN121" s="57">
        <f t="shared" si="98"/>
        <v>60501</v>
      </c>
      <c r="AO121" s="130"/>
      <c r="BL121" s="2" t="e">
        <f>IF(AND(G76&gt;=$W$9,G76&lt;=$W$9+5),0,IF($C$9&gt;$AF$51,ROUND(BG75*IF(#REF!="",0,#REF!)/(DATEVALUE(CONCATENATE("01/01/",YEAR(AQ76)+1))-DATEVALUE(CONCATENATE("01/01/",YEAR(AQ76))))*(AQ76-AQ75),2),0))</f>
        <v>#REF!</v>
      </c>
    </row>
    <row r="122" spans="1:64" ht="13.8" x14ac:dyDescent="0.3">
      <c r="A122" s="178"/>
      <c r="B122" s="178"/>
      <c r="C122" s="184"/>
      <c r="D122" s="184"/>
      <c r="E122" s="184"/>
      <c r="W122" s="2" t="e">
        <f>IF(AND(G87&gt;=$W$9,G87&lt;=$W$9+5),0,IF($C$9&gt;$AF$51,ROUND(S86*#REF!/(DATEVALUE(CONCATENATE("01/01/",YEAR(H87)+1))-DATEVALUE(CONCATENATE("01/01/",YEAR(H87))))*(H87-H86),2),0))</f>
        <v>#REF!</v>
      </c>
      <c r="X122" s="34">
        <f t="shared" si="97"/>
        <v>0</v>
      </c>
      <c r="Y122" s="57">
        <f t="shared" si="96"/>
        <v>62326</v>
      </c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2" t="e">
        <f>IF(AND(Y79&gt;=$W$9,Y79&lt;=$W$9+5),0,IF($C$9&gt;$AF$51,ROUND(AI82*#REF!/(DATEVALUE(CONCATENATE("01/01/",YEAR(Z79)+1))-DATEVALUE(CONCATENATE("01/01/",YEAR(Z79))))*(Z79-Z78),2),0))</f>
        <v>#REF!</v>
      </c>
      <c r="AM122" s="34">
        <f t="shared" si="99"/>
        <v>0</v>
      </c>
      <c r="AN122" s="57">
        <f t="shared" si="98"/>
        <v>60866</v>
      </c>
      <c r="AO122" s="130"/>
      <c r="BL122" s="2" t="e">
        <f>IF(AND(G77&gt;=$W$9,G77&lt;=$W$9+5),0,IF($C$9&gt;$AF$51,ROUND(BG76*IF(#REF!="",0,#REF!)/(DATEVALUE(CONCATENATE("01/01/",YEAR(AQ77)+1))-DATEVALUE(CONCATENATE("01/01/",YEAR(AQ77))))*(AQ77-AQ76),2),0))</f>
        <v>#REF!</v>
      </c>
    </row>
    <row r="123" spans="1:64" ht="13.8" x14ac:dyDescent="0.3">
      <c r="A123" s="178"/>
      <c r="B123" s="178"/>
      <c r="C123" s="184"/>
      <c r="D123" s="184"/>
      <c r="E123" s="184"/>
      <c r="W123" s="2" t="e">
        <f>IF(AND(G88&gt;=$W$9,G88&lt;=$W$9+5),0,IF($C$9&gt;$AF$51,ROUND(S87*#REF!/(DATEVALUE(CONCATENATE("01/01/",YEAR(H88)+1))-DATEVALUE(CONCATENATE("01/01/",YEAR(H88))))*(H88-H87),2),0))</f>
        <v>#REF!</v>
      </c>
      <c r="X123" s="34">
        <f t="shared" si="97"/>
        <v>0</v>
      </c>
      <c r="Y123" s="57">
        <f t="shared" si="96"/>
        <v>62691</v>
      </c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2" t="e">
        <f>IF(AND(Y80&gt;=$W$9,Y80&lt;=$W$9+5),0,IF($C$9&gt;$AF$51,ROUND(AI83*#REF!/(DATEVALUE(CONCATENATE("01/01/",YEAR(Z80)+1))-DATEVALUE(CONCATENATE("01/01/",YEAR(Z80))))*(Z80-Z79),2),0))</f>
        <v>#REF!</v>
      </c>
      <c r="AM123" s="34">
        <f t="shared" si="99"/>
        <v>0</v>
      </c>
      <c r="AN123" s="57">
        <f t="shared" si="98"/>
        <v>61231</v>
      </c>
      <c r="AO123" s="130"/>
      <c r="BL123" s="2" t="e">
        <f>IF(AND(G78&gt;=$W$9,G78&lt;=$W$9+5),0,IF($C$9&gt;$AF$51,ROUND(BG77*IF(#REF!="",0,#REF!)/(DATEVALUE(CONCATENATE("01/01/",YEAR(AQ78)+1))-DATEVALUE(CONCATENATE("01/01/",YEAR(AQ78))))*(AQ78-AQ77),2),0))</f>
        <v>#REF!</v>
      </c>
    </row>
    <row r="124" spans="1:64" ht="13.8" x14ac:dyDescent="0.3">
      <c r="A124" s="178"/>
      <c r="B124" s="178"/>
      <c r="C124" s="184"/>
      <c r="D124" s="184"/>
      <c r="E124" s="184"/>
      <c r="W124" s="2" t="e">
        <f>IF(AND(G89&gt;=$W$9,G89&lt;=$W$9+5),0,IF($C$9&gt;$AF$51,ROUND(S88*#REF!/(DATEVALUE(CONCATENATE("01/01/",YEAR(H89)+1))-DATEVALUE(CONCATENATE("01/01/",YEAR(H89))))*(H89-H88),2),0))</f>
        <v>#REF!</v>
      </c>
      <c r="X124" s="34">
        <f t="shared" si="97"/>
        <v>0</v>
      </c>
      <c r="Y124" s="57">
        <f t="shared" si="96"/>
        <v>63056</v>
      </c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2" t="e">
        <f>IF(AND(Y81&gt;=$W$9,Y81&lt;=$W$9+5),0,IF($C$9&gt;$AF$51,ROUND(AI84*#REF!/(DATEVALUE(CONCATENATE("01/01/",YEAR(Z81)+1))-DATEVALUE(CONCATENATE("01/01/",YEAR(Z81))))*(Z81-Z80),2),0))</f>
        <v>#REF!</v>
      </c>
      <c r="AM124" s="34">
        <f t="shared" si="99"/>
        <v>0</v>
      </c>
      <c r="AN124" s="57">
        <f t="shared" si="98"/>
        <v>61596</v>
      </c>
      <c r="AO124" s="130"/>
      <c r="BL124" s="2" t="e">
        <f>IF(AND(G79&gt;=$W$9,G79&lt;=$W$9+5),0,IF($C$9&gt;$AF$51,ROUND(BG78*IF(#REF!="",0,#REF!)/(DATEVALUE(CONCATENATE("01/01/",YEAR(AQ79)+1))-DATEVALUE(CONCATENATE("01/01/",YEAR(AQ79))))*(AQ79-AQ78),2),0))</f>
        <v>#REF!</v>
      </c>
    </row>
    <row r="125" spans="1:64" ht="13.8" x14ac:dyDescent="0.3">
      <c r="A125" s="178"/>
      <c r="B125" s="178"/>
      <c r="C125" s="184"/>
      <c r="D125" s="184"/>
      <c r="E125" s="184"/>
      <c r="W125" s="2" t="e">
        <f>IF(AND(G90&gt;=$W$9,G90&lt;=$W$9+5),0,IF($C$9&gt;$AF$51,ROUND(S89*#REF!/(DATEVALUE(CONCATENATE("01/01/",YEAR(H90)+1))-DATEVALUE(CONCATENATE("01/01/",YEAR(H90))))*(H90-H89),2),0))</f>
        <v>#REF!</v>
      </c>
      <c r="X125" s="34">
        <f t="shared" si="97"/>
        <v>0</v>
      </c>
      <c r="Y125" s="57">
        <f t="shared" si="96"/>
        <v>63421</v>
      </c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2" t="e">
        <f>IF(AND(Y82&gt;=$W$9,Y82&lt;=$W$9+5),0,IF($C$9&gt;$AF$51,ROUND(AI85*#REF!/(DATEVALUE(CONCATENATE("01/01/",YEAR(Z82)+1))-DATEVALUE(CONCATENATE("01/01/",YEAR(Z82))))*(Z82-Z81),2),0))</f>
        <v>#REF!</v>
      </c>
      <c r="AM125" s="34">
        <f t="shared" si="99"/>
        <v>0</v>
      </c>
      <c r="AN125" s="57">
        <f t="shared" si="98"/>
        <v>61961</v>
      </c>
      <c r="AO125" s="130"/>
      <c r="BL125" s="2" t="e">
        <f>IF(AND(G80&gt;=$W$9,G80&lt;=$W$9+5),0,IF($C$9&gt;$AF$51,ROUND(BG79*IF(#REF!="",0,#REF!)/(DATEVALUE(CONCATENATE("01/01/",YEAR(AQ80)+1))-DATEVALUE(CONCATENATE("01/01/",YEAR(AQ80))))*(AQ80-AQ79),2),0))</f>
        <v>#REF!</v>
      </c>
    </row>
    <row r="126" spans="1:64" ht="13.8" x14ac:dyDescent="0.3">
      <c r="A126" s="178"/>
      <c r="B126" s="178"/>
      <c r="C126" s="184"/>
      <c r="D126" s="184"/>
      <c r="E126" s="184"/>
      <c r="W126" s="2" t="e">
        <f>IF(AND(G91&gt;=$W$9,G91&lt;=$W$9+5),0,IF($C$9&gt;$AF$51,ROUND(S90*#REF!/(DATEVALUE(CONCATENATE("01/01/",YEAR(H91)+1))-DATEVALUE(CONCATENATE("01/01/",YEAR(H91))))*(H91-H90),2),0))</f>
        <v>#REF!</v>
      </c>
      <c r="X126" s="34">
        <f t="shared" si="97"/>
        <v>0</v>
      </c>
      <c r="Y126" s="57">
        <f t="shared" si="96"/>
        <v>63786</v>
      </c>
      <c r="AC126" s="16"/>
      <c r="AD126" s="16"/>
      <c r="AE126" s="16"/>
      <c r="AF126" s="16"/>
      <c r="AG126" s="16"/>
      <c r="AH126" s="16"/>
      <c r="AI126" s="16"/>
      <c r="AJ126" s="16"/>
      <c r="AK126" s="16"/>
      <c r="AL126" s="2" t="e">
        <f>IF(AND(Y83&gt;=$W$9,Y83&lt;=$W$9+5),0,IF($C$9&gt;$AF$51,ROUND(AI86*#REF!/(DATEVALUE(CONCATENATE("01/01/",YEAR(Z83)+1))-DATEVALUE(CONCATENATE("01/01/",YEAR(Z83))))*(Z83-Z82),2),0))</f>
        <v>#REF!</v>
      </c>
      <c r="AM126" s="34">
        <f t="shared" si="99"/>
        <v>0</v>
      </c>
      <c r="AN126" s="57">
        <f t="shared" si="98"/>
        <v>62326</v>
      </c>
      <c r="AO126" s="130"/>
      <c r="BL126" s="2" t="e">
        <f>IF(AND(G81&gt;=$W$9,G81&lt;=$W$9+5),0,IF($C$9&gt;$AF$51,ROUND(BG80*IF(#REF!="",0,#REF!)/(DATEVALUE(CONCATENATE("01/01/",YEAR(AQ81)+1))-DATEVALUE(CONCATENATE("01/01/",YEAR(AQ81))))*(AQ81-AQ80),2),0))</f>
        <v>#REF!</v>
      </c>
    </row>
    <row r="127" spans="1:64" x14ac:dyDescent="0.25">
      <c r="W127" s="2" t="e">
        <f>IF(AND(G92&gt;=$W$9,G92&lt;=$W$9+5),0,IF($C$9&gt;$AF$51,ROUND(S91*#REF!/(DATEVALUE(CONCATENATE("01/01/",YEAR(H92)+1))-DATEVALUE(CONCATENATE("01/01/",YEAR(H92))))*(H92-H91),2),0))</f>
        <v>#REF!</v>
      </c>
      <c r="X127" s="34">
        <f t="shared" si="97"/>
        <v>0</v>
      </c>
      <c r="Y127" s="57">
        <f t="shared" si="96"/>
        <v>64151</v>
      </c>
      <c r="AC127" s="16"/>
      <c r="AD127" s="16"/>
      <c r="AE127" s="16"/>
      <c r="AF127" s="16"/>
      <c r="AG127" s="16"/>
      <c r="AH127" s="16"/>
      <c r="AI127" s="16"/>
      <c r="AJ127" s="16"/>
      <c r="AK127" s="16"/>
      <c r="AL127" s="2" t="e">
        <f>IF(AND(Y84&gt;=$W$9,Y84&lt;=$W$9+5),0,IF($C$9&gt;$AF$51,ROUND(AI87*#REF!/(DATEVALUE(CONCATENATE("01/01/",YEAR(Z84)+1))-DATEVALUE(CONCATENATE("01/01/",YEAR(Z84))))*(Z84-Z83),2),0))</f>
        <v>#REF!</v>
      </c>
      <c r="AM127" s="34">
        <f t="shared" si="99"/>
        <v>0</v>
      </c>
      <c r="AN127" s="57">
        <f t="shared" si="98"/>
        <v>62691</v>
      </c>
      <c r="BL127" s="2" t="e">
        <f>IF(AND(G82&gt;=$W$9,G82&lt;=$W$9+5),0,IF($C$9&gt;$AF$51,ROUND(BG81*IF(#REF!="",0,#REF!)/(DATEVALUE(CONCATENATE("01/01/",YEAR(AQ82)+1))-DATEVALUE(CONCATENATE("01/01/",YEAR(AQ82))))*(AQ82-AQ81),2),0))</f>
        <v>#REF!</v>
      </c>
    </row>
    <row r="128" spans="1:64" x14ac:dyDescent="0.25">
      <c r="W128" s="2" t="e">
        <f>IF(AND(G93&gt;=$W$9,G93&lt;=$W$9+5),0,IF($C$9&gt;$AF$51,ROUND(S92*#REF!/(DATEVALUE(CONCATENATE("01/01/",YEAR(H93)+1))-DATEVALUE(CONCATENATE("01/01/",YEAR(H93))))*(H93-H92),2),0))</f>
        <v>#REF!</v>
      </c>
      <c r="X128" s="34">
        <f t="shared" si="97"/>
        <v>0</v>
      </c>
      <c r="Y128" s="57">
        <f t="shared" si="96"/>
        <v>64516</v>
      </c>
      <c r="AC128" s="16"/>
      <c r="AD128" s="16"/>
      <c r="AE128" s="16"/>
      <c r="AF128" s="16"/>
      <c r="AG128" s="16"/>
      <c r="AH128" s="16"/>
      <c r="AI128" s="16"/>
      <c r="AJ128" s="16"/>
      <c r="AK128" s="60"/>
      <c r="AL128" s="2" t="e">
        <f>IF(AND(Y85&gt;=$W$9,Y85&lt;=$W$9+5),0,IF($C$9&gt;$AF$51,ROUND(AI88*#REF!/(DATEVALUE(CONCATENATE("01/01/",YEAR(Z85)+1))-DATEVALUE(CONCATENATE("01/01/",YEAR(Z85))))*(Z85-Z84),2),0))</f>
        <v>#REF!</v>
      </c>
      <c r="AM128" s="34">
        <f t="shared" si="99"/>
        <v>0</v>
      </c>
      <c r="AN128" s="57">
        <f t="shared" si="98"/>
        <v>63056</v>
      </c>
      <c r="BL128" s="2" t="e">
        <f>IF(AND(G83&gt;=$W$9,G83&lt;=$W$9+5),0,IF($C$9&gt;$AF$51,ROUND(BG82*IF(#REF!="",0,#REF!)/(DATEVALUE(CONCATENATE("01/01/",YEAR(AQ83)+1))-DATEVALUE(CONCATENATE("01/01/",YEAR(AQ83))))*(AQ83-AQ82),2),0))</f>
        <v>#REF!</v>
      </c>
    </row>
    <row r="129" spans="23:64" x14ac:dyDescent="0.25">
      <c r="W129" s="2" t="e">
        <f>IF(AND(G94&gt;=$W$9,G94&lt;=$W$9+5),0,IF($C$9&gt;$AF$51,ROUND(S93*#REF!/(DATEVALUE(CONCATENATE("01/01/",YEAR(H94)+1))-DATEVALUE(CONCATENATE("01/01/",YEAR(H94))))*(H94-H93),2),0))</f>
        <v>#REF!</v>
      </c>
      <c r="X129" s="34">
        <f t="shared" si="97"/>
        <v>0</v>
      </c>
      <c r="Y129" s="57">
        <f t="shared" si="96"/>
        <v>64881</v>
      </c>
      <c r="AC129" s="16"/>
      <c r="AD129" s="16"/>
      <c r="AE129" s="33"/>
      <c r="AF129" s="33"/>
      <c r="AG129" s="33"/>
      <c r="AH129" s="33"/>
      <c r="AI129" s="16"/>
      <c r="AL129" s="2" t="e">
        <f>IF(AND(Y86&gt;=$W$9,Y86&lt;=$W$9+5),0,IF($C$9&gt;$AF$51,ROUND(AI89*#REF!/(DATEVALUE(CONCATENATE("01/01/",YEAR(Z86)+1))-DATEVALUE(CONCATENATE("01/01/",YEAR(Z86))))*(Z86-Z85),2),0))</f>
        <v>#REF!</v>
      </c>
      <c r="AM129" s="34">
        <f t="shared" si="99"/>
        <v>0</v>
      </c>
      <c r="AN129" s="57">
        <f t="shared" si="98"/>
        <v>63421</v>
      </c>
      <c r="BL129" s="2" t="e">
        <f>IF(AND(G84&gt;=$W$9,G84&lt;=$W$9+5),0,IF($C$9&gt;$AF$51,ROUND(BG83*IF(#REF!="",0,#REF!)/(DATEVALUE(CONCATENATE("01/01/",YEAR(AQ84)+1))-DATEVALUE(CONCATENATE("01/01/",YEAR(AQ84))))*(AQ84-AQ83),2),0))</f>
        <v>#REF!</v>
      </c>
    </row>
    <row r="130" spans="23:64" x14ac:dyDescent="0.25">
      <c r="W130" s="2" t="e">
        <f>IF(AND(G95&gt;=$W$9,G95&lt;=$W$9+5),0,IF($C$9&gt;$AF$51,ROUND(S94*#REF!/(DATEVALUE(CONCATENATE("01/01/",YEAR(H95)+1))-DATEVALUE(CONCATENATE("01/01/",YEAR(H95))))*(H95-H94),2),0))</f>
        <v>#REF!</v>
      </c>
      <c r="X130" s="34">
        <f t="shared" si="97"/>
        <v>0</v>
      </c>
      <c r="Y130" s="57">
        <f t="shared" si="96"/>
        <v>65246</v>
      </c>
      <c r="AL130" s="2" t="e">
        <f>IF(AND(Y87&gt;=$W$9,Y87&lt;=$W$9+5),0,IF($C$9&gt;$AF$51,ROUND(AI90*#REF!/(DATEVALUE(CONCATENATE("01/01/",YEAR(Z87)+1))-DATEVALUE(CONCATENATE("01/01/",YEAR(Z87))))*(Z87-Z86),2),0))</f>
        <v>#REF!</v>
      </c>
      <c r="AM130" s="34">
        <f t="shared" si="99"/>
        <v>0</v>
      </c>
      <c r="AN130" s="57">
        <f t="shared" si="98"/>
        <v>63786</v>
      </c>
      <c r="BL130" s="2" t="e">
        <f>IF(AND(G85&gt;=$W$9,G85&lt;=$W$9+5),0,IF($C$9&gt;$AF$51,ROUND(BG84*IF(#REF!="",0,#REF!)/(DATEVALUE(CONCATENATE("01/01/",YEAR(AQ85)+1))-DATEVALUE(CONCATENATE("01/01/",YEAR(AQ85))))*(AQ85-AQ84),2),0))</f>
        <v>#REF!</v>
      </c>
    </row>
    <row r="131" spans="23:64" x14ac:dyDescent="0.25">
      <c r="W131" s="2" t="e">
        <f>IF(AND(G96&gt;=$W$9,G96&lt;=$W$9+5),0,IF($C$9&gt;$AF$51,ROUND(S95*#REF!/(DATEVALUE(CONCATENATE("01/01/",YEAR(H96)+1))-DATEVALUE(CONCATENATE("01/01/",YEAR(H96))))*(H96-H95),2),0))</f>
        <v>#REF!</v>
      </c>
      <c r="X131" s="34">
        <f t="shared" si="97"/>
        <v>0</v>
      </c>
      <c r="Y131" s="57">
        <f t="shared" si="96"/>
        <v>65611</v>
      </c>
      <c r="AL131" s="2" t="e">
        <f>IF(AND(Y88&gt;=$W$9,Y88&lt;=$W$9+5),0,IF($C$9&gt;$AF$51,ROUND(AI91*#REF!/(DATEVALUE(CONCATENATE("01/01/",YEAR(Z88)+1))-DATEVALUE(CONCATENATE("01/01/",YEAR(Z88))))*(Z88-Z87),2),0))</f>
        <v>#REF!</v>
      </c>
      <c r="AM131" s="34">
        <f t="shared" si="99"/>
        <v>0</v>
      </c>
      <c r="AN131" s="57">
        <f t="shared" si="98"/>
        <v>64151</v>
      </c>
      <c r="BL131" s="2" t="e">
        <f>IF(AND(G86&gt;=$W$9,G86&lt;=$W$9+5),0,IF($C$9&gt;$AF$51,ROUND(BG85*IF(#REF!="",0,#REF!)/(DATEVALUE(CONCATENATE("01/01/",YEAR(AQ86)+1))-DATEVALUE(CONCATENATE("01/01/",YEAR(AQ86))))*(AQ86-AQ85),2),0))</f>
        <v>#REF!</v>
      </c>
    </row>
    <row r="132" spans="23:64" x14ac:dyDescent="0.25">
      <c r="W132" s="2" t="e">
        <f>IF(AND(G97&gt;=$W$9,G97&lt;=$W$9+5),0,IF($C$9&gt;$AF$51,ROUND(S96*#REF!/(DATEVALUE(CONCATENATE("01/01/",YEAR(H97)+1))-DATEVALUE(CONCATENATE("01/01/",YEAR(H97))))*(H97-H96),2),0))</f>
        <v>#REF!</v>
      </c>
      <c r="X132" s="34">
        <f t="shared" si="97"/>
        <v>0</v>
      </c>
      <c r="Y132" s="57">
        <f t="shared" si="96"/>
        <v>65976</v>
      </c>
      <c r="AL132" s="2" t="e">
        <f>IF(AND(Y89&gt;=$W$9,Y89&lt;=$W$9+5),0,IF($C$9&gt;$AF$51,ROUND(AI92*#REF!/(DATEVALUE(CONCATENATE("01/01/",YEAR(Z89)+1))-DATEVALUE(CONCATENATE("01/01/",YEAR(Z89))))*(Z89-Z88),2),0))</f>
        <v>#REF!</v>
      </c>
      <c r="AM132" s="34">
        <f t="shared" si="99"/>
        <v>0</v>
      </c>
      <c r="AN132" s="57">
        <f t="shared" si="98"/>
        <v>64516</v>
      </c>
      <c r="BL132" s="2" t="e">
        <f>IF(AND(G87&gt;=$W$9,G87&lt;=$W$9+5),0,IF($C$9&gt;$AF$51,ROUND(BG86*IF(#REF!="",0,#REF!)/(DATEVALUE(CONCATENATE("01/01/",YEAR(AQ87)+1))-DATEVALUE(CONCATENATE("01/01/",YEAR(AQ87))))*(AQ87-AQ86),2),0))</f>
        <v>#REF!</v>
      </c>
    </row>
    <row r="133" spans="23:64" x14ac:dyDescent="0.25">
      <c r="W133" s="2" t="e">
        <f>IF(AND(G98&gt;=$W$9,G98&lt;=$W$9+5),0,IF($C$9&gt;$AF$51,ROUND(S97*#REF!/(DATEVALUE(CONCATENATE("01/01/",YEAR(H98)+1))-DATEVALUE(CONCATENATE("01/01/",YEAR(H98))))*(H98-H97),2),0))</f>
        <v>#REF!</v>
      </c>
      <c r="X133" s="34">
        <f t="shared" si="97"/>
        <v>0</v>
      </c>
      <c r="Y133" s="57">
        <f t="shared" si="96"/>
        <v>66341</v>
      </c>
      <c r="AL133" s="2" t="e">
        <f>IF(AND(Y90&gt;=$W$9,Y90&lt;=$W$9+5),0,IF($C$9&gt;$AF$51,ROUND(AI93*#REF!/(DATEVALUE(CONCATENATE("01/01/",YEAR(Z90)+1))-DATEVALUE(CONCATENATE("01/01/",YEAR(Z90))))*(Z90-Z89),2),0))</f>
        <v>#REF!</v>
      </c>
      <c r="AM133" s="34">
        <f t="shared" si="99"/>
        <v>0</v>
      </c>
      <c r="AN133" s="57">
        <f t="shared" si="98"/>
        <v>64881</v>
      </c>
      <c r="BL133" s="2" t="e">
        <f>IF(AND(G88&gt;=$W$9,G88&lt;=$W$9+5),0,IF($C$9&gt;$AF$51,ROUND(BG87*IF(#REF!="",0,#REF!)/(DATEVALUE(CONCATENATE("01/01/",YEAR(AQ88)+1))-DATEVALUE(CONCATENATE("01/01/",YEAR(AQ88))))*(AQ88-AQ87),2),0))</f>
        <v>#REF!</v>
      </c>
    </row>
    <row r="134" spans="23:64" x14ac:dyDescent="0.25">
      <c r="W134" s="2" t="e">
        <f>IF(AND(G99&gt;=$W$9,G99&lt;=$W$9+5),0,IF($C$9&gt;$AF$51,ROUND(S98*#REF!/(DATEVALUE(CONCATENATE("01/01/",YEAR(H99)+1))-DATEVALUE(CONCATENATE("01/01/",YEAR(H99))))*(H99-H98),2),0))</f>
        <v>#REF!</v>
      </c>
      <c r="X134" s="34">
        <f t="shared" si="97"/>
        <v>0</v>
      </c>
      <c r="Y134" s="57">
        <f t="shared" si="96"/>
        <v>66706</v>
      </c>
      <c r="AL134" s="2" t="e">
        <f>IF(AND(Y91&gt;=$W$9,Y91&lt;=$W$9+5),0,IF($C$9&gt;$AF$51,ROUND(AI94*#REF!/(DATEVALUE(CONCATENATE("01/01/",YEAR(Z91)+1))-DATEVALUE(CONCATENATE("01/01/",YEAR(Z91))))*(Z91-Z90),2),0))</f>
        <v>#REF!</v>
      </c>
      <c r="AM134" s="34">
        <f t="shared" si="99"/>
        <v>0</v>
      </c>
      <c r="AN134" s="57">
        <f t="shared" si="98"/>
        <v>65246</v>
      </c>
      <c r="BL134" s="2" t="e">
        <f>IF(AND(G89&gt;=$W$9,G89&lt;=$W$9+5),0,IF($C$9&gt;$AF$51,ROUND(BG88*IF(#REF!="",0,#REF!)/(DATEVALUE(CONCATENATE("01/01/",YEAR(AQ89)+1))-DATEVALUE(CONCATENATE("01/01/",YEAR(AQ89))))*(AQ89-AQ88),2),0))</f>
        <v>#REF!</v>
      </c>
    </row>
    <row r="135" spans="23:64" x14ac:dyDescent="0.25">
      <c r="W135" s="2" t="e">
        <f>IF(AND(G100&gt;=$W$9,G100&lt;=$W$9+5),0,IF($C$9&gt;$AF$51,ROUND(S99*#REF!/(DATEVALUE(CONCATENATE("01/01/",YEAR(H100)+1))-DATEVALUE(CONCATENATE("01/01/",YEAR(H100))))*(H100-H99),2),0))</f>
        <v>#REF!</v>
      </c>
      <c r="X135" s="34">
        <f t="shared" si="97"/>
        <v>0</v>
      </c>
      <c r="Y135" s="57">
        <f t="shared" si="96"/>
        <v>67071</v>
      </c>
      <c r="AL135" s="2" t="e">
        <f>IF(AND(Y92&gt;=$W$9,Y92&lt;=$W$9+5),0,IF($C$9&gt;$AF$51,ROUND(AI95*#REF!/(DATEVALUE(CONCATENATE("01/01/",YEAR(Z92)+1))-DATEVALUE(CONCATENATE("01/01/",YEAR(Z92))))*(Z92-Z91),2),0))</f>
        <v>#REF!</v>
      </c>
      <c r="AM135" s="34">
        <f t="shared" si="99"/>
        <v>0</v>
      </c>
      <c r="AN135" s="57">
        <f t="shared" si="98"/>
        <v>65611</v>
      </c>
      <c r="BL135" s="2" t="e">
        <f>IF(AND(G90&gt;=$W$9,G90&lt;=$W$9+5),0,IF($C$9&gt;$AF$51,ROUND(BG89*IF(#REF!="",0,#REF!)/(DATEVALUE(CONCATENATE("01/01/",YEAR(AQ90)+1))-DATEVALUE(CONCATENATE("01/01/",YEAR(AQ90))))*(AQ90-AQ89),2),0))</f>
        <v>#REF!</v>
      </c>
    </row>
    <row r="136" spans="23:64" x14ac:dyDescent="0.25">
      <c r="W136" s="2" t="e">
        <f>IF(AND(G101&gt;=$W$9,G101&lt;=$W$9+5),0,IF($C$9&gt;$AF$51,ROUND(S100*#REF!/(DATEVALUE(CONCATENATE("01/01/",YEAR(H101)+1))-DATEVALUE(CONCATENATE("01/01/",YEAR(H101))))*(H101-H100),2),0))</f>
        <v>#REF!</v>
      </c>
      <c r="X136" s="34">
        <f t="shared" si="97"/>
        <v>0</v>
      </c>
      <c r="Y136" s="57">
        <f t="shared" si="96"/>
        <v>67436</v>
      </c>
      <c r="AL136" s="2" t="e">
        <f>IF(AND(Y93&gt;=$W$9,Y93&lt;=$W$9+5),0,IF($C$9&gt;$AF$51,ROUND(AI96*#REF!/(DATEVALUE(CONCATENATE("01/01/",YEAR(Z93)+1))-DATEVALUE(CONCATENATE("01/01/",YEAR(Z93))))*(Z93-Z92),2),0))</f>
        <v>#REF!</v>
      </c>
      <c r="AM136" s="34">
        <f t="shared" si="99"/>
        <v>0</v>
      </c>
      <c r="AN136" s="57">
        <f t="shared" si="98"/>
        <v>65976</v>
      </c>
      <c r="BL136" s="2" t="e">
        <f>IF(AND(G91&gt;=$W$9,G91&lt;=$W$9+5),0,IF($C$9&gt;$AF$51,ROUND(BG90*IF(#REF!="",0,#REF!)/(DATEVALUE(CONCATENATE("01/01/",YEAR(AQ91)+1))-DATEVALUE(CONCATENATE("01/01/",YEAR(AQ91))))*(AQ91-AQ90),2),0))</f>
        <v>#REF!</v>
      </c>
    </row>
    <row r="137" spans="23:64" x14ac:dyDescent="0.25">
      <c r="W137" s="2" t="e">
        <f>IF(AND(G102&gt;=$W$9,G102&lt;=$W$9+5),0,IF($C$9&gt;$AF$51,ROUND(S101*#REF!/(DATEVALUE(CONCATENATE("01/01/",YEAR(H102)+1))-DATEVALUE(CONCATENATE("01/01/",YEAR(H102))))*(H102-H101),2),0))</f>
        <v>#REF!</v>
      </c>
      <c r="X137" s="34">
        <f t="shared" si="97"/>
        <v>0</v>
      </c>
      <c r="Y137" s="57">
        <f t="shared" si="96"/>
        <v>67801</v>
      </c>
      <c r="AL137" s="2" t="e">
        <f>IF(AND(Y94&gt;=$W$9,Y94&lt;=$W$9+5),0,IF($C$9&gt;$AF$51,ROUND(AI97*#REF!/(DATEVALUE(CONCATENATE("01/01/",YEAR(Z94)+1))-DATEVALUE(CONCATENATE("01/01/",YEAR(Z94))))*(Z94-Z93),2),0))</f>
        <v>#REF!</v>
      </c>
      <c r="AM137" s="34">
        <f t="shared" si="99"/>
        <v>0</v>
      </c>
      <c r="AN137" s="57">
        <f t="shared" si="98"/>
        <v>66341</v>
      </c>
      <c r="BL137" s="2" t="e">
        <f>IF(AND(G92&gt;=$W$9,G92&lt;=$W$9+5),0,IF($C$9&gt;$AF$51,ROUND(BG91*IF(#REF!="",0,#REF!)/(DATEVALUE(CONCATENATE("01/01/",YEAR(AQ92)+1))-DATEVALUE(CONCATENATE("01/01/",YEAR(AQ92))))*(AQ92-AQ91),2),0))</f>
        <v>#REF!</v>
      </c>
    </row>
    <row r="138" spans="23:64" x14ac:dyDescent="0.25">
      <c r="W138" s="2" t="e">
        <f>IF(AND(G103&gt;=$W$9,G103&lt;=$W$9+5),0,IF($C$9&gt;$AF$51,ROUND(S102*#REF!/(DATEVALUE(CONCATENATE("01/01/",YEAR(H103)+1))-DATEVALUE(CONCATENATE("01/01/",YEAR(H103))))*(H103-H102),2),0))</f>
        <v>#REF!</v>
      </c>
      <c r="X138" s="34">
        <f t="shared" si="97"/>
        <v>0</v>
      </c>
      <c r="Y138" s="57">
        <f t="shared" si="96"/>
        <v>68166</v>
      </c>
      <c r="AL138" s="2" t="e">
        <f>IF(AND(Y95&gt;=$W$9,Y95&lt;=$W$9+5),0,IF($C$9&gt;$AF$51,ROUND(AI98*#REF!/(DATEVALUE(CONCATENATE("01/01/",YEAR(Z95)+1))-DATEVALUE(CONCATENATE("01/01/",YEAR(Z95))))*(Z95-Z94),2),0))</f>
        <v>#REF!</v>
      </c>
      <c r="AM138" s="34">
        <f t="shared" si="99"/>
        <v>0</v>
      </c>
      <c r="AN138" s="57">
        <f t="shared" si="98"/>
        <v>66706</v>
      </c>
      <c r="BL138" s="2" t="e">
        <f>IF(AND(G93&gt;=$W$9,G93&lt;=$W$9+5),0,IF($C$9&gt;$AF$51,ROUND(BG92*IF(#REF!="",0,#REF!)/(DATEVALUE(CONCATENATE("01/01/",YEAR(AQ93)+1))-DATEVALUE(CONCATENATE("01/01/",YEAR(AQ93))))*(AQ93-AQ92),2),0))</f>
        <v>#REF!</v>
      </c>
    </row>
    <row r="139" spans="23:64" x14ac:dyDescent="0.25">
      <c r="W139" s="2" t="e">
        <f>IF(AND(G104&gt;=$W$9,G104&lt;=$W$9+5),0,IF($C$9&gt;$AF$51,ROUND(S103*#REF!/(DATEVALUE(CONCATENATE("01/01/",YEAR(H104)+1))-DATEVALUE(CONCATENATE("01/01/",YEAR(H104))))*(H104-H103),2),0))</f>
        <v>#REF!</v>
      </c>
      <c r="X139" s="34">
        <f t="shared" si="97"/>
        <v>0</v>
      </c>
      <c r="Y139" s="57">
        <f t="shared" si="96"/>
        <v>68531</v>
      </c>
      <c r="AL139" s="2" t="e">
        <f>IF(AND(Y96&gt;=$W$9,Y96&lt;=$W$9+5),0,IF($C$9&gt;$AF$51,ROUND(AI99*#REF!/(DATEVALUE(CONCATENATE("01/01/",YEAR(Z96)+1))-DATEVALUE(CONCATENATE("01/01/",YEAR(Z96))))*(Z96-Z95),2),0))</f>
        <v>#REF!</v>
      </c>
      <c r="AM139" s="34">
        <f t="shared" si="99"/>
        <v>0</v>
      </c>
      <c r="AN139" s="57">
        <f t="shared" si="98"/>
        <v>67071</v>
      </c>
      <c r="BL139" s="2" t="e">
        <f>IF(AND(G94&gt;=$W$9,G94&lt;=$W$9+5),0,IF($C$9&gt;$AF$51,ROUND(BG93*IF(#REF!="",0,#REF!)/(DATEVALUE(CONCATENATE("01/01/",YEAR(AQ94)+1))-DATEVALUE(CONCATENATE("01/01/",YEAR(AQ94))))*(AQ94-AQ93),2),0))</f>
        <v>#REF!</v>
      </c>
    </row>
    <row r="140" spans="23:64" x14ac:dyDescent="0.25">
      <c r="W140" s="2" t="e">
        <f>IF(AND(G105&gt;=$W$9,G105&lt;=$W$9+5),0,IF($C$9&gt;$AF$51,ROUND(S104*#REF!/(DATEVALUE(CONCATENATE("01/01/",YEAR(H105)+1))-DATEVALUE(CONCATENATE("01/01/",YEAR(H105))))*(H105-H104),2),0))</f>
        <v>#REF!</v>
      </c>
      <c r="X140" s="34">
        <f t="shared" si="97"/>
        <v>0</v>
      </c>
      <c r="Y140" s="57">
        <f t="shared" si="96"/>
        <v>68896</v>
      </c>
      <c r="AL140" s="2" t="e">
        <f>IF(AND(Y97&gt;=$W$9,Y97&lt;=$W$9+5),0,IF($C$9&gt;$AF$51,ROUND(AI100*#REF!/(DATEVALUE(CONCATENATE("01/01/",YEAR(Z97)+1))-DATEVALUE(CONCATENATE("01/01/",YEAR(Z97))))*(Z97-Z96),2),0))</f>
        <v>#REF!</v>
      </c>
      <c r="AM140" s="34">
        <f t="shared" si="99"/>
        <v>0</v>
      </c>
      <c r="AN140" s="57">
        <f t="shared" si="98"/>
        <v>67436</v>
      </c>
      <c r="BL140" s="2" t="e">
        <f>IF(AND(G95&gt;=$W$9,G95&lt;=$W$9+5),0,IF($C$9&gt;$AF$51,ROUND(BG94*IF(#REF!="",0,#REF!)/(DATEVALUE(CONCATENATE("01/01/",YEAR(AQ95)+1))-DATEVALUE(CONCATENATE("01/01/",YEAR(AQ95))))*(AQ95-AQ94),2),0))</f>
        <v>#REF!</v>
      </c>
    </row>
    <row r="141" spans="23:64" x14ac:dyDescent="0.25">
      <c r="W141" s="2" t="e">
        <f>IF(AND(G106&gt;=$W$9,G106&lt;=$W$9+5),0,IF($C$9&gt;$AF$51,ROUND(S105*#REF!/(DATEVALUE(CONCATENATE("01/01/",YEAR(H106)+1))-DATEVALUE(CONCATENATE("01/01/",YEAR(H106))))*(H106-H105),2),0))</f>
        <v>#REF!</v>
      </c>
      <c r="X141" s="34">
        <f t="shared" si="97"/>
        <v>0</v>
      </c>
      <c r="Y141" s="57">
        <f t="shared" si="96"/>
        <v>69261</v>
      </c>
      <c r="AL141" s="2" t="e">
        <f>IF(AND(Y98&gt;=$W$9,Y98&lt;=$W$9+5),0,IF($C$9&gt;$AF$51,ROUND(AI101*#REF!/(DATEVALUE(CONCATENATE("01/01/",YEAR(Z98)+1))-DATEVALUE(CONCATENATE("01/01/",YEAR(Z98))))*(Z98-Z97),2),0))</f>
        <v>#REF!</v>
      </c>
      <c r="AM141" s="34">
        <f t="shared" si="99"/>
        <v>0</v>
      </c>
      <c r="AN141" s="57">
        <f t="shared" si="98"/>
        <v>67801</v>
      </c>
      <c r="BL141" s="2" t="e">
        <f>IF(AND(G96&gt;=$W$9,G96&lt;=$W$9+5),0,IF($C$9&gt;$AF$51,ROUND(BG95*IF(#REF!="",0,#REF!)/(DATEVALUE(CONCATENATE("01/01/",YEAR(AQ96)+1))-DATEVALUE(CONCATENATE("01/01/",YEAR(AQ96))))*(AQ96-AQ95),2),0))</f>
        <v>#REF!</v>
      </c>
    </row>
    <row r="142" spans="23:64" x14ac:dyDescent="0.25">
      <c r="W142" s="2" t="e">
        <f>IF(AND(G107&gt;=$W$9,G107&lt;=$W$9+5),0,IF($C$9&gt;$AF$51,ROUND(S106*#REF!/(DATEVALUE(CONCATENATE("01/01/",YEAR(H107)+1))-DATEVALUE(CONCATENATE("01/01/",YEAR(H107))))*(H107-H106),2),0))</f>
        <v>#REF!</v>
      </c>
      <c r="X142" s="34">
        <f t="shared" si="97"/>
        <v>0</v>
      </c>
      <c r="Y142" s="57">
        <f t="shared" si="96"/>
        <v>69626</v>
      </c>
      <c r="AL142" s="2" t="e">
        <f>IF(AND(Y99&gt;=$W$9,Y99&lt;=$W$9+5),0,IF($C$9&gt;$AF$51,ROUND(AI102*#REF!/(DATEVALUE(CONCATENATE("01/01/",YEAR(Z99)+1))-DATEVALUE(CONCATENATE("01/01/",YEAR(Z99))))*(Z99-Z98),2),0))</f>
        <v>#REF!</v>
      </c>
      <c r="AM142" s="34">
        <f t="shared" si="99"/>
        <v>0</v>
      </c>
      <c r="AN142" s="57">
        <f t="shared" si="98"/>
        <v>68166</v>
      </c>
      <c r="BL142" s="2" t="e">
        <f>IF(AND(G97&gt;=$W$9,G97&lt;=$W$9+5),0,IF($C$9&gt;$AF$51,ROUND(BG96*IF(#REF!="",0,#REF!)/(DATEVALUE(CONCATENATE("01/01/",YEAR(AQ97)+1))-DATEVALUE(CONCATENATE("01/01/",YEAR(AQ97))))*(AQ97-AQ96),2),0))</f>
        <v>#REF!</v>
      </c>
    </row>
    <row r="143" spans="23:64" x14ac:dyDescent="0.25">
      <c r="W143" s="2" t="e">
        <f>IF(AND(G108&gt;=$W$9,G108&lt;=$W$9+5),0,IF($C$9&gt;$AF$51,ROUND(S107*#REF!/(DATEVALUE(CONCATENATE("01/01/",YEAR(H108)+1))-DATEVALUE(CONCATENATE("01/01/",YEAR(H108))))*(H108-H107),2),0))</f>
        <v>#REF!</v>
      </c>
      <c r="X143" s="34">
        <f>IF(K108 &gt; 0, $K$9, 0)</f>
        <v>0</v>
      </c>
      <c r="Y143" s="57">
        <f t="shared" si="96"/>
        <v>69991</v>
      </c>
      <c r="AL143" s="2" t="e">
        <f>IF(AND(Y100&gt;=$W$9,Y100&lt;=$W$9+5),0,IF($C$9&gt;$AF$51,ROUND(AI103*#REF!/(DATEVALUE(CONCATENATE("01/01/",YEAR(Z100)+1))-DATEVALUE(CONCATENATE("01/01/",YEAR(Z100))))*(Z100-Z99),2),0))</f>
        <v>#REF!</v>
      </c>
      <c r="AM143" s="34">
        <f t="shared" si="99"/>
        <v>0</v>
      </c>
      <c r="AN143" s="57">
        <f t="shared" si="98"/>
        <v>68531</v>
      </c>
      <c r="BL143" s="2" t="e">
        <f>IF(AND(G98&gt;=$W$9,G98&lt;=$W$9+5),0,IF($C$9&gt;$AF$51,ROUND(BG97*IF(#REF!="",0,#REF!)/(DATEVALUE(CONCATENATE("01/01/",YEAR(AQ98)+1))-DATEVALUE(CONCATENATE("01/01/",YEAR(AQ98))))*(AQ98-AQ97),2),0))</f>
        <v>#REF!</v>
      </c>
    </row>
    <row r="144" spans="23:64" x14ac:dyDescent="0.25">
      <c r="W144" s="35" t="e">
        <f>SUM(W44:W143)</f>
        <v>#REF!</v>
      </c>
      <c r="X144" s="35">
        <f>SUM(X44:X143)</f>
        <v>453231.97</v>
      </c>
      <c r="Y144" s="154">
        <f>XIRR(X42:X143,Y42:Y143)*12</f>
        <v>8.1191647052764895E-2</v>
      </c>
      <c r="AL144" s="2" t="e">
        <f>IF(AND(Y101&gt;=$W$9,Y101&lt;=$W$9+5),0,IF($C$9&gt;$AF$51,ROUND(AI104*#REF!/(DATEVALUE(CONCATENATE("01/01/",YEAR(Z101)+1))-DATEVALUE(CONCATENATE("01/01/",YEAR(Z101))))*(Z101-Z100),2),0))</f>
        <v>#REF!</v>
      </c>
      <c r="AM144" s="34">
        <f t="shared" si="99"/>
        <v>0</v>
      </c>
      <c r="AN144" s="57">
        <f t="shared" si="98"/>
        <v>68896</v>
      </c>
      <c r="BL144" s="2" t="e">
        <f>IF(AND(G99&gt;=$W$9,G99&lt;=$W$9+5),0,IF($C$9&gt;$AF$51,ROUND(BG98*IF(#REF!="",0,#REF!)/(DATEVALUE(CONCATENATE("01/01/",YEAR(AQ99)+1))-DATEVALUE(CONCATENATE("01/01/",YEAR(AQ99))))*(AQ99-AQ98),2),0))</f>
        <v>#REF!</v>
      </c>
    </row>
    <row r="145" spans="24:64" x14ac:dyDescent="0.25">
      <c r="X145" s="34"/>
      <c r="Y145" s="57"/>
      <c r="AL145" s="2" t="e">
        <f>IF(AND(Y102&gt;=$W$9,Y102&lt;=$W$9+5),0,IF($C$9&gt;$AF$51,ROUND(AI105*#REF!/(DATEVALUE(CONCATENATE("01/01/",YEAR(Z102)+1))-DATEVALUE(CONCATENATE("01/01/",YEAR(Z102))))*(Z102-Z101),2),0))</f>
        <v>#REF!</v>
      </c>
      <c r="AM145" s="34">
        <f t="shared" si="99"/>
        <v>0</v>
      </c>
      <c r="AN145" s="57">
        <f t="shared" si="98"/>
        <v>69261</v>
      </c>
      <c r="BL145" s="2" t="e">
        <f>IF(AND(G100&gt;=$W$9,G100&lt;=$W$9+5),0,IF($C$9&gt;$AF$51,ROUND(BG99*IF(#REF!="",0,#REF!)/(DATEVALUE(CONCATENATE("01/01/",YEAR(AQ100)+1))-DATEVALUE(CONCATENATE("01/01/",YEAR(AQ100))))*(AQ100-AQ99),2),0))</f>
        <v>#REF!</v>
      </c>
    </row>
    <row r="146" spans="24:64" x14ac:dyDescent="0.25">
      <c r="X146" s="34"/>
      <c r="Y146" s="57"/>
      <c r="AL146" s="2" t="e">
        <f>IF(AND(Y103&gt;=$W$9,Y103&lt;=$W$9+5),0,IF($C$9&gt;$AF$51,ROUND(AI106*#REF!/(DATEVALUE(CONCATENATE("01/01/",YEAR(Z103)+1))-DATEVALUE(CONCATENATE("01/01/",YEAR(Z103))))*(Z103-Z102),2),0))</f>
        <v>#REF!</v>
      </c>
      <c r="AM146" s="34">
        <f t="shared" si="99"/>
        <v>0</v>
      </c>
      <c r="AN146" s="57">
        <f t="shared" si="98"/>
        <v>69626</v>
      </c>
      <c r="BL146" s="2" t="e">
        <f>IF(AND(G101&gt;=$W$9,G101&lt;=$W$9+5),0,IF($C$9&gt;$AF$51,ROUND(BG100*IF(#REF!="",0,#REF!)/(DATEVALUE(CONCATENATE("01/01/",YEAR(AQ101)+1))-DATEVALUE(CONCATENATE("01/01/",YEAR(AQ101))))*(AQ101-AQ100),2),0))</f>
        <v>#REF!</v>
      </c>
    </row>
    <row r="147" spans="24:64" x14ac:dyDescent="0.25">
      <c r="X147" s="34"/>
      <c r="Y147" s="57"/>
      <c r="AL147" s="2" t="e">
        <f>IF(AND(Y104&gt;=$W$9,Y104&lt;=$W$9+5),0,IF($C$9&gt;$AF$51,ROUND(AI107*#REF!/(DATEVALUE(CONCATENATE("01/01/",YEAR(Z104)+1))-DATEVALUE(CONCATENATE("01/01/",YEAR(Z104))))*(Z104-Z103),2),0))</f>
        <v>#REF!</v>
      </c>
      <c r="AM147" s="34">
        <f t="shared" si="99"/>
        <v>0</v>
      </c>
      <c r="AN147" s="57">
        <f t="shared" si="98"/>
        <v>69991</v>
      </c>
      <c r="BL147" s="2" t="e">
        <f>IF(AND(G102&gt;=$W$9,G102&lt;=$W$9+5),0,IF($C$9&gt;$AF$51,ROUND(BG101*IF(#REF!="",0,#REF!)/(DATEVALUE(CONCATENATE("01/01/",YEAR(AQ102)+1))-DATEVALUE(CONCATENATE("01/01/",YEAR(AQ102))))*(AQ102-AQ101),2),0))</f>
        <v>#REF!</v>
      </c>
    </row>
    <row r="148" spans="24:64" x14ac:dyDescent="0.25">
      <c r="X148" s="34"/>
      <c r="Y148" s="57"/>
      <c r="AL148" s="35" t="e">
        <f>SUM(AL48:AL147)</f>
        <v>#REF!</v>
      </c>
      <c r="AM148" s="35">
        <f>SUM(AM48:AM147)</f>
        <v>500930.14999999991</v>
      </c>
      <c r="AN148" s="154">
        <f>XIRR(AM46:AM147,AN46:AN147)*12</f>
        <v>0.13944207429885863</v>
      </c>
      <c r="BL148" s="2" t="e">
        <f>IF(AND(G103&gt;=$W$9,G103&lt;=$W$9+5),0,IF($C$9&gt;$AF$51,ROUND(BG102*IF(#REF!="",0,#REF!)/(DATEVALUE(CONCATENATE("01/01/",YEAR(AQ103)+1))-DATEVALUE(CONCATENATE("01/01/",YEAR(AQ103))))*(AQ103-AQ102),2),0))</f>
        <v>#REF!</v>
      </c>
    </row>
    <row r="149" spans="24:64" x14ac:dyDescent="0.25">
      <c r="BL149" s="2" t="e">
        <f>IF(AND(G104&gt;=$W$9,G104&lt;=$W$9+5),0,IF($C$9&gt;$AF$51,ROUND(BG103*IF(#REF!="",0,#REF!)/(DATEVALUE(CONCATENATE("01/01/",YEAR(AQ104)+1))-DATEVALUE(CONCATENATE("01/01/",YEAR(AQ104))))*(AQ104-AQ103),2),0))</f>
        <v>#REF!</v>
      </c>
    </row>
    <row r="150" spans="24:64" x14ac:dyDescent="0.25">
      <c r="BL150" s="2" t="e">
        <f>IF(AND(G105&gt;=$W$9,G105&lt;=$W$9+5),0,IF($C$9&gt;$AF$51,ROUND(BG104*IF(#REF!="",0,#REF!)/(DATEVALUE(CONCATENATE("01/01/",YEAR(AQ105)+1))-DATEVALUE(CONCATENATE("01/01/",YEAR(AQ105))))*(AQ105-AQ104),2),0))</f>
        <v>#REF!</v>
      </c>
    </row>
    <row r="151" spans="24:64" x14ac:dyDescent="0.25">
      <c r="BL151" s="2" t="e">
        <f>IF(AND(G106&gt;=$W$9,G106&lt;=$W$9+5),0,IF($C$9&gt;$AF$51,ROUND(BG105*IF(#REF!="",0,#REF!)/(DATEVALUE(CONCATENATE("01/01/",YEAR(AQ106)+1))-DATEVALUE(CONCATENATE("01/01/",YEAR(AQ106))))*(AQ106-AQ105),2),0))</f>
        <v>#REF!</v>
      </c>
    </row>
    <row r="152" spans="24:64" x14ac:dyDescent="0.25">
      <c r="BL152" s="2" t="e">
        <f>IF(AND(G107&gt;=$W$9,G107&lt;=$W$9+5),0,IF($C$9&gt;$AF$51,ROUND(BG106*IF(#REF!="",0,#REF!)/(DATEVALUE(CONCATENATE("01/01/",YEAR(AQ107)+1))-DATEVALUE(CONCATENATE("01/01/",YEAR(AQ107))))*(AQ107-AQ106),2),0))</f>
        <v>#REF!</v>
      </c>
    </row>
    <row r="153" spans="24:64" x14ac:dyDescent="0.25">
      <c r="BL153" s="2" t="e">
        <f>IF(AND(G108&gt;=$W$9,G108&lt;=$W$9+5),0,IF($C$9&gt;$AF$51,ROUND(BG107*IF(#REF!="",0,#REF!)/(DATEVALUE(CONCATENATE("01/01/",YEAR(AQ108)+1))-DATEVALUE(CONCATENATE("01/01/",YEAR(AQ108))))*(AQ108-AQ107),2),0))</f>
        <v>#REF!</v>
      </c>
    </row>
    <row r="154" spans="24:64" x14ac:dyDescent="0.25">
      <c r="BL154" s="35" t="e">
        <f>SUM(BL54:BL153)</f>
        <v>#REF!</v>
      </c>
    </row>
  </sheetData>
  <sheetProtection sheet="1" selectLockedCells="1"/>
  <dataConsolidate/>
  <mergeCells count="78">
    <mergeCell ref="A50:A51"/>
    <mergeCell ref="A52:B52"/>
    <mergeCell ref="A53:B53"/>
    <mergeCell ref="A21:C21"/>
    <mergeCell ref="A47:C47"/>
    <mergeCell ref="A49:E49"/>
    <mergeCell ref="C48:E48"/>
    <mergeCell ref="C46:E46"/>
    <mergeCell ref="A42:A45"/>
    <mergeCell ref="A46:B46"/>
    <mergeCell ref="A48:B48"/>
    <mergeCell ref="A35:B35"/>
    <mergeCell ref="D35:E35"/>
    <mergeCell ref="A36:B36"/>
    <mergeCell ref="A37:A40"/>
    <mergeCell ref="A41:B41"/>
    <mergeCell ref="C41:E41"/>
    <mergeCell ref="A30:B30"/>
    <mergeCell ref="A31:B31"/>
    <mergeCell ref="A32:B32"/>
    <mergeCell ref="BN33:BN35"/>
    <mergeCell ref="A33:B33"/>
    <mergeCell ref="A34:E34"/>
    <mergeCell ref="C33:E33"/>
    <mergeCell ref="A29:B29"/>
    <mergeCell ref="A19:E19"/>
    <mergeCell ref="A20:E20"/>
    <mergeCell ref="A22:B22"/>
    <mergeCell ref="A23:B23"/>
    <mergeCell ref="A24:B24"/>
    <mergeCell ref="A25:B25"/>
    <mergeCell ref="A26:B26"/>
    <mergeCell ref="A27:B27"/>
    <mergeCell ref="A28:B28"/>
    <mergeCell ref="BO10:BO11"/>
    <mergeCell ref="A11:B11"/>
    <mergeCell ref="A12:B12"/>
    <mergeCell ref="A13:B13"/>
    <mergeCell ref="BN13:BN14"/>
    <mergeCell ref="BO13:BO14"/>
    <mergeCell ref="A14:A15"/>
    <mergeCell ref="K6:K7"/>
    <mergeCell ref="A16:A18"/>
    <mergeCell ref="A9:B9"/>
    <mergeCell ref="A10:B10"/>
    <mergeCell ref="BN10:BN11"/>
    <mergeCell ref="T6:T7"/>
    <mergeCell ref="BG6:BG7"/>
    <mergeCell ref="BN6:BT6"/>
    <mergeCell ref="A7:B7"/>
    <mergeCell ref="BN7:BN8"/>
    <mergeCell ref="BO7:BO8"/>
    <mergeCell ref="BR7:BR8"/>
    <mergeCell ref="BS7:BS8"/>
    <mergeCell ref="BT7:BT8"/>
    <mergeCell ref="A8:B8"/>
    <mergeCell ref="AP6:AP7"/>
    <mergeCell ref="AQ6:AQ7"/>
    <mergeCell ref="AR6:AR7"/>
    <mergeCell ref="AT6:AT7"/>
    <mergeCell ref="AU6:AU7"/>
    <mergeCell ref="AV6:AV7"/>
    <mergeCell ref="BN3:BT3"/>
    <mergeCell ref="A5:E5"/>
    <mergeCell ref="J6:J7"/>
    <mergeCell ref="A1:E2"/>
    <mergeCell ref="A3:E3"/>
    <mergeCell ref="G3:U4"/>
    <mergeCell ref="AP3:BH4"/>
    <mergeCell ref="A6:B6"/>
    <mergeCell ref="C6:D6"/>
    <mergeCell ref="G6:G7"/>
    <mergeCell ref="H6:H7"/>
    <mergeCell ref="I6:I7"/>
    <mergeCell ref="L6:L7"/>
    <mergeCell ref="M6:M7"/>
    <mergeCell ref="Q6:Q7"/>
    <mergeCell ref="S6:S7"/>
  </mergeCells>
  <conditionalFormatting sqref="D17">
    <cfRule type="cellIs" dxfId="7" priority="1" operator="notEqual">
      <formula>""</formula>
    </cfRule>
  </conditionalFormatting>
  <dataValidations count="5">
    <dataValidation type="list" allowBlank="1" showInputMessage="1" showErrorMessage="1" sqref="C12" xr:uid="{00000000-0002-0000-0E00-000000000000}">
      <formula1>$W$3:$AA$3</formula1>
    </dataValidation>
    <dataValidation type="list" allowBlank="1" showInputMessage="1" showErrorMessage="1" sqref="C14" xr:uid="{00000000-0002-0000-0E00-000001000000}">
      <formula1>$Y$28:$Z$28</formula1>
    </dataValidation>
    <dataValidation type="list" allowBlank="1" showInputMessage="1" showErrorMessage="1" sqref="C11" xr:uid="{00000000-0002-0000-0E00-000002000000}">
      <formula1>$X$39:$AA$39</formula1>
    </dataValidation>
    <dataValidation type="list" allowBlank="1" showInputMessage="1" showErrorMessage="1" sqref="C8" xr:uid="{00000000-0002-0000-0E00-000003000000}">
      <formula1>$AC$59:$AG$59</formula1>
    </dataValidation>
    <dataValidation type="list" allowBlank="1" showInputMessage="1" showErrorMessage="1" sqref="C36" xr:uid="{00000000-0002-0000-0E00-000004000000}">
      <formula1>"Да,Нет"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1" fitToWidth="2" orientation="portrait" r:id="rId1"/>
  <colBreaks count="1" manualBreakCount="1">
    <brk id="5" max="108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5000000}">
          <x14:formula1>
            <xm:f>'Для Перспективы'!$B$1:$F$1</xm:f>
          </x14:formula1>
          <xm:sqref>C10:D10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TU154"/>
  <sheetViews>
    <sheetView showGridLines="0" view="pageBreakPreview" topLeftCell="B1" zoomScale="70" zoomScaleNormal="90" zoomScaleSheetLayoutView="70" workbookViewId="0">
      <selection activeCell="C10" sqref="C10:D10"/>
    </sheetView>
  </sheetViews>
  <sheetFormatPr defaultColWidth="8.6640625" defaultRowHeight="13.2" x14ac:dyDescent="0.25"/>
  <cols>
    <col min="1" max="1" width="38" style="2" customWidth="1"/>
    <col min="2" max="2" width="36.6640625" style="2" customWidth="1"/>
    <col min="3" max="3" width="18.44140625" style="1" customWidth="1"/>
    <col min="4" max="4" width="18.109375" style="1" customWidth="1"/>
    <col min="5" max="5" width="25" style="1" customWidth="1"/>
    <col min="6" max="6" width="5.44140625" style="1" customWidth="1"/>
    <col min="7" max="7" width="7.6640625" style="1" customWidth="1"/>
    <col min="8" max="9" width="10.6640625" style="1" customWidth="1"/>
    <col min="10" max="10" width="16.33203125" style="1" customWidth="1"/>
    <col min="11" max="11" width="15.44140625" style="1" customWidth="1"/>
    <col min="12" max="12" width="14" style="2" customWidth="1"/>
    <col min="13" max="13" width="14.109375" style="1" customWidth="1"/>
    <col min="14" max="16" width="15" style="3" hidden="1" customWidth="1"/>
    <col min="17" max="17" width="17.109375" style="3" customWidth="1"/>
    <col min="18" max="18" width="15" style="3" hidden="1" customWidth="1"/>
    <col min="19" max="20" width="14" style="2" customWidth="1"/>
    <col min="21" max="21" width="11.109375" style="2" hidden="1" customWidth="1"/>
    <col min="22" max="22" width="11.44140625" style="44" hidden="1" customWidth="1"/>
    <col min="23" max="23" width="17.6640625" style="2" hidden="1" customWidth="1"/>
    <col min="24" max="24" width="18.33203125" style="2" hidden="1" customWidth="1"/>
    <col min="25" max="25" width="13.109375" style="2" hidden="1" customWidth="1"/>
    <col min="26" max="26" width="20" style="2" hidden="1" customWidth="1"/>
    <col min="27" max="27" width="19.6640625" style="2" hidden="1" customWidth="1"/>
    <col min="28" max="28" width="17.44140625" style="2" hidden="1" customWidth="1"/>
    <col min="29" max="29" width="33.6640625" style="2" hidden="1" customWidth="1"/>
    <col min="30" max="30" width="19" style="2" hidden="1" customWidth="1"/>
    <col min="31" max="31" width="32.44140625" style="3" hidden="1" customWidth="1"/>
    <col min="32" max="32" width="31.109375" style="3" hidden="1" customWidth="1"/>
    <col min="33" max="33" width="14.44140625" style="3" hidden="1" customWidth="1"/>
    <col min="34" max="34" width="17" style="3" hidden="1" customWidth="1"/>
    <col min="35" max="35" width="13.44140625" style="2" hidden="1" customWidth="1"/>
    <col min="36" max="36" width="14.44140625" style="2" hidden="1" customWidth="1"/>
    <col min="37" max="37" width="14.44140625" style="57" hidden="1" customWidth="1"/>
    <col min="38" max="41" width="14.44140625" style="2" hidden="1" customWidth="1"/>
    <col min="42" max="42" width="7.6640625" style="2" customWidth="1"/>
    <col min="43" max="46" width="14.44140625" style="2" customWidth="1"/>
    <col min="47" max="47" width="13.6640625" style="2" customWidth="1"/>
    <col min="48" max="48" width="15.6640625" style="2" customWidth="1"/>
    <col min="49" max="49" width="12" style="2" hidden="1" customWidth="1"/>
    <col min="50" max="51" width="13.6640625" style="2" hidden="1" customWidth="1"/>
    <col min="52" max="52" width="10.6640625" style="2" hidden="1" customWidth="1"/>
    <col min="53" max="58" width="8.6640625" style="2" hidden="1" customWidth="1"/>
    <col min="59" max="59" width="14" style="2" customWidth="1"/>
    <col min="60" max="60" width="8.6640625" style="2" hidden="1" customWidth="1"/>
    <col min="61" max="61" width="11.44140625" style="2" hidden="1" customWidth="1"/>
    <col min="62" max="62" width="1.33203125" style="1" hidden="1" customWidth="1"/>
    <col min="63" max="63" width="1.109375" style="2" hidden="1" customWidth="1"/>
    <col min="64" max="64" width="1.109375" style="2" customWidth="1"/>
    <col min="65" max="65" width="3.6640625" style="2" customWidth="1"/>
    <col min="66" max="66" width="24.109375" style="2" customWidth="1"/>
    <col min="67" max="67" width="3.6640625" style="2" customWidth="1"/>
    <col min="68" max="68" width="41.44140625" style="2" customWidth="1"/>
    <col min="69" max="69" width="4.44140625" style="2" customWidth="1"/>
    <col min="70" max="70" width="18" style="2" customWidth="1"/>
    <col min="71" max="71" width="4.6640625" style="2" customWidth="1"/>
    <col min="72" max="72" width="7.6640625" style="2" customWidth="1"/>
    <col min="73" max="84" width="8.6640625" style="2" customWidth="1"/>
    <col min="85" max="16384" width="8.6640625" style="2"/>
  </cols>
  <sheetData>
    <row r="1" spans="1:72" ht="12.75" customHeight="1" x14ac:dyDescent="0.4">
      <c r="A1" s="855" t="s">
        <v>333</v>
      </c>
      <c r="B1" s="856"/>
      <c r="C1" s="856"/>
      <c r="D1" s="856"/>
      <c r="E1" s="857"/>
      <c r="F1" s="227"/>
      <c r="G1" s="2"/>
      <c r="H1" s="2"/>
      <c r="I1" s="2"/>
      <c r="J1" s="2"/>
      <c r="K1" s="2"/>
      <c r="M1" s="2"/>
      <c r="N1" s="2"/>
      <c r="O1" s="2"/>
      <c r="P1" s="2"/>
      <c r="Q1" s="2"/>
      <c r="R1" s="2"/>
      <c r="V1" s="2"/>
      <c r="AE1" s="2"/>
      <c r="AF1" s="2"/>
      <c r="AG1" s="2"/>
      <c r="AH1" s="2"/>
      <c r="AK1" s="62" t="s">
        <v>52</v>
      </c>
      <c r="AL1" s="86" t="str">
        <f>IF($C$12=$AG$3,$AG$4,IF($C$12=$AH$3,$AH$4,IF($C$12=$AI$3,$AI$4,IF($C$12=$AJ$3,$AJ$4,IF($C$12=$AK$3,$AK$4,IF($C$12=$AL$3,$AL$4,""))))))</f>
        <v/>
      </c>
      <c r="AN1" s="65"/>
      <c r="BJ1" s="2"/>
    </row>
    <row r="2" spans="1:72" ht="34.950000000000003" customHeight="1" x14ac:dyDescent="0.4">
      <c r="A2" s="872"/>
      <c r="B2" s="873"/>
      <c r="C2" s="873"/>
      <c r="D2" s="873"/>
      <c r="E2" s="874"/>
      <c r="F2" s="227"/>
      <c r="G2" s="2"/>
      <c r="H2" s="2"/>
      <c r="I2" s="2"/>
      <c r="J2" s="2"/>
      <c r="K2" s="2"/>
      <c r="M2" s="2"/>
      <c r="N2" s="2"/>
      <c r="O2" s="2"/>
      <c r="P2" s="2"/>
      <c r="Q2" s="2"/>
      <c r="R2" s="2"/>
      <c r="V2" s="2"/>
      <c r="AE2" s="2" t="s">
        <v>47</v>
      </c>
      <c r="AF2" s="2"/>
      <c r="AG2" s="2"/>
      <c r="AH2" s="2"/>
      <c r="BJ2" s="2"/>
    </row>
    <row r="3" spans="1:72" ht="25.95" customHeight="1" x14ac:dyDescent="0.3">
      <c r="A3" s="864" t="s">
        <v>196</v>
      </c>
      <c r="B3" s="865"/>
      <c r="C3" s="865"/>
      <c r="D3" s="865"/>
      <c r="E3" s="866"/>
      <c r="F3" s="310"/>
      <c r="G3" s="943" t="str">
        <f>CONCATENATE("ГРАФИК ПЛАТЕЖЕЙ - ТАРИФ ПРАЙМ",IF(C16="Да"," + ПАКЕТ ПОЧЕТНЫЙ КЛИЕНТ",""))</f>
        <v>ГРАФИК ПЛАТЕЖЕЙ - ТАРИФ ПРАЙМ + ПАКЕТ ПОЧЕТНЫЙ КЛИЕНТ</v>
      </c>
      <c r="H3" s="943"/>
      <c r="I3" s="943"/>
      <c r="J3" s="943"/>
      <c r="K3" s="943"/>
      <c r="L3" s="943"/>
      <c r="M3" s="943"/>
      <c r="N3" s="943"/>
      <c r="O3" s="943"/>
      <c r="P3" s="943"/>
      <c r="Q3" s="943"/>
      <c r="R3" s="943"/>
      <c r="S3" s="943"/>
      <c r="T3" s="943"/>
      <c r="U3" s="943"/>
      <c r="V3" s="146"/>
      <c r="W3" s="63" t="s">
        <v>33</v>
      </c>
      <c r="X3" s="63" t="s">
        <v>159</v>
      </c>
      <c r="Y3" s="63" t="s">
        <v>72</v>
      </c>
      <c r="Z3" s="63" t="s">
        <v>73</v>
      </c>
      <c r="AA3" s="63" t="s">
        <v>74</v>
      </c>
      <c r="AB3" s="63"/>
      <c r="AC3" s="63" t="s">
        <v>159</v>
      </c>
      <c r="AD3" s="63"/>
      <c r="AE3" s="63"/>
      <c r="AF3" s="63"/>
      <c r="AG3" s="87"/>
      <c r="AH3" s="87"/>
      <c r="AI3" s="87"/>
      <c r="AJ3" s="87"/>
      <c r="AK3" s="87"/>
      <c r="AL3" s="87"/>
      <c r="AM3" s="63"/>
      <c r="AN3" s="63"/>
      <c r="AO3" s="63"/>
      <c r="AP3" s="875" t="str">
        <f>CONCATENATE("ГРАФИК ПЛАТЕЖЕЙ - ТАРИФ ПРАЙМ БЕЗ ПАКЕТА ПОЧЕТНЫЙ КЛИЕНТ",IF(D16="Да"," + пакет Почетный Клиент",""))</f>
        <v>ГРАФИК ПЛАТЕЖЕЙ - ТАРИФ ПРАЙМ БЕЗ ПАКЕТА ПОЧЕТНЫЙ КЛИЕНТ</v>
      </c>
      <c r="AQ3" s="875"/>
      <c r="AR3" s="875"/>
      <c r="AS3" s="875"/>
      <c r="AT3" s="875"/>
      <c r="AU3" s="875"/>
      <c r="AV3" s="875"/>
      <c r="AW3" s="875"/>
      <c r="AX3" s="875"/>
      <c r="AY3" s="875"/>
      <c r="AZ3" s="875"/>
      <c r="BA3" s="875"/>
      <c r="BB3" s="875"/>
      <c r="BC3" s="875"/>
      <c r="BD3" s="875"/>
      <c r="BE3" s="875"/>
      <c r="BF3" s="875"/>
      <c r="BG3" s="875"/>
      <c r="BH3" s="875"/>
      <c r="BI3" s="102"/>
      <c r="BJ3" s="102"/>
      <c r="BK3" s="102"/>
      <c r="BN3" s="826" t="s">
        <v>94</v>
      </c>
      <c r="BO3" s="826"/>
      <c r="BP3" s="826"/>
      <c r="BQ3" s="826"/>
      <c r="BR3" s="826"/>
      <c r="BS3" s="826"/>
      <c r="BT3" s="826"/>
    </row>
    <row r="4" spans="1:72" ht="13.5" hidden="1" customHeight="1" x14ac:dyDescent="0.2">
      <c r="A4" s="187"/>
      <c r="B4" s="185"/>
      <c r="C4" s="185"/>
      <c r="D4" s="185"/>
      <c r="E4" s="188"/>
      <c r="F4" s="228"/>
      <c r="G4" s="943"/>
      <c r="H4" s="943"/>
      <c r="I4" s="943"/>
      <c r="J4" s="943"/>
      <c r="K4" s="943"/>
      <c r="L4" s="943"/>
      <c r="M4" s="943"/>
      <c r="N4" s="943"/>
      <c r="O4" s="943"/>
      <c r="P4" s="943"/>
      <c r="Q4" s="943"/>
      <c r="R4" s="943"/>
      <c r="S4" s="943"/>
      <c r="T4" s="943"/>
      <c r="U4" s="943"/>
      <c r="V4" s="146"/>
      <c r="W4" s="15">
        <v>0.159</v>
      </c>
      <c r="X4" s="15">
        <f t="shared" ref="X4:AA7" si="0">$W4-2%</f>
        <v>0.13900000000000001</v>
      </c>
      <c r="Y4" s="15">
        <f t="shared" si="0"/>
        <v>0.13900000000000001</v>
      </c>
      <c r="Z4" s="15">
        <f t="shared" si="0"/>
        <v>0.13900000000000001</v>
      </c>
      <c r="AA4" s="15">
        <f t="shared" si="0"/>
        <v>0.13900000000000001</v>
      </c>
      <c r="AB4" s="15"/>
      <c r="AC4" s="63" t="s">
        <v>72</v>
      </c>
      <c r="AD4" s="147"/>
      <c r="AE4" s="147"/>
      <c r="AF4" s="147"/>
      <c r="AG4" s="148"/>
      <c r="AH4" s="148"/>
      <c r="AI4" s="148"/>
      <c r="AJ4" s="148"/>
      <c r="AK4" s="148"/>
      <c r="AL4" s="148"/>
      <c r="AM4" s="147"/>
      <c r="AN4" s="147"/>
      <c r="AO4" s="147"/>
      <c r="AP4" s="875"/>
      <c r="AQ4" s="875"/>
      <c r="AR4" s="875"/>
      <c r="AS4" s="875"/>
      <c r="AT4" s="875"/>
      <c r="AU4" s="875"/>
      <c r="AV4" s="875"/>
      <c r="AW4" s="875"/>
      <c r="AX4" s="875"/>
      <c r="AY4" s="875"/>
      <c r="AZ4" s="875"/>
      <c r="BA4" s="875"/>
      <c r="BB4" s="875"/>
      <c r="BC4" s="875"/>
      <c r="BD4" s="875"/>
      <c r="BE4" s="875"/>
      <c r="BF4" s="875"/>
      <c r="BG4" s="875"/>
      <c r="BH4" s="875"/>
      <c r="BI4" s="102"/>
      <c r="BJ4" s="102"/>
      <c r="BK4" s="102"/>
      <c r="BL4" s="57"/>
    </row>
    <row r="5" spans="1:72" ht="13.5" hidden="1" customHeight="1" thickBot="1" x14ac:dyDescent="0.25">
      <c r="A5" s="869"/>
      <c r="B5" s="870"/>
      <c r="C5" s="870"/>
      <c r="D5" s="870"/>
      <c r="E5" s="871"/>
      <c r="F5" s="229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49"/>
      <c r="W5" s="15">
        <v>0.17499999999999999</v>
      </c>
      <c r="X5" s="15">
        <f t="shared" si="0"/>
        <v>0.155</v>
      </c>
      <c r="Y5" s="15">
        <f t="shared" si="0"/>
        <v>0.155</v>
      </c>
      <c r="Z5" s="15">
        <f t="shared" si="0"/>
        <v>0.155</v>
      </c>
      <c r="AA5" s="15">
        <f t="shared" si="0"/>
        <v>0.155</v>
      </c>
      <c r="AB5" s="15"/>
      <c r="AC5" s="63" t="s">
        <v>73</v>
      </c>
      <c r="AD5" s="147"/>
      <c r="AE5" s="147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2"/>
      <c r="BJ5" s="117"/>
      <c r="BK5" s="102"/>
      <c r="BL5" s="57"/>
    </row>
    <row r="6" spans="1:72" ht="37.950000000000003" customHeight="1" thickBot="1" x14ac:dyDescent="0.3">
      <c r="A6" s="1016" t="s">
        <v>164</v>
      </c>
      <c r="B6" s="1016"/>
      <c r="C6" s="1016" t="s">
        <v>165</v>
      </c>
      <c r="D6" s="1016"/>
      <c r="E6" s="533" t="s">
        <v>166</v>
      </c>
      <c r="F6" s="230"/>
      <c r="G6" s="825" t="s">
        <v>148</v>
      </c>
      <c r="H6" s="825" t="s">
        <v>187</v>
      </c>
      <c r="I6" s="825" t="s">
        <v>188</v>
      </c>
      <c r="J6" s="825" t="s">
        <v>189</v>
      </c>
      <c r="K6" s="825" t="s">
        <v>190</v>
      </c>
      <c r="L6" s="825" t="s">
        <v>191</v>
      </c>
      <c r="M6" s="825" t="s">
        <v>192</v>
      </c>
      <c r="N6" s="238"/>
      <c r="O6" s="238"/>
      <c r="P6" s="238"/>
      <c r="Q6" s="825" t="s">
        <v>195</v>
      </c>
      <c r="R6" s="238"/>
      <c r="S6" s="825" t="s">
        <v>193</v>
      </c>
      <c r="T6" s="825" t="s">
        <v>289</v>
      </c>
      <c r="U6" s="195"/>
      <c r="V6" s="49"/>
      <c r="W6" s="15">
        <v>0.17899999999999999</v>
      </c>
      <c r="X6" s="15">
        <f t="shared" si="0"/>
        <v>0.159</v>
      </c>
      <c r="Y6" s="15">
        <f t="shared" si="0"/>
        <v>0.159</v>
      </c>
      <c r="Z6" s="15">
        <f t="shared" si="0"/>
        <v>0.159</v>
      </c>
      <c r="AA6" s="15">
        <f t="shared" si="0"/>
        <v>0.159</v>
      </c>
      <c r="AB6" s="15"/>
      <c r="AC6" s="63" t="s">
        <v>74</v>
      </c>
      <c r="AD6" s="147"/>
      <c r="AE6" s="147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972" t="s">
        <v>148</v>
      </c>
      <c r="AQ6" s="972" t="s">
        <v>187</v>
      </c>
      <c r="AR6" s="972" t="s">
        <v>188</v>
      </c>
      <c r="AS6" s="267"/>
      <c r="AT6" s="972" t="s">
        <v>194</v>
      </c>
      <c r="AU6" s="972" t="s">
        <v>191</v>
      </c>
      <c r="AV6" s="972" t="s">
        <v>192</v>
      </c>
      <c r="AW6" s="500"/>
      <c r="AX6" s="500"/>
      <c r="AY6" s="500"/>
      <c r="AZ6" s="500"/>
      <c r="BA6" s="500"/>
      <c r="BB6" s="500"/>
      <c r="BC6" s="500"/>
      <c r="BD6" s="500"/>
      <c r="BE6" s="500"/>
      <c r="BF6" s="500"/>
      <c r="BG6" s="972" t="s">
        <v>193</v>
      </c>
      <c r="BH6" s="103"/>
      <c r="BI6" s="102"/>
      <c r="BJ6" s="117"/>
      <c r="BK6" s="102"/>
      <c r="BL6" s="57"/>
      <c r="BN6" s="827" t="s">
        <v>95</v>
      </c>
      <c r="BO6" s="827"/>
      <c r="BP6" s="827"/>
      <c r="BQ6" s="827"/>
      <c r="BR6" s="827"/>
      <c r="BS6" s="827"/>
      <c r="BT6" s="827"/>
    </row>
    <row r="7" spans="1:72" ht="28.95" customHeight="1" x14ac:dyDescent="0.6">
      <c r="A7" s="841" t="s">
        <v>200</v>
      </c>
      <c r="B7" s="841"/>
      <c r="C7" s="862">
        <v>75000</v>
      </c>
      <c r="D7" s="862"/>
      <c r="E7" s="219"/>
      <c r="F7" s="231"/>
      <c r="G7" s="825"/>
      <c r="H7" s="825"/>
      <c r="I7" s="825"/>
      <c r="J7" s="825"/>
      <c r="K7" s="825"/>
      <c r="L7" s="825"/>
      <c r="M7" s="825"/>
      <c r="N7" s="237" t="s">
        <v>36</v>
      </c>
      <c r="O7" s="237" t="s">
        <v>39</v>
      </c>
      <c r="P7" s="237" t="s">
        <v>38</v>
      </c>
      <c r="Q7" s="825"/>
      <c r="R7" s="326" t="s">
        <v>40</v>
      </c>
      <c r="S7" s="825"/>
      <c r="T7" s="825"/>
      <c r="U7" s="196" t="s">
        <v>32</v>
      </c>
      <c r="V7" s="150" t="s">
        <v>31</v>
      </c>
      <c r="W7" s="15">
        <v>0.19900000000000001</v>
      </c>
      <c r="X7" s="15">
        <f t="shared" si="0"/>
        <v>0.17900000000000002</v>
      </c>
      <c r="Y7" s="15">
        <f t="shared" si="0"/>
        <v>0.17900000000000002</v>
      </c>
      <c r="Z7" s="15">
        <f t="shared" si="0"/>
        <v>0.17900000000000002</v>
      </c>
      <c r="AA7" s="15">
        <f t="shared" si="0"/>
        <v>0.17900000000000002</v>
      </c>
      <c r="AB7" s="15"/>
      <c r="AC7" s="101"/>
      <c r="AD7" s="147"/>
      <c r="AE7" s="147"/>
      <c r="AF7" s="101"/>
      <c r="AG7" s="101"/>
      <c r="AH7" s="101"/>
      <c r="AI7" s="101"/>
      <c r="AJ7" s="101"/>
      <c r="AK7" s="101"/>
      <c r="AL7" s="101"/>
      <c r="AM7" s="101"/>
      <c r="AN7" s="101"/>
      <c r="AO7" s="151">
        <f>SUM(AO9:AO108)</f>
        <v>48</v>
      </c>
      <c r="AP7" s="972"/>
      <c r="AQ7" s="972"/>
      <c r="AR7" s="972"/>
      <c r="AS7" s="461" t="s">
        <v>156</v>
      </c>
      <c r="AT7" s="972"/>
      <c r="AU7" s="972"/>
      <c r="AV7" s="972"/>
      <c r="AW7" s="461" t="s">
        <v>36</v>
      </c>
      <c r="AX7" s="461" t="s">
        <v>39</v>
      </c>
      <c r="AY7" s="461" t="s">
        <v>38</v>
      </c>
      <c r="AZ7" s="461" t="s">
        <v>158</v>
      </c>
      <c r="BA7" s="461" t="s">
        <v>40</v>
      </c>
      <c r="BB7" s="461"/>
      <c r="BC7" s="461"/>
      <c r="BD7" s="461"/>
      <c r="BE7" s="461"/>
      <c r="BF7" s="461"/>
      <c r="BG7" s="972"/>
      <c r="BH7" s="163" t="s">
        <v>32</v>
      </c>
      <c r="BI7" s="104" t="s">
        <v>31</v>
      </c>
      <c r="BJ7" s="153">
        <f>BJ8</f>
        <v>44285</v>
      </c>
      <c r="BK7" s="108">
        <f>K8</f>
        <v>-90750</v>
      </c>
      <c r="BL7" s="61"/>
      <c r="BN7" s="830" t="s">
        <v>84</v>
      </c>
      <c r="BO7" s="828" t="s">
        <v>85</v>
      </c>
      <c r="BP7" s="127" t="s">
        <v>86</v>
      </c>
      <c r="BQ7" s="124" t="s">
        <v>88</v>
      </c>
      <c r="BR7" s="834" t="s">
        <v>9</v>
      </c>
      <c r="BS7" s="836" t="s">
        <v>89</v>
      </c>
      <c r="BT7" s="832">
        <v>1</v>
      </c>
    </row>
    <row r="8" spans="1:72" ht="18" customHeight="1" thickBot="1" x14ac:dyDescent="0.65">
      <c r="A8" s="841" t="s">
        <v>276</v>
      </c>
      <c r="B8" s="841"/>
      <c r="C8" s="193" t="s">
        <v>111</v>
      </c>
      <c r="D8" s="215" t="str">
        <f>C8</f>
        <v>Максимум</v>
      </c>
      <c r="E8" s="219"/>
      <c r="F8" s="231"/>
      <c r="G8" s="253"/>
      <c r="H8" s="240">
        <f>C9</f>
        <v>44285</v>
      </c>
      <c r="I8" s="240"/>
      <c r="J8" s="240"/>
      <c r="K8" s="241">
        <f>-C23</f>
        <v>-90750</v>
      </c>
      <c r="L8" s="242"/>
      <c r="M8" s="243"/>
      <c r="N8" s="243"/>
      <c r="O8" s="243"/>
      <c r="P8" s="243"/>
      <c r="Q8" s="243"/>
      <c r="R8" s="243"/>
      <c r="S8" s="239">
        <f>C23</f>
        <v>90750</v>
      </c>
      <c r="T8" s="466"/>
      <c r="U8" s="197"/>
      <c r="V8" s="36"/>
      <c r="W8" s="15"/>
      <c r="X8" s="15"/>
      <c r="Y8" s="15"/>
      <c r="Z8" s="15"/>
      <c r="AA8" s="15"/>
      <c r="AB8" s="15"/>
      <c r="AC8" s="15"/>
      <c r="AD8" s="147">
        <f>IF(OR($C$8="Гарантия стандарт",$C$8="Гарантия пакет"),AB4,W4)</f>
        <v>0.159</v>
      </c>
      <c r="AE8" s="147">
        <f>IF(OR($D$8="Гарантия стандарт",$D$8="Гарантия пакет"),AB4,W4)</f>
        <v>0.159</v>
      </c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255"/>
      <c r="AQ8" s="256">
        <f>C9</f>
        <v>44285</v>
      </c>
      <c r="AR8" s="256"/>
      <c r="AS8" s="256"/>
      <c r="AT8" s="257">
        <f>-D23</f>
        <v>-90750</v>
      </c>
      <c r="AU8" s="258"/>
      <c r="AV8" s="259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60">
        <f>D23</f>
        <v>90750</v>
      </c>
      <c r="BH8" s="106"/>
      <c r="BI8" s="108"/>
      <c r="BJ8" s="22">
        <f>H8</f>
        <v>44285</v>
      </c>
      <c r="BK8" s="104">
        <f>$C$25</f>
        <v>15750</v>
      </c>
      <c r="BN8" s="831"/>
      <c r="BO8" s="829"/>
      <c r="BP8" s="125" t="s">
        <v>87</v>
      </c>
      <c r="BQ8" s="126" t="s">
        <v>88</v>
      </c>
      <c r="BR8" s="835"/>
      <c r="BS8" s="837"/>
      <c r="BT8" s="833"/>
    </row>
    <row r="9" spans="1:72" ht="16.95" customHeight="1" thickBot="1" x14ac:dyDescent="0.3">
      <c r="A9" s="841" t="s">
        <v>199</v>
      </c>
      <c r="B9" s="841"/>
      <c r="C9" s="842">
        <v>44285</v>
      </c>
      <c r="D9" s="842"/>
      <c r="E9" s="219"/>
      <c r="F9" s="231"/>
      <c r="G9" s="244">
        <f>1</f>
        <v>1</v>
      </c>
      <c r="H9" s="245">
        <f t="shared" ref="H9:H72" si="1">IF((OR(DAY($AD$54)=29,DAY($AD$54)=30,DAY($AD$54)=31)),(EDATE($C$9-3,G9)),(IF((OR(DAY($AD$54)=1,DAY($AD$54)=2,DAY($AD$54)=3)),(EDATE($C$9,G9)+3),EDATE($C$9,G9))))</f>
        <v>44313</v>
      </c>
      <c r="I9" s="246">
        <f>IF(AND($W$9=1,G9&gt;=$W$9,G9&lt;=$W$9+5),0%,$C$13)</f>
        <v>0</v>
      </c>
      <c r="J9" s="247">
        <f>K9+Q9</f>
        <v>3600</v>
      </c>
      <c r="K9" s="242">
        <f>IF(AND($W$9=1,G9&gt;=$W$9,G9&lt;=$W$9+5),$W$10,IF(AND(S8+N9+L9&gt;K8,K8&lt;&gt;0),$C$24,IF(S8=0,0,S8+N9+L9+L10)))</f>
        <v>0</v>
      </c>
      <c r="L9" s="242">
        <f>IF(AND($W$9=1,G9&gt;=$W$9,G9&lt;=$W$9+5),0,IF($C$9&gt;$AF$51,ROUND(S8*I9*((H9-DATE(YEAR(H9),MONTH(H9),1)+1)/(DATE(YEAR(H9)+1,1,1)-DATE(YEAR(H9),1,1))+(EOMONTH(H8,0)-H8)/(DATE(YEAR(H8)+1,1,1)-DATE(YEAR(H8),1,1))),2),0))</f>
        <v>0</v>
      </c>
      <c r="M9" s="242">
        <f>IF(S8=0,0,IF(S8+N9+L9&gt;K8,K9-L9-N9,S8))</f>
        <v>0</v>
      </c>
      <c r="N9" s="242">
        <f t="shared" ref="N9:N72" si="2">IF(P9-Q9&gt;$C$24,$C$24-L9,IF(V9=0,0,R9)+$AI$51)</f>
        <v>0</v>
      </c>
      <c r="O9" s="242">
        <v>0</v>
      </c>
      <c r="P9" s="242">
        <f>L9+Q9</f>
        <v>3600</v>
      </c>
      <c r="Q9" s="242">
        <f>IF(OR($C$8="Нет",$C$16="Нет"),0,IF($C$17="Серебряный",3600,IF($C$17="Золотой",5000,IF($C$17="Платиновый",7000,""))))</f>
        <v>3600</v>
      </c>
      <c r="R9" s="242">
        <f>IF(V9=0,0,0)</f>
        <v>0</v>
      </c>
      <c r="S9" s="242">
        <f>S8-M9-T9</f>
        <v>90750</v>
      </c>
      <c r="T9" s="467"/>
      <c r="U9" s="198">
        <f>C10</f>
        <v>48</v>
      </c>
      <c r="V9" s="36">
        <f>U9</f>
        <v>48</v>
      </c>
      <c r="W9" s="130">
        <f>IF($C$8="Нет",0,1)</f>
        <v>1</v>
      </c>
      <c r="X9" s="15"/>
      <c r="Y9" s="15"/>
      <c r="Z9" s="15"/>
      <c r="AA9" s="15"/>
      <c r="AB9" s="15"/>
      <c r="AC9" s="132"/>
      <c r="AD9" s="147">
        <f>IF(OR($C$8="Гарантия стандарт",$C$8="Гарантия пакет"),AB5,W5)</f>
        <v>0.17499999999999999</v>
      </c>
      <c r="AE9" s="147">
        <f>IF(OR($D$8="Гарантия стандарт",$D$8="Гарантия пакет"),AB5,W5)</f>
        <v>0.17499999999999999</v>
      </c>
      <c r="AF9" s="15"/>
      <c r="AG9" s="15"/>
      <c r="AH9" s="15"/>
      <c r="AI9" s="15"/>
      <c r="AJ9" s="15"/>
      <c r="AK9" s="15"/>
      <c r="AL9" s="15"/>
      <c r="AM9" s="15"/>
      <c r="AN9" s="15"/>
      <c r="AO9" s="130">
        <f>IF(OR(AT9="",AT9=0),0,1)</f>
        <v>1</v>
      </c>
      <c r="AP9" s="261">
        <f>1</f>
        <v>1</v>
      </c>
      <c r="AQ9" s="262">
        <f t="shared" ref="AQ9:AQ72" si="3">IF((OR(DAY($AD$54)=29,DAY($AD$54)=30,DAY($AD$54)=31)),(EDATE($C$9-3,AP9)),(IF((OR(DAY($AD$54)=1,DAY($AD$54)=2,DAY($AD$54)=3)),(EDATE($C$9,AP9)+3),EDATE($C$9,AP9))))</f>
        <v>44313</v>
      </c>
      <c r="AR9" s="263">
        <f t="shared" ref="AR9:AR14" si="4">$D$13</f>
        <v>0.16900000000000001</v>
      </c>
      <c r="AS9" s="258">
        <f>AT9+AZ9</f>
        <v>2617</v>
      </c>
      <c r="AT9" s="258">
        <f>IF(AND(BG8+AW9+AU9&gt;AT8,AT8&lt;&gt;0),IF($D$16="Да",$AL$36,$D$24),IF(BG8=0,0,BG8+AW9+AU9+AU10))</f>
        <v>2617</v>
      </c>
      <c r="AU9" s="258">
        <f>IF($C$9&gt;$AF$51,ROUND(BG8*AR9*((AQ9-DATE(YEAR(AQ9),MONTH(AQ9),1)+1)/(DATE(YEAR(AQ9)+1,1,1)-DATE(YEAR(AQ9),1,1))+(EOMONTH(AQ8,0)-AQ8)/(DATE(YEAR(AQ8)+1,1,1)-DATE(YEAR(AQ8),1,1))),2),0)</f>
        <v>1176.52</v>
      </c>
      <c r="AV9" s="258">
        <f>IF(BI9=0,0,IF(BI9=1,BG8,IF(BG8+AW9+AU9&gt;AT8,AT9-AU9-AW9,BG8)))</f>
        <v>1440.48</v>
      </c>
      <c r="AW9" s="258">
        <f t="shared" ref="AW9:AW72" si="5">IF(AY9-AZ9&gt;$D$24,$D$24-AU9,IF(BI9=0,0,BA9)+BX57)</f>
        <v>0</v>
      </c>
      <c r="AX9" s="258"/>
      <c r="AY9" s="258">
        <f>AU9+AZ9</f>
        <v>1176.52</v>
      </c>
      <c r="AZ9" s="258">
        <f t="shared" ref="AZ9:AZ20" si="6">IF($D$16="Нет",0,IF($D$17="Серебряный",1800,IF($D$17="Золотой",2500,IF($D$17="Платиновый",3500,""))))</f>
        <v>0</v>
      </c>
      <c r="BA9" s="258">
        <f>IF(BI9=0,0,0)</f>
        <v>0</v>
      </c>
      <c r="BB9" s="258"/>
      <c r="BC9" s="258"/>
      <c r="BD9" s="258"/>
      <c r="BE9" s="258"/>
      <c r="BF9" s="258"/>
      <c r="BG9" s="258">
        <f>IF(OR(BI9=1,BG8=0),0,BG8-AV9)</f>
        <v>89309.52</v>
      </c>
      <c r="BH9" s="108">
        <f>C10</f>
        <v>48</v>
      </c>
      <c r="BI9" s="108">
        <f>BH9</f>
        <v>48</v>
      </c>
      <c r="BJ9" s="22">
        <f>H9</f>
        <v>44313</v>
      </c>
      <c r="BK9" s="108">
        <f t="shared" ref="BK9:BK72" si="7">K9</f>
        <v>0</v>
      </c>
    </row>
    <row r="10" spans="1:72" ht="18" customHeight="1" x14ac:dyDescent="0.25">
      <c r="A10" s="846" t="s">
        <v>198</v>
      </c>
      <c r="B10" s="846"/>
      <c r="C10" s="840">
        <v>48</v>
      </c>
      <c r="D10" s="840"/>
      <c r="E10" s="219"/>
      <c r="F10" s="231"/>
      <c r="G10" s="244">
        <f>G9+1</f>
        <v>2</v>
      </c>
      <c r="H10" s="245">
        <f t="shared" si="1"/>
        <v>44343</v>
      </c>
      <c r="I10" s="246">
        <f t="shared" ref="I10:I14" si="8">IF(AND($W$9=1,G10&gt;=$W$9,G10&lt;=$W$9+5),0%,$C$13)</f>
        <v>0</v>
      </c>
      <c r="J10" s="247">
        <f t="shared" ref="J10:J73" si="9">K10+Q10</f>
        <v>3600</v>
      </c>
      <c r="K10" s="242">
        <f t="shared" ref="K10:K14" si="10">IF(AND($W$9=1,G10&gt;=$W$9,G10&lt;=$W$9+5),$W$10,IF(AND(S9+N10+L10&gt;K9,K9&lt;&gt;0),$C$24,IF(S9=0,0,S9+N10+L10+L11)))</f>
        <v>0</v>
      </c>
      <c r="L10" s="242">
        <f t="shared" ref="L10:L14" si="11">IF(AND($W$9=1,G10&gt;=$W$9,G10&lt;=$W$9+5),0,IF($C$9&gt;$AF$51,ROUND(S9*I10*((H10-DATE(YEAR(H10),MONTH(H10),1)+1)/(DATE(YEAR(H10)+1,1,1)-DATE(YEAR(H10),1,1))+(EOMONTH(H9,0)-H9)/(DATE(YEAR(H9)+1,1,1)-DATE(YEAR(H9),1,1))),2),0))</f>
        <v>0</v>
      </c>
      <c r="M10" s="242">
        <f t="shared" ref="M10:M73" si="12">IF(S9=0,0,IF(S9+N10+L10&gt;K9,K10-L10-N10,S9))</f>
        <v>0</v>
      </c>
      <c r="N10" s="242">
        <f t="shared" si="2"/>
        <v>0</v>
      </c>
      <c r="O10" s="242">
        <v>0</v>
      </c>
      <c r="P10" s="242">
        <f>L10+Q10</f>
        <v>3600</v>
      </c>
      <c r="Q10" s="242">
        <f t="shared" ref="Q10:Q14" si="13">IF(OR($C$8="Нет",$C$16="Нет"),0,IF($C$17="Серебряный",3600,IF($C$17="Золотой",5000,IF($C$17="Платиновый",7000,""))))</f>
        <v>3600</v>
      </c>
      <c r="R10" s="242">
        <f t="shared" ref="R10:R73" si="14">IF(V10=0,0,0)</f>
        <v>0</v>
      </c>
      <c r="S10" s="242">
        <f t="shared" ref="S10:S73" si="15">S9-M10-T10</f>
        <v>90750</v>
      </c>
      <c r="T10" s="467"/>
      <c r="U10" s="198">
        <f>IF((U9-1)&lt;0,0,U9-1)</f>
        <v>47</v>
      </c>
      <c r="V10" s="36">
        <f t="shared" ref="V10:V73" si="16">U10</f>
        <v>47</v>
      </c>
      <c r="W10" s="54">
        <f>ROUND(S8*0%,-2)</f>
        <v>0</v>
      </c>
      <c r="X10" s="54">
        <f>ROUND(S8*0.5%,0)</f>
        <v>454</v>
      </c>
      <c r="Y10" s="15"/>
      <c r="Z10" s="15"/>
      <c r="AA10" s="15"/>
      <c r="AB10" s="15"/>
      <c r="AC10" s="15"/>
      <c r="AD10" s="147">
        <f>IF(OR($C$8="Гарантия стандарт",$C$8="Гарантия пакет"),AB6,W6)</f>
        <v>0.17899999999999999</v>
      </c>
      <c r="AE10" s="147">
        <f>IF(OR($D$8="Гарантия стандарт",$D$8="Гарантия пакет"),AB6,W6)</f>
        <v>0.17899999999999999</v>
      </c>
      <c r="AF10" s="15"/>
      <c r="AG10" s="15"/>
      <c r="AH10" s="15"/>
      <c r="AI10" s="15"/>
      <c r="AJ10" s="15"/>
      <c r="AK10" s="15"/>
      <c r="AL10" s="15"/>
      <c r="AM10" s="15"/>
      <c r="AN10" s="15"/>
      <c r="AO10" s="130">
        <f t="shared" ref="AO10:AO73" si="17">IF(OR(AT10="",AT10=0),0,1)</f>
        <v>1</v>
      </c>
      <c r="AP10" s="261">
        <f>AP9+1</f>
        <v>2</v>
      </c>
      <c r="AQ10" s="262">
        <f t="shared" si="3"/>
        <v>44343</v>
      </c>
      <c r="AR10" s="263">
        <f t="shared" si="4"/>
        <v>0.16900000000000001</v>
      </c>
      <c r="AS10" s="258">
        <f t="shared" ref="AS10:AS73" si="18">AT10+AZ10</f>
        <v>2617</v>
      </c>
      <c r="AT10" s="258">
        <f t="shared" ref="AT10:AT73" si="19">IF(AND(BG9+AW10+AU10&gt;AT9,AT9&lt;&gt;0),IF($D$16="Да",$AL$36,$D$24),IF(BG9=0,0,BG9+AW10+AU10+AU11))</f>
        <v>2617</v>
      </c>
      <c r="AU10" s="258">
        <f t="shared" ref="AU10:AU73" si="20">IF($C$9&gt;$AF$51,ROUND(BG9*AR10*((AQ10-DATE(YEAR(AQ10),MONTH(AQ10),1)+1)/(DATE(YEAR(AQ10)+1,1,1)-DATE(YEAR(AQ10),1,1))+(EOMONTH(AQ9,0)-AQ9)/(DATE(YEAR(AQ9)+1,1,1)-DATE(YEAR(AQ9),1,1))),2),0)</f>
        <v>1240.55</v>
      </c>
      <c r="AV10" s="258">
        <f t="shared" ref="AV10:AV73" si="21">IF(BI10=0,0,IF(BI10=1,BG9,IF(BG9+AW10+AU10&gt;AT9,AT10-AU10-AW10,BG9)))</f>
        <v>1376.45</v>
      </c>
      <c r="AW10" s="258">
        <f t="shared" si="5"/>
        <v>0</v>
      </c>
      <c r="AX10" s="258">
        <v>0</v>
      </c>
      <c r="AY10" s="258">
        <f t="shared" ref="AY10:AY85" si="22">AU10+AZ10</f>
        <v>1240.55</v>
      </c>
      <c r="AZ10" s="258">
        <f t="shared" si="6"/>
        <v>0</v>
      </c>
      <c r="BA10" s="258">
        <f t="shared" ref="BA10:BA18" si="23">IF(BI10=0,0,0)</f>
        <v>0</v>
      </c>
      <c r="BB10" s="258"/>
      <c r="BC10" s="258"/>
      <c r="BD10" s="258"/>
      <c r="BE10" s="258"/>
      <c r="BF10" s="258"/>
      <c r="BG10" s="258">
        <f t="shared" ref="BG10:BG73" si="24">IF(OR(BI10=1,BG9=0),0,BG9-AV10)</f>
        <v>87933.07</v>
      </c>
      <c r="BH10" s="108">
        <f>IF((BH9-1)&lt;0,0,BH9-1)</f>
        <v>47</v>
      </c>
      <c r="BI10" s="108">
        <f>BH10</f>
        <v>47</v>
      </c>
      <c r="BJ10" s="22">
        <f>H10</f>
        <v>44343</v>
      </c>
      <c r="BK10" s="108">
        <f t="shared" si="7"/>
        <v>0</v>
      </c>
      <c r="BN10" s="830" t="s">
        <v>90</v>
      </c>
      <c r="BO10" s="828" t="s">
        <v>85</v>
      </c>
      <c r="BP10" s="129" t="s">
        <v>84</v>
      </c>
    </row>
    <row r="11" spans="1:72" ht="18" customHeight="1" thickBot="1" x14ac:dyDescent="0.3">
      <c r="A11" s="882" t="s">
        <v>172</v>
      </c>
      <c r="B11" s="882"/>
      <c r="C11" s="220">
        <v>0.16900000000000001</v>
      </c>
      <c r="D11" s="217">
        <f>C11</f>
        <v>0.16900000000000001</v>
      </c>
      <c r="E11" s="214"/>
      <c r="F11" s="232"/>
      <c r="G11" s="244">
        <f>G10+1</f>
        <v>3</v>
      </c>
      <c r="H11" s="245">
        <f t="shared" si="1"/>
        <v>44374</v>
      </c>
      <c r="I11" s="246">
        <f t="shared" si="8"/>
        <v>0</v>
      </c>
      <c r="J11" s="247">
        <f t="shared" si="9"/>
        <v>3600</v>
      </c>
      <c r="K11" s="242">
        <f t="shared" si="10"/>
        <v>0</v>
      </c>
      <c r="L11" s="242">
        <f t="shared" si="11"/>
        <v>0</v>
      </c>
      <c r="M11" s="242">
        <f t="shared" si="12"/>
        <v>0</v>
      </c>
      <c r="N11" s="242">
        <f t="shared" si="2"/>
        <v>0</v>
      </c>
      <c r="O11" s="242">
        <v>0</v>
      </c>
      <c r="P11" s="242">
        <f t="shared" ref="P11:P85" si="25">L11+Q11</f>
        <v>3600</v>
      </c>
      <c r="Q11" s="242">
        <f t="shared" si="13"/>
        <v>3600</v>
      </c>
      <c r="R11" s="242">
        <f t="shared" si="14"/>
        <v>0</v>
      </c>
      <c r="S11" s="242">
        <f t="shared" si="15"/>
        <v>90750</v>
      </c>
      <c r="T11" s="467"/>
      <c r="U11" s="198">
        <f>IF((U10-1)&lt;0,0,U10-1)</f>
        <v>46</v>
      </c>
      <c r="V11" s="36">
        <f t="shared" si="16"/>
        <v>46</v>
      </c>
      <c r="W11" s="15"/>
      <c r="X11" s="15"/>
      <c r="Y11" s="15"/>
      <c r="Z11" s="15"/>
      <c r="AA11" s="15"/>
      <c r="AB11" s="15"/>
      <c r="AC11" s="15"/>
      <c r="AD11" s="147"/>
      <c r="AE11" s="147"/>
      <c r="AF11" s="15"/>
      <c r="AG11" s="15"/>
      <c r="AH11" s="15"/>
      <c r="AI11" s="15"/>
      <c r="AJ11" s="15"/>
      <c r="AK11" s="15"/>
      <c r="AL11" s="15"/>
      <c r="AM11" s="3"/>
      <c r="AN11" s="175"/>
      <c r="AO11" s="130">
        <f t="shared" si="17"/>
        <v>1</v>
      </c>
      <c r="AP11" s="261">
        <f>AP10+1</f>
        <v>3</v>
      </c>
      <c r="AQ11" s="262">
        <f t="shared" si="3"/>
        <v>44374</v>
      </c>
      <c r="AR11" s="263">
        <f t="shared" si="4"/>
        <v>0.16900000000000001</v>
      </c>
      <c r="AS11" s="258">
        <f t="shared" si="18"/>
        <v>2617</v>
      </c>
      <c r="AT11" s="258">
        <f t="shared" si="19"/>
        <v>2617</v>
      </c>
      <c r="AU11" s="258">
        <f t="shared" si="20"/>
        <v>1262.1400000000001</v>
      </c>
      <c r="AV11" s="258">
        <f>IF(BI11=0,0,IF(BI11=1,BG10,IF(BG10+AW11+AU11&gt;AT10,AT11-AU11-AW11,BG10)))</f>
        <v>1354.86</v>
      </c>
      <c r="AW11" s="258">
        <f t="shared" si="5"/>
        <v>0</v>
      </c>
      <c r="AX11" s="258">
        <v>0</v>
      </c>
      <c r="AY11" s="258">
        <f t="shared" si="22"/>
        <v>1262.1400000000001</v>
      </c>
      <c r="AZ11" s="258">
        <f t="shared" si="6"/>
        <v>0</v>
      </c>
      <c r="BA11" s="258">
        <f t="shared" si="23"/>
        <v>0</v>
      </c>
      <c r="BB11" s="258"/>
      <c r="BC11" s="258"/>
      <c r="BD11" s="258"/>
      <c r="BE11" s="258"/>
      <c r="BF11" s="258"/>
      <c r="BG11" s="258">
        <f>IF(OR(BI11=1,BG10=0),0,BG10-AV11)</f>
        <v>86578.21</v>
      </c>
      <c r="BH11" s="108">
        <f>IF((BH10-1)&lt;0,0,BH10-1)</f>
        <v>46</v>
      </c>
      <c r="BI11" s="108">
        <f t="shared" ref="BI11:BI74" si="26">BH11</f>
        <v>46</v>
      </c>
      <c r="BJ11" s="22">
        <f t="shared" ref="BJ11:BJ74" si="27">H11</f>
        <v>44374</v>
      </c>
      <c r="BK11" s="108">
        <f t="shared" si="7"/>
        <v>0</v>
      </c>
      <c r="BN11" s="831"/>
      <c r="BO11" s="829"/>
      <c r="BP11" s="128" t="s">
        <v>91</v>
      </c>
    </row>
    <row r="12" spans="1:72" ht="18" customHeight="1" thickBot="1" x14ac:dyDescent="0.3">
      <c r="A12" s="882" t="s">
        <v>173</v>
      </c>
      <c r="B12" s="882"/>
      <c r="C12" s="221" t="s">
        <v>33</v>
      </c>
      <c r="D12" s="218" t="str">
        <f>C12</f>
        <v>Базовый</v>
      </c>
      <c r="E12" s="214"/>
      <c r="F12" s="232"/>
      <c r="G12" s="244">
        <f t="shared" ref="G12:G75" si="28">G11+1</f>
        <v>4</v>
      </c>
      <c r="H12" s="245">
        <f t="shared" si="1"/>
        <v>44404</v>
      </c>
      <c r="I12" s="246">
        <f t="shared" si="8"/>
        <v>0</v>
      </c>
      <c r="J12" s="247">
        <f t="shared" si="9"/>
        <v>3600</v>
      </c>
      <c r="K12" s="242">
        <f t="shared" si="10"/>
        <v>0</v>
      </c>
      <c r="L12" s="242">
        <f t="shared" si="11"/>
        <v>0</v>
      </c>
      <c r="M12" s="242">
        <f t="shared" si="12"/>
        <v>0</v>
      </c>
      <c r="N12" s="242">
        <f t="shared" si="2"/>
        <v>0</v>
      </c>
      <c r="O12" s="242">
        <v>0</v>
      </c>
      <c r="P12" s="242">
        <f t="shared" si="25"/>
        <v>3600</v>
      </c>
      <c r="Q12" s="242">
        <f t="shared" si="13"/>
        <v>3600</v>
      </c>
      <c r="R12" s="242">
        <f t="shared" si="14"/>
        <v>0</v>
      </c>
      <c r="S12" s="242">
        <f t="shared" si="15"/>
        <v>90750</v>
      </c>
      <c r="T12" s="467"/>
      <c r="U12" s="198">
        <f t="shared" ref="U12:U75" si="29">IF((U11-1)&lt;0,0,U11-1)</f>
        <v>45</v>
      </c>
      <c r="V12" s="36">
        <f t="shared" si="16"/>
        <v>45</v>
      </c>
      <c r="W12" s="15"/>
      <c r="X12" s="15"/>
      <c r="Y12" s="15"/>
      <c r="Z12" s="15"/>
      <c r="AA12" s="15"/>
      <c r="AB12" s="15"/>
      <c r="AC12" s="15"/>
      <c r="AD12" s="147">
        <f>IF(OR($C$8="Гарантия стандарт",$C$8="Гарантия пакет"),AB8,W7)</f>
        <v>0.19900000000000001</v>
      </c>
      <c r="AE12" s="147">
        <f>IF(OR($D$8="Гарантия стандарт",$D$8="Гарантия пакет"),AB8,W7)</f>
        <v>0.19900000000000001</v>
      </c>
      <c r="AF12" s="15"/>
      <c r="AG12" s="15"/>
      <c r="AH12" s="15"/>
      <c r="AI12" s="15"/>
      <c r="AJ12" s="15"/>
      <c r="AK12" s="15"/>
      <c r="AL12" s="15"/>
      <c r="AN12" s="57"/>
      <c r="AO12" s="130">
        <f t="shared" si="17"/>
        <v>1</v>
      </c>
      <c r="AP12" s="261">
        <f t="shared" ref="AP12:AP75" si="30">AP11+1</f>
        <v>4</v>
      </c>
      <c r="AQ12" s="262">
        <f t="shared" si="3"/>
        <v>44404</v>
      </c>
      <c r="AR12" s="263">
        <f t="shared" si="4"/>
        <v>0.16900000000000001</v>
      </c>
      <c r="AS12" s="258">
        <f t="shared" si="18"/>
        <v>2617</v>
      </c>
      <c r="AT12" s="258">
        <f t="shared" si="19"/>
        <v>2617</v>
      </c>
      <c r="AU12" s="258">
        <f t="shared" si="20"/>
        <v>1202.6099999999999</v>
      </c>
      <c r="AV12" s="258">
        <f t="shared" si="21"/>
        <v>1414.39</v>
      </c>
      <c r="AW12" s="258">
        <f t="shared" si="5"/>
        <v>0</v>
      </c>
      <c r="AX12" s="258">
        <v>0</v>
      </c>
      <c r="AY12" s="258">
        <f t="shared" si="22"/>
        <v>1202.6099999999999</v>
      </c>
      <c r="AZ12" s="258">
        <f t="shared" si="6"/>
        <v>0</v>
      </c>
      <c r="BA12" s="258">
        <f t="shared" si="23"/>
        <v>0</v>
      </c>
      <c r="BB12" s="258"/>
      <c r="BC12" s="258"/>
      <c r="BD12" s="258"/>
      <c r="BE12" s="258"/>
      <c r="BF12" s="258"/>
      <c r="BG12" s="258">
        <f t="shared" si="24"/>
        <v>85163.82</v>
      </c>
      <c r="BH12" s="108">
        <f t="shared" ref="BH12:BH75" si="31">IF((BH11-1)&lt;0,0,BH11-1)</f>
        <v>45</v>
      </c>
      <c r="BI12" s="108">
        <f t="shared" si="26"/>
        <v>45</v>
      </c>
      <c r="BJ12" s="22">
        <f t="shared" si="27"/>
        <v>44404</v>
      </c>
      <c r="BK12" s="108">
        <f t="shared" si="7"/>
        <v>0</v>
      </c>
    </row>
    <row r="13" spans="1:72" ht="18" customHeight="1" x14ac:dyDescent="0.25">
      <c r="A13" s="882" t="s">
        <v>171</v>
      </c>
      <c r="B13" s="882"/>
      <c r="C13" s="222">
        <f>IF(OR(C8="Гарантия стандарт",C8="Гарантия пакет",C12="Базовый"),C11,C11-2%)</f>
        <v>0.16900000000000001</v>
      </c>
      <c r="D13" s="217">
        <f>IF(OR(D8="Гарантия стандарт",D8="Гарантия пакет",D12="Базовый"),D11,D11-2%)</f>
        <v>0.16900000000000001</v>
      </c>
      <c r="E13" s="535"/>
      <c r="F13" s="232"/>
      <c r="G13" s="244">
        <f t="shared" si="28"/>
        <v>5</v>
      </c>
      <c r="H13" s="245">
        <f t="shared" si="1"/>
        <v>44435</v>
      </c>
      <c r="I13" s="246">
        <f t="shared" si="8"/>
        <v>0</v>
      </c>
      <c r="J13" s="247">
        <f t="shared" si="9"/>
        <v>3600</v>
      </c>
      <c r="K13" s="242">
        <f t="shared" si="10"/>
        <v>0</v>
      </c>
      <c r="L13" s="242">
        <f t="shared" si="11"/>
        <v>0</v>
      </c>
      <c r="M13" s="242">
        <f t="shared" si="12"/>
        <v>0</v>
      </c>
      <c r="N13" s="242">
        <f t="shared" si="2"/>
        <v>0</v>
      </c>
      <c r="O13" s="242">
        <v>0</v>
      </c>
      <c r="P13" s="242">
        <f t="shared" si="25"/>
        <v>3600</v>
      </c>
      <c r="Q13" s="242">
        <f t="shared" si="13"/>
        <v>3600</v>
      </c>
      <c r="R13" s="242">
        <f t="shared" si="14"/>
        <v>0</v>
      </c>
      <c r="S13" s="242">
        <f>S12-M13-T13</f>
        <v>90750</v>
      </c>
      <c r="T13" s="467"/>
      <c r="U13" s="198">
        <f>IF((U12-1)&lt;0,0,U12-1)</f>
        <v>44</v>
      </c>
      <c r="V13" s="36">
        <f>U13</f>
        <v>44</v>
      </c>
      <c r="W13" s="15"/>
      <c r="X13" s="15"/>
      <c r="Y13" s="15"/>
      <c r="Z13" s="15"/>
      <c r="AA13" s="15"/>
      <c r="AB13" s="15"/>
      <c r="AC13" s="15"/>
      <c r="AD13" s="62" t="e">
        <f>INDEX(AD4:AD12,MATCH(C11,$W$4:$W$7,0))</f>
        <v>#N/A</v>
      </c>
      <c r="AE13" s="62" t="e">
        <f>INDEX(AE4:AE12,MATCH(D13,$W$4:$W$7,0))</f>
        <v>#N/A</v>
      </c>
      <c r="AF13" s="15"/>
      <c r="AG13" s="15"/>
      <c r="AH13" s="15"/>
      <c r="AI13" s="15"/>
      <c r="AJ13" s="15"/>
      <c r="AK13" s="15"/>
      <c r="AL13" s="15"/>
      <c r="AO13" s="130">
        <f t="shared" si="17"/>
        <v>1</v>
      </c>
      <c r="AP13" s="264">
        <f>AP12+1</f>
        <v>5</v>
      </c>
      <c r="AQ13" s="265">
        <f t="shared" si="3"/>
        <v>44435</v>
      </c>
      <c r="AR13" s="263">
        <f t="shared" si="4"/>
        <v>0.16900000000000001</v>
      </c>
      <c r="AS13" s="258">
        <f t="shared" si="18"/>
        <v>2617</v>
      </c>
      <c r="AT13" s="258">
        <f t="shared" si="19"/>
        <v>2617</v>
      </c>
      <c r="AU13" s="258">
        <f t="shared" si="20"/>
        <v>1222.3900000000001</v>
      </c>
      <c r="AV13" s="258">
        <f t="shared" si="21"/>
        <v>1394.61</v>
      </c>
      <c r="AW13" s="258">
        <f t="shared" si="5"/>
        <v>0</v>
      </c>
      <c r="AX13" s="258">
        <v>0</v>
      </c>
      <c r="AY13" s="258">
        <f t="shared" si="22"/>
        <v>1222.3900000000001</v>
      </c>
      <c r="AZ13" s="258">
        <f t="shared" si="6"/>
        <v>0</v>
      </c>
      <c r="BA13" s="258">
        <f t="shared" si="23"/>
        <v>0</v>
      </c>
      <c r="BB13" s="258"/>
      <c r="BC13" s="258"/>
      <c r="BD13" s="258"/>
      <c r="BE13" s="258"/>
      <c r="BF13" s="258"/>
      <c r="BG13" s="258">
        <f t="shared" si="24"/>
        <v>83769.210000000006</v>
      </c>
      <c r="BH13" s="108">
        <f t="shared" si="31"/>
        <v>44</v>
      </c>
      <c r="BI13" s="108">
        <f t="shared" si="26"/>
        <v>44</v>
      </c>
      <c r="BJ13" s="22">
        <f t="shared" si="27"/>
        <v>44435</v>
      </c>
      <c r="BK13" s="108">
        <f t="shared" si="7"/>
        <v>0</v>
      </c>
      <c r="BN13" s="830" t="s">
        <v>92</v>
      </c>
      <c r="BO13" s="828" t="s">
        <v>85</v>
      </c>
      <c r="BP13" s="129" t="s">
        <v>90</v>
      </c>
    </row>
    <row r="14" spans="1:72" ht="19.5" customHeight="1" thickBot="1" x14ac:dyDescent="0.3">
      <c r="A14" s="1010" t="s">
        <v>168</v>
      </c>
      <c r="B14" s="419" t="s">
        <v>102</v>
      </c>
      <c r="C14" s="397" t="s">
        <v>29</v>
      </c>
      <c r="D14" s="216" t="str">
        <f>C14</f>
        <v>нет</v>
      </c>
      <c r="E14" s="219"/>
      <c r="F14" s="231"/>
      <c r="G14" s="248">
        <f t="shared" si="28"/>
        <v>6</v>
      </c>
      <c r="H14" s="249">
        <f t="shared" si="1"/>
        <v>44466</v>
      </c>
      <c r="I14" s="250">
        <f t="shared" si="8"/>
        <v>0</v>
      </c>
      <c r="J14" s="251">
        <f t="shared" si="9"/>
        <v>3600</v>
      </c>
      <c r="K14" s="252">
        <f t="shared" si="10"/>
        <v>0</v>
      </c>
      <c r="L14" s="252">
        <f t="shared" si="11"/>
        <v>0</v>
      </c>
      <c r="M14" s="252">
        <f t="shared" si="12"/>
        <v>0</v>
      </c>
      <c r="N14" s="252">
        <f t="shared" si="2"/>
        <v>0</v>
      </c>
      <c r="O14" s="252">
        <v>0</v>
      </c>
      <c r="P14" s="252">
        <f t="shared" si="25"/>
        <v>3600</v>
      </c>
      <c r="Q14" s="252">
        <f t="shared" si="13"/>
        <v>3600</v>
      </c>
      <c r="R14" s="252">
        <f t="shared" si="14"/>
        <v>0</v>
      </c>
      <c r="S14" s="252">
        <f>S13-M14-T14</f>
        <v>90750</v>
      </c>
      <c r="T14" s="468"/>
      <c r="U14" s="198">
        <f>IF((U13-1)&lt;0,0,U13-1)</f>
        <v>43</v>
      </c>
      <c r="V14" s="36">
        <f t="shared" si="16"/>
        <v>43</v>
      </c>
      <c r="W14" s="84">
        <v>9.9000000000000005E-2</v>
      </c>
      <c r="X14" s="84">
        <v>7.9000000000000001E-2</v>
      </c>
      <c r="Y14" s="84">
        <v>7.9000000000000001E-2</v>
      </c>
      <c r="Z14" s="84">
        <v>7.9000000000000001E-2</v>
      </c>
      <c r="AA14" s="84">
        <v>7.9000000000000001E-2</v>
      </c>
      <c r="AB14" s="15"/>
      <c r="AC14" s="15"/>
      <c r="AE14" s="15">
        <f>IF(OR(D$8="Гарантия стандарт",D$8="Гарантия пакет"),AE13,D13)</f>
        <v>0.16900000000000001</v>
      </c>
      <c r="AF14" s="15"/>
      <c r="AG14" s="15"/>
      <c r="AH14" s="15"/>
      <c r="AI14" s="15"/>
      <c r="AJ14" s="15"/>
      <c r="AK14" s="15"/>
      <c r="AL14" s="15"/>
      <c r="AN14" s="57"/>
      <c r="AO14" s="130">
        <f t="shared" si="17"/>
        <v>1</v>
      </c>
      <c r="AP14" s="261">
        <f>AP13+1</f>
        <v>6</v>
      </c>
      <c r="AQ14" s="262">
        <f t="shared" si="3"/>
        <v>44466</v>
      </c>
      <c r="AR14" s="263">
        <f t="shared" si="4"/>
        <v>0.16900000000000001</v>
      </c>
      <c r="AS14" s="258">
        <f t="shared" si="18"/>
        <v>2617</v>
      </c>
      <c r="AT14" s="258">
        <f t="shared" si="19"/>
        <v>2617</v>
      </c>
      <c r="AU14" s="258">
        <f t="shared" si="20"/>
        <v>1202.3800000000001</v>
      </c>
      <c r="AV14" s="258">
        <f t="shared" si="21"/>
        <v>1414.62</v>
      </c>
      <c r="AW14" s="258">
        <f t="shared" si="5"/>
        <v>0</v>
      </c>
      <c r="AX14" s="258">
        <v>0</v>
      </c>
      <c r="AY14" s="258">
        <f t="shared" si="22"/>
        <v>1202.3800000000001</v>
      </c>
      <c r="AZ14" s="258">
        <f t="shared" si="6"/>
        <v>0</v>
      </c>
      <c r="BA14" s="258">
        <f t="shared" si="23"/>
        <v>0</v>
      </c>
      <c r="BB14" s="258"/>
      <c r="BC14" s="258"/>
      <c r="BD14" s="258"/>
      <c r="BE14" s="258"/>
      <c r="BF14" s="258"/>
      <c r="BG14" s="258">
        <f t="shared" si="24"/>
        <v>82354.590000000011</v>
      </c>
      <c r="BH14" s="108">
        <f t="shared" si="31"/>
        <v>43</v>
      </c>
      <c r="BI14" s="108">
        <f t="shared" si="26"/>
        <v>43</v>
      </c>
      <c r="BJ14" s="22">
        <f t="shared" si="27"/>
        <v>44466</v>
      </c>
      <c r="BK14" s="108">
        <f t="shared" si="7"/>
        <v>0</v>
      </c>
      <c r="BN14" s="831"/>
      <c r="BO14" s="829"/>
      <c r="BP14" s="128" t="s">
        <v>93</v>
      </c>
    </row>
    <row r="15" spans="1:72" ht="20.25" customHeight="1" x14ac:dyDescent="0.25">
      <c r="A15" s="1011"/>
      <c r="B15" s="418" t="s">
        <v>182</v>
      </c>
      <c r="C15" s="216" t="str">
        <f>IF(C14="нет","",IF(OR(C8="Гарантия стандарт",C8="Гарантия плюс",C8="Гарантия пакет"),$AG$37,$AB$34))</f>
        <v/>
      </c>
      <c r="D15" s="223" t="str">
        <f>IF(D14="нет","",IF(OR(D8="Гарантия стандарт",D8="Гарантия плюс",D8="Гарантия пакет"),$AG$37,$AB$34))</f>
        <v/>
      </c>
      <c r="E15" s="219"/>
      <c r="F15" s="231"/>
      <c r="G15" s="244">
        <f t="shared" si="28"/>
        <v>7</v>
      </c>
      <c r="H15" s="245">
        <f t="shared" si="1"/>
        <v>44496</v>
      </c>
      <c r="I15" s="246">
        <f t="shared" ref="I15:I20" si="32">IF(AND($C$16="Да",$C$8&lt;&gt;"Нет"),$AG$37,$C$13)</f>
        <v>0.129</v>
      </c>
      <c r="J15" s="242">
        <f t="shared" si="9"/>
        <v>2498</v>
      </c>
      <c r="K15" s="242">
        <f>IF(AND(G15&gt;=$W$9,G15&lt;=$W$9+5),$W$10,IF(S14+N15+L15&gt;K14,IF(AND($C$16="Да",$C$8&lt;&gt;"Нет"),$AF$37,$C$24),IF(S14=0,0,S14+N15+L15+L16)))</f>
        <v>2498</v>
      </c>
      <c r="L15" s="242">
        <f>IF(AND(G15&gt;=$W$9,G15&lt;=$W$9+5),0,IF($C$9&gt;$AF$51,ROUND(S14*I15*((H15-DATE(YEAR(H15),MONTH(H15),1)+1)/(DATE(YEAR(H15)+1,1,1)-DATE(YEAR(H15),1,1))+(EOMONTH(H14,0)-H14)/(DATE(YEAR(H14)+1,1,1)-DATE(YEAR(H14),1,1))),2),0))</f>
        <v>962.2</v>
      </c>
      <c r="M15" s="242">
        <f>IF(S14=0,0,IF(S14+N15+L15&gt;K14,K15-L15-N15,S14))</f>
        <v>1535.8</v>
      </c>
      <c r="N15" s="242">
        <f t="shared" si="2"/>
        <v>0</v>
      </c>
      <c r="O15" s="242">
        <v>0</v>
      </c>
      <c r="P15" s="242">
        <f t="shared" si="25"/>
        <v>962.2</v>
      </c>
      <c r="Q15" s="242">
        <f t="shared" ref="Q15:Q78" si="33">IF(V15=0,0,0)</f>
        <v>0</v>
      </c>
      <c r="R15" s="242">
        <f t="shared" si="14"/>
        <v>0</v>
      </c>
      <c r="S15" s="242">
        <f>S14-M15-T15</f>
        <v>89214.2</v>
      </c>
      <c r="T15" s="467"/>
      <c r="U15" s="198">
        <f t="shared" si="29"/>
        <v>42</v>
      </c>
      <c r="V15" s="36">
        <f t="shared" si="16"/>
        <v>42</v>
      </c>
      <c r="W15" s="112">
        <v>0</v>
      </c>
      <c r="X15" s="112">
        <v>7.9000000000000001E-2</v>
      </c>
      <c r="Y15" s="112">
        <v>7.9000000000000001E-2</v>
      </c>
      <c r="Z15" s="112">
        <v>7.9000000000000001E-2</v>
      </c>
      <c r="AA15" s="112">
        <v>7.9000000000000001E-2</v>
      </c>
      <c r="AB15" s="15"/>
      <c r="AC15" s="15"/>
      <c r="AD15" s="15" t="str">
        <f>IF(OR(C8="Гарантия стандарт",C8="Гарантия плюс",C8="Гарантия пакет"),AD13,"")</f>
        <v/>
      </c>
      <c r="AE15" s="15" t="str">
        <f>IF(OR(D8="Гарантия стандарт",D8="Гарантия плюс",D8="Гарантия пакет"),AE13,"")</f>
        <v/>
      </c>
      <c r="AF15" s="15"/>
      <c r="AG15" s="15"/>
      <c r="AH15" s="15"/>
      <c r="AI15" s="15"/>
      <c r="AJ15" s="15"/>
      <c r="AK15" s="15"/>
      <c r="AL15" s="15"/>
      <c r="AO15" s="130">
        <f t="shared" si="17"/>
        <v>1</v>
      </c>
      <c r="AP15" s="261">
        <f t="shared" si="30"/>
        <v>7</v>
      </c>
      <c r="AQ15" s="262">
        <f t="shared" si="3"/>
        <v>44496</v>
      </c>
      <c r="AR15" s="263">
        <f t="shared" ref="AR15:AR20" si="34">IF($D$16="Да",$AM$37,$D$13)</f>
        <v>0.16900000000000001</v>
      </c>
      <c r="AS15" s="258">
        <f t="shared" si="18"/>
        <v>2617</v>
      </c>
      <c r="AT15" s="258">
        <f t="shared" si="19"/>
        <v>2617</v>
      </c>
      <c r="AU15" s="258">
        <f t="shared" si="20"/>
        <v>1143.94</v>
      </c>
      <c r="AV15" s="258">
        <f t="shared" si="21"/>
        <v>1473.06</v>
      </c>
      <c r="AW15" s="258">
        <f t="shared" si="5"/>
        <v>0</v>
      </c>
      <c r="AX15" s="258">
        <v>0</v>
      </c>
      <c r="AY15" s="258">
        <f t="shared" si="22"/>
        <v>1143.94</v>
      </c>
      <c r="AZ15" s="258">
        <f t="shared" si="6"/>
        <v>0</v>
      </c>
      <c r="BA15" s="258">
        <f t="shared" si="23"/>
        <v>0</v>
      </c>
      <c r="BB15" s="258"/>
      <c r="BC15" s="258"/>
      <c r="BD15" s="258"/>
      <c r="BE15" s="258"/>
      <c r="BF15" s="258"/>
      <c r="BG15" s="258">
        <f t="shared" si="24"/>
        <v>80881.530000000013</v>
      </c>
      <c r="BH15" s="108">
        <f t="shared" si="31"/>
        <v>42</v>
      </c>
      <c r="BI15" s="108">
        <f t="shared" si="26"/>
        <v>42</v>
      </c>
      <c r="BJ15" s="22">
        <f t="shared" si="27"/>
        <v>44496</v>
      </c>
      <c r="BK15" s="108">
        <f t="shared" si="7"/>
        <v>2498</v>
      </c>
    </row>
    <row r="16" spans="1:72" ht="19.2" customHeight="1" x14ac:dyDescent="0.25">
      <c r="A16" s="1015" t="s">
        <v>341</v>
      </c>
      <c r="B16" s="186" t="s">
        <v>170</v>
      </c>
      <c r="C16" s="506" t="s">
        <v>179</v>
      </c>
      <c r="D16" s="530" t="s">
        <v>178</v>
      </c>
      <c r="E16" s="214"/>
      <c r="F16" s="232"/>
      <c r="G16" s="244">
        <f t="shared" si="28"/>
        <v>8</v>
      </c>
      <c r="H16" s="245">
        <f t="shared" si="1"/>
        <v>44527</v>
      </c>
      <c r="I16" s="246">
        <f t="shared" si="32"/>
        <v>0.129</v>
      </c>
      <c r="J16" s="242">
        <f t="shared" si="9"/>
        <v>2498</v>
      </c>
      <c r="K16" s="242">
        <f t="shared" ref="K16:K21" si="35">IF(AND(G16&gt;=$W$9,G16&lt;=$W$9+5),$W$10,IF(AND(S15+N16+L16&gt;K15,K15&lt;&gt;0),IF(AND($C$16="Да",$C$8&lt;&gt;"Нет"),$AF$37,$C$24),IF(S15=0,0,S15+N16+L16+L17)))</f>
        <v>2498</v>
      </c>
      <c r="L16" s="242">
        <f t="shared" ref="L16:L79" si="36">IF(AND(G16&gt;=$W$9,G16&lt;=$W$9+5),0,IF($C$9&gt;$AF$51,ROUND(S15*I16*((H16-DATE(YEAR(H16),MONTH(H16),1)+1)/(DATE(YEAR(H16)+1,1,1)-DATE(YEAR(H16),1,1))+(EOMONTH(H15,0)-H15)/(DATE(YEAR(H15)+1,1,1)-DATE(YEAR(H15),1,1))),2),0))</f>
        <v>977.45</v>
      </c>
      <c r="M16" s="242">
        <f>IF(S15=0,0,IF(S15+N16+L16&gt;K15,K16-L16-N16,S15))</f>
        <v>1520.55</v>
      </c>
      <c r="N16" s="242">
        <f t="shared" si="2"/>
        <v>0</v>
      </c>
      <c r="O16" s="242">
        <v>0</v>
      </c>
      <c r="P16" s="242">
        <f t="shared" si="25"/>
        <v>977.45</v>
      </c>
      <c r="Q16" s="242">
        <f t="shared" si="33"/>
        <v>0</v>
      </c>
      <c r="R16" s="242">
        <f t="shared" si="14"/>
        <v>0</v>
      </c>
      <c r="S16" s="242">
        <f t="shared" si="15"/>
        <v>87693.65</v>
      </c>
      <c r="T16" s="467"/>
      <c r="U16" s="198">
        <f t="shared" si="29"/>
        <v>41</v>
      </c>
      <c r="V16" s="36">
        <f t="shared" si="16"/>
        <v>41</v>
      </c>
      <c r="W16" s="101"/>
      <c r="X16" s="101"/>
      <c r="Y16" s="101"/>
      <c r="Z16" s="101"/>
      <c r="AA16" s="101"/>
      <c r="AB16" s="112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O16" s="130">
        <f t="shared" si="17"/>
        <v>1</v>
      </c>
      <c r="AP16" s="261">
        <f t="shared" si="30"/>
        <v>8</v>
      </c>
      <c r="AQ16" s="262">
        <f t="shared" si="3"/>
        <v>44527</v>
      </c>
      <c r="AR16" s="263">
        <f t="shared" si="34"/>
        <v>0.16900000000000001</v>
      </c>
      <c r="AS16" s="258">
        <f t="shared" si="18"/>
        <v>2617</v>
      </c>
      <c r="AT16" s="258">
        <f t="shared" si="19"/>
        <v>2617</v>
      </c>
      <c r="AU16" s="258">
        <f t="shared" si="20"/>
        <v>1160.93</v>
      </c>
      <c r="AV16" s="258">
        <f t="shared" si="21"/>
        <v>1456.07</v>
      </c>
      <c r="AW16" s="258">
        <f t="shared" si="5"/>
        <v>0</v>
      </c>
      <c r="AX16" s="258">
        <v>0</v>
      </c>
      <c r="AY16" s="258">
        <f t="shared" si="22"/>
        <v>1160.93</v>
      </c>
      <c r="AZ16" s="258">
        <f t="shared" si="6"/>
        <v>0</v>
      </c>
      <c r="BA16" s="258">
        <f t="shared" si="23"/>
        <v>0</v>
      </c>
      <c r="BB16" s="258"/>
      <c r="BC16" s="258"/>
      <c r="BD16" s="258"/>
      <c r="BE16" s="258"/>
      <c r="BF16" s="258"/>
      <c r="BG16" s="258">
        <f t="shared" si="24"/>
        <v>79425.460000000006</v>
      </c>
      <c r="BH16" s="108">
        <f t="shared" si="31"/>
        <v>41</v>
      </c>
      <c r="BI16" s="108">
        <f t="shared" si="26"/>
        <v>41</v>
      </c>
      <c r="BJ16" s="22">
        <f t="shared" si="27"/>
        <v>44527</v>
      </c>
      <c r="BK16" s="108">
        <f t="shared" si="7"/>
        <v>2498</v>
      </c>
    </row>
    <row r="17" spans="1:393" ht="19.95" customHeight="1" x14ac:dyDescent="0.25">
      <c r="A17" s="1015"/>
      <c r="B17" s="186" t="s">
        <v>183</v>
      </c>
      <c r="C17" s="507" t="str">
        <f>IF(C16="Да",IF(AND($C$23&lt;200000),"Серебряный",IF(AND($C$23&gt;=200000,$C$23&lt;300000),"Золотой",IF(AND($C$23&gt;=300000,$C$7&lt;=500000),"Платиновый",""))),"")</f>
        <v>Серебряный</v>
      </c>
      <c r="D17" s="207" t="str">
        <f>IF(D16="Да",IF(AND($D$23&lt;200000),"Серебряный",IF(AND($D$23&gt;=200000,$D$23&lt;300000),"Золотой",IF(AND($D$23&gt;=300000,$C$7&lt;=500000),"Платиновый",""))),"")</f>
        <v/>
      </c>
      <c r="E17" s="214"/>
      <c r="F17" s="232"/>
      <c r="G17" s="244">
        <f t="shared" si="28"/>
        <v>9</v>
      </c>
      <c r="H17" s="245">
        <f t="shared" si="1"/>
        <v>44557</v>
      </c>
      <c r="I17" s="246">
        <f t="shared" si="32"/>
        <v>0.129</v>
      </c>
      <c r="J17" s="242">
        <f t="shared" si="9"/>
        <v>2498</v>
      </c>
      <c r="K17" s="242">
        <f t="shared" si="35"/>
        <v>2498</v>
      </c>
      <c r="L17" s="242">
        <f t="shared" si="36"/>
        <v>929.79</v>
      </c>
      <c r="M17" s="242">
        <f t="shared" si="12"/>
        <v>1568.21</v>
      </c>
      <c r="N17" s="242">
        <f t="shared" si="2"/>
        <v>0</v>
      </c>
      <c r="O17" s="242">
        <v>0</v>
      </c>
      <c r="P17" s="242">
        <f t="shared" si="25"/>
        <v>929.79</v>
      </c>
      <c r="Q17" s="242">
        <f t="shared" si="33"/>
        <v>0</v>
      </c>
      <c r="R17" s="242">
        <f t="shared" si="14"/>
        <v>0</v>
      </c>
      <c r="S17" s="242">
        <f t="shared" si="15"/>
        <v>86125.439999999988</v>
      </c>
      <c r="T17" s="467"/>
      <c r="U17" s="198">
        <f t="shared" si="29"/>
        <v>40</v>
      </c>
      <c r="V17" s="36">
        <f t="shared" si="16"/>
        <v>40</v>
      </c>
      <c r="W17" s="101"/>
      <c r="X17" s="101"/>
      <c r="Y17" s="101"/>
      <c r="Z17" s="101"/>
      <c r="AA17" s="101"/>
      <c r="AB17" s="84">
        <v>0.129</v>
      </c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O17" s="130">
        <f t="shared" si="17"/>
        <v>1</v>
      </c>
      <c r="AP17" s="261">
        <f t="shared" si="30"/>
        <v>9</v>
      </c>
      <c r="AQ17" s="262">
        <f t="shared" si="3"/>
        <v>44557</v>
      </c>
      <c r="AR17" s="263">
        <f t="shared" si="34"/>
        <v>0.16900000000000001</v>
      </c>
      <c r="AS17" s="258">
        <f t="shared" si="18"/>
        <v>2617</v>
      </c>
      <c r="AT17" s="258">
        <f t="shared" si="19"/>
        <v>2617</v>
      </c>
      <c r="AU17" s="258">
        <f t="shared" si="20"/>
        <v>1103.25</v>
      </c>
      <c r="AV17" s="258">
        <f t="shared" si="21"/>
        <v>1513.75</v>
      </c>
      <c r="AW17" s="258">
        <f t="shared" si="5"/>
        <v>0</v>
      </c>
      <c r="AX17" s="258">
        <v>0</v>
      </c>
      <c r="AY17" s="258">
        <f t="shared" si="22"/>
        <v>1103.25</v>
      </c>
      <c r="AZ17" s="258">
        <f t="shared" si="6"/>
        <v>0</v>
      </c>
      <c r="BA17" s="258">
        <f t="shared" si="23"/>
        <v>0</v>
      </c>
      <c r="BB17" s="258"/>
      <c r="BC17" s="258"/>
      <c r="BD17" s="258"/>
      <c r="BE17" s="258"/>
      <c r="BF17" s="258"/>
      <c r="BG17" s="258">
        <f t="shared" si="24"/>
        <v>77911.710000000006</v>
      </c>
      <c r="BH17" s="108">
        <f t="shared" si="31"/>
        <v>40</v>
      </c>
      <c r="BI17" s="108">
        <f t="shared" si="26"/>
        <v>40</v>
      </c>
      <c r="BJ17" s="22">
        <f t="shared" si="27"/>
        <v>44557</v>
      </c>
      <c r="BK17" s="108">
        <f t="shared" si="7"/>
        <v>2498</v>
      </c>
    </row>
    <row r="18" spans="1:393" ht="19.95" customHeight="1" x14ac:dyDescent="0.25">
      <c r="A18" s="1015"/>
      <c r="B18" s="186" t="s">
        <v>184</v>
      </c>
      <c r="C18" s="508">
        <f>IF($C$17="Серебряный",3600,IF($C$17="Золотой",5000,IF($C$17="Платиновый",7000,"")))</f>
        <v>3600</v>
      </c>
      <c r="D18" s="534" t="str">
        <f>IF($D$17="Серебряный",1800,IF($D$17="Золотой",2500,IF($D$17="Платиновый",3500,"")))</f>
        <v/>
      </c>
      <c r="E18" s="214"/>
      <c r="F18" s="232"/>
      <c r="G18" s="244">
        <f t="shared" si="28"/>
        <v>10</v>
      </c>
      <c r="H18" s="245">
        <f t="shared" si="1"/>
        <v>44588</v>
      </c>
      <c r="I18" s="246">
        <f t="shared" si="32"/>
        <v>0.129</v>
      </c>
      <c r="J18" s="242">
        <f t="shared" si="9"/>
        <v>2498</v>
      </c>
      <c r="K18" s="242">
        <f t="shared" si="35"/>
        <v>2498</v>
      </c>
      <c r="L18" s="242">
        <f t="shared" si="36"/>
        <v>943.6</v>
      </c>
      <c r="M18" s="242">
        <f t="shared" si="12"/>
        <v>1554.4</v>
      </c>
      <c r="N18" s="242">
        <f t="shared" si="2"/>
        <v>0</v>
      </c>
      <c r="O18" s="242">
        <v>0</v>
      </c>
      <c r="P18" s="242">
        <f t="shared" si="25"/>
        <v>943.6</v>
      </c>
      <c r="Q18" s="242">
        <f t="shared" si="33"/>
        <v>0</v>
      </c>
      <c r="R18" s="242">
        <f t="shared" si="14"/>
        <v>0</v>
      </c>
      <c r="S18" s="242">
        <f t="shared" si="15"/>
        <v>84571.04</v>
      </c>
      <c r="T18" s="467"/>
      <c r="U18" s="198">
        <f t="shared" si="29"/>
        <v>39</v>
      </c>
      <c r="V18" s="36">
        <f t="shared" si="16"/>
        <v>39</v>
      </c>
      <c r="W18" s="84">
        <v>8.9999999999999993E-3</v>
      </c>
      <c r="X18" s="84">
        <v>8.9999999999999993E-3</v>
      </c>
      <c r="Y18" s="84">
        <v>8.9999999999999993E-3</v>
      </c>
      <c r="Z18" s="84">
        <v>8.9999999999999993E-3</v>
      </c>
      <c r="AA18" s="84">
        <v>8.9999999999999993E-3</v>
      </c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O18" s="130">
        <f t="shared" si="17"/>
        <v>1</v>
      </c>
      <c r="AP18" s="261">
        <f t="shared" si="30"/>
        <v>10</v>
      </c>
      <c r="AQ18" s="262">
        <f t="shared" si="3"/>
        <v>44588</v>
      </c>
      <c r="AR18" s="263">
        <f t="shared" si="34"/>
        <v>0.16900000000000001</v>
      </c>
      <c r="AS18" s="258">
        <f t="shared" si="18"/>
        <v>2617</v>
      </c>
      <c r="AT18" s="258">
        <f t="shared" si="19"/>
        <v>2617</v>
      </c>
      <c r="AU18" s="258">
        <f t="shared" si="20"/>
        <v>1118.3</v>
      </c>
      <c r="AV18" s="258">
        <f t="shared" si="21"/>
        <v>1498.7</v>
      </c>
      <c r="AW18" s="258">
        <f t="shared" si="5"/>
        <v>0</v>
      </c>
      <c r="AX18" s="258">
        <v>0</v>
      </c>
      <c r="AY18" s="258">
        <f t="shared" si="22"/>
        <v>1118.3</v>
      </c>
      <c r="AZ18" s="258">
        <f t="shared" si="6"/>
        <v>0</v>
      </c>
      <c r="BA18" s="258">
        <f t="shared" si="23"/>
        <v>0</v>
      </c>
      <c r="BB18" s="258"/>
      <c r="BC18" s="258"/>
      <c r="BD18" s="258"/>
      <c r="BE18" s="258"/>
      <c r="BF18" s="258"/>
      <c r="BG18" s="258">
        <f t="shared" si="24"/>
        <v>76413.010000000009</v>
      </c>
      <c r="BH18" s="108">
        <f t="shared" si="31"/>
        <v>39</v>
      </c>
      <c r="BI18" s="108">
        <f t="shared" si="26"/>
        <v>39</v>
      </c>
      <c r="BJ18" s="22">
        <f t="shared" si="27"/>
        <v>44588</v>
      </c>
      <c r="BK18" s="108">
        <f t="shared" si="7"/>
        <v>2498</v>
      </c>
    </row>
    <row r="19" spans="1:393" ht="36" customHeight="1" x14ac:dyDescent="0.25">
      <c r="A19" s="1012" t="s">
        <v>338</v>
      </c>
      <c r="B19" s="1012"/>
      <c r="C19" s="1012"/>
      <c r="D19" s="1012"/>
      <c r="E19" s="1012"/>
      <c r="F19" s="233"/>
      <c r="G19" s="244">
        <f t="shared" si="28"/>
        <v>11</v>
      </c>
      <c r="H19" s="245">
        <f t="shared" si="1"/>
        <v>44619</v>
      </c>
      <c r="I19" s="246">
        <f t="shared" si="32"/>
        <v>0.129</v>
      </c>
      <c r="J19" s="242">
        <f t="shared" si="9"/>
        <v>2498</v>
      </c>
      <c r="K19" s="242">
        <f t="shared" si="35"/>
        <v>2498</v>
      </c>
      <c r="L19" s="242">
        <f t="shared" si="36"/>
        <v>926.57</v>
      </c>
      <c r="M19" s="242">
        <f t="shared" si="12"/>
        <v>1571.4299999999998</v>
      </c>
      <c r="N19" s="242">
        <f t="shared" si="2"/>
        <v>0</v>
      </c>
      <c r="O19" s="242">
        <v>0</v>
      </c>
      <c r="P19" s="242">
        <f t="shared" si="25"/>
        <v>926.57</v>
      </c>
      <c r="Q19" s="242">
        <f t="shared" si="33"/>
        <v>0</v>
      </c>
      <c r="R19" s="242">
        <f t="shared" si="14"/>
        <v>0</v>
      </c>
      <c r="S19" s="242">
        <f t="shared" si="15"/>
        <v>82999.61</v>
      </c>
      <c r="T19" s="467"/>
      <c r="U19" s="198">
        <f>IF((U18-1)&lt;0,0,U18-1)</f>
        <v>38</v>
      </c>
      <c r="V19" s="36">
        <f t="shared" si="16"/>
        <v>38</v>
      </c>
      <c r="W19" s="84">
        <v>1.9E-2</v>
      </c>
      <c r="X19" s="84">
        <v>1.9E-2</v>
      </c>
      <c r="Y19" s="84">
        <v>1.9E-2</v>
      </c>
      <c r="Z19" s="84">
        <v>1.9E-2</v>
      </c>
      <c r="AA19" s="84">
        <v>1.9E-2</v>
      </c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O19" s="130">
        <f t="shared" si="17"/>
        <v>1</v>
      </c>
      <c r="AP19" s="261">
        <f>AP18+1</f>
        <v>11</v>
      </c>
      <c r="AQ19" s="262">
        <f t="shared" si="3"/>
        <v>44619</v>
      </c>
      <c r="AR19" s="263">
        <f t="shared" si="34"/>
        <v>0.16900000000000001</v>
      </c>
      <c r="AS19" s="258">
        <f t="shared" si="18"/>
        <v>2617</v>
      </c>
      <c r="AT19" s="258">
        <f t="shared" si="19"/>
        <v>2617</v>
      </c>
      <c r="AU19" s="258">
        <f t="shared" si="20"/>
        <v>1096.79</v>
      </c>
      <c r="AV19" s="258">
        <f t="shared" si="21"/>
        <v>1520.21</v>
      </c>
      <c r="AW19" s="258">
        <f t="shared" si="5"/>
        <v>0</v>
      </c>
      <c r="AX19" s="258">
        <v>0</v>
      </c>
      <c r="AY19" s="258">
        <f t="shared" si="22"/>
        <v>1096.79</v>
      </c>
      <c r="AZ19" s="258">
        <f t="shared" si="6"/>
        <v>0</v>
      </c>
      <c r="BA19" s="258">
        <f>IF(BI25=0,0,0)</f>
        <v>0</v>
      </c>
      <c r="BB19" s="258"/>
      <c r="BC19" s="258"/>
      <c r="BD19" s="258"/>
      <c r="BE19" s="258"/>
      <c r="BF19" s="258"/>
      <c r="BG19" s="258">
        <f t="shared" si="24"/>
        <v>74892.800000000003</v>
      </c>
      <c r="BH19" s="108">
        <f t="shared" si="31"/>
        <v>38</v>
      </c>
      <c r="BI19" s="108">
        <f t="shared" si="26"/>
        <v>38</v>
      </c>
      <c r="BJ19" s="22">
        <f t="shared" si="27"/>
        <v>44619</v>
      </c>
      <c r="BK19" s="108">
        <f t="shared" si="7"/>
        <v>2498</v>
      </c>
    </row>
    <row r="20" spans="1:393" ht="16.95" customHeight="1" thickBot="1" x14ac:dyDescent="0.3">
      <c r="A20" s="1013" t="s">
        <v>342</v>
      </c>
      <c r="B20" s="1013"/>
      <c r="C20" s="1013"/>
      <c r="D20" s="1013"/>
      <c r="E20" s="1013"/>
      <c r="F20" s="224"/>
      <c r="G20" s="248">
        <f t="shared" si="28"/>
        <v>12</v>
      </c>
      <c r="H20" s="249">
        <f t="shared" si="1"/>
        <v>44647</v>
      </c>
      <c r="I20" s="250">
        <f t="shared" si="32"/>
        <v>0.129</v>
      </c>
      <c r="J20" s="252">
        <f t="shared" si="9"/>
        <v>2498</v>
      </c>
      <c r="K20" s="252">
        <f t="shared" si="35"/>
        <v>2498</v>
      </c>
      <c r="L20" s="252">
        <f>IF(AND(G20&gt;=$W$9,G20&lt;=$W$9+5),0,IF($C$9&gt;$AF$51,ROUND(S19*I20*((H20-DATE(YEAR(H20),MONTH(H20),1)+1)/(DATE(YEAR(H20)+1,1,1)-DATE(YEAR(H20),1,1))+(EOMONTH(H19,0)-H19)/(DATE(YEAR(H19)+1,1,1)-DATE(YEAR(H19),1,1))),2),0))</f>
        <v>821.36</v>
      </c>
      <c r="M20" s="252">
        <f t="shared" si="12"/>
        <v>1676.6399999999999</v>
      </c>
      <c r="N20" s="252">
        <f t="shared" si="2"/>
        <v>0</v>
      </c>
      <c r="O20" s="252">
        <v>0</v>
      </c>
      <c r="P20" s="252">
        <f t="shared" si="25"/>
        <v>821.36</v>
      </c>
      <c r="Q20" s="252">
        <f t="shared" si="33"/>
        <v>0</v>
      </c>
      <c r="R20" s="252">
        <f t="shared" si="14"/>
        <v>0</v>
      </c>
      <c r="S20" s="252">
        <f t="shared" si="15"/>
        <v>81322.97</v>
      </c>
      <c r="T20" s="468"/>
      <c r="U20" s="198">
        <f>IF((U19-1)&lt;0,0,U19-1)</f>
        <v>37</v>
      </c>
      <c r="V20" s="36">
        <f t="shared" si="16"/>
        <v>37</v>
      </c>
      <c r="W20" s="122">
        <v>2.9000000000000001E-2</v>
      </c>
      <c r="X20" s="122">
        <v>2.9000000000000001E-2</v>
      </c>
      <c r="Y20" s="122">
        <v>2.9000000000000001E-2</v>
      </c>
      <c r="Z20" s="122">
        <v>2.9000000000000001E-2</v>
      </c>
      <c r="AA20" s="122">
        <v>2.9000000000000001E-2</v>
      </c>
      <c r="AB20" s="15">
        <v>4.9000000000000002E-2</v>
      </c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3"/>
      <c r="AN20" s="113"/>
      <c r="AO20" s="130">
        <f t="shared" si="17"/>
        <v>1</v>
      </c>
      <c r="AP20" s="264">
        <f>AP19+1</f>
        <v>12</v>
      </c>
      <c r="AQ20" s="265">
        <f t="shared" si="3"/>
        <v>44647</v>
      </c>
      <c r="AR20" s="263">
        <f t="shared" si="34"/>
        <v>0.16900000000000001</v>
      </c>
      <c r="AS20" s="258">
        <f t="shared" si="18"/>
        <v>2617</v>
      </c>
      <c r="AT20" s="258">
        <f t="shared" si="19"/>
        <v>2617</v>
      </c>
      <c r="AU20" s="258">
        <f t="shared" si="20"/>
        <v>970.94</v>
      </c>
      <c r="AV20" s="258">
        <f t="shared" si="21"/>
        <v>1646.06</v>
      </c>
      <c r="AW20" s="258">
        <f t="shared" si="5"/>
        <v>0</v>
      </c>
      <c r="AX20" s="258">
        <v>0</v>
      </c>
      <c r="AY20" s="258">
        <f t="shared" si="22"/>
        <v>970.94</v>
      </c>
      <c r="AZ20" s="258">
        <f t="shared" si="6"/>
        <v>0</v>
      </c>
      <c r="BA20" s="258">
        <f t="shared" ref="BA20:BA83" si="37">IF(BI26=0,0,0)</f>
        <v>0</v>
      </c>
      <c r="BB20" s="258"/>
      <c r="BC20" s="258"/>
      <c r="BD20" s="258"/>
      <c r="BE20" s="258"/>
      <c r="BF20" s="258"/>
      <c r="BG20" s="258">
        <f t="shared" si="24"/>
        <v>73246.740000000005</v>
      </c>
      <c r="BH20" s="108">
        <f t="shared" si="31"/>
        <v>37</v>
      </c>
      <c r="BI20" s="108">
        <f t="shared" si="26"/>
        <v>37</v>
      </c>
      <c r="BJ20" s="22">
        <f t="shared" si="27"/>
        <v>44647</v>
      </c>
      <c r="BK20" s="108">
        <f t="shared" si="7"/>
        <v>2498</v>
      </c>
    </row>
    <row r="21" spans="1:393" ht="38.25" customHeight="1" x14ac:dyDescent="0.25">
      <c r="A21" s="973" t="str">
        <f>CONCATENATE("Наличие акции Снижаем ставку 2,0:
- первые 6 мес. ставка - 0%;
- с 7-го мес. снижение ставки на ",AG35*100," % годовых от базовой ставки!")</f>
        <v>Наличие акции Снижаем ставку 2,0:
- первые 6 мес. ставка - 0%;
- с 7-го мес. снижение ставки на 4 % годовых от базовой ставки!</v>
      </c>
      <c r="B21" s="952"/>
      <c r="C21" s="538" t="s">
        <v>179</v>
      </c>
      <c r="D21" s="539" t="s">
        <v>178</v>
      </c>
      <c r="E21" s="214"/>
      <c r="F21" s="224"/>
      <c r="G21" s="244">
        <f t="shared" si="28"/>
        <v>13</v>
      </c>
      <c r="H21" s="245">
        <f t="shared" si="1"/>
        <v>44678</v>
      </c>
      <c r="I21" s="246">
        <f>IF(AND($C$16="Да",$C$8&lt;&gt;"Нет"),$AG$37,$C$13)</f>
        <v>0.129</v>
      </c>
      <c r="J21" s="242">
        <f>K21+Q21</f>
        <v>2498</v>
      </c>
      <c r="K21" s="242">
        <f t="shared" si="35"/>
        <v>2498</v>
      </c>
      <c r="L21" s="242">
        <f>IF(AND(G21&gt;=$W$9,G21&lt;=$W$9+5),0,IF($C$9&gt;$AF$51,ROUND(S20*I21*((H21-DATE(YEAR(H21),MONTH(H21),1)+1)/(DATE(YEAR(H21)+1,1,1)-DATE(YEAR(H21),1,1))+(EOMONTH(H20,0)-H20)/(DATE(YEAR(H20)+1,1,1)-DATE(YEAR(H20),1,1))),2),0))</f>
        <v>890.99</v>
      </c>
      <c r="M21" s="242">
        <f t="shared" si="12"/>
        <v>1607.01</v>
      </c>
      <c r="N21" s="242">
        <f t="shared" si="2"/>
        <v>0</v>
      </c>
      <c r="O21" s="242">
        <v>0</v>
      </c>
      <c r="P21" s="242">
        <f t="shared" si="25"/>
        <v>890.99</v>
      </c>
      <c r="Q21" s="242">
        <f t="shared" si="33"/>
        <v>0</v>
      </c>
      <c r="R21" s="242">
        <f t="shared" si="14"/>
        <v>0</v>
      </c>
      <c r="S21" s="242">
        <f t="shared" si="15"/>
        <v>79715.960000000006</v>
      </c>
      <c r="T21" s="467"/>
      <c r="U21" s="198">
        <f>IF((U20-1)&lt;0,0,U20-1)</f>
        <v>36</v>
      </c>
      <c r="V21" s="36">
        <f t="shared" si="16"/>
        <v>36</v>
      </c>
      <c r="W21" s="84">
        <v>4.9000000000000002E-2</v>
      </c>
      <c r="X21" s="84">
        <v>4.9000000000000002E-2</v>
      </c>
      <c r="Y21" s="84">
        <v>4.9000000000000002E-2</v>
      </c>
      <c r="Z21" s="84">
        <v>4.9000000000000002E-2</v>
      </c>
      <c r="AA21" s="84">
        <v>4.9000000000000002E-2</v>
      </c>
      <c r="AB21" s="115"/>
      <c r="AC21" s="84">
        <v>0.129</v>
      </c>
      <c r="AD21" s="84">
        <v>0.129</v>
      </c>
      <c r="AE21" s="84">
        <v>0.129</v>
      </c>
      <c r="AF21" s="84">
        <v>0.129</v>
      </c>
      <c r="AG21" s="84">
        <v>0.129</v>
      </c>
      <c r="AH21" s="84">
        <v>0.129</v>
      </c>
      <c r="AI21" s="84">
        <v>0.129</v>
      </c>
      <c r="AJ21" s="84">
        <v>0.129</v>
      </c>
      <c r="AK21" s="84">
        <v>0.129</v>
      </c>
      <c r="AL21" s="84">
        <v>0.129</v>
      </c>
      <c r="AM21" s="3"/>
      <c r="AN21" s="3"/>
      <c r="AO21" s="130">
        <f t="shared" si="17"/>
        <v>1</v>
      </c>
      <c r="AP21" s="261">
        <f>AP20+1</f>
        <v>13</v>
      </c>
      <c r="AQ21" s="262">
        <f t="shared" si="3"/>
        <v>44678</v>
      </c>
      <c r="AR21" s="263">
        <f t="shared" ref="AR21:AR32" si="38">IF($D$16="Да",$AM$37,$D$13)</f>
        <v>0.16900000000000001</v>
      </c>
      <c r="AS21" s="258">
        <f t="shared" si="18"/>
        <v>2617</v>
      </c>
      <c r="AT21" s="258">
        <f t="shared" si="19"/>
        <v>2617</v>
      </c>
      <c r="AU21" s="258">
        <f t="shared" si="20"/>
        <v>1051.3399999999999</v>
      </c>
      <c r="AV21" s="258">
        <f t="shared" si="21"/>
        <v>1565.66</v>
      </c>
      <c r="AW21" s="258">
        <f t="shared" si="5"/>
        <v>0</v>
      </c>
      <c r="AX21" s="258">
        <v>0</v>
      </c>
      <c r="AY21" s="258">
        <f t="shared" si="22"/>
        <v>1051.3399999999999</v>
      </c>
      <c r="AZ21" s="258">
        <f t="shared" ref="AZ21:AZ84" si="39">IF(BI27=0,0,0)</f>
        <v>0</v>
      </c>
      <c r="BA21" s="258">
        <f t="shared" si="37"/>
        <v>0</v>
      </c>
      <c r="BB21" s="258"/>
      <c r="BC21" s="258"/>
      <c r="BD21" s="258"/>
      <c r="BE21" s="258"/>
      <c r="BF21" s="258"/>
      <c r="BG21" s="258">
        <f t="shared" si="24"/>
        <v>71681.08</v>
      </c>
      <c r="BH21" s="108">
        <f t="shared" si="31"/>
        <v>36</v>
      </c>
      <c r="BI21" s="108">
        <f t="shared" si="26"/>
        <v>36</v>
      </c>
      <c r="BJ21" s="22">
        <f t="shared" si="27"/>
        <v>44678</v>
      </c>
      <c r="BK21" s="108">
        <f t="shared" si="7"/>
        <v>2498</v>
      </c>
    </row>
    <row r="22" spans="1:393" ht="34.200000000000003" customHeight="1" x14ac:dyDescent="0.25">
      <c r="A22" s="1014" t="s">
        <v>343</v>
      </c>
      <c r="B22" s="1014"/>
      <c r="C22" s="1014"/>
      <c r="D22" s="1014"/>
      <c r="E22" s="1014"/>
      <c r="F22" s="225"/>
      <c r="G22" s="244">
        <f t="shared" si="28"/>
        <v>14</v>
      </c>
      <c r="H22" s="245">
        <f t="shared" si="1"/>
        <v>44708</v>
      </c>
      <c r="I22" s="246">
        <f t="shared" ref="I22:I32" si="40">IF(AND($C$16="Да",$C$8&lt;&gt;"Нет"),$AG$37,$C$13)</f>
        <v>0.129</v>
      </c>
      <c r="J22" s="242">
        <f t="shared" si="9"/>
        <v>2498</v>
      </c>
      <c r="K22" s="242">
        <f t="shared" ref="K22:K31" si="41">IF(AND(G22&gt;=$W$9,G22&lt;=$W$9+5),$W$10,IF(AND(S21+N22+L22&gt;K21,K21&lt;&gt;0),IF(AND($C$16="Да",$C$8&lt;&gt;"Нет"),$AF$37,$C$24),IF(S21=0,0,S21+N22+L22+L23)))</f>
        <v>2498</v>
      </c>
      <c r="L22" s="242">
        <f t="shared" si="36"/>
        <v>845.21</v>
      </c>
      <c r="M22" s="242">
        <f t="shared" si="12"/>
        <v>1652.79</v>
      </c>
      <c r="N22" s="242">
        <f t="shared" si="2"/>
        <v>0</v>
      </c>
      <c r="O22" s="242">
        <v>0</v>
      </c>
      <c r="P22" s="242">
        <f t="shared" si="25"/>
        <v>845.21</v>
      </c>
      <c r="Q22" s="242">
        <f t="shared" si="33"/>
        <v>0</v>
      </c>
      <c r="R22" s="242">
        <f t="shared" si="14"/>
        <v>0</v>
      </c>
      <c r="S22" s="242">
        <f t="shared" si="15"/>
        <v>78063.170000000013</v>
      </c>
      <c r="T22" s="467"/>
      <c r="U22" s="198">
        <f t="shared" si="29"/>
        <v>35</v>
      </c>
      <c r="V22" s="36">
        <f t="shared" si="16"/>
        <v>35</v>
      </c>
      <c r="W22" s="84">
        <v>6.9000000000000006E-2</v>
      </c>
      <c r="X22" s="84">
        <v>6.9000000000000006E-2</v>
      </c>
      <c r="Y22" s="84">
        <v>6.9000000000000006E-2</v>
      </c>
      <c r="Z22" s="84">
        <v>6.9000000000000006E-2</v>
      </c>
      <c r="AA22" s="84">
        <v>6.9000000000000006E-2</v>
      </c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O22" s="130">
        <f t="shared" si="17"/>
        <v>1</v>
      </c>
      <c r="AP22" s="261">
        <f t="shared" si="30"/>
        <v>14</v>
      </c>
      <c r="AQ22" s="262">
        <f t="shared" si="3"/>
        <v>44708</v>
      </c>
      <c r="AR22" s="263">
        <f t="shared" si="38"/>
        <v>0.16900000000000001</v>
      </c>
      <c r="AS22" s="258">
        <f t="shared" si="18"/>
        <v>2617</v>
      </c>
      <c r="AT22" s="258">
        <f t="shared" si="19"/>
        <v>2617</v>
      </c>
      <c r="AU22" s="258">
        <f t="shared" si="20"/>
        <v>995.68</v>
      </c>
      <c r="AV22" s="258">
        <f t="shared" si="21"/>
        <v>1621.3200000000002</v>
      </c>
      <c r="AW22" s="258">
        <f t="shared" si="5"/>
        <v>0</v>
      </c>
      <c r="AX22" s="258">
        <v>0</v>
      </c>
      <c r="AY22" s="258">
        <f t="shared" si="22"/>
        <v>995.68</v>
      </c>
      <c r="AZ22" s="258">
        <f t="shared" si="39"/>
        <v>0</v>
      </c>
      <c r="BA22" s="258">
        <f t="shared" si="37"/>
        <v>0</v>
      </c>
      <c r="BB22" s="258"/>
      <c r="BC22" s="258"/>
      <c r="BD22" s="258"/>
      <c r="BE22" s="258"/>
      <c r="BF22" s="258"/>
      <c r="BG22" s="258">
        <f t="shared" si="24"/>
        <v>70059.759999999995</v>
      </c>
      <c r="BH22" s="108">
        <f t="shared" si="31"/>
        <v>35</v>
      </c>
      <c r="BI22" s="108">
        <f t="shared" si="26"/>
        <v>35</v>
      </c>
      <c r="BJ22" s="22">
        <f t="shared" si="27"/>
        <v>44708</v>
      </c>
      <c r="BK22" s="108">
        <f t="shared" si="7"/>
        <v>2498</v>
      </c>
    </row>
    <row r="23" spans="1:393" ht="19.2" customHeight="1" x14ac:dyDescent="0.25">
      <c r="A23" s="852" t="str">
        <f>IF(AND($C$8&lt;&gt;"Нет",$D$8&lt;&gt;"Нет",$C$14&lt;&gt;"Нет"),"Сумма кредита с ФЗ + Почетный Клиент + Всё под контролем, руб.",IF(AND($C$8&lt;&gt;"Нет",$D$8&lt;&gt;"Нет",$C$14&lt;&gt;"Да"),"Сумма кредита с учетом Финансовой защиты, руб.",IF(AND($D$8&lt;&gt;"Нет",$C$14&lt;&gt;"Нет"),"Сумма кредита с учетом пакета услуг Всё под контролем, руб.","Сумма кредита, руб.")))</f>
        <v>Сумма кредита с учетом Финансовой защиты, руб.</v>
      </c>
      <c r="B23" s="852"/>
      <c r="C23" s="540">
        <f>$C$7+(IF($C$8="Нет",0,IF($C$25&lt;&gt;"",$C$25,0))+IF(C14="Нет",0,IF(C14="Да",C15,0)))</f>
        <v>90750</v>
      </c>
      <c r="D23" s="541">
        <f>$C$7+(IF($D$8="Нет",0,IF($D$25&lt;&gt;"",$D$25,0))+IF(D14="Нет",0,IF(D14="Да",D15,0)))</f>
        <v>90750</v>
      </c>
      <c r="E23" s="542">
        <f>C23-D23</f>
        <v>0</v>
      </c>
      <c r="F23" s="226"/>
      <c r="G23" s="244">
        <f t="shared" si="28"/>
        <v>15</v>
      </c>
      <c r="H23" s="245">
        <f t="shared" si="1"/>
        <v>44739</v>
      </c>
      <c r="I23" s="246">
        <f t="shared" si="40"/>
        <v>0.129</v>
      </c>
      <c r="J23" s="242">
        <f t="shared" si="9"/>
        <v>2498</v>
      </c>
      <c r="K23" s="242">
        <f t="shared" si="41"/>
        <v>2498</v>
      </c>
      <c r="L23" s="242">
        <f t="shared" si="36"/>
        <v>855.27</v>
      </c>
      <c r="M23" s="242">
        <f t="shared" si="12"/>
        <v>1642.73</v>
      </c>
      <c r="N23" s="242">
        <f t="shared" si="2"/>
        <v>0</v>
      </c>
      <c r="O23" s="242">
        <v>0</v>
      </c>
      <c r="P23" s="242">
        <f t="shared" si="25"/>
        <v>855.27</v>
      </c>
      <c r="Q23" s="242">
        <f t="shared" si="33"/>
        <v>0</v>
      </c>
      <c r="R23" s="242">
        <f t="shared" si="14"/>
        <v>0</v>
      </c>
      <c r="S23" s="242">
        <f t="shared" si="15"/>
        <v>76420.440000000017</v>
      </c>
      <c r="T23" s="467"/>
      <c r="U23" s="198">
        <f t="shared" si="29"/>
        <v>34</v>
      </c>
      <c r="V23" s="36">
        <f t="shared" si="16"/>
        <v>34</v>
      </c>
      <c r="W23" s="2">
        <v>1</v>
      </c>
      <c r="X23" s="2">
        <v>1</v>
      </c>
      <c r="Y23" s="3">
        <v>1</v>
      </c>
      <c r="Z23" s="2">
        <v>1</v>
      </c>
      <c r="AA23" s="3">
        <v>1</v>
      </c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O23" s="130">
        <f t="shared" si="17"/>
        <v>1</v>
      </c>
      <c r="AP23" s="261">
        <f t="shared" si="30"/>
        <v>15</v>
      </c>
      <c r="AQ23" s="262">
        <f t="shared" si="3"/>
        <v>44739</v>
      </c>
      <c r="AR23" s="263">
        <f t="shared" si="38"/>
        <v>0.16900000000000001</v>
      </c>
      <c r="AS23" s="258">
        <f t="shared" si="18"/>
        <v>2617</v>
      </c>
      <c r="AT23" s="258">
        <f t="shared" si="19"/>
        <v>2617</v>
      </c>
      <c r="AU23" s="258">
        <f t="shared" si="20"/>
        <v>1005.6</v>
      </c>
      <c r="AV23" s="258">
        <f t="shared" si="21"/>
        <v>1611.4</v>
      </c>
      <c r="AW23" s="258">
        <f t="shared" si="5"/>
        <v>0</v>
      </c>
      <c r="AX23" s="258">
        <v>0</v>
      </c>
      <c r="AY23" s="258">
        <f t="shared" si="22"/>
        <v>1005.6</v>
      </c>
      <c r="AZ23" s="258">
        <f t="shared" si="39"/>
        <v>0</v>
      </c>
      <c r="BA23" s="258">
        <f t="shared" si="37"/>
        <v>0</v>
      </c>
      <c r="BB23" s="258"/>
      <c r="BC23" s="258"/>
      <c r="BD23" s="258"/>
      <c r="BE23" s="258"/>
      <c r="BF23" s="258"/>
      <c r="BG23" s="258">
        <f t="shared" si="24"/>
        <v>68448.36</v>
      </c>
      <c r="BH23" s="108">
        <f t="shared" si="31"/>
        <v>34</v>
      </c>
      <c r="BI23" s="108">
        <f t="shared" si="26"/>
        <v>34</v>
      </c>
      <c r="BJ23" s="22">
        <f t="shared" si="27"/>
        <v>44739</v>
      </c>
      <c r="BK23" s="108">
        <f t="shared" si="7"/>
        <v>2498</v>
      </c>
    </row>
    <row r="24" spans="1:393" ht="18" customHeight="1" x14ac:dyDescent="0.25">
      <c r="A24" s="852" t="str">
        <f>IF(AND($C$8&lt;&gt;"Нет",$D$8&lt;&gt;"Нет",$C$14&lt;&gt;"Нет"),"Платеж с учетом Финансовой защиты + пакета услуг Всё под контролем, руб.",IF(AND($C$8&lt;&gt;"Нет",$D$8&lt;&gt;"Нет",$C$14&lt;&gt;"Да"),"Платеж с учетом Финансовой защиты, руб.",IF(AND($D$8&lt;&gt;"Нет",$C$14&lt;&gt;"Нет"),"Платеж с учетом пакета услуг Всё под контролем, руб.","Платеж, руб.")))</f>
        <v>Платеж с учетом Финансовой защиты, руб.</v>
      </c>
      <c r="B24" s="852"/>
      <c r="C24" s="516">
        <f>ROUNDUP(AH36/AH33*C23/AG47,0)*AG47</f>
        <v>2617</v>
      </c>
      <c r="D24" s="531">
        <f>ROUNDUP(AI36/AH33*D23/AG47,0)*AG47</f>
        <v>2617</v>
      </c>
      <c r="E24" s="204">
        <f>C24-D24</f>
        <v>0</v>
      </c>
      <c r="F24" s="226"/>
      <c r="G24" s="244">
        <f t="shared" si="28"/>
        <v>16</v>
      </c>
      <c r="H24" s="245">
        <f t="shared" si="1"/>
        <v>44769</v>
      </c>
      <c r="I24" s="246">
        <f t="shared" si="40"/>
        <v>0.129</v>
      </c>
      <c r="J24" s="242">
        <f t="shared" si="9"/>
        <v>2498</v>
      </c>
      <c r="K24" s="242">
        <f t="shared" si="41"/>
        <v>2498</v>
      </c>
      <c r="L24" s="242">
        <f t="shared" si="36"/>
        <v>810.27</v>
      </c>
      <c r="M24" s="242">
        <f t="shared" si="12"/>
        <v>1687.73</v>
      </c>
      <c r="N24" s="242">
        <f t="shared" si="2"/>
        <v>0</v>
      </c>
      <c r="O24" s="242">
        <v>0</v>
      </c>
      <c r="P24" s="242">
        <f t="shared" si="25"/>
        <v>810.27</v>
      </c>
      <c r="Q24" s="242">
        <f t="shared" si="33"/>
        <v>0</v>
      </c>
      <c r="R24" s="242">
        <f t="shared" si="14"/>
        <v>0</v>
      </c>
      <c r="S24" s="242">
        <f t="shared" si="15"/>
        <v>74732.710000000021</v>
      </c>
      <c r="T24" s="467"/>
      <c r="U24" s="198">
        <f t="shared" si="29"/>
        <v>33</v>
      </c>
      <c r="V24" s="36">
        <f t="shared" si="16"/>
        <v>33</v>
      </c>
      <c r="AB24" s="3">
        <v>1</v>
      </c>
      <c r="AC24" s="15">
        <v>4.9000000000000002E-2</v>
      </c>
      <c r="AD24" s="15">
        <v>4.9000000000000002E-2</v>
      </c>
      <c r="AE24" s="15">
        <v>4.9000000000000002E-2</v>
      </c>
      <c r="AF24" s="80">
        <v>6.9000000000000006E-2</v>
      </c>
      <c r="AG24" s="80">
        <v>6.9000000000000006E-2</v>
      </c>
      <c r="AH24" s="80">
        <v>6.9000000000000006E-2</v>
      </c>
      <c r="AI24" s="80">
        <v>6.9000000000000006E-2</v>
      </c>
      <c r="AJ24" s="80">
        <v>6.9000000000000006E-2</v>
      </c>
      <c r="AK24" s="80">
        <v>6.9000000000000006E-2</v>
      </c>
      <c r="AL24" s="80">
        <v>6.9000000000000006E-2</v>
      </c>
      <c r="AO24" s="130">
        <f t="shared" si="17"/>
        <v>1</v>
      </c>
      <c r="AP24" s="261">
        <f t="shared" si="30"/>
        <v>16</v>
      </c>
      <c r="AQ24" s="262">
        <f t="shared" si="3"/>
        <v>44769</v>
      </c>
      <c r="AR24" s="263">
        <f t="shared" si="38"/>
        <v>0.16900000000000001</v>
      </c>
      <c r="AS24" s="258">
        <f t="shared" si="18"/>
        <v>2617</v>
      </c>
      <c r="AT24" s="258">
        <f t="shared" si="19"/>
        <v>2617</v>
      </c>
      <c r="AU24" s="258">
        <f t="shared" si="20"/>
        <v>950.78</v>
      </c>
      <c r="AV24" s="258">
        <f t="shared" si="21"/>
        <v>1666.22</v>
      </c>
      <c r="AW24" s="258">
        <f t="shared" si="5"/>
        <v>0</v>
      </c>
      <c r="AX24" s="258">
        <v>0</v>
      </c>
      <c r="AY24" s="258">
        <f t="shared" si="22"/>
        <v>950.78</v>
      </c>
      <c r="AZ24" s="258">
        <f t="shared" si="39"/>
        <v>0</v>
      </c>
      <c r="BA24" s="258">
        <f t="shared" si="37"/>
        <v>0</v>
      </c>
      <c r="BB24" s="258"/>
      <c r="BC24" s="258"/>
      <c r="BD24" s="258"/>
      <c r="BE24" s="258"/>
      <c r="BF24" s="258"/>
      <c r="BG24" s="258">
        <f t="shared" si="24"/>
        <v>66782.14</v>
      </c>
      <c r="BH24" s="108">
        <f t="shared" si="31"/>
        <v>33</v>
      </c>
      <c r="BI24" s="108">
        <f t="shared" si="26"/>
        <v>33</v>
      </c>
      <c r="BJ24" s="22">
        <f t="shared" si="27"/>
        <v>44769</v>
      </c>
      <c r="BK24" s="108">
        <f t="shared" si="7"/>
        <v>2498</v>
      </c>
    </row>
    <row r="25" spans="1:393" ht="18" customHeight="1" x14ac:dyDescent="0.25">
      <c r="A25" s="846" t="s">
        <v>285</v>
      </c>
      <c r="B25" s="846"/>
      <c r="C25" s="508">
        <f>IF(C8="Гарантия пакет",(AH65*AH79+AI65*AI79),INDEX($AC$79:$AI$79,MATCH(C$8,$AC$59:$AJ$59,0))*C26)*$C$10</f>
        <v>15750</v>
      </c>
      <c r="D25" s="208">
        <f>IF(D8="Гарантия пакет",(AH65*AH79+AI65*AI79),INDEX($AC$79:$AI$79,MATCH(D$8,$AC$59:$AJ$59,0))*D26)*$C$10</f>
        <v>15750</v>
      </c>
      <c r="E25" s="206">
        <f>C25-D25</f>
        <v>0</v>
      </c>
      <c r="F25" s="226"/>
      <c r="G25" s="244">
        <f t="shared" si="28"/>
        <v>17</v>
      </c>
      <c r="H25" s="245">
        <f t="shared" si="1"/>
        <v>44800</v>
      </c>
      <c r="I25" s="246">
        <f t="shared" si="40"/>
        <v>0.129</v>
      </c>
      <c r="J25" s="242">
        <f t="shared" si="9"/>
        <v>2498</v>
      </c>
      <c r="K25" s="242">
        <f t="shared" si="41"/>
        <v>2498</v>
      </c>
      <c r="L25" s="242">
        <f t="shared" si="36"/>
        <v>818.78</v>
      </c>
      <c r="M25" s="242">
        <f t="shared" si="12"/>
        <v>1679.22</v>
      </c>
      <c r="N25" s="242">
        <f t="shared" si="2"/>
        <v>0</v>
      </c>
      <c r="O25" s="242">
        <v>0</v>
      </c>
      <c r="P25" s="242">
        <f t="shared" si="25"/>
        <v>818.78</v>
      </c>
      <c r="Q25" s="242">
        <f t="shared" si="33"/>
        <v>0</v>
      </c>
      <c r="R25" s="242">
        <f t="shared" si="14"/>
        <v>0</v>
      </c>
      <c r="S25" s="242">
        <f t="shared" si="15"/>
        <v>73053.49000000002</v>
      </c>
      <c r="T25" s="467"/>
      <c r="U25" s="198">
        <f t="shared" si="29"/>
        <v>32</v>
      </c>
      <c r="V25" s="36">
        <f t="shared" si="16"/>
        <v>32</v>
      </c>
      <c r="W25" s="2">
        <v>0</v>
      </c>
      <c r="X25" s="2">
        <v>1</v>
      </c>
      <c r="Y25" s="2">
        <v>2</v>
      </c>
      <c r="Z25" s="2">
        <v>3</v>
      </c>
      <c r="AA25" s="2">
        <v>4</v>
      </c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6"/>
      <c r="AN25" s="116"/>
      <c r="AO25" s="130">
        <f t="shared" si="17"/>
        <v>1</v>
      </c>
      <c r="AP25" s="266">
        <f t="shared" si="30"/>
        <v>17</v>
      </c>
      <c r="AQ25" s="265">
        <f t="shared" si="3"/>
        <v>44800</v>
      </c>
      <c r="AR25" s="263">
        <f t="shared" si="38"/>
        <v>0.16900000000000001</v>
      </c>
      <c r="AS25" s="258">
        <f t="shared" si="18"/>
        <v>2617</v>
      </c>
      <c r="AT25" s="258">
        <f t="shared" si="19"/>
        <v>2617</v>
      </c>
      <c r="AU25" s="258">
        <f t="shared" si="20"/>
        <v>958.55</v>
      </c>
      <c r="AV25" s="258">
        <f t="shared" si="21"/>
        <v>1658.45</v>
      </c>
      <c r="AW25" s="258">
        <f t="shared" si="5"/>
        <v>0</v>
      </c>
      <c r="AX25" s="258">
        <v>0</v>
      </c>
      <c r="AY25" s="258">
        <f t="shared" si="22"/>
        <v>958.55</v>
      </c>
      <c r="AZ25" s="258">
        <f t="shared" si="39"/>
        <v>0</v>
      </c>
      <c r="BA25" s="258">
        <f t="shared" si="37"/>
        <v>0</v>
      </c>
      <c r="BB25" s="258"/>
      <c r="BC25" s="258"/>
      <c r="BD25" s="258"/>
      <c r="BE25" s="258"/>
      <c r="BF25" s="258"/>
      <c r="BG25" s="258">
        <f t="shared" si="24"/>
        <v>65123.69</v>
      </c>
      <c r="BH25" s="108">
        <f t="shared" si="31"/>
        <v>32</v>
      </c>
      <c r="BI25" s="108">
        <f t="shared" si="26"/>
        <v>32</v>
      </c>
      <c r="BJ25" s="22">
        <f t="shared" si="27"/>
        <v>44800</v>
      </c>
      <c r="BK25" s="108">
        <f t="shared" si="7"/>
        <v>2498</v>
      </c>
    </row>
    <row r="26" spans="1:393" ht="18" customHeight="1" x14ac:dyDescent="0.25">
      <c r="A26" s="846" t="s">
        <v>100</v>
      </c>
      <c r="B26" s="891"/>
      <c r="C26" s="517">
        <f>IF(C8="Нет",0,IF(C8=AC59,AC65,IF(C8=AD59,AD65,IF(C8=AF59,AF65,IF(C8=AG59,AG65,IF(C8=AE59,AE65,IF(C8=AH59,AH65,IF(C8=AI59,AI65,IF(C8=AJ59,AJ65,Y23)))))))))</f>
        <v>3.5000000000000001E-3</v>
      </c>
      <c r="D26" s="532">
        <f>IF(D8=AC59,AC65,IF(D8=AD59,AD65,IF(D8=AF59,AF65,IF(D8=AG59,AG65,IF(D8=AE59,AE65,IF(D8=AH59,AH65,IF(D8=AI59,AI65,IF(D8=AJ59,AJ65,Y23))))))))</f>
        <v>3.5000000000000001E-3</v>
      </c>
      <c r="E26" s="205"/>
      <c r="F26" s="192"/>
      <c r="G26" s="244">
        <f t="shared" si="28"/>
        <v>18</v>
      </c>
      <c r="H26" s="245">
        <f t="shared" si="1"/>
        <v>44831</v>
      </c>
      <c r="I26" s="246">
        <f t="shared" si="40"/>
        <v>0.129</v>
      </c>
      <c r="J26" s="242">
        <f t="shared" si="9"/>
        <v>2498</v>
      </c>
      <c r="K26" s="242">
        <f t="shared" si="41"/>
        <v>2498</v>
      </c>
      <c r="L26" s="242">
        <f t="shared" si="36"/>
        <v>800.39</v>
      </c>
      <c r="M26" s="242">
        <f t="shared" si="12"/>
        <v>1697.6100000000001</v>
      </c>
      <c r="N26" s="242">
        <f t="shared" si="2"/>
        <v>0</v>
      </c>
      <c r="O26" s="242">
        <v>0</v>
      </c>
      <c r="P26" s="242">
        <f t="shared" si="25"/>
        <v>800.39</v>
      </c>
      <c r="Q26" s="242">
        <f t="shared" si="33"/>
        <v>0</v>
      </c>
      <c r="R26" s="242">
        <f t="shared" si="14"/>
        <v>0</v>
      </c>
      <c r="S26" s="242">
        <f t="shared" si="15"/>
        <v>71355.880000000019</v>
      </c>
      <c r="T26" s="467"/>
      <c r="U26" s="198">
        <f t="shared" si="29"/>
        <v>31</v>
      </c>
      <c r="V26" s="36">
        <f t="shared" si="16"/>
        <v>31</v>
      </c>
      <c r="AB26" s="13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O26" s="130">
        <f t="shared" si="17"/>
        <v>1</v>
      </c>
      <c r="AP26" s="261">
        <f t="shared" si="30"/>
        <v>18</v>
      </c>
      <c r="AQ26" s="262">
        <f t="shared" si="3"/>
        <v>44831</v>
      </c>
      <c r="AR26" s="263">
        <f t="shared" si="38"/>
        <v>0.16900000000000001</v>
      </c>
      <c r="AS26" s="258">
        <f t="shared" si="18"/>
        <v>2617</v>
      </c>
      <c r="AT26" s="258">
        <f t="shared" si="19"/>
        <v>2617</v>
      </c>
      <c r="AU26" s="258">
        <f t="shared" si="20"/>
        <v>934.75</v>
      </c>
      <c r="AV26" s="258">
        <f t="shared" si="21"/>
        <v>1682.25</v>
      </c>
      <c r="AW26" s="258">
        <f t="shared" si="5"/>
        <v>0</v>
      </c>
      <c r="AX26" s="258">
        <v>0</v>
      </c>
      <c r="AY26" s="258">
        <f t="shared" si="22"/>
        <v>934.75</v>
      </c>
      <c r="AZ26" s="258">
        <f t="shared" si="39"/>
        <v>0</v>
      </c>
      <c r="BA26" s="258">
        <f t="shared" si="37"/>
        <v>0</v>
      </c>
      <c r="BB26" s="258"/>
      <c r="BC26" s="258"/>
      <c r="BD26" s="258"/>
      <c r="BE26" s="258"/>
      <c r="BF26" s="258"/>
      <c r="BG26" s="258">
        <f t="shared" si="24"/>
        <v>63441.440000000002</v>
      </c>
      <c r="BH26" s="108">
        <f t="shared" si="31"/>
        <v>31</v>
      </c>
      <c r="BI26" s="108">
        <f t="shared" si="26"/>
        <v>31</v>
      </c>
      <c r="BJ26" s="22">
        <f t="shared" si="27"/>
        <v>44831</v>
      </c>
      <c r="BK26" s="108">
        <f t="shared" si="7"/>
        <v>2498</v>
      </c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97"/>
      <c r="DW26" s="97"/>
      <c r="DX26" s="97"/>
      <c r="DY26" s="97"/>
      <c r="DZ26" s="97"/>
      <c r="EA26" s="97"/>
      <c r="EB26" s="97"/>
      <c r="EC26" s="97"/>
      <c r="ED26" s="97"/>
      <c r="EE26" s="97"/>
      <c r="EF26" s="97"/>
      <c r="EG26" s="97"/>
      <c r="EH26" s="97"/>
      <c r="EI26" s="97"/>
      <c r="EJ26" s="97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97"/>
      <c r="FC26" s="97"/>
      <c r="FD26" s="97"/>
      <c r="FE26" s="97"/>
      <c r="FF26" s="97"/>
      <c r="FG26" s="97"/>
      <c r="FH26" s="97"/>
      <c r="FI26" s="97"/>
      <c r="FJ26" s="97"/>
      <c r="FK26" s="97"/>
      <c r="FL26" s="97"/>
      <c r="FM26" s="97"/>
      <c r="FN26" s="97"/>
      <c r="FO26" s="97"/>
      <c r="FP26" s="97"/>
      <c r="FQ26" s="97"/>
      <c r="FR26" s="97"/>
      <c r="FS26" s="97"/>
      <c r="FT26" s="97"/>
      <c r="FU26" s="97"/>
      <c r="FV26" s="97"/>
      <c r="FW26" s="97"/>
      <c r="FX26" s="97"/>
      <c r="FY26" s="97"/>
      <c r="FZ26" s="97"/>
      <c r="GA26" s="97"/>
      <c r="GB26" s="97"/>
      <c r="GC26" s="97"/>
      <c r="GD26" s="97"/>
      <c r="GE26" s="97"/>
      <c r="GF26" s="97"/>
      <c r="GG26" s="97"/>
      <c r="GH26" s="97"/>
      <c r="GI26" s="97"/>
      <c r="GJ26" s="97"/>
      <c r="GK26" s="97"/>
      <c r="GL26" s="97"/>
      <c r="GM26" s="97"/>
      <c r="GN26" s="97"/>
      <c r="GO26" s="97"/>
      <c r="GP26" s="97"/>
      <c r="GQ26" s="97"/>
      <c r="GR26" s="97"/>
      <c r="GS26" s="97"/>
      <c r="GT26" s="97"/>
      <c r="GU26" s="97"/>
      <c r="GV26" s="97"/>
      <c r="GW26" s="97"/>
      <c r="GX26" s="97"/>
      <c r="GY26" s="97"/>
      <c r="GZ26" s="97"/>
      <c r="HA26" s="97"/>
      <c r="HB26" s="97"/>
      <c r="HC26" s="97"/>
      <c r="HD26" s="97"/>
      <c r="HE26" s="97"/>
      <c r="HF26" s="97"/>
      <c r="HG26" s="97"/>
      <c r="HH26" s="97"/>
      <c r="HI26" s="97"/>
      <c r="HJ26" s="97"/>
      <c r="HK26" s="97"/>
      <c r="HL26" s="97"/>
      <c r="HM26" s="97"/>
      <c r="HN26" s="97"/>
      <c r="HO26" s="97"/>
      <c r="HP26" s="97"/>
      <c r="HQ26" s="97"/>
      <c r="HR26" s="97"/>
      <c r="HS26" s="97"/>
      <c r="HT26" s="97"/>
      <c r="HU26" s="97"/>
      <c r="HV26" s="97"/>
      <c r="HW26" s="97"/>
      <c r="HX26" s="97"/>
      <c r="HY26" s="97"/>
      <c r="HZ26" s="97"/>
      <c r="IA26" s="97"/>
      <c r="IB26" s="97"/>
      <c r="IC26" s="97"/>
      <c r="ID26" s="97"/>
      <c r="IE26" s="97"/>
      <c r="IF26" s="97"/>
      <c r="IG26" s="97"/>
      <c r="IH26" s="97"/>
      <c r="II26" s="97"/>
      <c r="IJ26" s="97"/>
      <c r="IK26" s="97"/>
      <c r="IL26" s="97"/>
      <c r="IM26" s="97"/>
      <c r="IN26" s="97"/>
      <c r="IO26" s="97"/>
      <c r="IP26" s="97"/>
      <c r="IQ26" s="97"/>
      <c r="IR26" s="97"/>
      <c r="IS26" s="97"/>
      <c r="IT26" s="97"/>
      <c r="IU26" s="97"/>
      <c r="IV26" s="97"/>
      <c r="IW26" s="97"/>
      <c r="IX26" s="97"/>
      <c r="IY26" s="97"/>
      <c r="IZ26" s="97"/>
      <c r="JA26" s="97"/>
      <c r="JB26" s="97"/>
      <c r="JC26" s="97"/>
      <c r="JD26" s="97"/>
      <c r="JE26" s="97"/>
      <c r="JF26" s="97"/>
      <c r="JG26" s="97"/>
      <c r="JH26" s="97"/>
      <c r="JI26" s="97"/>
      <c r="JJ26" s="97"/>
      <c r="JK26" s="97"/>
      <c r="JL26" s="97"/>
      <c r="JM26" s="97"/>
      <c r="JN26" s="97"/>
      <c r="JO26" s="97"/>
      <c r="JP26" s="97"/>
      <c r="JQ26" s="97"/>
      <c r="JR26" s="97"/>
      <c r="JS26" s="97"/>
      <c r="JT26" s="97"/>
      <c r="JU26" s="97"/>
      <c r="JV26" s="97"/>
      <c r="JW26" s="97"/>
      <c r="JX26" s="97"/>
      <c r="JY26" s="97"/>
      <c r="JZ26" s="97"/>
      <c r="KA26" s="97"/>
      <c r="KB26" s="97"/>
      <c r="KC26" s="97"/>
      <c r="KD26" s="97"/>
      <c r="KE26" s="97"/>
      <c r="KF26" s="97"/>
      <c r="KG26" s="97"/>
      <c r="KH26" s="97"/>
      <c r="KI26" s="97"/>
      <c r="KJ26" s="97"/>
      <c r="KK26" s="97"/>
      <c r="KL26" s="97"/>
      <c r="KM26" s="97"/>
      <c r="KN26" s="97"/>
      <c r="KO26" s="97"/>
      <c r="KP26" s="97"/>
      <c r="KQ26" s="97"/>
      <c r="KR26" s="97"/>
      <c r="KS26" s="97"/>
      <c r="KT26" s="97"/>
      <c r="KU26" s="97"/>
      <c r="KV26" s="97"/>
      <c r="KW26" s="97"/>
      <c r="KX26" s="97"/>
      <c r="KY26" s="97"/>
      <c r="KZ26" s="97"/>
      <c r="LA26" s="97"/>
      <c r="LB26" s="97"/>
      <c r="LC26" s="97"/>
      <c r="LD26" s="97"/>
      <c r="LE26" s="97"/>
      <c r="LF26" s="97"/>
      <c r="LG26" s="97"/>
      <c r="LH26" s="97"/>
      <c r="LI26" s="97"/>
      <c r="LJ26" s="97"/>
      <c r="LK26" s="97"/>
      <c r="LL26" s="97"/>
      <c r="LM26" s="97"/>
      <c r="LN26" s="97"/>
      <c r="LO26" s="97"/>
      <c r="LP26" s="97"/>
      <c r="LQ26" s="97"/>
      <c r="LR26" s="97"/>
      <c r="LS26" s="97"/>
      <c r="LT26" s="97"/>
      <c r="LU26" s="97"/>
      <c r="LV26" s="97"/>
      <c r="LW26" s="97"/>
      <c r="LX26" s="97"/>
      <c r="LY26" s="97"/>
      <c r="LZ26" s="97"/>
      <c r="MA26" s="97"/>
      <c r="MB26" s="97"/>
      <c r="MC26" s="97"/>
      <c r="MD26" s="97"/>
      <c r="ME26" s="97"/>
      <c r="MF26" s="97"/>
      <c r="MG26" s="97"/>
      <c r="MH26" s="97"/>
      <c r="MI26" s="97"/>
      <c r="MJ26" s="97"/>
      <c r="MK26" s="97"/>
      <c r="ML26" s="97"/>
      <c r="MM26" s="97"/>
      <c r="MN26" s="97"/>
      <c r="MO26" s="97"/>
      <c r="MP26" s="97"/>
      <c r="MQ26" s="97"/>
      <c r="MR26" s="97"/>
      <c r="MS26" s="97"/>
      <c r="MT26" s="97"/>
      <c r="MU26" s="97"/>
      <c r="MV26" s="97"/>
      <c r="MW26" s="97"/>
      <c r="MX26" s="97"/>
      <c r="MY26" s="97"/>
      <c r="MZ26" s="97"/>
      <c r="NA26" s="97"/>
      <c r="NB26" s="97"/>
      <c r="NC26" s="97"/>
      <c r="ND26" s="97"/>
      <c r="NE26" s="97"/>
      <c r="NF26" s="97"/>
      <c r="NG26" s="97"/>
      <c r="NH26" s="97"/>
      <c r="NI26" s="97"/>
      <c r="NJ26" s="97"/>
      <c r="NK26" s="97"/>
      <c r="NL26" s="97"/>
      <c r="NM26" s="97"/>
      <c r="NN26" s="97"/>
      <c r="NO26" s="97"/>
      <c r="NP26" s="97"/>
      <c r="NQ26" s="97"/>
      <c r="NR26" s="97"/>
      <c r="NS26" s="97"/>
      <c r="NT26" s="97"/>
      <c r="NU26" s="97"/>
      <c r="NV26" s="97"/>
      <c r="NW26" s="97"/>
      <c r="NX26" s="97"/>
      <c r="NY26" s="97"/>
      <c r="NZ26" s="97"/>
      <c r="OA26" s="97"/>
      <c r="OB26" s="97"/>
      <c r="OC26" s="97"/>
    </row>
    <row r="27" spans="1:393" ht="16.95" customHeight="1" x14ac:dyDescent="0.25">
      <c r="A27" s="846" t="s">
        <v>325</v>
      </c>
      <c r="B27" s="846"/>
      <c r="C27" s="508">
        <f>IF(C8="Гарантия пакет",(AH65*AH79+AI65*AI79),INDEX($AC$79:$AI$79,MATCH(C$8,$AC$59:$AJ$59,0)))</f>
        <v>93750</v>
      </c>
      <c r="D27" s="208">
        <f>IF(D8="Гарантия пакет",(AH65*AH79+AI65*AI79),INDEX($AC$79:$AI$79,MATCH(D$8,$AC$59:$AJ$59,0)))</f>
        <v>93750</v>
      </c>
      <c r="E27" s="206">
        <f>C27-D27</f>
        <v>0</v>
      </c>
      <c r="F27" s="192"/>
      <c r="G27" s="244">
        <f t="shared" si="28"/>
        <v>19</v>
      </c>
      <c r="H27" s="245">
        <f t="shared" si="1"/>
        <v>44861</v>
      </c>
      <c r="I27" s="246">
        <f t="shared" si="40"/>
        <v>0.129</v>
      </c>
      <c r="J27" s="242">
        <f t="shared" si="9"/>
        <v>2498</v>
      </c>
      <c r="K27" s="242">
        <f t="shared" si="41"/>
        <v>2498</v>
      </c>
      <c r="L27" s="242">
        <f t="shared" si="36"/>
        <v>756.57</v>
      </c>
      <c r="M27" s="242">
        <f t="shared" si="12"/>
        <v>1741.4299999999998</v>
      </c>
      <c r="N27" s="242">
        <f t="shared" si="2"/>
        <v>0</v>
      </c>
      <c r="O27" s="242">
        <v>0</v>
      </c>
      <c r="P27" s="242">
        <f t="shared" si="25"/>
        <v>756.57</v>
      </c>
      <c r="Q27" s="242">
        <f t="shared" si="33"/>
        <v>0</v>
      </c>
      <c r="R27" s="242">
        <f t="shared" si="14"/>
        <v>0</v>
      </c>
      <c r="S27" s="242">
        <f t="shared" si="15"/>
        <v>69614.450000000026</v>
      </c>
      <c r="T27" s="467"/>
      <c r="U27" s="198">
        <f t="shared" si="29"/>
        <v>30</v>
      </c>
      <c r="V27" s="36">
        <f t="shared" si="16"/>
        <v>30</v>
      </c>
      <c r="W27" s="16"/>
      <c r="X27" s="16"/>
      <c r="Y27" s="57"/>
      <c r="AB27" s="13" t="s">
        <v>79</v>
      </c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O27" s="130">
        <f t="shared" si="17"/>
        <v>1</v>
      </c>
      <c r="AP27" s="261">
        <f t="shared" si="30"/>
        <v>19</v>
      </c>
      <c r="AQ27" s="262">
        <f t="shared" si="3"/>
        <v>44861</v>
      </c>
      <c r="AR27" s="263">
        <f t="shared" si="38"/>
        <v>0.16900000000000001</v>
      </c>
      <c r="AS27" s="258">
        <f t="shared" si="18"/>
        <v>2617</v>
      </c>
      <c r="AT27" s="258">
        <f t="shared" si="19"/>
        <v>2617</v>
      </c>
      <c r="AU27" s="258">
        <f t="shared" si="20"/>
        <v>881.23</v>
      </c>
      <c r="AV27" s="258">
        <f t="shared" si="21"/>
        <v>1735.77</v>
      </c>
      <c r="AW27" s="258">
        <f t="shared" si="5"/>
        <v>0</v>
      </c>
      <c r="AX27" s="258">
        <v>0</v>
      </c>
      <c r="AY27" s="258">
        <f t="shared" si="22"/>
        <v>881.23</v>
      </c>
      <c r="AZ27" s="258">
        <f t="shared" si="39"/>
        <v>0</v>
      </c>
      <c r="BA27" s="258">
        <f t="shared" si="37"/>
        <v>0</v>
      </c>
      <c r="BB27" s="258"/>
      <c r="BC27" s="258"/>
      <c r="BD27" s="258"/>
      <c r="BE27" s="258"/>
      <c r="BF27" s="258"/>
      <c r="BG27" s="258">
        <f t="shared" si="24"/>
        <v>61705.670000000006</v>
      </c>
      <c r="BH27" s="108">
        <f t="shared" si="31"/>
        <v>30</v>
      </c>
      <c r="BI27" s="108">
        <f t="shared" si="26"/>
        <v>30</v>
      </c>
      <c r="BJ27" s="22">
        <f t="shared" si="27"/>
        <v>44861</v>
      </c>
      <c r="BK27" s="108">
        <f t="shared" si="7"/>
        <v>2498</v>
      </c>
    </row>
    <row r="28" spans="1:393" ht="22.5" customHeight="1" x14ac:dyDescent="0.25">
      <c r="A28" s="846" t="s">
        <v>310</v>
      </c>
      <c r="B28" s="846"/>
      <c r="C28" s="508">
        <f>C25/$C$10</f>
        <v>328.125</v>
      </c>
      <c r="D28" s="208">
        <f>D25/$C$10</f>
        <v>328.125</v>
      </c>
      <c r="E28" s="206">
        <f t="shared" ref="E28:E29" si="42">C28-D28</f>
        <v>0</v>
      </c>
      <c r="F28" s="190"/>
      <c r="G28" s="244">
        <f t="shared" si="28"/>
        <v>20</v>
      </c>
      <c r="H28" s="245">
        <f t="shared" si="1"/>
        <v>44892</v>
      </c>
      <c r="I28" s="246">
        <f t="shared" si="40"/>
        <v>0.129</v>
      </c>
      <c r="J28" s="242">
        <f t="shared" si="9"/>
        <v>2498</v>
      </c>
      <c r="K28" s="242">
        <f t="shared" si="41"/>
        <v>2498</v>
      </c>
      <c r="L28" s="242">
        <f t="shared" si="36"/>
        <v>762.71</v>
      </c>
      <c r="M28" s="242">
        <f t="shared" si="12"/>
        <v>1735.29</v>
      </c>
      <c r="N28" s="242">
        <f t="shared" si="2"/>
        <v>0</v>
      </c>
      <c r="O28" s="242">
        <v>0</v>
      </c>
      <c r="P28" s="242">
        <f t="shared" si="25"/>
        <v>762.71</v>
      </c>
      <c r="Q28" s="242">
        <f t="shared" si="33"/>
        <v>0</v>
      </c>
      <c r="R28" s="242">
        <f t="shared" si="14"/>
        <v>0</v>
      </c>
      <c r="S28" s="242">
        <f t="shared" si="15"/>
        <v>67879.160000000033</v>
      </c>
      <c r="T28" s="467"/>
      <c r="U28" s="198">
        <f t="shared" si="29"/>
        <v>29</v>
      </c>
      <c r="V28" s="36">
        <f t="shared" si="16"/>
        <v>29</v>
      </c>
      <c r="W28" s="138" t="s">
        <v>104</v>
      </c>
      <c r="X28" s="139"/>
      <c r="Y28" s="139" t="s">
        <v>20</v>
      </c>
      <c r="Z28" s="139" t="s">
        <v>29</v>
      </c>
      <c r="AA28" s="139"/>
      <c r="AB28" s="13" t="s">
        <v>80</v>
      </c>
      <c r="AC28" s="3">
        <v>1</v>
      </c>
      <c r="AD28" s="3">
        <v>1</v>
      </c>
      <c r="AE28" s="3">
        <v>1</v>
      </c>
      <c r="AF28" s="81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O28" s="130">
        <f t="shared" si="17"/>
        <v>1</v>
      </c>
      <c r="AP28" s="261">
        <f t="shared" si="30"/>
        <v>20</v>
      </c>
      <c r="AQ28" s="262">
        <f t="shared" si="3"/>
        <v>44892</v>
      </c>
      <c r="AR28" s="263">
        <f t="shared" si="38"/>
        <v>0.16900000000000001</v>
      </c>
      <c r="AS28" s="258">
        <f t="shared" si="18"/>
        <v>2617</v>
      </c>
      <c r="AT28" s="258">
        <f t="shared" si="19"/>
        <v>2617</v>
      </c>
      <c r="AU28" s="258">
        <f t="shared" si="20"/>
        <v>885.69</v>
      </c>
      <c r="AV28" s="258">
        <f t="shared" si="21"/>
        <v>1731.31</v>
      </c>
      <c r="AW28" s="258">
        <f t="shared" si="5"/>
        <v>0</v>
      </c>
      <c r="AX28" s="258">
        <v>0</v>
      </c>
      <c r="AY28" s="258">
        <f t="shared" si="22"/>
        <v>885.69</v>
      </c>
      <c r="AZ28" s="258">
        <f t="shared" si="39"/>
        <v>0</v>
      </c>
      <c r="BA28" s="258">
        <f t="shared" si="37"/>
        <v>0</v>
      </c>
      <c r="BB28" s="258"/>
      <c r="BC28" s="258"/>
      <c r="BD28" s="258"/>
      <c r="BE28" s="258"/>
      <c r="BF28" s="258"/>
      <c r="BG28" s="258">
        <f t="shared" si="24"/>
        <v>59974.360000000008</v>
      </c>
      <c r="BH28" s="108">
        <f t="shared" si="31"/>
        <v>29</v>
      </c>
      <c r="BI28" s="108">
        <f t="shared" si="26"/>
        <v>29</v>
      </c>
      <c r="BJ28" s="22">
        <f t="shared" si="27"/>
        <v>44892</v>
      </c>
      <c r="BK28" s="108">
        <f t="shared" si="7"/>
        <v>2498</v>
      </c>
    </row>
    <row r="29" spans="1:393" ht="19.5" customHeight="1" x14ac:dyDescent="0.3">
      <c r="A29" s="846" t="s">
        <v>311</v>
      </c>
      <c r="B29" s="846"/>
      <c r="C29" s="354">
        <f>ROUND($C$28/30.4,2)</f>
        <v>10.79</v>
      </c>
      <c r="D29" s="208">
        <f>ROUND($D$28/30.4,2)</f>
        <v>10.79</v>
      </c>
      <c r="E29" s="210">
        <f t="shared" si="42"/>
        <v>0</v>
      </c>
      <c r="F29" s="234"/>
      <c r="G29" s="244">
        <f t="shared" si="28"/>
        <v>21</v>
      </c>
      <c r="H29" s="245">
        <f t="shared" si="1"/>
        <v>44922</v>
      </c>
      <c r="I29" s="246">
        <f t="shared" si="40"/>
        <v>0.129</v>
      </c>
      <c r="J29" s="242">
        <f t="shared" si="9"/>
        <v>2498</v>
      </c>
      <c r="K29" s="242">
        <f t="shared" si="41"/>
        <v>2498</v>
      </c>
      <c r="L29" s="242">
        <f t="shared" si="36"/>
        <v>719.71</v>
      </c>
      <c r="M29" s="242">
        <f t="shared" si="12"/>
        <v>1778.29</v>
      </c>
      <c r="N29" s="242">
        <f t="shared" si="2"/>
        <v>0</v>
      </c>
      <c r="O29" s="242">
        <v>0</v>
      </c>
      <c r="P29" s="242">
        <f t="shared" si="25"/>
        <v>719.71</v>
      </c>
      <c r="Q29" s="242">
        <f t="shared" si="33"/>
        <v>0</v>
      </c>
      <c r="R29" s="242">
        <f t="shared" si="14"/>
        <v>0</v>
      </c>
      <c r="S29" s="242">
        <f t="shared" si="15"/>
        <v>66100.870000000039</v>
      </c>
      <c r="T29" s="467"/>
      <c r="U29" s="198">
        <f t="shared" si="29"/>
        <v>28</v>
      </c>
      <c r="V29" s="36">
        <f t="shared" si="16"/>
        <v>28</v>
      </c>
      <c r="W29" s="140" t="s">
        <v>106</v>
      </c>
      <c r="X29" s="140" t="s">
        <v>107</v>
      </c>
      <c r="Y29" s="140" t="s">
        <v>108</v>
      </c>
      <c r="Z29" s="140" t="s">
        <v>109</v>
      </c>
      <c r="AA29" s="140" t="s">
        <v>110</v>
      </c>
      <c r="AE29" s="82"/>
      <c r="AF29" s="2"/>
      <c r="AG29" s="2"/>
      <c r="AH29" s="2"/>
      <c r="AI29" s="3"/>
      <c r="AJ29" s="3"/>
      <c r="AK29" s="3"/>
      <c r="AL29" s="3"/>
      <c r="AO29" s="130">
        <f t="shared" si="17"/>
        <v>1</v>
      </c>
      <c r="AP29" s="261">
        <f t="shared" si="30"/>
        <v>21</v>
      </c>
      <c r="AQ29" s="262">
        <f t="shared" si="3"/>
        <v>44922</v>
      </c>
      <c r="AR29" s="263">
        <f t="shared" si="38"/>
        <v>0.16900000000000001</v>
      </c>
      <c r="AS29" s="258">
        <f t="shared" si="18"/>
        <v>2617</v>
      </c>
      <c r="AT29" s="258">
        <f t="shared" si="19"/>
        <v>2617</v>
      </c>
      <c r="AU29" s="258">
        <f t="shared" si="20"/>
        <v>833.07</v>
      </c>
      <c r="AV29" s="258">
        <f t="shared" si="21"/>
        <v>1783.9299999999998</v>
      </c>
      <c r="AW29" s="258">
        <f t="shared" si="5"/>
        <v>0</v>
      </c>
      <c r="AX29" s="258">
        <v>0</v>
      </c>
      <c r="AY29" s="258">
        <f t="shared" si="22"/>
        <v>833.07</v>
      </c>
      <c r="AZ29" s="258">
        <f t="shared" si="39"/>
        <v>0</v>
      </c>
      <c r="BA29" s="258">
        <f t="shared" si="37"/>
        <v>0</v>
      </c>
      <c r="BB29" s="258"/>
      <c r="BC29" s="258"/>
      <c r="BD29" s="258"/>
      <c r="BE29" s="258"/>
      <c r="BF29" s="258"/>
      <c r="BG29" s="258">
        <f t="shared" si="24"/>
        <v>58190.430000000008</v>
      </c>
      <c r="BH29" s="108">
        <f t="shared" si="31"/>
        <v>28</v>
      </c>
      <c r="BI29" s="108">
        <f t="shared" si="26"/>
        <v>28</v>
      </c>
      <c r="BJ29" s="22">
        <f t="shared" si="27"/>
        <v>44922</v>
      </c>
      <c r="BK29" s="108">
        <f t="shared" si="7"/>
        <v>2498</v>
      </c>
    </row>
    <row r="30" spans="1:393" ht="17.25" customHeight="1" x14ac:dyDescent="0.3">
      <c r="A30" s="846" t="s">
        <v>75</v>
      </c>
      <c r="B30" s="846"/>
      <c r="C30" s="194">
        <f>L109</f>
        <v>24915.419999999995</v>
      </c>
      <c r="D30" s="209">
        <f>AU109</f>
        <v>34500.30999999999</v>
      </c>
      <c r="E30" s="192">
        <f>C30-D30</f>
        <v>-9584.8899999999958</v>
      </c>
      <c r="F30" s="235"/>
      <c r="G30" s="244">
        <f>G29+1</f>
        <v>22</v>
      </c>
      <c r="H30" s="245">
        <f t="shared" si="1"/>
        <v>44953</v>
      </c>
      <c r="I30" s="246">
        <f t="shared" si="40"/>
        <v>0.129</v>
      </c>
      <c r="J30" s="242">
        <f t="shared" si="9"/>
        <v>2498</v>
      </c>
      <c r="K30" s="242">
        <f t="shared" si="41"/>
        <v>2498</v>
      </c>
      <c r="L30" s="242">
        <f t="shared" si="36"/>
        <v>724.21</v>
      </c>
      <c r="M30" s="242">
        <f t="shared" si="12"/>
        <v>1773.79</v>
      </c>
      <c r="N30" s="242">
        <f t="shared" si="2"/>
        <v>0</v>
      </c>
      <c r="O30" s="242">
        <v>0</v>
      </c>
      <c r="P30" s="242">
        <f t="shared" si="25"/>
        <v>724.21</v>
      </c>
      <c r="Q30" s="242">
        <f t="shared" si="33"/>
        <v>0</v>
      </c>
      <c r="R30" s="242">
        <f t="shared" si="14"/>
        <v>0</v>
      </c>
      <c r="S30" s="242">
        <f t="shared" si="15"/>
        <v>64327.080000000038</v>
      </c>
      <c r="T30" s="467"/>
      <c r="U30" s="198">
        <f>IF((U29-1)&lt;0,0,U29-1)</f>
        <v>27</v>
      </c>
      <c r="V30" s="36">
        <f t="shared" si="16"/>
        <v>27</v>
      </c>
      <c r="W30" s="141">
        <v>13</v>
      </c>
      <c r="X30" s="142">
        <v>19</v>
      </c>
      <c r="Y30" s="142">
        <v>31</v>
      </c>
      <c r="Z30" s="141">
        <v>43</v>
      </c>
      <c r="AA30" s="141">
        <v>55</v>
      </c>
      <c r="AC30" s="13" t="s">
        <v>47</v>
      </c>
      <c r="AD30" s="2" t="s">
        <v>35</v>
      </c>
      <c r="AE30" s="82" t="s">
        <v>35</v>
      </c>
      <c r="AF30" s="2" t="s">
        <v>35</v>
      </c>
      <c r="AG30" s="2" t="s">
        <v>35</v>
      </c>
      <c r="AH30" s="2" t="s">
        <v>35</v>
      </c>
      <c r="AK30" s="2"/>
      <c r="AO30" s="130">
        <f t="shared" si="17"/>
        <v>1</v>
      </c>
      <c r="AP30" s="261">
        <f>AP29+1</f>
        <v>22</v>
      </c>
      <c r="AQ30" s="262">
        <f t="shared" si="3"/>
        <v>44953</v>
      </c>
      <c r="AR30" s="263">
        <f t="shared" si="38"/>
        <v>0.16900000000000001</v>
      </c>
      <c r="AS30" s="258">
        <f t="shared" si="18"/>
        <v>2617</v>
      </c>
      <c r="AT30" s="258">
        <f t="shared" si="19"/>
        <v>2617</v>
      </c>
      <c r="AU30" s="258">
        <f t="shared" si="20"/>
        <v>835.23</v>
      </c>
      <c r="AV30" s="258">
        <f>IF(BI30=0,0,IF(BI30=1,BG29,IF(BG29+AW30+AU30&gt;AT29,AT30-AU30-AW30,BG29)))</f>
        <v>1781.77</v>
      </c>
      <c r="AW30" s="258">
        <f t="shared" si="5"/>
        <v>0</v>
      </c>
      <c r="AX30" s="258">
        <v>0</v>
      </c>
      <c r="AY30" s="258">
        <f t="shared" si="22"/>
        <v>835.23</v>
      </c>
      <c r="AZ30" s="258">
        <f t="shared" si="39"/>
        <v>0</v>
      </c>
      <c r="BA30" s="258">
        <f t="shared" si="37"/>
        <v>0</v>
      </c>
      <c r="BB30" s="258"/>
      <c r="BC30" s="258"/>
      <c r="BD30" s="258"/>
      <c r="BE30" s="258"/>
      <c r="BF30" s="258"/>
      <c r="BG30" s="258">
        <f>IF(OR(BI30=1,BG29=0),0,BG29-AV30)</f>
        <v>56408.660000000011</v>
      </c>
      <c r="BH30" s="108">
        <f>IF((BH29-1)&lt;0,0,BH29-1)</f>
        <v>27</v>
      </c>
      <c r="BI30" s="108">
        <f t="shared" si="26"/>
        <v>27</v>
      </c>
      <c r="BJ30" s="22">
        <f t="shared" si="27"/>
        <v>44953</v>
      </c>
      <c r="BK30" s="108">
        <f t="shared" si="7"/>
        <v>2498</v>
      </c>
    </row>
    <row r="31" spans="1:393" ht="16.5" customHeight="1" x14ac:dyDescent="0.25">
      <c r="A31" s="846" t="s">
        <v>290</v>
      </c>
      <c r="B31" s="846"/>
      <c r="C31" s="194">
        <f>IF(C18="",0,C18*6)</f>
        <v>21600</v>
      </c>
      <c r="D31" s="209">
        <f>IF(D18="",0,D18*12)</f>
        <v>0</v>
      </c>
      <c r="E31" s="274">
        <f>C31-D31</f>
        <v>21600</v>
      </c>
      <c r="F31" s="236"/>
      <c r="G31" s="244">
        <f t="shared" si="28"/>
        <v>23</v>
      </c>
      <c r="H31" s="245">
        <f t="shared" si="1"/>
        <v>44984</v>
      </c>
      <c r="I31" s="246">
        <f t="shared" si="40"/>
        <v>0.129</v>
      </c>
      <c r="J31" s="242">
        <f t="shared" si="9"/>
        <v>2498</v>
      </c>
      <c r="K31" s="242">
        <f t="shared" si="41"/>
        <v>2498</v>
      </c>
      <c r="L31" s="242">
        <f t="shared" si="36"/>
        <v>704.78</v>
      </c>
      <c r="M31" s="242">
        <f t="shared" si="12"/>
        <v>1793.22</v>
      </c>
      <c r="N31" s="242">
        <f t="shared" si="2"/>
        <v>0</v>
      </c>
      <c r="O31" s="242">
        <v>0</v>
      </c>
      <c r="P31" s="242">
        <f t="shared" si="25"/>
        <v>704.78</v>
      </c>
      <c r="Q31" s="242">
        <f t="shared" si="33"/>
        <v>0</v>
      </c>
      <c r="R31" s="242">
        <f t="shared" si="14"/>
        <v>0</v>
      </c>
      <c r="S31" s="242">
        <f t="shared" si="15"/>
        <v>62533.860000000037</v>
      </c>
      <c r="T31" s="467"/>
      <c r="U31" s="198">
        <f t="shared" si="29"/>
        <v>26</v>
      </c>
      <c r="V31" s="36">
        <f t="shared" si="16"/>
        <v>26</v>
      </c>
      <c r="W31" s="142">
        <v>18</v>
      </c>
      <c r="X31" s="142">
        <v>30</v>
      </c>
      <c r="Y31" s="142">
        <v>42</v>
      </c>
      <c r="Z31" s="142">
        <v>54</v>
      </c>
      <c r="AA31" s="142">
        <v>60</v>
      </c>
      <c r="AC31" s="15">
        <f>IF(C12=W3,W17,IF(C12=Y3,Y17,IF(C12=Z3,Z17,IF(C12=AA3,AA17,IF(C12=X3,X17,)))))</f>
        <v>0</v>
      </c>
      <c r="AD31" s="15">
        <v>0</v>
      </c>
      <c r="AE31" s="2">
        <v>0</v>
      </c>
      <c r="AF31" s="2">
        <v>0</v>
      </c>
      <c r="AG31" s="2">
        <v>0</v>
      </c>
      <c r="AH31" s="2"/>
      <c r="AK31" s="2"/>
      <c r="AO31" s="130">
        <f t="shared" si="17"/>
        <v>1</v>
      </c>
      <c r="AP31" s="261">
        <f t="shared" si="30"/>
        <v>23</v>
      </c>
      <c r="AQ31" s="262">
        <f t="shared" si="3"/>
        <v>44984</v>
      </c>
      <c r="AR31" s="263">
        <f t="shared" si="38"/>
        <v>0.16900000000000001</v>
      </c>
      <c r="AS31" s="258">
        <f t="shared" si="18"/>
        <v>2617</v>
      </c>
      <c r="AT31" s="258">
        <f t="shared" si="19"/>
        <v>2617</v>
      </c>
      <c r="AU31" s="258">
        <f t="shared" si="20"/>
        <v>809.66</v>
      </c>
      <c r="AV31" s="258">
        <f t="shared" si="21"/>
        <v>1807.3400000000001</v>
      </c>
      <c r="AW31" s="258">
        <f t="shared" si="5"/>
        <v>0</v>
      </c>
      <c r="AX31" s="258">
        <v>0</v>
      </c>
      <c r="AY31" s="258">
        <f t="shared" si="22"/>
        <v>809.66</v>
      </c>
      <c r="AZ31" s="258">
        <f t="shared" si="39"/>
        <v>0</v>
      </c>
      <c r="BA31" s="258">
        <f t="shared" si="37"/>
        <v>0</v>
      </c>
      <c r="BB31" s="258"/>
      <c r="BC31" s="258"/>
      <c r="BD31" s="258"/>
      <c r="BE31" s="258"/>
      <c r="BF31" s="258"/>
      <c r="BG31" s="258">
        <f t="shared" si="24"/>
        <v>54601.320000000007</v>
      </c>
      <c r="BH31" s="108">
        <f t="shared" si="31"/>
        <v>26</v>
      </c>
      <c r="BI31" s="108">
        <f t="shared" si="26"/>
        <v>26</v>
      </c>
      <c r="BJ31" s="22">
        <f t="shared" si="27"/>
        <v>44984</v>
      </c>
      <c r="BK31" s="108">
        <f t="shared" si="7"/>
        <v>2498</v>
      </c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116"/>
      <c r="FX31" s="116"/>
      <c r="FY31" s="116"/>
      <c r="FZ31" s="116"/>
      <c r="GA31" s="116"/>
      <c r="GB31" s="116"/>
      <c r="GC31" s="116"/>
      <c r="GD31" s="116"/>
      <c r="GE31" s="116"/>
      <c r="GF31" s="116"/>
      <c r="GG31" s="116"/>
      <c r="GH31" s="116"/>
      <c r="GI31" s="116"/>
      <c r="GJ31" s="116"/>
      <c r="GK31" s="116"/>
      <c r="GL31" s="116"/>
      <c r="GM31" s="116"/>
      <c r="GN31" s="116"/>
      <c r="GO31" s="116"/>
      <c r="GP31" s="116"/>
      <c r="GQ31" s="116"/>
      <c r="GR31" s="116"/>
      <c r="GS31" s="116"/>
      <c r="GT31" s="116"/>
      <c r="GU31" s="116"/>
      <c r="GV31" s="116"/>
      <c r="GW31" s="116"/>
      <c r="GX31" s="116"/>
      <c r="GY31" s="116"/>
      <c r="GZ31" s="116"/>
      <c r="HA31" s="116"/>
      <c r="HB31" s="116"/>
      <c r="HC31" s="116"/>
      <c r="HD31" s="116"/>
      <c r="HE31" s="116"/>
      <c r="HF31" s="116"/>
      <c r="HG31" s="116"/>
      <c r="HH31" s="116"/>
      <c r="HI31" s="116"/>
      <c r="HJ31" s="116"/>
      <c r="HK31" s="116"/>
      <c r="HL31" s="116"/>
      <c r="HM31" s="116"/>
      <c r="HN31" s="116"/>
      <c r="HO31" s="116"/>
      <c r="HP31" s="116"/>
      <c r="HQ31" s="116"/>
      <c r="HR31" s="116"/>
      <c r="HS31" s="116"/>
      <c r="HT31" s="116"/>
      <c r="HU31" s="116"/>
      <c r="HV31" s="116"/>
      <c r="HW31" s="116"/>
      <c r="HX31" s="116"/>
      <c r="HY31" s="116"/>
      <c r="HZ31" s="116"/>
      <c r="IA31" s="116"/>
      <c r="IB31" s="116"/>
      <c r="IC31" s="116"/>
      <c r="ID31" s="116"/>
      <c r="IE31" s="116"/>
      <c r="IF31" s="116"/>
      <c r="IG31" s="116"/>
      <c r="IH31" s="116"/>
      <c r="II31" s="116"/>
      <c r="IJ31" s="116"/>
      <c r="IK31" s="116"/>
      <c r="IL31" s="116"/>
      <c r="IM31" s="116"/>
      <c r="IN31" s="116"/>
      <c r="IO31" s="116"/>
      <c r="IP31" s="116"/>
      <c r="IQ31" s="116"/>
      <c r="IR31" s="116"/>
      <c r="IS31" s="116"/>
      <c r="IT31" s="116"/>
      <c r="IU31" s="116"/>
      <c r="IV31" s="116"/>
      <c r="IW31" s="116"/>
      <c r="IX31" s="116"/>
      <c r="IY31" s="116"/>
      <c r="IZ31" s="116"/>
      <c r="JA31" s="116"/>
      <c r="JB31" s="116"/>
      <c r="JC31" s="116"/>
      <c r="JD31" s="116"/>
      <c r="JE31" s="116"/>
      <c r="JF31" s="116"/>
      <c r="JG31" s="116"/>
      <c r="JH31" s="116"/>
      <c r="JI31" s="116"/>
      <c r="JJ31" s="116"/>
      <c r="JK31" s="116"/>
      <c r="JL31" s="116"/>
      <c r="JM31" s="116"/>
      <c r="JN31" s="116"/>
      <c r="JO31" s="116"/>
      <c r="JP31" s="116"/>
      <c r="JQ31" s="116"/>
      <c r="JR31" s="116"/>
      <c r="JS31" s="116"/>
      <c r="JT31" s="116"/>
      <c r="JU31" s="116"/>
      <c r="JV31" s="116"/>
      <c r="JW31" s="116"/>
      <c r="JX31" s="116"/>
      <c r="JY31" s="116"/>
      <c r="JZ31" s="116"/>
      <c r="KA31" s="116"/>
      <c r="KB31" s="116"/>
      <c r="KC31" s="116"/>
      <c r="KD31" s="116"/>
      <c r="KE31" s="116"/>
      <c r="KF31" s="116"/>
      <c r="KG31" s="116"/>
      <c r="KH31" s="116"/>
      <c r="KI31" s="116"/>
      <c r="KJ31" s="116"/>
      <c r="KK31" s="116"/>
      <c r="KL31" s="116"/>
      <c r="KM31" s="116"/>
      <c r="KN31" s="116"/>
      <c r="KO31" s="116"/>
      <c r="KP31" s="116"/>
      <c r="KQ31" s="116"/>
      <c r="KR31" s="116"/>
      <c r="KS31" s="116"/>
      <c r="KT31" s="116"/>
      <c r="KU31" s="116"/>
      <c r="KV31" s="116"/>
      <c r="KW31" s="116"/>
      <c r="KX31" s="116"/>
      <c r="KY31" s="116"/>
      <c r="KZ31" s="116"/>
      <c r="LA31" s="116"/>
      <c r="LB31" s="116"/>
      <c r="LC31" s="116"/>
      <c r="LD31" s="116"/>
      <c r="LE31" s="116"/>
      <c r="LF31" s="116"/>
      <c r="LG31" s="116"/>
      <c r="LH31" s="116"/>
      <c r="LI31" s="116"/>
      <c r="LJ31" s="116"/>
      <c r="LK31" s="116"/>
      <c r="LL31" s="116"/>
      <c r="LM31" s="116"/>
      <c r="LN31" s="116"/>
      <c r="LO31" s="116"/>
      <c r="LP31" s="116"/>
      <c r="LQ31" s="116"/>
      <c r="LR31" s="116"/>
      <c r="LS31" s="116"/>
      <c r="LT31" s="116"/>
      <c r="LU31" s="116"/>
      <c r="LV31" s="116"/>
      <c r="LW31" s="116"/>
      <c r="LX31" s="116"/>
      <c r="LY31" s="116"/>
      <c r="LZ31" s="116"/>
      <c r="MA31" s="116"/>
      <c r="MB31" s="116"/>
      <c r="MC31" s="116"/>
      <c r="MD31" s="116"/>
      <c r="ME31" s="116"/>
      <c r="MF31" s="116"/>
      <c r="MG31" s="116"/>
      <c r="MH31" s="116"/>
      <c r="MI31" s="116"/>
      <c r="MJ31" s="116"/>
      <c r="MK31" s="116"/>
      <c r="ML31" s="116"/>
      <c r="MM31" s="116"/>
      <c r="MN31" s="116"/>
      <c r="MO31" s="116"/>
      <c r="MP31" s="116"/>
      <c r="MQ31" s="116"/>
      <c r="MR31" s="116"/>
      <c r="MS31" s="116"/>
      <c r="MT31" s="116"/>
      <c r="MU31" s="116"/>
      <c r="MV31" s="116"/>
      <c r="MW31" s="116"/>
      <c r="MX31" s="116"/>
      <c r="MY31" s="116"/>
      <c r="MZ31" s="116"/>
      <c r="NA31" s="116"/>
      <c r="NB31" s="116"/>
      <c r="NC31" s="116"/>
      <c r="ND31" s="116"/>
      <c r="NE31" s="116"/>
      <c r="NF31" s="116"/>
      <c r="NG31" s="116"/>
      <c r="NH31" s="116"/>
      <c r="NI31" s="116"/>
      <c r="NJ31" s="116"/>
      <c r="NK31" s="116"/>
      <c r="NL31" s="116"/>
      <c r="NM31" s="116"/>
      <c r="NN31" s="116"/>
      <c r="NO31" s="116"/>
      <c r="NP31" s="116"/>
      <c r="NQ31" s="116"/>
    </row>
    <row r="32" spans="1:393" ht="23.25" customHeight="1" thickBot="1" x14ac:dyDescent="0.3">
      <c r="A32" s="846" t="s">
        <v>157</v>
      </c>
      <c r="B32" s="846"/>
      <c r="C32" s="199">
        <f>J109</f>
        <v>137265.42000000004</v>
      </c>
      <c r="D32" s="534">
        <f>AT109</f>
        <v>125250.31000000001</v>
      </c>
      <c r="E32" s="473">
        <f>C32-D32</f>
        <v>12015.11000000003</v>
      </c>
      <c r="F32" s="191"/>
      <c r="G32" s="248">
        <f t="shared" si="28"/>
        <v>24</v>
      </c>
      <c r="H32" s="249">
        <f t="shared" si="1"/>
        <v>45012</v>
      </c>
      <c r="I32" s="250">
        <f t="shared" si="40"/>
        <v>0.129</v>
      </c>
      <c r="J32" s="252">
        <f t="shared" si="9"/>
        <v>2498</v>
      </c>
      <c r="K32" s="252">
        <f>IF(AND(G32&gt;=$W$9,G32&lt;=$W$9+5),$W$10,IF(AND(S31+N32+L32&gt;K31,K31&lt;&gt;0),IF(AND($C$16="Да",$C$8&lt;&gt;"Нет"),$AF$37,$C$24),IF(S31=0,0,S31+N32+L32+L33)))</f>
        <v>2498</v>
      </c>
      <c r="L32" s="252">
        <f t="shared" si="36"/>
        <v>618.83000000000004</v>
      </c>
      <c r="M32" s="252">
        <f t="shared" si="12"/>
        <v>1879.17</v>
      </c>
      <c r="N32" s="252">
        <f t="shared" si="2"/>
        <v>0</v>
      </c>
      <c r="O32" s="252">
        <v>0</v>
      </c>
      <c r="P32" s="252">
        <f t="shared" si="25"/>
        <v>618.83000000000004</v>
      </c>
      <c r="Q32" s="252">
        <f t="shared" si="33"/>
        <v>0</v>
      </c>
      <c r="R32" s="252">
        <f t="shared" si="14"/>
        <v>0</v>
      </c>
      <c r="S32" s="252">
        <f t="shared" si="15"/>
        <v>60654.690000000039</v>
      </c>
      <c r="T32" s="468"/>
      <c r="U32" s="198">
        <f t="shared" si="29"/>
        <v>25</v>
      </c>
      <c r="V32" s="36">
        <f t="shared" si="16"/>
        <v>25</v>
      </c>
      <c r="W32" s="142">
        <v>2400</v>
      </c>
      <c r="X32" s="142">
        <v>2900</v>
      </c>
      <c r="Y32" s="142">
        <v>3900</v>
      </c>
      <c r="Z32" s="142">
        <v>4900</v>
      </c>
      <c r="AA32" s="142">
        <v>5900</v>
      </c>
      <c r="AC32" s="15" t="e">
        <f>IF(#REF!=W3,W17,IF(#REF!=Y3,Y17,IF(#REF!=Z3,Z17,IF(#REF!=AA3,AA17,IF(#REF!=X3,X17,)))))</f>
        <v>#REF!</v>
      </c>
      <c r="AD32" s="15">
        <v>0</v>
      </c>
      <c r="AE32" s="15"/>
      <c r="AF32" s="2"/>
      <c r="AG32" s="2"/>
      <c r="AH32" s="2"/>
      <c r="AK32" s="2"/>
      <c r="AN32" s="16"/>
      <c r="AO32" s="130">
        <f t="shared" si="17"/>
        <v>1</v>
      </c>
      <c r="AP32" s="261">
        <f t="shared" si="30"/>
        <v>24</v>
      </c>
      <c r="AQ32" s="262">
        <f t="shared" si="3"/>
        <v>45012</v>
      </c>
      <c r="AR32" s="263">
        <f t="shared" si="38"/>
        <v>0.16900000000000001</v>
      </c>
      <c r="AS32" s="258">
        <f t="shared" si="18"/>
        <v>2617</v>
      </c>
      <c r="AT32" s="258">
        <f t="shared" si="19"/>
        <v>2617</v>
      </c>
      <c r="AU32" s="258">
        <f t="shared" si="20"/>
        <v>707.87</v>
      </c>
      <c r="AV32" s="258">
        <f t="shared" si="21"/>
        <v>1909.13</v>
      </c>
      <c r="AW32" s="258">
        <f t="shared" si="5"/>
        <v>0</v>
      </c>
      <c r="AX32" s="258">
        <v>0</v>
      </c>
      <c r="AY32" s="258">
        <f t="shared" si="22"/>
        <v>707.87</v>
      </c>
      <c r="AZ32" s="258">
        <f t="shared" si="39"/>
        <v>0</v>
      </c>
      <c r="BA32" s="258">
        <f t="shared" si="37"/>
        <v>0</v>
      </c>
      <c r="BB32" s="258"/>
      <c r="BC32" s="258"/>
      <c r="BD32" s="258"/>
      <c r="BE32" s="258"/>
      <c r="BF32" s="258"/>
      <c r="BG32" s="258">
        <f t="shared" si="24"/>
        <v>52692.19000000001</v>
      </c>
      <c r="BH32" s="108">
        <f t="shared" si="31"/>
        <v>25</v>
      </c>
      <c r="BI32" s="108">
        <f t="shared" si="26"/>
        <v>25</v>
      </c>
      <c r="BJ32" s="22">
        <f t="shared" si="27"/>
        <v>45012</v>
      </c>
      <c r="BK32" s="108">
        <f t="shared" si="7"/>
        <v>2498</v>
      </c>
    </row>
    <row r="33" spans="1:1217" ht="51.75" customHeight="1" x14ac:dyDescent="0.25">
      <c r="A33" s="1005" t="s">
        <v>302</v>
      </c>
      <c r="B33" s="1005"/>
      <c r="C33" s="536">
        <f>C30+C31</f>
        <v>46515.42</v>
      </c>
      <c r="D33" s="537">
        <f>D30+D31</f>
        <v>34500.30999999999</v>
      </c>
      <c r="E33" s="234">
        <f>C33-D33</f>
        <v>12015.110000000008</v>
      </c>
      <c r="F33" s="191"/>
      <c r="G33" s="244">
        <f t="shared" si="28"/>
        <v>25</v>
      </c>
      <c r="H33" s="245">
        <f t="shared" si="1"/>
        <v>45043</v>
      </c>
      <c r="I33" s="246">
        <f>IF(AND($C$16="Да",$C$8&lt;&gt;"Нет"),$AG$38,$C$13)</f>
        <v>0.129</v>
      </c>
      <c r="J33" s="242">
        <f t="shared" si="9"/>
        <v>2498</v>
      </c>
      <c r="K33" s="242">
        <f>IF(AND(G33&gt;=$W$9,G33&lt;=$W$9+5),$W$10,IF(AND(S32+N33+L33&gt;K32,K32&lt;&gt;0),IF(AND($C$16="Да",$C$8&lt;&gt;"Нет"),$AF$38,$C$24),IF(S32=0,0,S32+N33+L33+L34)))</f>
        <v>2498</v>
      </c>
      <c r="L33" s="242">
        <f t="shared" si="36"/>
        <v>664.54</v>
      </c>
      <c r="M33" s="242">
        <f t="shared" si="12"/>
        <v>1833.46</v>
      </c>
      <c r="N33" s="242">
        <f t="shared" si="2"/>
        <v>0</v>
      </c>
      <c r="O33" s="242">
        <v>0</v>
      </c>
      <c r="P33" s="242">
        <f t="shared" si="25"/>
        <v>664.54</v>
      </c>
      <c r="Q33" s="242">
        <f t="shared" si="33"/>
        <v>0</v>
      </c>
      <c r="R33" s="242">
        <f t="shared" si="14"/>
        <v>0</v>
      </c>
      <c r="S33" s="242">
        <f t="shared" si="15"/>
        <v>58821.23000000004</v>
      </c>
      <c r="T33" s="467"/>
      <c r="U33" s="198">
        <f t="shared" si="29"/>
        <v>24</v>
      </c>
      <c r="V33" s="36">
        <f t="shared" si="16"/>
        <v>24</v>
      </c>
      <c r="W33" s="158">
        <v>1400</v>
      </c>
      <c r="X33" s="158">
        <v>1900</v>
      </c>
      <c r="Y33" s="158">
        <v>2900</v>
      </c>
      <c r="Z33" s="158">
        <v>3900</v>
      </c>
      <c r="AA33" s="158">
        <v>4900</v>
      </c>
      <c r="AE33" s="15"/>
      <c r="AF33" s="173">
        <f>$C$24-AG33</f>
        <v>-121</v>
      </c>
      <c r="AG33" s="2">
        <f>ROUNDUP(((S20)*AG37/12*(1+AG37/12)^(U21)/((1+AG37/12)^(U21)-1)+S20/10000*IF(U21&lt;11,20,IF(U21&lt;34,0.7,IF(U21&lt;58,0.3,0.1)))*IF(AG37&lt;0.3,AG37/0.2,AG37/0.1))/AG47,0)*AG47</f>
        <v>2738</v>
      </c>
      <c r="AH33" s="16">
        <v>6000000</v>
      </c>
      <c r="AM33" s="16"/>
      <c r="AN33" s="16"/>
      <c r="AO33" s="130">
        <f t="shared" si="17"/>
        <v>1</v>
      </c>
      <c r="AP33" s="261">
        <f t="shared" si="30"/>
        <v>25</v>
      </c>
      <c r="AQ33" s="262">
        <f t="shared" si="3"/>
        <v>45043</v>
      </c>
      <c r="AR33" s="263">
        <f t="shared" ref="AR33:AR44" si="43">IF($D$16="Да",$AM$38,$D$13)</f>
        <v>0.16900000000000001</v>
      </c>
      <c r="AS33" s="258">
        <f t="shared" si="18"/>
        <v>2617</v>
      </c>
      <c r="AT33" s="258">
        <f t="shared" si="19"/>
        <v>2617</v>
      </c>
      <c r="AU33" s="258">
        <f t="shared" si="20"/>
        <v>756.31</v>
      </c>
      <c r="AV33" s="258">
        <f t="shared" si="21"/>
        <v>1860.69</v>
      </c>
      <c r="AW33" s="258">
        <f t="shared" si="5"/>
        <v>0</v>
      </c>
      <c r="AX33" s="258">
        <v>0</v>
      </c>
      <c r="AY33" s="258">
        <f t="shared" si="22"/>
        <v>756.31</v>
      </c>
      <c r="AZ33" s="258">
        <f t="shared" si="39"/>
        <v>0</v>
      </c>
      <c r="BA33" s="258">
        <f t="shared" si="37"/>
        <v>0</v>
      </c>
      <c r="BB33" s="258"/>
      <c r="BC33" s="258"/>
      <c r="BD33" s="258"/>
      <c r="BE33" s="258"/>
      <c r="BF33" s="258"/>
      <c r="BG33" s="258">
        <f t="shared" si="24"/>
        <v>50831.500000000007</v>
      </c>
      <c r="BH33" s="108">
        <f t="shared" si="31"/>
        <v>24</v>
      </c>
      <c r="BI33" s="108">
        <f t="shared" si="26"/>
        <v>24</v>
      </c>
      <c r="BJ33" s="22">
        <f t="shared" si="27"/>
        <v>45043</v>
      </c>
      <c r="BK33" s="108">
        <f t="shared" si="7"/>
        <v>2498</v>
      </c>
      <c r="BN33" s="853"/>
      <c r="BP33" s="131"/>
    </row>
    <row r="34" spans="1:1217" ht="52.5" customHeight="1" x14ac:dyDescent="0.25">
      <c r="A34" s="1006" t="s">
        <v>293</v>
      </c>
      <c r="B34" s="1007"/>
      <c r="C34" s="1008" t="str">
        <f>IF(C8="Нет","Для снижения ставки и активации льготного периода предложи подключить ФЗ",IF(E33&lt;0,CONCATENATE(ROUND(D33-C33,0)," рублей"),"Для экономии по кредиту предложи Клиенту увеличить срок и / или сумму кредита"))</f>
        <v>Для экономии по кредиту предложи Клиенту увеличить срок и / или сумму кредита</v>
      </c>
      <c r="D34" s="1008"/>
      <c r="E34" s="1008"/>
      <c r="F34" s="191"/>
      <c r="G34" s="244">
        <f t="shared" si="28"/>
        <v>26</v>
      </c>
      <c r="H34" s="245">
        <f t="shared" si="1"/>
        <v>45073</v>
      </c>
      <c r="I34" s="246">
        <f t="shared" ref="I34:I44" si="44">IF(AND($C$16="Да",$C$8&lt;&gt;"Нет"),$AG$38,$C$13)</f>
        <v>0.129</v>
      </c>
      <c r="J34" s="242">
        <f t="shared" si="9"/>
        <v>2498</v>
      </c>
      <c r="K34" s="242">
        <f t="shared" ref="K34:K44" si="45">IF(AND(G34&gt;=$W$9,G34&lt;=$W$9+5),$W$10,IF(AND(S33+N34+L34&gt;K33,K33&lt;&gt;0),IF(AND($C$16="Да",$C$8&lt;&gt;"Нет"),$AF$38,$C$24),IF(S33=0,0,S33+N34+L34+L35)))</f>
        <v>2498</v>
      </c>
      <c r="L34" s="242">
        <f t="shared" si="36"/>
        <v>623.66999999999996</v>
      </c>
      <c r="M34" s="242">
        <f t="shared" si="12"/>
        <v>1874.33</v>
      </c>
      <c r="N34" s="242">
        <f t="shared" si="2"/>
        <v>0</v>
      </c>
      <c r="O34" s="242">
        <v>0</v>
      </c>
      <c r="P34" s="242">
        <f t="shared" si="25"/>
        <v>623.66999999999996</v>
      </c>
      <c r="Q34" s="242">
        <f t="shared" si="33"/>
        <v>0</v>
      </c>
      <c r="R34" s="242">
        <f t="shared" si="14"/>
        <v>0</v>
      </c>
      <c r="S34" s="242">
        <f t="shared" si="15"/>
        <v>56946.900000000038</v>
      </c>
      <c r="T34" s="467"/>
      <c r="U34" s="198">
        <f t="shared" si="29"/>
        <v>23</v>
      </c>
      <c r="V34" s="36">
        <f t="shared" si="16"/>
        <v>23</v>
      </c>
      <c r="AB34" s="2">
        <f>IF(C10 &lt;=W31,W33,IF(C10 &lt;=X31,X33,IF(C10 &lt;=Y31,Y33,IF(C10 &lt;=Z31,Z33,AA33))))</f>
        <v>3900</v>
      </c>
      <c r="AE34" s="2"/>
      <c r="AF34" s="16"/>
      <c r="AG34" s="16"/>
      <c r="AH34" s="16"/>
      <c r="AM34" s="16"/>
      <c r="AN34" s="16"/>
      <c r="AO34" s="130">
        <f t="shared" si="17"/>
        <v>1</v>
      </c>
      <c r="AP34" s="261">
        <f t="shared" si="30"/>
        <v>26</v>
      </c>
      <c r="AQ34" s="262">
        <f t="shared" si="3"/>
        <v>45073</v>
      </c>
      <c r="AR34" s="263">
        <f t="shared" si="43"/>
        <v>0.16900000000000001</v>
      </c>
      <c r="AS34" s="258">
        <f t="shared" si="18"/>
        <v>2617</v>
      </c>
      <c r="AT34" s="258">
        <f t="shared" si="19"/>
        <v>2617</v>
      </c>
      <c r="AU34" s="258">
        <f t="shared" si="20"/>
        <v>706.07</v>
      </c>
      <c r="AV34" s="258">
        <f t="shared" si="21"/>
        <v>1910.9299999999998</v>
      </c>
      <c r="AW34" s="258">
        <f t="shared" si="5"/>
        <v>0</v>
      </c>
      <c r="AX34" s="258">
        <v>0</v>
      </c>
      <c r="AY34" s="258">
        <f t="shared" si="22"/>
        <v>706.07</v>
      </c>
      <c r="AZ34" s="258">
        <f t="shared" si="39"/>
        <v>0</v>
      </c>
      <c r="BA34" s="258">
        <f t="shared" si="37"/>
        <v>0</v>
      </c>
      <c r="BB34" s="258"/>
      <c r="BC34" s="258"/>
      <c r="BD34" s="258"/>
      <c r="BE34" s="258"/>
      <c r="BF34" s="258"/>
      <c r="BG34" s="258">
        <f t="shared" si="24"/>
        <v>48920.570000000007</v>
      </c>
      <c r="BH34" s="108">
        <f t="shared" si="31"/>
        <v>23</v>
      </c>
      <c r="BI34" s="108">
        <f t="shared" si="26"/>
        <v>23</v>
      </c>
      <c r="BJ34" s="22">
        <f t="shared" si="27"/>
        <v>45073</v>
      </c>
      <c r="BK34" s="108">
        <f t="shared" si="7"/>
        <v>2498</v>
      </c>
      <c r="BN34" s="853"/>
    </row>
    <row r="35" spans="1:1217" ht="36" customHeight="1" x14ac:dyDescent="0.25">
      <c r="A35" s="1009" t="s">
        <v>344</v>
      </c>
      <c r="B35" s="1009"/>
      <c r="C35" s="1009"/>
      <c r="D35" s="1009"/>
      <c r="E35" s="1009"/>
      <c r="F35" s="191"/>
      <c r="G35" s="244">
        <f t="shared" si="28"/>
        <v>27</v>
      </c>
      <c r="H35" s="245">
        <f t="shared" si="1"/>
        <v>45104</v>
      </c>
      <c r="I35" s="246">
        <f t="shared" si="44"/>
        <v>0.129</v>
      </c>
      <c r="J35" s="242">
        <f t="shared" si="9"/>
        <v>2498</v>
      </c>
      <c r="K35" s="242">
        <f t="shared" si="45"/>
        <v>2498</v>
      </c>
      <c r="L35" s="242">
        <f t="shared" si="36"/>
        <v>623.91999999999996</v>
      </c>
      <c r="M35" s="242">
        <f t="shared" si="12"/>
        <v>1874.08</v>
      </c>
      <c r="N35" s="242">
        <f t="shared" si="2"/>
        <v>0</v>
      </c>
      <c r="O35" s="242">
        <v>0</v>
      </c>
      <c r="P35" s="242">
        <f t="shared" si="25"/>
        <v>623.91999999999996</v>
      </c>
      <c r="Q35" s="242">
        <f t="shared" si="33"/>
        <v>0</v>
      </c>
      <c r="R35" s="242">
        <f t="shared" si="14"/>
        <v>0</v>
      </c>
      <c r="S35" s="242">
        <f t="shared" si="15"/>
        <v>55072.820000000036</v>
      </c>
      <c r="T35" s="467"/>
      <c r="U35" s="198">
        <f t="shared" si="29"/>
        <v>22</v>
      </c>
      <c r="V35" s="36">
        <f t="shared" si="16"/>
        <v>22</v>
      </c>
      <c r="AE35" s="15"/>
      <c r="AF35" s="47">
        <f>ROUNDUP(AH35/AH33*C7/1,0)*1</f>
        <v>119</v>
      </c>
      <c r="AG35" s="169">
        <v>0.04</v>
      </c>
      <c r="AH35" s="16">
        <f>IF(AG35=3%,INDEX(W40:AE40,MATCH($C$11,$W$39:$AE$39,0)),IF(AG35=4%,INDEX(W37:AE37,MATCH($C$11,$W$36:$AE$36,0)),0))</f>
        <v>9500</v>
      </c>
      <c r="AL35" s="47">
        <f>ROUNDUP(AH35/AH33*C7/1,0)*1</f>
        <v>119</v>
      </c>
      <c r="AM35" s="169">
        <v>0.04</v>
      </c>
      <c r="AN35" s="16"/>
      <c r="AO35" s="130">
        <f t="shared" si="17"/>
        <v>1</v>
      </c>
      <c r="AP35" s="261">
        <f t="shared" si="30"/>
        <v>27</v>
      </c>
      <c r="AQ35" s="262">
        <f t="shared" si="3"/>
        <v>45104</v>
      </c>
      <c r="AR35" s="263">
        <f t="shared" si="43"/>
        <v>0.16900000000000001</v>
      </c>
      <c r="AS35" s="258">
        <f t="shared" si="18"/>
        <v>2617</v>
      </c>
      <c r="AT35" s="258">
        <f t="shared" si="19"/>
        <v>2617</v>
      </c>
      <c r="AU35" s="258">
        <f t="shared" si="20"/>
        <v>702.18</v>
      </c>
      <c r="AV35" s="258">
        <f t="shared" si="21"/>
        <v>1914.8200000000002</v>
      </c>
      <c r="AW35" s="258">
        <f t="shared" si="5"/>
        <v>0</v>
      </c>
      <c r="AX35" s="258">
        <v>0</v>
      </c>
      <c r="AY35" s="258">
        <f t="shared" si="22"/>
        <v>702.18</v>
      </c>
      <c r="AZ35" s="258">
        <f t="shared" si="39"/>
        <v>0</v>
      </c>
      <c r="BA35" s="258">
        <f t="shared" si="37"/>
        <v>0</v>
      </c>
      <c r="BB35" s="258"/>
      <c r="BC35" s="258"/>
      <c r="BD35" s="258"/>
      <c r="BE35" s="258"/>
      <c r="BF35" s="258"/>
      <c r="BG35" s="258">
        <f t="shared" si="24"/>
        <v>47005.750000000007</v>
      </c>
      <c r="BH35" s="108">
        <f t="shared" si="31"/>
        <v>22</v>
      </c>
      <c r="BI35" s="108">
        <f t="shared" si="26"/>
        <v>22</v>
      </c>
      <c r="BJ35" s="22">
        <f t="shared" si="27"/>
        <v>45104</v>
      </c>
      <c r="BK35" s="108">
        <f t="shared" si="7"/>
        <v>2498</v>
      </c>
      <c r="BN35" s="853"/>
    </row>
    <row r="36" spans="1:1217" ht="28.2" customHeight="1" x14ac:dyDescent="0.3">
      <c r="A36" s="979" t="s">
        <v>294</v>
      </c>
      <c r="B36" s="971"/>
      <c r="C36" s="487" t="s">
        <v>179</v>
      </c>
      <c r="D36" s="991" t="s">
        <v>304</v>
      </c>
      <c r="E36" s="992"/>
      <c r="F36" s="178"/>
      <c r="G36" s="244">
        <f t="shared" si="28"/>
        <v>28</v>
      </c>
      <c r="H36" s="245">
        <f t="shared" si="1"/>
        <v>45134</v>
      </c>
      <c r="I36" s="246">
        <f t="shared" si="44"/>
        <v>0.129</v>
      </c>
      <c r="J36" s="242">
        <f t="shared" si="9"/>
        <v>2498</v>
      </c>
      <c r="K36" s="242">
        <f t="shared" si="45"/>
        <v>2498</v>
      </c>
      <c r="L36" s="242">
        <f t="shared" si="36"/>
        <v>583.91999999999996</v>
      </c>
      <c r="M36" s="242">
        <f t="shared" si="12"/>
        <v>1914.08</v>
      </c>
      <c r="N36" s="242">
        <f t="shared" si="2"/>
        <v>0</v>
      </c>
      <c r="O36" s="242">
        <v>0</v>
      </c>
      <c r="P36" s="242">
        <f t="shared" si="25"/>
        <v>583.91999999999996</v>
      </c>
      <c r="Q36" s="242">
        <f t="shared" si="33"/>
        <v>0</v>
      </c>
      <c r="R36" s="242">
        <f t="shared" si="14"/>
        <v>0</v>
      </c>
      <c r="S36" s="242">
        <f t="shared" si="15"/>
        <v>53158.740000000034</v>
      </c>
      <c r="T36" s="467"/>
      <c r="U36" s="198">
        <f t="shared" si="29"/>
        <v>21</v>
      </c>
      <c r="V36" s="36">
        <f t="shared" si="16"/>
        <v>21</v>
      </c>
      <c r="W36" s="15">
        <v>0.11899999999999999</v>
      </c>
      <c r="X36" s="15">
        <v>0.129</v>
      </c>
      <c r="Y36" s="484">
        <v>0.13900000000000001</v>
      </c>
      <c r="Z36" s="101">
        <v>0.14899999999999999</v>
      </c>
      <c r="AA36" s="484">
        <v>0.16900000000000001</v>
      </c>
      <c r="AB36" s="101">
        <v>0.19900000000000001</v>
      </c>
      <c r="AC36" s="169">
        <v>0.17899999999999999</v>
      </c>
      <c r="AD36" s="15">
        <v>0.189</v>
      </c>
      <c r="AE36" s="15">
        <v>0.19900000000000001</v>
      </c>
      <c r="AF36" s="47">
        <f>C24</f>
        <v>2617</v>
      </c>
      <c r="AG36" s="15">
        <f>IF(OR(C$8="Гарантия стандарт",C$8="Гарантия пакет"),AD13,C11)</f>
        <v>0.16900000000000001</v>
      </c>
      <c r="AH36" s="16">
        <f>IF(AG35=3%,INDEX(W41:AE41,MATCH($C$11,$W$39:$AE$39,0)),IF(AG35=4%,INDEX(W38:AE38,MATCH($C$11,$W$36:$AE$36,0)),0))</f>
        <v>173000</v>
      </c>
      <c r="AI36" s="2">
        <f>INDEX(W41:AE41,MATCH($D$11,$W$39:$AE$39,0))</f>
        <v>173000</v>
      </c>
      <c r="AL36" s="47">
        <f>D24</f>
        <v>2617</v>
      </c>
      <c r="AM36" s="15">
        <f>IF(OR(D$8="Гарантия стандарт",D$8="Гарантия пакет"),AD13,D11)</f>
        <v>0.16900000000000001</v>
      </c>
      <c r="AN36" s="16"/>
      <c r="AO36" s="130">
        <f t="shared" si="17"/>
        <v>1</v>
      </c>
      <c r="AP36" s="261">
        <f t="shared" si="30"/>
        <v>28</v>
      </c>
      <c r="AQ36" s="262">
        <f t="shared" si="3"/>
        <v>45134</v>
      </c>
      <c r="AR36" s="263">
        <f t="shared" si="43"/>
        <v>0.16900000000000001</v>
      </c>
      <c r="AS36" s="258">
        <f t="shared" si="18"/>
        <v>2617</v>
      </c>
      <c r="AT36" s="258">
        <f t="shared" si="19"/>
        <v>2617</v>
      </c>
      <c r="AU36" s="258">
        <f t="shared" si="20"/>
        <v>652.92999999999995</v>
      </c>
      <c r="AV36" s="258">
        <f t="shared" si="21"/>
        <v>1964.0700000000002</v>
      </c>
      <c r="AW36" s="258">
        <f t="shared" si="5"/>
        <v>0</v>
      </c>
      <c r="AX36" s="258">
        <v>0</v>
      </c>
      <c r="AY36" s="258">
        <f t="shared" si="22"/>
        <v>652.92999999999995</v>
      </c>
      <c r="AZ36" s="258">
        <f t="shared" si="39"/>
        <v>0</v>
      </c>
      <c r="BA36" s="258">
        <f t="shared" si="37"/>
        <v>0</v>
      </c>
      <c r="BB36" s="258"/>
      <c r="BC36" s="258"/>
      <c r="BD36" s="258"/>
      <c r="BE36" s="258"/>
      <c r="BF36" s="258"/>
      <c r="BG36" s="258">
        <f t="shared" si="24"/>
        <v>45041.680000000008</v>
      </c>
      <c r="BH36" s="108">
        <f t="shared" si="31"/>
        <v>21</v>
      </c>
      <c r="BI36" s="108">
        <f t="shared" si="26"/>
        <v>21</v>
      </c>
      <c r="BJ36" s="22">
        <f t="shared" si="27"/>
        <v>45134</v>
      </c>
      <c r="BK36" s="108">
        <f t="shared" si="7"/>
        <v>2498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  <c r="AMK36" s="16"/>
      <c r="AML36" s="16"/>
      <c r="AMM36" s="16"/>
      <c r="AMN36" s="16"/>
      <c r="AMO36" s="16"/>
      <c r="AMP36" s="16"/>
      <c r="AMQ36" s="16"/>
      <c r="AMR36" s="16"/>
      <c r="AMS36" s="16"/>
      <c r="AMT36" s="16"/>
      <c r="AMU36" s="16"/>
      <c r="AMV36" s="16"/>
      <c r="AMW36" s="16"/>
      <c r="AMX36" s="16"/>
      <c r="AMY36" s="16"/>
      <c r="AMZ36" s="16"/>
      <c r="ANA36" s="16"/>
      <c r="ANB36" s="16"/>
      <c r="ANC36" s="16"/>
      <c r="AND36" s="16"/>
      <c r="ANE36" s="16"/>
      <c r="ANF36" s="16"/>
      <c r="ANG36" s="16"/>
      <c r="ANH36" s="16"/>
      <c r="ANI36" s="16"/>
      <c r="ANJ36" s="16"/>
      <c r="ANK36" s="16"/>
      <c r="ANL36" s="16"/>
      <c r="ANM36" s="16"/>
      <c r="ANN36" s="16"/>
      <c r="ANO36" s="16"/>
      <c r="ANP36" s="16"/>
      <c r="ANQ36" s="16"/>
      <c r="ANR36" s="16"/>
      <c r="ANS36" s="16"/>
      <c r="ANT36" s="16"/>
      <c r="ANU36" s="16"/>
      <c r="ANV36" s="16"/>
      <c r="ANW36" s="16"/>
      <c r="ANX36" s="16"/>
      <c r="ANY36" s="16"/>
      <c r="ANZ36" s="16"/>
      <c r="AOA36" s="16"/>
      <c r="AOB36" s="16"/>
      <c r="AOC36" s="16"/>
      <c r="AOD36" s="16"/>
      <c r="AOE36" s="16"/>
      <c r="AOF36" s="16"/>
      <c r="AOG36" s="16"/>
      <c r="AOH36" s="16"/>
      <c r="AOI36" s="16"/>
      <c r="AOJ36" s="16"/>
      <c r="AOK36" s="16"/>
      <c r="AOL36" s="16"/>
      <c r="AOM36" s="16"/>
      <c r="AON36" s="16"/>
      <c r="AOO36" s="16"/>
      <c r="AOP36" s="16"/>
      <c r="AOQ36" s="16"/>
      <c r="AOR36" s="16"/>
      <c r="AOS36" s="16"/>
      <c r="AOT36" s="16"/>
      <c r="AOU36" s="16"/>
      <c r="AOV36" s="16"/>
      <c r="AOW36" s="16"/>
      <c r="AOX36" s="16"/>
      <c r="AOY36" s="16"/>
      <c r="AOZ36" s="16"/>
      <c r="APA36" s="16"/>
      <c r="APB36" s="16"/>
      <c r="APC36" s="16"/>
      <c r="APD36" s="16"/>
      <c r="APE36" s="16"/>
      <c r="APF36" s="16"/>
      <c r="APG36" s="16"/>
      <c r="APH36" s="16"/>
      <c r="API36" s="16"/>
      <c r="APJ36" s="16"/>
      <c r="APK36" s="16"/>
      <c r="APL36" s="16"/>
      <c r="APM36" s="16"/>
      <c r="APN36" s="16"/>
      <c r="APO36" s="16"/>
      <c r="APP36" s="16"/>
      <c r="APQ36" s="16"/>
      <c r="APR36" s="16"/>
      <c r="APS36" s="16"/>
      <c r="APT36" s="16"/>
      <c r="APU36" s="16"/>
      <c r="APV36" s="16"/>
      <c r="APW36" s="16"/>
      <c r="APX36" s="16"/>
      <c r="APY36" s="16"/>
      <c r="APZ36" s="16"/>
      <c r="AQA36" s="16"/>
      <c r="AQB36" s="16"/>
      <c r="AQC36" s="16"/>
      <c r="AQD36" s="16"/>
      <c r="AQE36" s="16"/>
      <c r="AQF36" s="16"/>
      <c r="AQG36" s="16"/>
      <c r="AQH36" s="16"/>
      <c r="AQI36" s="16"/>
      <c r="AQJ36" s="16"/>
      <c r="AQK36" s="16"/>
      <c r="AQL36" s="16"/>
      <c r="AQM36" s="16"/>
      <c r="AQN36" s="16"/>
      <c r="AQO36" s="16"/>
      <c r="AQP36" s="16"/>
      <c r="AQQ36" s="16"/>
      <c r="AQR36" s="16"/>
      <c r="AQS36" s="16"/>
      <c r="AQT36" s="16"/>
      <c r="AQU36" s="16"/>
      <c r="AQV36" s="16"/>
      <c r="AQW36" s="16"/>
      <c r="AQX36" s="16"/>
      <c r="AQY36" s="16"/>
      <c r="AQZ36" s="16"/>
      <c r="ARA36" s="16"/>
      <c r="ARB36" s="16"/>
      <c r="ARC36" s="16"/>
      <c r="ARD36" s="16"/>
      <c r="ARE36" s="16"/>
      <c r="ARF36" s="16"/>
      <c r="ARG36" s="16"/>
      <c r="ARH36" s="16"/>
      <c r="ARI36" s="16"/>
      <c r="ARJ36" s="16"/>
      <c r="ARK36" s="16"/>
      <c r="ARL36" s="16"/>
      <c r="ARM36" s="16"/>
      <c r="ARN36" s="16"/>
      <c r="ARO36" s="16"/>
      <c r="ARP36" s="16"/>
      <c r="ARQ36" s="16"/>
      <c r="ARR36" s="16"/>
      <c r="ARS36" s="16"/>
      <c r="ART36" s="16"/>
      <c r="ARU36" s="16"/>
      <c r="ARV36" s="16"/>
      <c r="ARW36" s="16"/>
      <c r="ARX36" s="16"/>
      <c r="ARY36" s="16"/>
      <c r="ARZ36" s="16"/>
      <c r="ASA36" s="16"/>
      <c r="ASB36" s="16"/>
      <c r="ASC36" s="16"/>
      <c r="ASD36" s="16"/>
      <c r="ASE36" s="16"/>
      <c r="ASF36" s="16"/>
      <c r="ASG36" s="16"/>
      <c r="ASH36" s="16"/>
      <c r="ASI36" s="16"/>
      <c r="ASJ36" s="16"/>
      <c r="ASK36" s="16"/>
      <c r="ASL36" s="16"/>
      <c r="ASM36" s="16"/>
      <c r="ASN36" s="16"/>
      <c r="ASO36" s="16"/>
      <c r="ASP36" s="16"/>
      <c r="ASQ36" s="16"/>
      <c r="ASR36" s="16"/>
      <c r="ASS36" s="16"/>
      <c r="AST36" s="16"/>
      <c r="ASU36" s="16"/>
      <c r="ASV36" s="16"/>
      <c r="ASW36" s="16"/>
      <c r="ASX36" s="16"/>
      <c r="ASY36" s="16"/>
      <c r="ASZ36" s="16"/>
      <c r="ATA36" s="16"/>
      <c r="ATB36" s="16"/>
      <c r="ATC36" s="16"/>
      <c r="ATD36" s="16"/>
      <c r="ATE36" s="16"/>
      <c r="ATF36" s="16"/>
      <c r="ATG36" s="16"/>
      <c r="ATH36" s="16"/>
      <c r="ATI36" s="16"/>
      <c r="ATJ36" s="16"/>
      <c r="ATK36" s="16"/>
      <c r="ATL36" s="16"/>
      <c r="ATM36" s="16"/>
      <c r="ATN36" s="16"/>
      <c r="ATO36" s="16"/>
      <c r="ATP36" s="16"/>
      <c r="ATQ36" s="16"/>
      <c r="ATR36" s="16"/>
      <c r="ATS36" s="16"/>
      <c r="ATT36" s="16"/>
      <c r="ATU36" s="16"/>
    </row>
    <row r="37" spans="1:1217" s="16" customFormat="1" ht="28.95" customHeight="1" x14ac:dyDescent="0.3">
      <c r="A37" s="979" t="s">
        <v>347</v>
      </c>
      <c r="B37" s="971"/>
      <c r="C37" s="397" t="s">
        <v>47</v>
      </c>
      <c r="D37" s="1003" t="s">
        <v>348</v>
      </c>
      <c r="E37" s="1004"/>
      <c r="F37" s="178"/>
      <c r="G37" s="244">
        <f t="shared" si="28"/>
        <v>29</v>
      </c>
      <c r="H37" s="245">
        <f t="shared" si="1"/>
        <v>45165</v>
      </c>
      <c r="I37" s="246">
        <f t="shared" si="44"/>
        <v>0.129</v>
      </c>
      <c r="J37" s="242">
        <f t="shared" si="9"/>
        <v>2498</v>
      </c>
      <c r="K37" s="242">
        <f t="shared" si="45"/>
        <v>2498</v>
      </c>
      <c r="L37" s="242">
        <f t="shared" si="36"/>
        <v>582.41999999999996</v>
      </c>
      <c r="M37" s="242">
        <f t="shared" si="12"/>
        <v>1915.58</v>
      </c>
      <c r="N37" s="242">
        <f t="shared" si="2"/>
        <v>0</v>
      </c>
      <c r="O37" s="242">
        <v>0</v>
      </c>
      <c r="P37" s="242">
        <f t="shared" si="25"/>
        <v>582.41999999999996</v>
      </c>
      <c r="Q37" s="242">
        <f t="shared" si="33"/>
        <v>0</v>
      </c>
      <c r="R37" s="242">
        <f t="shared" si="14"/>
        <v>0</v>
      </c>
      <c r="S37" s="242">
        <f t="shared" si="15"/>
        <v>51243.160000000033</v>
      </c>
      <c r="T37" s="467"/>
      <c r="U37" s="198">
        <f t="shared" si="29"/>
        <v>20</v>
      </c>
      <c r="V37" s="36">
        <f t="shared" si="16"/>
        <v>20</v>
      </c>
      <c r="W37" s="16">
        <f>INDEX('Для Перспективы'!$B$6:$D$6,MATCH($C$10,'Для Перспективы'!$B$1:$D$1,0))</f>
        <v>4000</v>
      </c>
      <c r="X37" s="16">
        <f>INDEX('Для Перспективы'!$B$8:$D$8,MATCH($C$10,'Для Перспективы'!$B$1:$F$1,0))</f>
        <v>9000</v>
      </c>
      <c r="Y37" s="16">
        <f>INDEX('Для Перспективы'!$B$10:$D$10,MATCH($C$10,'Для Перспективы'!$B$1:$D$1,0))</f>
        <v>9000</v>
      </c>
      <c r="Z37" s="16">
        <f>INDEX('Для Перспективы'!$B$12:$D$12,MATCH($C$10,'Для Перспективы'!$B$1:$D$1,0))</f>
        <v>9000</v>
      </c>
      <c r="AA37" s="16">
        <f>INDEX('Для Перспективы'!$B$16:$D$16,MATCH($C$10,'Для Перспективы'!$B$1:$D$1,0))</f>
        <v>9500</v>
      </c>
      <c r="AB37" s="16">
        <f>INDEX('Для Перспективы'!$B$22:$D$22,MATCH($C$10,'Для Перспективы'!$B$1:$D$1,0))</f>
        <v>9500</v>
      </c>
      <c r="AC37" s="16">
        <f>INDEX('Для Перспективы'!$B$20:$F$20,MATCH($C$10,'Для Перспективы'!$B$1:$F$1,0))</f>
        <v>9500</v>
      </c>
      <c r="AD37" s="16">
        <f>INDEX('Для Перспективы'!$B$6:$F$6,MATCH($C$10,'Для Перспективы'!$B$1:$F$1,0))</f>
        <v>4000</v>
      </c>
      <c r="AE37" s="16">
        <f>INDEX('Для Перспективы'!$B$6:$F$6,MATCH($C$10,'Для Перспективы'!$B$1:$F$1,0))</f>
        <v>4000</v>
      </c>
      <c r="AF37" s="47">
        <f>IF(AG37=AG36,AF36,AF36-$AF$35)</f>
        <v>2498</v>
      </c>
      <c r="AG37" s="169">
        <f>AG36-$AG$35</f>
        <v>0.129</v>
      </c>
      <c r="AI37" s="2"/>
      <c r="AJ37" s="2"/>
      <c r="AK37" s="57"/>
      <c r="AL37" s="47">
        <f>AL36-$AL$35</f>
        <v>2498</v>
      </c>
      <c r="AM37" s="169">
        <f>AM36-$AM$35</f>
        <v>0.129</v>
      </c>
      <c r="AO37" s="130">
        <f t="shared" si="17"/>
        <v>1</v>
      </c>
      <c r="AP37" s="261">
        <f t="shared" si="30"/>
        <v>29</v>
      </c>
      <c r="AQ37" s="262">
        <f t="shared" si="3"/>
        <v>45165</v>
      </c>
      <c r="AR37" s="263">
        <f t="shared" si="43"/>
        <v>0.16900000000000001</v>
      </c>
      <c r="AS37" s="258">
        <f t="shared" si="18"/>
        <v>2617</v>
      </c>
      <c r="AT37" s="258">
        <f t="shared" si="19"/>
        <v>2617</v>
      </c>
      <c r="AU37" s="258">
        <f t="shared" si="20"/>
        <v>646.5</v>
      </c>
      <c r="AV37" s="258">
        <f t="shared" si="21"/>
        <v>1970.5</v>
      </c>
      <c r="AW37" s="258">
        <f t="shared" si="5"/>
        <v>0</v>
      </c>
      <c r="AX37" s="258">
        <v>0</v>
      </c>
      <c r="AY37" s="258">
        <f t="shared" si="22"/>
        <v>646.5</v>
      </c>
      <c r="AZ37" s="258">
        <f t="shared" si="39"/>
        <v>0</v>
      </c>
      <c r="BA37" s="258">
        <f t="shared" si="37"/>
        <v>0</v>
      </c>
      <c r="BB37" s="258"/>
      <c r="BC37" s="258"/>
      <c r="BD37" s="258"/>
      <c r="BE37" s="258"/>
      <c r="BF37" s="258"/>
      <c r="BG37" s="258">
        <f t="shared" si="24"/>
        <v>43071.180000000008</v>
      </c>
      <c r="BH37" s="108">
        <f t="shared" si="31"/>
        <v>20</v>
      </c>
      <c r="BI37" s="108">
        <f t="shared" si="26"/>
        <v>20</v>
      </c>
      <c r="BJ37" s="22">
        <f t="shared" si="27"/>
        <v>45165</v>
      </c>
      <c r="BK37" s="108">
        <f t="shared" si="7"/>
        <v>2498</v>
      </c>
    </row>
    <row r="38" spans="1:1217" s="16" customFormat="1" ht="16.95" customHeight="1" x14ac:dyDescent="0.3">
      <c r="A38" s="997" t="s">
        <v>346</v>
      </c>
      <c r="B38" s="347" t="s">
        <v>296</v>
      </c>
      <c r="C38" s="474">
        <v>30000</v>
      </c>
      <c r="D38" s="472">
        <f>IF($C$37="Да",C38*(1%+1%),C38*(1%+0%))</f>
        <v>600</v>
      </c>
      <c r="E38" s="471" t="s">
        <v>300</v>
      </c>
      <c r="F38" s="178"/>
      <c r="G38" s="244">
        <f t="shared" si="28"/>
        <v>30</v>
      </c>
      <c r="H38" s="245">
        <f t="shared" si="1"/>
        <v>45196</v>
      </c>
      <c r="I38" s="246">
        <f t="shared" si="44"/>
        <v>0.129</v>
      </c>
      <c r="J38" s="242">
        <f t="shared" si="9"/>
        <v>2498</v>
      </c>
      <c r="K38" s="242">
        <f t="shared" si="45"/>
        <v>2498</v>
      </c>
      <c r="L38" s="242">
        <f t="shared" si="36"/>
        <v>561.42999999999995</v>
      </c>
      <c r="M38" s="242">
        <f t="shared" si="12"/>
        <v>1936.5700000000002</v>
      </c>
      <c r="N38" s="242">
        <f t="shared" si="2"/>
        <v>0</v>
      </c>
      <c r="O38" s="242">
        <v>0</v>
      </c>
      <c r="P38" s="242">
        <f t="shared" si="25"/>
        <v>561.42999999999995</v>
      </c>
      <c r="Q38" s="242">
        <f t="shared" si="33"/>
        <v>0</v>
      </c>
      <c r="R38" s="242">
        <f t="shared" si="14"/>
        <v>0</v>
      </c>
      <c r="S38" s="242">
        <f t="shared" si="15"/>
        <v>49306.590000000033</v>
      </c>
      <c r="T38" s="467"/>
      <c r="U38" s="198">
        <f t="shared" si="29"/>
        <v>19</v>
      </c>
      <c r="V38" s="36">
        <f t="shared" si="16"/>
        <v>19</v>
      </c>
      <c r="W38" s="16">
        <f>INDEX('Для Перспективы'!B7:D7,MATCH($C$10,'Для Перспективы'!$B$1:$D$1,0))</f>
        <v>158000</v>
      </c>
      <c r="X38" s="16">
        <f>INDEX('Для Перспективы'!$B$9:$D$9,MATCH($C$10,'Для Перспективы'!$B$1:$D$1,0))</f>
        <v>160800</v>
      </c>
      <c r="Y38" s="16">
        <f>INDEX('Для Перспективы'!$B$11:$D$11,MATCH($C$10,'Для Перспективы'!$B$1:$D$1,0))</f>
        <v>163800</v>
      </c>
      <c r="Z38" s="16">
        <f>INDEX('Для Перспективы'!$B$13:$D$13,MATCH($C$10,'Для Перспективы'!$B$1:$D$1,0))</f>
        <v>166900</v>
      </c>
      <c r="AA38" s="16">
        <f>INDEX('Для Перспективы'!$B$17:$D$17,MATCH($C$10,'Для Перспективы'!$B$1:$D$1,0))</f>
        <v>173000</v>
      </c>
      <c r="AB38" s="16">
        <f>INDEX('Для Перспективы'!$B$23:$D$23,MATCH($C$10,'Для Перспективы'!$B$1:$D$1,0))</f>
        <v>182500</v>
      </c>
      <c r="AC38" s="16">
        <f>INDEX('Для Перспективы'!$B$11:$D$11,MATCH($C$10,'Для Перспективы'!$B$1:$D$1,0))</f>
        <v>163800</v>
      </c>
      <c r="AD38" s="16">
        <f>INDEX('Для Перспективы'!$B$11:$D$11,MATCH($C$10,'Для Перспективы'!$B$1:$D$1,0))</f>
        <v>163800</v>
      </c>
      <c r="AE38" s="16" t="e">
        <f>INDEX('Для Перспективы'!$G21:$I21,MATCH($C$10,'Для Перспективы'!$G$1:$I$1,0))</f>
        <v>#N/A</v>
      </c>
      <c r="AF38" s="47">
        <f t="shared" ref="AF38:AF40" si="46">IF(AG38=AG37,AF37,AF37-$AF$35)</f>
        <v>2498</v>
      </c>
      <c r="AG38" s="169">
        <f>AG36-$AG$35</f>
        <v>0.129</v>
      </c>
      <c r="AI38" s="2"/>
      <c r="AJ38" s="2"/>
      <c r="AK38" s="57"/>
      <c r="AL38" s="47">
        <f>AL36-$AL$35</f>
        <v>2498</v>
      </c>
      <c r="AM38" s="169">
        <f>AM36-$AM$35</f>
        <v>0.129</v>
      </c>
      <c r="AN38" s="63"/>
      <c r="AO38" s="130">
        <f t="shared" si="17"/>
        <v>1</v>
      </c>
      <c r="AP38" s="261">
        <f t="shared" si="30"/>
        <v>30</v>
      </c>
      <c r="AQ38" s="262">
        <f t="shared" si="3"/>
        <v>45196</v>
      </c>
      <c r="AR38" s="263">
        <f t="shared" si="43"/>
        <v>0.16900000000000001</v>
      </c>
      <c r="AS38" s="258">
        <f t="shared" si="18"/>
        <v>2617</v>
      </c>
      <c r="AT38" s="258">
        <f t="shared" si="19"/>
        <v>2617</v>
      </c>
      <c r="AU38" s="258">
        <f t="shared" si="20"/>
        <v>618.22</v>
      </c>
      <c r="AV38" s="258">
        <f t="shared" si="21"/>
        <v>1998.78</v>
      </c>
      <c r="AW38" s="258">
        <f t="shared" si="5"/>
        <v>0</v>
      </c>
      <c r="AX38" s="258">
        <v>0</v>
      </c>
      <c r="AY38" s="258">
        <f t="shared" si="22"/>
        <v>618.22</v>
      </c>
      <c r="AZ38" s="258">
        <f t="shared" si="39"/>
        <v>0</v>
      </c>
      <c r="BA38" s="258">
        <f t="shared" si="37"/>
        <v>0</v>
      </c>
      <c r="BB38" s="258"/>
      <c r="BC38" s="258"/>
      <c r="BD38" s="258"/>
      <c r="BE38" s="258"/>
      <c r="BF38" s="258"/>
      <c r="BG38" s="258">
        <f t="shared" si="24"/>
        <v>41072.400000000009</v>
      </c>
      <c r="BH38" s="108">
        <f t="shared" si="31"/>
        <v>19</v>
      </c>
      <c r="BI38" s="108">
        <f t="shared" si="26"/>
        <v>19</v>
      </c>
      <c r="BJ38" s="22">
        <f t="shared" si="27"/>
        <v>45196</v>
      </c>
      <c r="BK38" s="108">
        <f t="shared" si="7"/>
        <v>2498</v>
      </c>
    </row>
    <row r="39" spans="1:1217" s="16" customFormat="1" ht="16.95" customHeight="1" x14ac:dyDescent="0.3">
      <c r="A39" s="997"/>
      <c r="B39" s="347" t="s">
        <v>297</v>
      </c>
      <c r="C39" s="474">
        <v>10000</v>
      </c>
      <c r="D39" s="472">
        <f>IF($C$37="Да",C39*(1%+3%),C39*(1%+0%))</f>
        <v>400</v>
      </c>
      <c r="E39" s="471" t="s">
        <v>300</v>
      </c>
      <c r="F39" s="178"/>
      <c r="G39" s="244">
        <f t="shared" si="28"/>
        <v>31</v>
      </c>
      <c r="H39" s="245">
        <f t="shared" si="1"/>
        <v>45226</v>
      </c>
      <c r="I39" s="246">
        <f t="shared" si="44"/>
        <v>0.129</v>
      </c>
      <c r="J39" s="242">
        <f t="shared" si="9"/>
        <v>2498</v>
      </c>
      <c r="K39" s="242">
        <f t="shared" si="45"/>
        <v>2498</v>
      </c>
      <c r="L39" s="242">
        <f t="shared" si="36"/>
        <v>522.78</v>
      </c>
      <c r="M39" s="242">
        <f t="shared" si="12"/>
        <v>1975.22</v>
      </c>
      <c r="N39" s="242">
        <f t="shared" si="2"/>
        <v>0</v>
      </c>
      <c r="O39" s="242">
        <v>0</v>
      </c>
      <c r="P39" s="242">
        <f t="shared" si="25"/>
        <v>522.78</v>
      </c>
      <c r="Q39" s="242">
        <f t="shared" si="33"/>
        <v>0</v>
      </c>
      <c r="R39" s="242">
        <f t="shared" si="14"/>
        <v>0</v>
      </c>
      <c r="S39" s="242">
        <f t="shared" si="15"/>
        <v>47331.370000000032</v>
      </c>
      <c r="T39" s="467"/>
      <c r="U39" s="198">
        <f t="shared" si="29"/>
        <v>18</v>
      </c>
      <c r="V39" s="36">
        <f t="shared" si="16"/>
        <v>18</v>
      </c>
      <c r="W39" s="15">
        <v>0.11899999999999999</v>
      </c>
      <c r="X39" s="15">
        <v>0.129</v>
      </c>
      <c r="Y39" s="484">
        <v>0.13900000000000001</v>
      </c>
      <c r="Z39" s="101">
        <v>0.14899999999999999</v>
      </c>
      <c r="AA39" s="484">
        <v>0.16900000000000001</v>
      </c>
      <c r="AB39" s="101">
        <v>0.19900000000000001</v>
      </c>
      <c r="AC39" s="169">
        <v>0.17899999999999999</v>
      </c>
      <c r="AD39" s="15">
        <v>0.189</v>
      </c>
      <c r="AE39" s="15">
        <v>0.19900000000000001</v>
      </c>
      <c r="AF39" s="47">
        <f>IF(AG39=AG38,AF38,AF38-$AF$35)</f>
        <v>2498</v>
      </c>
      <c r="AG39" s="169">
        <f>AG36-$AG$35</f>
        <v>0.129</v>
      </c>
      <c r="AI39" s="2"/>
      <c r="AJ39" s="2"/>
      <c r="AK39" s="57"/>
      <c r="AL39" s="47">
        <f>AL36-$AL$35</f>
        <v>2498</v>
      </c>
      <c r="AM39" s="169">
        <f>AM36-$AM$35</f>
        <v>0.129</v>
      </c>
      <c r="AN39" s="15"/>
      <c r="AO39" s="130">
        <f t="shared" si="17"/>
        <v>1</v>
      </c>
      <c r="AP39" s="261">
        <f t="shared" si="30"/>
        <v>31</v>
      </c>
      <c r="AQ39" s="262">
        <f t="shared" si="3"/>
        <v>45226</v>
      </c>
      <c r="AR39" s="263">
        <f t="shared" si="43"/>
        <v>0.16900000000000001</v>
      </c>
      <c r="AS39" s="258">
        <f t="shared" si="18"/>
        <v>2617</v>
      </c>
      <c r="AT39" s="258">
        <f t="shared" si="19"/>
        <v>2617</v>
      </c>
      <c r="AU39" s="258">
        <f t="shared" si="20"/>
        <v>570.51</v>
      </c>
      <c r="AV39" s="258">
        <f t="shared" si="21"/>
        <v>2046.49</v>
      </c>
      <c r="AW39" s="258">
        <f t="shared" si="5"/>
        <v>0</v>
      </c>
      <c r="AX39" s="258">
        <v>0</v>
      </c>
      <c r="AY39" s="258">
        <f t="shared" si="22"/>
        <v>570.51</v>
      </c>
      <c r="AZ39" s="258">
        <f t="shared" si="39"/>
        <v>0</v>
      </c>
      <c r="BA39" s="258">
        <f t="shared" si="37"/>
        <v>0</v>
      </c>
      <c r="BB39" s="258"/>
      <c r="BC39" s="258"/>
      <c r="BD39" s="258"/>
      <c r="BE39" s="258"/>
      <c r="BF39" s="258"/>
      <c r="BG39" s="258">
        <f t="shared" si="24"/>
        <v>39025.910000000011</v>
      </c>
      <c r="BH39" s="108">
        <f t="shared" si="31"/>
        <v>18</v>
      </c>
      <c r="BI39" s="108">
        <f t="shared" si="26"/>
        <v>18</v>
      </c>
      <c r="BJ39" s="22">
        <f t="shared" si="27"/>
        <v>45226</v>
      </c>
      <c r="BK39" s="108">
        <f t="shared" si="7"/>
        <v>2498</v>
      </c>
    </row>
    <row r="40" spans="1:1217" s="16" customFormat="1" ht="16.95" customHeight="1" x14ac:dyDescent="0.3">
      <c r="A40" s="997"/>
      <c r="B40" s="347" t="s">
        <v>298</v>
      </c>
      <c r="C40" s="474">
        <v>10000</v>
      </c>
      <c r="D40" s="472">
        <f>IF($C$37="Да",C40*(1%+3%),C40*(1%+0%))</f>
        <v>400</v>
      </c>
      <c r="E40" s="471" t="s">
        <v>300</v>
      </c>
      <c r="F40" s="178"/>
      <c r="G40" s="244">
        <f t="shared" si="28"/>
        <v>32</v>
      </c>
      <c r="H40" s="245">
        <f t="shared" si="1"/>
        <v>45257</v>
      </c>
      <c r="I40" s="246">
        <f t="shared" si="44"/>
        <v>0.129</v>
      </c>
      <c r="J40" s="242">
        <f t="shared" si="9"/>
        <v>2498</v>
      </c>
      <c r="K40" s="242">
        <f t="shared" si="45"/>
        <v>2498</v>
      </c>
      <c r="L40" s="242">
        <f t="shared" si="36"/>
        <v>518.57000000000005</v>
      </c>
      <c r="M40" s="242">
        <f t="shared" si="12"/>
        <v>1979.4299999999998</v>
      </c>
      <c r="N40" s="242">
        <f t="shared" si="2"/>
        <v>0</v>
      </c>
      <c r="O40" s="242">
        <v>0</v>
      </c>
      <c r="P40" s="242">
        <f t="shared" si="25"/>
        <v>518.57000000000005</v>
      </c>
      <c r="Q40" s="242">
        <f t="shared" si="33"/>
        <v>0</v>
      </c>
      <c r="R40" s="242">
        <f t="shared" si="14"/>
        <v>0</v>
      </c>
      <c r="S40" s="242">
        <f t="shared" si="15"/>
        <v>45351.940000000031</v>
      </c>
      <c r="T40" s="467"/>
      <c r="U40" s="198">
        <f t="shared" si="29"/>
        <v>17</v>
      </c>
      <c r="V40" s="36">
        <f t="shared" si="16"/>
        <v>17</v>
      </c>
      <c r="W40" s="16">
        <f>INDEX('Для Перспективы'!B2:D2,MATCH($C$10,'Для Перспективы'!$B$1:$D$1,0))</f>
        <v>3000</v>
      </c>
      <c r="X40" s="16">
        <f>INDEX('Для Перспективы'!B4:D4,MATCH($C$10,'Для Перспективы'!$B$1:$D$1,0))</f>
        <v>3300</v>
      </c>
      <c r="Y40" s="16">
        <f>INDEX('Для Перспективы'!B10:D10,MATCH($C$10,'Для Перспективы'!$B$1:$D$1,0))</f>
        <v>9000</v>
      </c>
      <c r="Z40" s="16">
        <f>INDEX('Для Перспективы'!B12:D12,MATCH($C$10,'Для Перспективы'!$B$1:$D$1,0))</f>
        <v>9000</v>
      </c>
      <c r="AA40" s="16">
        <f>INDEX('Для Перспективы'!B16:D16,MATCH($C$10,'Для Перспективы'!$B$1:$D$1,0))</f>
        <v>9500</v>
      </c>
      <c r="AB40" s="16">
        <f>INDEX('Для Перспективы'!B22:D22,MATCH($C$10,'Для Перспективы'!$B$1:$D$1,0))</f>
        <v>9500</v>
      </c>
      <c r="AC40" s="16">
        <f>INDEX('Для Перспективы'!B16:D16,MATCH($C$10,'Для Перспективы'!$B$1:$D$1,0))</f>
        <v>9500</v>
      </c>
      <c r="AD40" s="16">
        <f>INDEX('Для Перспективы'!B18:D18,MATCH($C$10,'Для Перспективы'!$B$1:$D$1,0))</f>
        <v>7400</v>
      </c>
      <c r="AE40" s="16">
        <f>INDEX('Для Перспективы'!B20:D20,MATCH($C$10,'Для Перспективы'!$B$1:$D$1,0))</f>
        <v>9500</v>
      </c>
      <c r="AF40" s="47">
        <f t="shared" si="46"/>
        <v>2498</v>
      </c>
      <c r="AG40" s="169">
        <f>AG36-$AG$35</f>
        <v>0.129</v>
      </c>
      <c r="AI40" s="2"/>
      <c r="AJ40" s="2"/>
      <c r="AK40" s="57"/>
      <c r="AL40" s="47">
        <f>AL36-$AL$35</f>
        <v>2498</v>
      </c>
      <c r="AM40" s="169">
        <f>AM36-$AM$35</f>
        <v>0.129</v>
      </c>
      <c r="AN40" s="15"/>
      <c r="AO40" s="130">
        <f t="shared" si="17"/>
        <v>1</v>
      </c>
      <c r="AP40" s="261">
        <f t="shared" si="30"/>
        <v>32</v>
      </c>
      <c r="AQ40" s="262">
        <f t="shared" si="3"/>
        <v>45257</v>
      </c>
      <c r="AR40" s="263">
        <f t="shared" si="43"/>
        <v>0.16900000000000001</v>
      </c>
      <c r="AS40" s="258">
        <f t="shared" si="18"/>
        <v>2617</v>
      </c>
      <c r="AT40" s="258">
        <f t="shared" si="19"/>
        <v>2617</v>
      </c>
      <c r="AU40" s="258">
        <f t="shared" si="20"/>
        <v>560.16</v>
      </c>
      <c r="AV40" s="258">
        <f t="shared" si="21"/>
        <v>2056.84</v>
      </c>
      <c r="AW40" s="258">
        <f t="shared" si="5"/>
        <v>0</v>
      </c>
      <c r="AX40" s="258">
        <v>0</v>
      </c>
      <c r="AY40" s="258">
        <f t="shared" si="22"/>
        <v>560.16</v>
      </c>
      <c r="AZ40" s="258">
        <f t="shared" si="39"/>
        <v>0</v>
      </c>
      <c r="BA40" s="258">
        <f t="shared" si="37"/>
        <v>0</v>
      </c>
      <c r="BB40" s="258"/>
      <c r="BC40" s="258"/>
      <c r="BD40" s="258"/>
      <c r="BE40" s="258"/>
      <c r="BF40" s="258"/>
      <c r="BG40" s="258">
        <f t="shared" si="24"/>
        <v>36969.070000000007</v>
      </c>
      <c r="BH40" s="108">
        <f t="shared" si="31"/>
        <v>17</v>
      </c>
      <c r="BI40" s="108">
        <f t="shared" si="26"/>
        <v>17</v>
      </c>
      <c r="BJ40" s="22">
        <f t="shared" si="27"/>
        <v>45257</v>
      </c>
      <c r="BK40" s="108">
        <f t="shared" si="7"/>
        <v>2498</v>
      </c>
    </row>
    <row r="41" spans="1:1217" s="16" customFormat="1" ht="19.5" customHeight="1" x14ac:dyDescent="0.3">
      <c r="A41" s="997"/>
      <c r="B41" s="347" t="s">
        <v>299</v>
      </c>
      <c r="C41" s="474">
        <v>200000</v>
      </c>
      <c r="D41" s="472">
        <f>IF($C$37="Да",C41*(3%+1%),C41*(3%+0%))</f>
        <v>8000</v>
      </c>
      <c r="E41" s="471" t="s">
        <v>300</v>
      </c>
      <c r="F41" s="178"/>
      <c r="G41" s="244">
        <f t="shared" si="28"/>
        <v>33</v>
      </c>
      <c r="H41" s="245">
        <f t="shared" si="1"/>
        <v>45287</v>
      </c>
      <c r="I41" s="246">
        <f t="shared" si="44"/>
        <v>0.129</v>
      </c>
      <c r="J41" s="242">
        <f t="shared" si="9"/>
        <v>2498</v>
      </c>
      <c r="K41" s="242">
        <f t="shared" si="45"/>
        <v>2498</v>
      </c>
      <c r="L41" s="242">
        <f t="shared" si="36"/>
        <v>480.85</v>
      </c>
      <c r="M41" s="242">
        <f t="shared" si="12"/>
        <v>2017.15</v>
      </c>
      <c r="N41" s="242">
        <f t="shared" si="2"/>
        <v>0</v>
      </c>
      <c r="O41" s="242">
        <v>0</v>
      </c>
      <c r="P41" s="242">
        <f t="shared" si="25"/>
        <v>480.85</v>
      </c>
      <c r="Q41" s="242">
        <f t="shared" si="33"/>
        <v>0</v>
      </c>
      <c r="R41" s="242">
        <f t="shared" si="14"/>
        <v>0</v>
      </c>
      <c r="S41" s="242">
        <f t="shared" si="15"/>
        <v>43334.79000000003</v>
      </c>
      <c r="T41" s="467"/>
      <c r="U41" s="198">
        <f t="shared" si="29"/>
        <v>16</v>
      </c>
      <c r="V41" s="36">
        <f t="shared" si="16"/>
        <v>16</v>
      </c>
      <c r="W41" s="16">
        <f>INDEX('Для Перспективы'!B3:D3,MATCH($C$10,'Для Перспективы'!$B$1:$D$1,0))</f>
        <v>152000</v>
      </c>
      <c r="X41" s="16">
        <f>INDEX('Для Перспективы'!B5:D5,MATCH($C$10,'Для Перспективы'!$B$1:$D$1,0))</f>
        <v>158090</v>
      </c>
      <c r="Y41" s="16">
        <f>INDEX('Для Перспективы'!B11:D11,MATCH($C$10,'Для Перспективы'!$B$1:$D$1,0))</f>
        <v>163800</v>
      </c>
      <c r="Z41" s="16">
        <f>INDEX('Для Перспективы'!B13:D13,MATCH($C$10,'Для Перспективы'!$B$1:$D$1,0))</f>
        <v>166900</v>
      </c>
      <c r="AA41" s="16">
        <f>INDEX('Для Перспективы'!B17:D17,MATCH($C$10,'Для Перспективы'!$B$1:$D$1,0))</f>
        <v>173000</v>
      </c>
      <c r="AB41" s="16">
        <f>INDEX('Для Перспективы'!B23:D23,MATCH($C$10,'Для Перспективы'!$B$1:$D$1,0))</f>
        <v>182500</v>
      </c>
      <c r="AC41" s="16">
        <f>INDEX('Для Перспективы'!B17:D17,MATCH($C$10,'Для Перспективы'!$B$1:$D$1,0))</f>
        <v>173000</v>
      </c>
      <c r="AD41" s="16">
        <f>INDEX('Для Перспективы'!B19:D19,MATCH($C$10,'Для Перспективы'!$B$1:$D$1,0))</f>
        <v>175150</v>
      </c>
      <c r="AE41" s="16">
        <f>INDEX('Для Перспективы'!B21:D21,MATCH($C$10,'Для Перспективы'!$B$1:$D$1,0))</f>
        <v>176100</v>
      </c>
      <c r="AF41" s="3"/>
      <c r="AG41" s="3"/>
      <c r="AH41" s="3"/>
      <c r="AI41" s="2"/>
      <c r="AJ41" s="2"/>
      <c r="AK41" s="57"/>
      <c r="AL41" s="2"/>
      <c r="AM41" s="15"/>
      <c r="AN41" s="15"/>
      <c r="AO41" s="130">
        <f t="shared" si="17"/>
        <v>1</v>
      </c>
      <c r="AP41" s="261">
        <f t="shared" si="30"/>
        <v>33</v>
      </c>
      <c r="AQ41" s="262">
        <f t="shared" si="3"/>
        <v>45287</v>
      </c>
      <c r="AR41" s="263">
        <f t="shared" si="43"/>
        <v>0.16900000000000001</v>
      </c>
      <c r="AS41" s="258">
        <f t="shared" si="18"/>
        <v>2617</v>
      </c>
      <c r="AT41" s="258">
        <f t="shared" si="19"/>
        <v>2617</v>
      </c>
      <c r="AU41" s="258">
        <f t="shared" si="20"/>
        <v>513.52</v>
      </c>
      <c r="AV41" s="258">
        <f t="shared" si="21"/>
        <v>2103.48</v>
      </c>
      <c r="AW41" s="258">
        <f t="shared" si="5"/>
        <v>0</v>
      </c>
      <c r="AX41" s="258">
        <v>0</v>
      </c>
      <c r="AY41" s="258">
        <f t="shared" si="22"/>
        <v>513.52</v>
      </c>
      <c r="AZ41" s="258">
        <f t="shared" si="39"/>
        <v>0</v>
      </c>
      <c r="BA41" s="258">
        <f t="shared" si="37"/>
        <v>0</v>
      </c>
      <c r="BB41" s="258"/>
      <c r="BC41" s="258"/>
      <c r="BD41" s="258"/>
      <c r="BE41" s="258"/>
      <c r="BF41" s="258"/>
      <c r="BG41" s="258">
        <f t="shared" si="24"/>
        <v>34865.590000000004</v>
      </c>
      <c r="BH41" s="108">
        <f t="shared" si="31"/>
        <v>16</v>
      </c>
      <c r="BI41" s="108">
        <f t="shared" si="26"/>
        <v>16</v>
      </c>
      <c r="BJ41" s="22">
        <f t="shared" si="27"/>
        <v>45287</v>
      </c>
      <c r="BK41" s="108">
        <f t="shared" si="7"/>
        <v>2498</v>
      </c>
    </row>
    <row r="42" spans="1:1217" s="16" customFormat="1" ht="45.75" customHeight="1" x14ac:dyDescent="0.3">
      <c r="A42" s="998" t="s">
        <v>340</v>
      </c>
      <c r="B42" s="998"/>
      <c r="C42" s="1000" t="str">
        <f>CONCATENATE(MIN((C38*1%+C39*1%+C40*1%+C41*3%),IF($C$17="Серебряный",10000,IF($C$17="Золотой",15000,IF($C$17="Платиновый",20000,""))))+MIN((C38*1%+C39*3%+C40*3%+C41*1%),5000)," рублей")</f>
        <v>9400 рублей</v>
      </c>
      <c r="D42" s="1001"/>
      <c r="E42" s="1002"/>
      <c r="F42" s="178"/>
      <c r="G42" s="244">
        <f t="shared" si="28"/>
        <v>34</v>
      </c>
      <c r="H42" s="245">
        <f t="shared" si="1"/>
        <v>45318</v>
      </c>
      <c r="I42" s="246">
        <f t="shared" si="44"/>
        <v>0.129</v>
      </c>
      <c r="J42" s="242">
        <f t="shared" si="9"/>
        <v>2498</v>
      </c>
      <c r="K42" s="242">
        <f t="shared" si="45"/>
        <v>2498</v>
      </c>
      <c r="L42" s="242">
        <f t="shared" si="36"/>
        <v>473.65</v>
      </c>
      <c r="M42" s="242">
        <f t="shared" si="12"/>
        <v>2024.35</v>
      </c>
      <c r="N42" s="242">
        <f t="shared" si="2"/>
        <v>0</v>
      </c>
      <c r="O42" s="242">
        <v>0</v>
      </c>
      <c r="P42" s="242">
        <f t="shared" si="25"/>
        <v>473.65</v>
      </c>
      <c r="Q42" s="242">
        <f t="shared" si="33"/>
        <v>0</v>
      </c>
      <c r="R42" s="242">
        <f t="shared" si="14"/>
        <v>0</v>
      </c>
      <c r="S42" s="242">
        <f t="shared" si="15"/>
        <v>41310.440000000031</v>
      </c>
      <c r="T42" s="467"/>
      <c r="U42" s="198">
        <f t="shared" si="29"/>
        <v>15</v>
      </c>
      <c r="V42" s="36">
        <f t="shared" si="16"/>
        <v>15</v>
      </c>
      <c r="W42" s="2"/>
      <c r="X42" s="18">
        <f>K8</f>
        <v>-90750</v>
      </c>
      <c r="Y42" s="57">
        <f>H8</f>
        <v>44285</v>
      </c>
      <c r="Z42" s="2"/>
      <c r="AA42" s="2"/>
      <c r="AB42" s="2"/>
      <c r="AF42" s="2"/>
      <c r="AG42" s="2"/>
      <c r="AH42" s="2"/>
      <c r="AI42" s="2"/>
      <c r="AJ42" s="2"/>
      <c r="AK42" s="57"/>
      <c r="AL42" s="2"/>
      <c r="AM42" s="15"/>
      <c r="AN42" s="15"/>
      <c r="AO42" s="130">
        <f t="shared" si="17"/>
        <v>1</v>
      </c>
      <c r="AP42" s="261">
        <f t="shared" si="30"/>
        <v>34</v>
      </c>
      <c r="AQ42" s="262">
        <f t="shared" si="3"/>
        <v>45318</v>
      </c>
      <c r="AR42" s="263">
        <f t="shared" si="43"/>
        <v>0.16900000000000001</v>
      </c>
      <c r="AS42" s="258">
        <f t="shared" si="18"/>
        <v>2617</v>
      </c>
      <c r="AT42" s="258">
        <f t="shared" si="19"/>
        <v>2617</v>
      </c>
      <c r="AU42" s="258">
        <f t="shared" si="20"/>
        <v>499.25</v>
      </c>
      <c r="AV42" s="258">
        <f t="shared" si="21"/>
        <v>2117.75</v>
      </c>
      <c r="AW42" s="258">
        <f t="shared" si="5"/>
        <v>0</v>
      </c>
      <c r="AX42" s="258">
        <v>0</v>
      </c>
      <c r="AY42" s="258">
        <f t="shared" si="22"/>
        <v>499.25</v>
      </c>
      <c r="AZ42" s="258">
        <f t="shared" si="39"/>
        <v>0</v>
      </c>
      <c r="BA42" s="258">
        <f t="shared" si="37"/>
        <v>0</v>
      </c>
      <c r="BB42" s="258"/>
      <c r="BC42" s="258"/>
      <c r="BD42" s="258"/>
      <c r="BE42" s="258"/>
      <c r="BF42" s="258"/>
      <c r="BG42" s="258">
        <f t="shared" si="24"/>
        <v>32747.840000000004</v>
      </c>
      <c r="BH42" s="108">
        <f t="shared" si="31"/>
        <v>15</v>
      </c>
      <c r="BI42" s="108">
        <f t="shared" si="26"/>
        <v>15</v>
      </c>
      <c r="BJ42" s="22">
        <f t="shared" si="27"/>
        <v>45318</v>
      </c>
      <c r="BK42" s="108">
        <f t="shared" si="7"/>
        <v>2498</v>
      </c>
    </row>
    <row r="43" spans="1:1217" s="16" customFormat="1" ht="16.95" customHeight="1" x14ac:dyDescent="0.3">
      <c r="A43" s="997" t="s">
        <v>345</v>
      </c>
      <c r="B43" s="488" t="s">
        <v>296</v>
      </c>
      <c r="C43" s="474">
        <v>10000</v>
      </c>
      <c r="D43" s="472">
        <f>IF($C$37="Да",C43*(1%+1%),C43*(1%+0%))</f>
        <v>200</v>
      </c>
      <c r="E43" s="471" t="s">
        <v>300</v>
      </c>
      <c r="F43" s="178"/>
      <c r="G43" s="244">
        <f t="shared" si="28"/>
        <v>35</v>
      </c>
      <c r="H43" s="245">
        <f t="shared" si="1"/>
        <v>45349</v>
      </c>
      <c r="I43" s="246">
        <f t="shared" si="44"/>
        <v>0.129</v>
      </c>
      <c r="J43" s="242">
        <f t="shared" si="9"/>
        <v>2498</v>
      </c>
      <c r="K43" s="242">
        <f t="shared" si="45"/>
        <v>2498</v>
      </c>
      <c r="L43" s="242">
        <f t="shared" si="36"/>
        <v>451.37</v>
      </c>
      <c r="M43" s="242">
        <f t="shared" si="12"/>
        <v>2046.63</v>
      </c>
      <c r="N43" s="242">
        <f t="shared" si="2"/>
        <v>0</v>
      </c>
      <c r="O43" s="242">
        <v>0</v>
      </c>
      <c r="P43" s="242">
        <f t="shared" si="25"/>
        <v>451.37</v>
      </c>
      <c r="Q43" s="242">
        <f t="shared" si="33"/>
        <v>0</v>
      </c>
      <c r="R43" s="242">
        <f t="shared" si="14"/>
        <v>0</v>
      </c>
      <c r="S43" s="242">
        <f t="shared" si="15"/>
        <v>39263.810000000034</v>
      </c>
      <c r="T43" s="467"/>
      <c r="U43" s="198">
        <f t="shared" si="29"/>
        <v>14</v>
      </c>
      <c r="V43" s="36">
        <f t="shared" si="16"/>
        <v>14</v>
      </c>
      <c r="X43" s="34">
        <f>IF(OR(C8="Гарантия стандарт",C8="Гарантия пакет"),AH65*AH79*$C$10,0)</f>
        <v>0</v>
      </c>
      <c r="Y43" s="57">
        <f>H8</f>
        <v>44285</v>
      </c>
      <c r="Z43" s="5" t="s">
        <v>11</v>
      </c>
      <c r="AA43" s="4"/>
      <c r="AB43" s="37"/>
      <c r="AF43" s="2"/>
      <c r="AG43" s="2"/>
      <c r="AH43" s="2"/>
      <c r="AI43" s="2"/>
      <c r="AJ43" s="2"/>
      <c r="AK43" s="57"/>
      <c r="AL43" s="2"/>
      <c r="AM43" s="15"/>
      <c r="AN43" s="15"/>
      <c r="AO43" s="130">
        <f t="shared" si="17"/>
        <v>1</v>
      </c>
      <c r="AP43" s="261">
        <f t="shared" si="30"/>
        <v>35</v>
      </c>
      <c r="AQ43" s="262">
        <f t="shared" si="3"/>
        <v>45349</v>
      </c>
      <c r="AR43" s="263">
        <f t="shared" si="43"/>
        <v>0.16900000000000001</v>
      </c>
      <c r="AS43" s="258">
        <f t="shared" si="18"/>
        <v>2617</v>
      </c>
      <c r="AT43" s="258">
        <f t="shared" si="19"/>
        <v>2617</v>
      </c>
      <c r="AU43" s="258">
        <f t="shared" si="20"/>
        <v>468.76</v>
      </c>
      <c r="AV43" s="258">
        <f t="shared" si="21"/>
        <v>2148.2399999999998</v>
      </c>
      <c r="AW43" s="258">
        <f t="shared" si="5"/>
        <v>0</v>
      </c>
      <c r="AX43" s="258">
        <v>0</v>
      </c>
      <c r="AY43" s="258">
        <f t="shared" si="22"/>
        <v>468.76</v>
      </c>
      <c r="AZ43" s="258">
        <f t="shared" si="39"/>
        <v>0</v>
      </c>
      <c r="BA43" s="258">
        <f t="shared" si="37"/>
        <v>0</v>
      </c>
      <c r="BB43" s="258"/>
      <c r="BC43" s="258"/>
      <c r="BD43" s="258"/>
      <c r="BE43" s="258"/>
      <c r="BF43" s="258"/>
      <c r="BG43" s="258">
        <f t="shared" si="24"/>
        <v>30599.600000000006</v>
      </c>
      <c r="BH43" s="108">
        <f t="shared" si="31"/>
        <v>14</v>
      </c>
      <c r="BI43" s="108">
        <f t="shared" si="26"/>
        <v>14</v>
      </c>
      <c r="BJ43" s="22">
        <f t="shared" si="27"/>
        <v>45349</v>
      </c>
      <c r="BK43" s="108">
        <f t="shared" si="7"/>
        <v>2498</v>
      </c>
    </row>
    <row r="44" spans="1:1217" s="16" customFormat="1" ht="18" customHeight="1" thickBot="1" x14ac:dyDescent="0.35">
      <c r="A44" s="997"/>
      <c r="B44" s="347" t="s">
        <v>297</v>
      </c>
      <c r="C44" s="474">
        <v>5000</v>
      </c>
      <c r="D44" s="472">
        <f>IF($C$37="Да",C44*(1%+3%),C44*(1%+0%))</f>
        <v>200</v>
      </c>
      <c r="E44" s="471" t="s">
        <v>300</v>
      </c>
      <c r="F44" s="178"/>
      <c r="G44" s="248">
        <f t="shared" si="28"/>
        <v>36</v>
      </c>
      <c r="H44" s="249">
        <f t="shared" si="1"/>
        <v>45378</v>
      </c>
      <c r="I44" s="250">
        <f t="shared" si="44"/>
        <v>0.129</v>
      </c>
      <c r="J44" s="252">
        <f t="shared" si="9"/>
        <v>2498</v>
      </c>
      <c r="K44" s="252">
        <f t="shared" si="45"/>
        <v>2498</v>
      </c>
      <c r="L44" s="252">
        <f t="shared" si="36"/>
        <v>401.33</v>
      </c>
      <c r="M44" s="252">
        <f t="shared" si="12"/>
        <v>2096.67</v>
      </c>
      <c r="N44" s="252">
        <f t="shared" si="2"/>
        <v>0</v>
      </c>
      <c r="O44" s="252">
        <v>0</v>
      </c>
      <c r="P44" s="252">
        <f t="shared" si="25"/>
        <v>401.33</v>
      </c>
      <c r="Q44" s="252">
        <f t="shared" si="33"/>
        <v>0</v>
      </c>
      <c r="R44" s="252">
        <f t="shared" si="14"/>
        <v>0</v>
      </c>
      <c r="S44" s="252">
        <f t="shared" si="15"/>
        <v>37167.140000000036</v>
      </c>
      <c r="T44" s="468"/>
      <c r="U44" s="198">
        <f t="shared" si="29"/>
        <v>13</v>
      </c>
      <c r="V44" s="36">
        <f t="shared" si="16"/>
        <v>13</v>
      </c>
      <c r="W44" s="2">
        <f>IF(AND(G9&gt;=$W$9,G9&lt;=$W$9+5),0,IF($C$9&gt;$AF$51,ROUND(S8*#REF!/(DATEVALUE(CONCATENATE("01/01/",YEAR(H9)+1))-DATEVALUE(CONCATENATE("01/01/",YEAR(H9))))*(H9-H8),2),0))</f>
        <v>0</v>
      </c>
      <c r="X44" s="34">
        <f>K9</f>
        <v>0</v>
      </c>
      <c r="Y44" s="57">
        <f>Y43+365</f>
        <v>44650</v>
      </c>
      <c r="Z44" s="8" t="s">
        <v>10</v>
      </c>
      <c r="AA44" s="8"/>
      <c r="AB44" s="37"/>
      <c r="AF44" s="3"/>
      <c r="AG44" s="3"/>
      <c r="AH44" s="3"/>
      <c r="AI44" s="2"/>
      <c r="AJ44" s="2"/>
      <c r="AK44" s="57"/>
      <c r="AL44" s="2"/>
      <c r="AM44" s="15"/>
      <c r="AN44" s="3"/>
      <c r="AO44" s="130">
        <f t="shared" si="17"/>
        <v>1</v>
      </c>
      <c r="AP44" s="261">
        <f t="shared" si="30"/>
        <v>36</v>
      </c>
      <c r="AQ44" s="262">
        <f t="shared" si="3"/>
        <v>45378</v>
      </c>
      <c r="AR44" s="263">
        <f t="shared" si="43"/>
        <v>0.16900000000000001</v>
      </c>
      <c r="AS44" s="258">
        <f t="shared" si="18"/>
        <v>2617</v>
      </c>
      <c r="AT44" s="258">
        <f t="shared" si="19"/>
        <v>2617</v>
      </c>
      <c r="AU44" s="258">
        <f t="shared" si="20"/>
        <v>409.75</v>
      </c>
      <c r="AV44" s="258">
        <f t="shared" si="21"/>
        <v>2207.25</v>
      </c>
      <c r="AW44" s="258">
        <f t="shared" si="5"/>
        <v>0</v>
      </c>
      <c r="AX44" s="258">
        <v>0</v>
      </c>
      <c r="AY44" s="258">
        <f t="shared" si="22"/>
        <v>409.75</v>
      </c>
      <c r="AZ44" s="258">
        <f t="shared" si="39"/>
        <v>0</v>
      </c>
      <c r="BA44" s="258">
        <f t="shared" si="37"/>
        <v>0</v>
      </c>
      <c r="BB44" s="258"/>
      <c r="BC44" s="258"/>
      <c r="BD44" s="258"/>
      <c r="BE44" s="258"/>
      <c r="BF44" s="258"/>
      <c r="BG44" s="258">
        <f t="shared" si="24"/>
        <v>28392.350000000006</v>
      </c>
      <c r="BH44" s="108">
        <f t="shared" si="31"/>
        <v>13</v>
      </c>
      <c r="BI44" s="108">
        <f t="shared" si="26"/>
        <v>13</v>
      </c>
      <c r="BJ44" s="22">
        <f t="shared" si="27"/>
        <v>45378</v>
      </c>
      <c r="BK44" s="108">
        <f t="shared" si="7"/>
        <v>2498</v>
      </c>
    </row>
    <row r="45" spans="1:1217" s="16" customFormat="1" ht="16.95" customHeight="1" x14ac:dyDescent="0.3">
      <c r="A45" s="997"/>
      <c r="B45" s="347" t="s">
        <v>298</v>
      </c>
      <c r="C45" s="474">
        <v>5000</v>
      </c>
      <c r="D45" s="472">
        <f>IF($C$37="Да",C45*(1%+3%),C45*(1%+0%))</f>
        <v>200</v>
      </c>
      <c r="E45" s="471" t="s">
        <v>300</v>
      </c>
      <c r="F45" s="178"/>
      <c r="G45" s="244">
        <f t="shared" si="28"/>
        <v>37</v>
      </c>
      <c r="H45" s="245">
        <f t="shared" si="1"/>
        <v>45409</v>
      </c>
      <c r="I45" s="246">
        <f>IF(AND($C$16="Да",$C$8&lt;&gt;"Нет"),$AG$39,$C$13)</f>
        <v>0.129</v>
      </c>
      <c r="J45" s="242">
        <f t="shared" si="9"/>
        <v>2498</v>
      </c>
      <c r="K45" s="242">
        <f>IF(AND(G45&gt;=$W$9,G45&lt;=$W$9+5),$W$10,IF(AND(S44+N45+L45&gt;K44,K44&lt;&gt;0),IF(AND($C$16="Да",$C$8&lt;&gt;"Нет"),$AF$39,$C$24),IF(S44=0,0,S44+N45+L45+L46)))</f>
        <v>2498</v>
      </c>
      <c r="L45" s="242">
        <f t="shared" si="36"/>
        <v>406.1</v>
      </c>
      <c r="M45" s="242">
        <f t="shared" si="12"/>
        <v>2091.9</v>
      </c>
      <c r="N45" s="242">
        <f t="shared" si="2"/>
        <v>0</v>
      </c>
      <c r="O45" s="242">
        <v>0</v>
      </c>
      <c r="P45" s="242">
        <f t="shared" si="25"/>
        <v>406.1</v>
      </c>
      <c r="Q45" s="242">
        <f t="shared" si="33"/>
        <v>0</v>
      </c>
      <c r="R45" s="242">
        <f t="shared" si="14"/>
        <v>0</v>
      </c>
      <c r="S45" s="242">
        <f t="shared" si="15"/>
        <v>35075.240000000034</v>
      </c>
      <c r="T45" s="467"/>
      <c r="U45" s="198">
        <f t="shared" si="29"/>
        <v>12</v>
      </c>
      <c r="V45" s="36">
        <f t="shared" si="16"/>
        <v>12</v>
      </c>
      <c r="W45" s="2">
        <f>IF(AND(G10&gt;=$W$9,G10&lt;=$W$9+5),0,IF($C$9&gt;$AF$51,ROUND(S9*#REF!/(DATEVALUE(CONCATENATE("01/01/",YEAR(H10)+1))-DATEVALUE(CONCATENATE("01/01/",YEAR(H10))))*(H10-H9),2),0))</f>
        <v>0</v>
      </c>
      <c r="X45" s="34">
        <f>IF(K10 &gt; 0, K10, 0)</f>
        <v>0</v>
      </c>
      <c r="Y45" s="57">
        <f t="shared" ref="Y45:Y108" si="47">Y44+365</f>
        <v>45015</v>
      </c>
      <c r="Z45" s="8" t="s">
        <v>8</v>
      </c>
      <c r="AA45" s="8"/>
      <c r="AB45" s="37"/>
      <c r="AF45" s="3"/>
      <c r="AG45" s="3"/>
      <c r="AH45" s="3"/>
      <c r="AI45" s="2"/>
      <c r="AJ45" s="2"/>
      <c r="AK45" s="57"/>
      <c r="AL45" s="2"/>
      <c r="AM45" s="3"/>
      <c r="AO45" s="130">
        <f t="shared" si="17"/>
        <v>1</v>
      </c>
      <c r="AP45" s="261">
        <f t="shared" si="30"/>
        <v>37</v>
      </c>
      <c r="AQ45" s="262">
        <f t="shared" si="3"/>
        <v>45409</v>
      </c>
      <c r="AR45" s="263">
        <f t="shared" ref="AR45:AR56" si="48">IF($D$16="Да",$AM$39,$D$13)</f>
        <v>0.16900000000000001</v>
      </c>
      <c r="AS45" s="258">
        <f t="shared" si="18"/>
        <v>2617</v>
      </c>
      <c r="AT45" s="258">
        <f t="shared" si="19"/>
        <v>2617</v>
      </c>
      <c r="AU45" s="258">
        <f t="shared" si="20"/>
        <v>406.41</v>
      </c>
      <c r="AV45" s="258">
        <f t="shared" si="21"/>
        <v>2210.59</v>
      </c>
      <c r="AW45" s="258">
        <f t="shared" si="5"/>
        <v>0</v>
      </c>
      <c r="AX45" s="258">
        <v>0</v>
      </c>
      <c r="AY45" s="258">
        <f t="shared" si="22"/>
        <v>406.41</v>
      </c>
      <c r="AZ45" s="258">
        <f t="shared" si="39"/>
        <v>0</v>
      </c>
      <c r="BA45" s="258">
        <f t="shared" si="37"/>
        <v>0</v>
      </c>
      <c r="BB45" s="258"/>
      <c r="BC45" s="258"/>
      <c r="BD45" s="258"/>
      <c r="BE45" s="258"/>
      <c r="BF45" s="258"/>
      <c r="BG45" s="258">
        <f t="shared" si="24"/>
        <v>26181.760000000006</v>
      </c>
      <c r="BH45" s="108">
        <f t="shared" si="31"/>
        <v>12</v>
      </c>
      <c r="BI45" s="108">
        <f t="shared" si="26"/>
        <v>12</v>
      </c>
      <c r="BJ45" s="22">
        <f t="shared" si="27"/>
        <v>45409</v>
      </c>
      <c r="BK45" s="108">
        <f t="shared" si="7"/>
        <v>2498</v>
      </c>
    </row>
    <row r="46" spans="1:1217" s="16" customFormat="1" ht="19.5" customHeight="1" x14ac:dyDescent="0.3">
      <c r="A46" s="997"/>
      <c r="B46" s="347" t="s">
        <v>299</v>
      </c>
      <c r="C46" s="474">
        <v>10000</v>
      </c>
      <c r="D46" s="472">
        <f>IF($C$37="Да",C46*(3%+1%),C46*(3%+0%))</f>
        <v>400</v>
      </c>
      <c r="E46" s="471" t="s">
        <v>300</v>
      </c>
      <c r="F46" s="178"/>
      <c r="G46" s="244">
        <f t="shared" si="28"/>
        <v>38</v>
      </c>
      <c r="H46" s="245">
        <f t="shared" si="1"/>
        <v>45439</v>
      </c>
      <c r="I46" s="246">
        <f t="shared" ref="I46:I56" si="49">IF(AND($C$16="Да",$C$8&lt;&gt;"Нет"),$AG$39,$C$13)</f>
        <v>0.129</v>
      </c>
      <c r="J46" s="242">
        <f t="shared" si="9"/>
        <v>2498</v>
      </c>
      <c r="K46" s="242">
        <f t="shared" ref="K46:K56" si="50">IF(AND(G46&gt;=$W$9,G46&lt;=$W$9+5),$W$10,IF(AND(S45+N46+L46&gt;K45,K45&lt;&gt;0),IF(AND($C$16="Да",$C$8&lt;&gt;"Нет"),$AF$39,$C$24),IF(S45=0,0,S45+N46+L46+L47)))</f>
        <v>2498</v>
      </c>
      <c r="L46" s="242">
        <f t="shared" si="36"/>
        <v>370.88</v>
      </c>
      <c r="M46" s="242">
        <f t="shared" si="12"/>
        <v>2127.12</v>
      </c>
      <c r="N46" s="242">
        <f t="shared" si="2"/>
        <v>0</v>
      </c>
      <c r="O46" s="242">
        <v>0</v>
      </c>
      <c r="P46" s="242">
        <f t="shared" si="25"/>
        <v>370.88</v>
      </c>
      <c r="Q46" s="242">
        <f t="shared" si="33"/>
        <v>0</v>
      </c>
      <c r="R46" s="242">
        <f t="shared" si="14"/>
        <v>0</v>
      </c>
      <c r="S46" s="242">
        <f t="shared" si="15"/>
        <v>32948.120000000032</v>
      </c>
      <c r="T46" s="467"/>
      <c r="U46" s="198">
        <f t="shared" si="29"/>
        <v>11</v>
      </c>
      <c r="V46" s="36">
        <f t="shared" si="16"/>
        <v>11</v>
      </c>
      <c r="W46" s="2">
        <f>IF(AND(G11&gt;=$W$9,G11&lt;=$W$9+5),0,IF($C$9&gt;$AF$51,ROUND(S10*#REF!/(DATEVALUE(CONCATENATE("01/01/",YEAR(H11)+1))-DATEVALUE(CONCATENATE("01/01/",YEAR(H11))))*(H11-H10),2),0))</f>
        <v>0</v>
      </c>
      <c r="X46" s="34">
        <f t="shared" ref="X46:X109" si="51">IF(K11 &gt; 0, K11, 0)</f>
        <v>0</v>
      </c>
      <c r="Y46" s="57">
        <f t="shared" si="47"/>
        <v>45380</v>
      </c>
      <c r="Z46" s="5" t="s">
        <v>1</v>
      </c>
      <c r="AA46" s="8"/>
      <c r="AB46" s="40"/>
      <c r="AC46" s="2"/>
      <c r="AD46" s="2"/>
      <c r="AE46" s="3"/>
      <c r="AF46" s="3"/>
      <c r="AG46" s="3"/>
      <c r="AH46" s="3"/>
      <c r="AI46" s="2"/>
      <c r="AJ46" s="2"/>
      <c r="AK46" s="57"/>
      <c r="AL46" s="2"/>
      <c r="AM46" s="18">
        <f>AT8</f>
        <v>-90750</v>
      </c>
      <c r="AN46" s="57">
        <f>AQ8</f>
        <v>44285</v>
      </c>
      <c r="AO46" s="130">
        <f t="shared" si="17"/>
        <v>1</v>
      </c>
      <c r="AP46" s="261">
        <f t="shared" si="30"/>
        <v>38</v>
      </c>
      <c r="AQ46" s="262">
        <f t="shared" si="3"/>
        <v>45439</v>
      </c>
      <c r="AR46" s="263">
        <f t="shared" si="48"/>
        <v>0.16900000000000001</v>
      </c>
      <c r="AS46" s="258">
        <f t="shared" si="18"/>
        <v>2617</v>
      </c>
      <c r="AT46" s="258">
        <f t="shared" si="19"/>
        <v>2617</v>
      </c>
      <c r="AU46" s="258">
        <f t="shared" si="20"/>
        <v>362.68</v>
      </c>
      <c r="AV46" s="258">
        <f t="shared" si="21"/>
        <v>2254.3200000000002</v>
      </c>
      <c r="AW46" s="258">
        <f t="shared" si="5"/>
        <v>0</v>
      </c>
      <c r="AX46" s="258">
        <v>0</v>
      </c>
      <c r="AY46" s="258">
        <f t="shared" si="22"/>
        <v>362.68</v>
      </c>
      <c r="AZ46" s="258">
        <f t="shared" si="39"/>
        <v>0</v>
      </c>
      <c r="BA46" s="258">
        <f t="shared" si="37"/>
        <v>0</v>
      </c>
      <c r="BB46" s="258"/>
      <c r="BC46" s="258"/>
      <c r="BD46" s="258"/>
      <c r="BE46" s="258"/>
      <c r="BF46" s="258"/>
      <c r="BG46" s="258">
        <f t="shared" si="24"/>
        <v>23927.440000000006</v>
      </c>
      <c r="BH46" s="108">
        <f t="shared" si="31"/>
        <v>11</v>
      </c>
      <c r="BI46" s="108">
        <f t="shared" si="26"/>
        <v>11</v>
      </c>
      <c r="BJ46" s="22">
        <f t="shared" si="27"/>
        <v>45439</v>
      </c>
      <c r="BK46" s="108">
        <f t="shared" si="7"/>
        <v>2498</v>
      </c>
    </row>
    <row r="47" spans="1:1217" s="16" customFormat="1" ht="56.25" customHeight="1" x14ac:dyDescent="0.3">
      <c r="A47" s="998" t="s">
        <v>339</v>
      </c>
      <c r="B47" s="999"/>
      <c r="C47" s="1000" t="str">
        <f>CONCATENATE(MIN((C43*1%+C44*1%+C45*1%+C46*3%),IF(C17="Серебряный",10000,IF(C17="Золотой",15000,IF(C17="Платиновый",20000,""))))+MIN((C43*1%+C44*3%+C45*3%+C46*1%),5000)," рублей")</f>
        <v>1000 рублей</v>
      </c>
      <c r="D47" s="1001"/>
      <c r="E47" s="1002"/>
      <c r="F47" s="178"/>
      <c r="G47" s="244">
        <f t="shared" si="28"/>
        <v>39</v>
      </c>
      <c r="H47" s="245">
        <f t="shared" si="1"/>
        <v>45470</v>
      </c>
      <c r="I47" s="246">
        <f t="shared" si="49"/>
        <v>0.129</v>
      </c>
      <c r="J47" s="242">
        <f t="shared" si="9"/>
        <v>2498</v>
      </c>
      <c r="K47" s="242">
        <f t="shared" si="50"/>
        <v>2498</v>
      </c>
      <c r="L47" s="242">
        <f t="shared" si="36"/>
        <v>360</v>
      </c>
      <c r="M47" s="242">
        <f t="shared" si="12"/>
        <v>2138</v>
      </c>
      <c r="N47" s="242">
        <f t="shared" si="2"/>
        <v>0</v>
      </c>
      <c r="O47" s="242">
        <v>0</v>
      </c>
      <c r="P47" s="242">
        <f t="shared" si="25"/>
        <v>360</v>
      </c>
      <c r="Q47" s="242">
        <f t="shared" si="33"/>
        <v>0</v>
      </c>
      <c r="R47" s="242">
        <f t="shared" si="14"/>
        <v>0</v>
      </c>
      <c r="S47" s="242">
        <f t="shared" si="15"/>
        <v>30810.120000000032</v>
      </c>
      <c r="T47" s="467"/>
      <c r="U47" s="198">
        <f t="shared" si="29"/>
        <v>10</v>
      </c>
      <c r="V47" s="36">
        <f t="shared" si="16"/>
        <v>10</v>
      </c>
      <c r="W47" s="2">
        <f>IF(AND(G12&gt;=$W$9,G12&lt;=$W$9+5),0,IF($C$9&gt;$AF$51,ROUND(S11*#REF!/(DATEVALUE(CONCATENATE("01/01/",YEAR(H12)+1))-DATEVALUE(CONCATENATE("01/01/",YEAR(H12))))*(H12-H11),2),0))</f>
        <v>0</v>
      </c>
      <c r="X47" s="34">
        <f t="shared" si="51"/>
        <v>0</v>
      </c>
      <c r="Y47" s="57">
        <f t="shared" si="47"/>
        <v>45745</v>
      </c>
      <c r="Z47" s="5" t="s">
        <v>42</v>
      </c>
      <c r="AA47" s="8"/>
      <c r="AB47" s="17">
        <f>AC51/C7</f>
        <v>0.67000413333333353</v>
      </c>
      <c r="AC47" s="38">
        <v>0</v>
      </c>
      <c r="AD47" s="1" t="s">
        <v>20</v>
      </c>
      <c r="AE47" s="6" t="s">
        <v>15</v>
      </c>
      <c r="AF47" s="6"/>
      <c r="AG47" s="6">
        <f>IF(S8&gt;=200000,10,1)</f>
        <v>1</v>
      </c>
      <c r="AH47" s="27">
        <v>41274</v>
      </c>
      <c r="AI47" s="2">
        <v>6</v>
      </c>
      <c r="AJ47" s="2"/>
      <c r="AK47" s="2"/>
      <c r="AM47" s="34">
        <f>IF(OR(D8="Гарантия стандарт",D8="Гарантия пакет"),AH65*AH79*$C$10,0)</f>
        <v>0</v>
      </c>
      <c r="AN47" s="57">
        <f>AQ8</f>
        <v>44285</v>
      </c>
      <c r="AO47" s="130">
        <f t="shared" si="17"/>
        <v>1</v>
      </c>
      <c r="AP47" s="261">
        <f t="shared" si="30"/>
        <v>39</v>
      </c>
      <c r="AQ47" s="262">
        <f t="shared" si="3"/>
        <v>45470</v>
      </c>
      <c r="AR47" s="263">
        <f t="shared" si="48"/>
        <v>0.16900000000000001</v>
      </c>
      <c r="AS47" s="258">
        <f t="shared" si="18"/>
        <v>2617</v>
      </c>
      <c r="AT47" s="258">
        <f t="shared" si="19"/>
        <v>2617</v>
      </c>
      <c r="AU47" s="258">
        <f t="shared" si="20"/>
        <v>342.5</v>
      </c>
      <c r="AV47" s="258">
        <f t="shared" si="21"/>
        <v>2274.5</v>
      </c>
      <c r="AW47" s="258">
        <f t="shared" si="5"/>
        <v>0</v>
      </c>
      <c r="AX47" s="258">
        <v>0</v>
      </c>
      <c r="AY47" s="258">
        <f t="shared" si="22"/>
        <v>342.5</v>
      </c>
      <c r="AZ47" s="258">
        <f t="shared" si="39"/>
        <v>0</v>
      </c>
      <c r="BA47" s="258">
        <f t="shared" si="37"/>
        <v>0</v>
      </c>
      <c r="BB47" s="258"/>
      <c r="BC47" s="258"/>
      <c r="BD47" s="258"/>
      <c r="BE47" s="258"/>
      <c r="BF47" s="258"/>
      <c r="BG47" s="258">
        <f t="shared" si="24"/>
        <v>21652.940000000006</v>
      </c>
      <c r="BH47" s="108">
        <f t="shared" si="31"/>
        <v>10</v>
      </c>
      <c r="BI47" s="108">
        <f t="shared" si="26"/>
        <v>10</v>
      </c>
      <c r="BJ47" s="22">
        <f t="shared" si="27"/>
        <v>45470</v>
      </c>
      <c r="BK47" s="108">
        <f t="shared" si="7"/>
        <v>2498</v>
      </c>
    </row>
    <row r="48" spans="1:1217" s="16" customFormat="1" ht="18.75" customHeight="1" x14ac:dyDescent="0.3">
      <c r="A48" s="985" t="s">
        <v>301</v>
      </c>
      <c r="B48" s="985"/>
      <c r="C48" s="985"/>
      <c r="D48" s="985"/>
      <c r="E48" s="985"/>
      <c r="F48" s="178"/>
      <c r="G48" s="244">
        <f t="shared" si="28"/>
        <v>40</v>
      </c>
      <c r="H48" s="245">
        <f t="shared" si="1"/>
        <v>45500</v>
      </c>
      <c r="I48" s="246">
        <f t="shared" si="49"/>
        <v>0.129</v>
      </c>
      <c r="J48" s="242">
        <f t="shared" si="9"/>
        <v>2498</v>
      </c>
      <c r="K48" s="242">
        <f t="shared" si="50"/>
        <v>2498</v>
      </c>
      <c r="L48" s="242">
        <f t="shared" si="36"/>
        <v>325.77999999999997</v>
      </c>
      <c r="M48" s="242">
        <f t="shared" si="12"/>
        <v>2172.2200000000003</v>
      </c>
      <c r="N48" s="242">
        <f t="shared" si="2"/>
        <v>0</v>
      </c>
      <c r="O48" s="242">
        <v>0</v>
      </c>
      <c r="P48" s="242">
        <f t="shared" si="25"/>
        <v>325.77999999999997</v>
      </c>
      <c r="Q48" s="242">
        <f t="shared" si="33"/>
        <v>0</v>
      </c>
      <c r="R48" s="242">
        <f t="shared" si="14"/>
        <v>0</v>
      </c>
      <c r="S48" s="242">
        <f t="shared" si="15"/>
        <v>28637.900000000031</v>
      </c>
      <c r="T48" s="467"/>
      <c r="U48" s="198">
        <f t="shared" si="29"/>
        <v>9</v>
      </c>
      <c r="V48" s="36">
        <f t="shared" si="16"/>
        <v>9</v>
      </c>
      <c r="W48" s="2">
        <f>IF(AND(G13&gt;=$W$9,G13&lt;=$W$9+5),0,IF($C$9&gt;$AF$51,ROUND(S12*#REF!/(DATEVALUE(CONCATENATE("01/01/",YEAR(H13)+1))-DATEVALUE(CONCATENATE("01/01/",YEAR(H13))))*(H13-H12),2),0))</f>
        <v>0</v>
      </c>
      <c r="X48" s="34">
        <f t="shared" si="51"/>
        <v>0</v>
      </c>
      <c r="Y48" s="57">
        <f t="shared" si="47"/>
        <v>46110</v>
      </c>
      <c r="Z48" s="5"/>
      <c r="AA48" s="8"/>
      <c r="AB48" s="17">
        <f>IF(C8=AC59,AC65,IF(C8=AD59,AD65,IF(C8=AF59,AF65,IF(C8=AG59,AG65,IF(C8=AE59,AE65,IF(C8=AH59,AH65,IF(C8=AI59,AI65,IF(C8=AJ59,AJ65,Y23))))))))</f>
        <v>3.5000000000000001E-3</v>
      </c>
      <c r="AC48" s="39">
        <f>C7*(1-AC47)</f>
        <v>75000</v>
      </c>
      <c r="AD48" s="9" t="s">
        <v>29</v>
      </c>
      <c r="AE48" s="2" t="s">
        <v>17</v>
      </c>
      <c r="AF48" s="2"/>
      <c r="AG48" s="2">
        <v>7.4000000000000003E-3</v>
      </c>
      <c r="AH48" s="59">
        <v>41750</v>
      </c>
      <c r="AI48" s="2">
        <v>72</v>
      </c>
      <c r="AJ48" s="2"/>
      <c r="AK48" s="2"/>
      <c r="AL48" s="2" t="e">
        <f>IF(AND(Y5&gt;=$W$9,Y5&lt;=$W$9+5),0,IF($C$9&gt;$AF$51,ROUND(AI8*#REF!/(DATEVALUE(CONCATENATE("01/01/",YEAR(Z5)+1))-DATEVALUE(CONCATENATE("01/01/",YEAR(Z5))))*(Z5-Z4),2),0))</f>
        <v>#REF!</v>
      </c>
      <c r="AM48" s="34">
        <f>AT9</f>
        <v>2617</v>
      </c>
      <c r="AN48" s="57">
        <f>AN47+365</f>
        <v>44650</v>
      </c>
      <c r="AO48" s="130">
        <f t="shared" si="17"/>
        <v>1</v>
      </c>
      <c r="AP48" s="261">
        <f t="shared" si="30"/>
        <v>40</v>
      </c>
      <c r="AQ48" s="262">
        <f t="shared" si="3"/>
        <v>45500</v>
      </c>
      <c r="AR48" s="263">
        <f t="shared" si="48"/>
        <v>0.16900000000000001</v>
      </c>
      <c r="AS48" s="258">
        <f t="shared" si="18"/>
        <v>2617</v>
      </c>
      <c r="AT48" s="258">
        <f t="shared" si="19"/>
        <v>2617</v>
      </c>
      <c r="AU48" s="258">
        <f t="shared" si="20"/>
        <v>299.95</v>
      </c>
      <c r="AV48" s="258">
        <f t="shared" si="21"/>
        <v>2317.0500000000002</v>
      </c>
      <c r="AW48" s="258">
        <f t="shared" si="5"/>
        <v>0</v>
      </c>
      <c r="AX48" s="258">
        <v>0</v>
      </c>
      <c r="AY48" s="258">
        <f t="shared" si="22"/>
        <v>299.95</v>
      </c>
      <c r="AZ48" s="258">
        <f t="shared" si="39"/>
        <v>0</v>
      </c>
      <c r="BA48" s="258">
        <f t="shared" si="37"/>
        <v>0</v>
      </c>
      <c r="BB48" s="258"/>
      <c r="BC48" s="258"/>
      <c r="BD48" s="258"/>
      <c r="BE48" s="258"/>
      <c r="BF48" s="258"/>
      <c r="BG48" s="258">
        <f t="shared" si="24"/>
        <v>19335.890000000007</v>
      </c>
      <c r="BH48" s="108">
        <f t="shared" si="31"/>
        <v>9</v>
      </c>
      <c r="BI48" s="108">
        <f t="shared" si="26"/>
        <v>9</v>
      </c>
      <c r="BJ48" s="22">
        <f t="shared" si="27"/>
        <v>45500</v>
      </c>
      <c r="BK48" s="108">
        <f t="shared" si="7"/>
        <v>2498</v>
      </c>
    </row>
    <row r="49" spans="1:64" s="16" customFormat="1" ht="55.2" customHeight="1" x14ac:dyDescent="0.25">
      <c r="A49" s="986" t="s">
        <v>308</v>
      </c>
      <c r="B49" s="987"/>
      <c r="C49" s="988" t="str">
        <f>CONCATENATE(ROUND(D33-C33,0)+MIN((C38*1%+C39*1%+C40*1%+C41*3%),IF($C$17="Серебряный",10000,IF($C$17="Золотой",15000,IF($C$17="Платиновый",20000,""))))+MIN((C38*1%+C39*3%+C40*3%+C41*1%),5000)+(MIN((C43*1%+C44*1%+C45*1%+C46*3%),IF(C17="Серебряный",10000,IF(C17="Золотой",15000,IF(C17="Платиновый",20000,""))))*13+MIN((C43*1%+C44*3%+C45*3%+C46*1%),5000)*13)," рублей")</f>
        <v>10385 рублей</v>
      </c>
      <c r="D49" s="989"/>
      <c r="E49" s="990"/>
      <c r="F49" s="180"/>
      <c r="G49" s="244">
        <f t="shared" si="28"/>
        <v>41</v>
      </c>
      <c r="H49" s="245">
        <f t="shared" si="1"/>
        <v>45531</v>
      </c>
      <c r="I49" s="246">
        <f t="shared" si="49"/>
        <v>0.129</v>
      </c>
      <c r="J49" s="242">
        <f t="shared" si="9"/>
        <v>2498</v>
      </c>
      <c r="K49" s="242">
        <f t="shared" si="50"/>
        <v>2498</v>
      </c>
      <c r="L49" s="242">
        <f t="shared" si="36"/>
        <v>312.89999999999998</v>
      </c>
      <c r="M49" s="242">
        <f t="shared" si="12"/>
        <v>2185.1</v>
      </c>
      <c r="N49" s="242">
        <f t="shared" si="2"/>
        <v>0</v>
      </c>
      <c r="O49" s="242">
        <v>0</v>
      </c>
      <c r="P49" s="242">
        <f t="shared" si="25"/>
        <v>312.89999999999998</v>
      </c>
      <c r="Q49" s="242">
        <f t="shared" si="33"/>
        <v>0</v>
      </c>
      <c r="R49" s="242">
        <f t="shared" si="14"/>
        <v>0</v>
      </c>
      <c r="S49" s="242">
        <f t="shared" si="15"/>
        <v>26452.800000000032</v>
      </c>
      <c r="T49" s="467"/>
      <c r="U49" s="198">
        <f t="shared" si="29"/>
        <v>8</v>
      </c>
      <c r="V49" s="36">
        <f t="shared" si="16"/>
        <v>8</v>
      </c>
      <c r="W49" s="2">
        <f>IF(AND(G14&gt;=$W$9,G14&lt;=$W$9+5),0,IF($C$9&gt;$AF$51,ROUND(S13*#REF!/(DATEVALUE(CONCATENATE("01/01/",YEAR(H14)+1))-DATEVALUE(CONCATENATE("01/01/",YEAR(H14))))*(H14-H13),2),0))</f>
        <v>0</v>
      </c>
      <c r="X49" s="34">
        <f t="shared" si="51"/>
        <v>0</v>
      </c>
      <c r="Y49" s="57">
        <f t="shared" si="47"/>
        <v>46475</v>
      </c>
      <c r="Z49" s="2"/>
      <c r="AA49" s="2"/>
      <c r="AB49" s="15">
        <f>IF(D8=AC59,AC65,IF(D8=AD59,AD65,IF(D8=AF59,AF65,IF(D8=AG59,AG65,IF(D8=AE59,AE65,IF(D8=AH59,AH65,IF(D8=AI59,AI65,Y23)))))))</f>
        <v>3.5000000000000001E-3</v>
      </c>
      <c r="AC49" s="41">
        <f>ROUNDUP(C7*AD49,0)</f>
        <v>0</v>
      </c>
      <c r="AD49" s="12">
        <v>0</v>
      </c>
      <c r="AE49" s="1">
        <v>15000</v>
      </c>
      <c r="AF49" s="53">
        <v>41365</v>
      </c>
      <c r="AG49" s="1">
        <v>500</v>
      </c>
      <c r="AH49" s="2">
        <f>ROUNDUP(($AD$55)/AG47,0)*AG47</f>
        <v>2614</v>
      </c>
      <c r="AI49" s="2"/>
      <c r="AJ49" s="2"/>
      <c r="AK49" s="2"/>
      <c r="AL49" s="2" t="e">
        <f>IF(AND(Y6&gt;=$W$9,Y6&lt;=$W$9+5),0,IF($C$9&gt;$AF$51,ROUND(AI9*#REF!/(DATEVALUE(CONCATENATE("01/01/",YEAR(Z6)+1))-DATEVALUE(CONCATENATE("01/01/",YEAR(Z6))))*(Z6-Z5),2),0))</f>
        <v>#REF!</v>
      </c>
      <c r="AM49" s="34">
        <f>AT10</f>
        <v>2617</v>
      </c>
      <c r="AN49" s="57">
        <f t="shared" ref="AN49:AN112" si="52">AN48+365</f>
        <v>45015</v>
      </c>
      <c r="AO49" s="130">
        <f t="shared" si="17"/>
        <v>1</v>
      </c>
      <c r="AP49" s="261">
        <f t="shared" si="30"/>
        <v>41</v>
      </c>
      <c r="AQ49" s="262">
        <f t="shared" si="3"/>
        <v>45531</v>
      </c>
      <c r="AR49" s="263">
        <f t="shared" si="48"/>
        <v>0.16900000000000001</v>
      </c>
      <c r="AS49" s="258">
        <f t="shared" si="18"/>
        <v>2617</v>
      </c>
      <c r="AT49" s="258">
        <f t="shared" si="19"/>
        <v>2617</v>
      </c>
      <c r="AU49" s="258">
        <f t="shared" si="20"/>
        <v>276.77999999999997</v>
      </c>
      <c r="AV49" s="258">
        <f t="shared" si="21"/>
        <v>2340.2200000000003</v>
      </c>
      <c r="AW49" s="258">
        <f t="shared" si="5"/>
        <v>0</v>
      </c>
      <c r="AX49" s="258">
        <v>0</v>
      </c>
      <c r="AY49" s="258">
        <f t="shared" si="22"/>
        <v>276.77999999999997</v>
      </c>
      <c r="AZ49" s="258">
        <f t="shared" si="39"/>
        <v>0</v>
      </c>
      <c r="BA49" s="258">
        <f t="shared" si="37"/>
        <v>0</v>
      </c>
      <c r="BB49" s="258"/>
      <c r="BC49" s="258"/>
      <c r="BD49" s="258"/>
      <c r="BE49" s="258"/>
      <c r="BF49" s="258"/>
      <c r="BG49" s="258">
        <f t="shared" si="24"/>
        <v>16995.670000000006</v>
      </c>
      <c r="BH49" s="108">
        <f t="shared" si="31"/>
        <v>8</v>
      </c>
      <c r="BI49" s="108">
        <f t="shared" si="26"/>
        <v>8</v>
      </c>
      <c r="BJ49" s="22">
        <f t="shared" si="27"/>
        <v>45531</v>
      </c>
      <c r="BK49" s="108">
        <f t="shared" si="7"/>
        <v>2498</v>
      </c>
    </row>
    <row r="50" spans="1:64" s="16" customFormat="1" ht="55.5" customHeight="1" thickBot="1" x14ac:dyDescent="0.3">
      <c r="A50" s="844" t="s">
        <v>175</v>
      </c>
      <c r="B50" s="844"/>
      <c r="C50" s="844"/>
      <c r="D50" s="844"/>
      <c r="E50" s="844"/>
      <c r="F50" s="180"/>
      <c r="G50" s="244">
        <f t="shared" si="28"/>
        <v>42</v>
      </c>
      <c r="H50" s="245">
        <f t="shared" si="1"/>
        <v>45562</v>
      </c>
      <c r="I50" s="246">
        <f t="shared" si="49"/>
        <v>0.129</v>
      </c>
      <c r="J50" s="242">
        <f t="shared" si="9"/>
        <v>2498</v>
      </c>
      <c r="K50" s="242">
        <f t="shared" si="50"/>
        <v>2498</v>
      </c>
      <c r="L50" s="242">
        <f t="shared" si="36"/>
        <v>289.02999999999997</v>
      </c>
      <c r="M50" s="242">
        <f t="shared" si="12"/>
        <v>2208.9700000000003</v>
      </c>
      <c r="N50" s="242">
        <f t="shared" si="2"/>
        <v>0</v>
      </c>
      <c r="O50" s="242">
        <v>0</v>
      </c>
      <c r="P50" s="242">
        <f t="shared" si="25"/>
        <v>289.02999999999997</v>
      </c>
      <c r="Q50" s="242">
        <f t="shared" si="33"/>
        <v>0</v>
      </c>
      <c r="R50" s="242">
        <f t="shared" si="14"/>
        <v>0</v>
      </c>
      <c r="S50" s="242">
        <f t="shared" si="15"/>
        <v>24243.830000000031</v>
      </c>
      <c r="T50" s="467"/>
      <c r="U50" s="198">
        <f t="shared" si="29"/>
        <v>7</v>
      </c>
      <c r="V50" s="36">
        <f t="shared" si="16"/>
        <v>7</v>
      </c>
      <c r="W50" s="2" t="e">
        <f>IF(AND(G15&gt;=$W$9,G15&lt;=$W$9+5),0,IF($C$9&gt;$AF$51,ROUND(S14*#REF!/(DATEVALUE(CONCATENATE("01/01/",YEAR(H15)+1))-DATEVALUE(CONCATENATE("01/01/",YEAR(H15))))*(H15-H14),2),0))</f>
        <v>#REF!</v>
      </c>
      <c r="X50" s="34">
        <f t="shared" si="51"/>
        <v>2498</v>
      </c>
      <c r="Y50" s="57">
        <f t="shared" si="47"/>
        <v>46840</v>
      </c>
      <c r="Z50" s="6" t="s">
        <v>0</v>
      </c>
      <c r="AA50" s="6"/>
      <c r="AB50" s="6"/>
      <c r="AC50" s="42">
        <v>24</v>
      </c>
      <c r="AD50" s="14"/>
      <c r="AE50" s="1">
        <f>IF(C9&lt;AF49,300000,1000000)</f>
        <v>1000000</v>
      </c>
      <c r="AF50" s="53">
        <v>41501</v>
      </c>
      <c r="AG50" s="53">
        <v>41882</v>
      </c>
      <c r="AH50" s="2" t="e">
        <f>IF(C9&gt;AG50,XIRR(X43:X122,Y43:Y122)*12,XIRR(X43:X121,H8:H86))</f>
        <v>#NUM!</v>
      </c>
      <c r="AI50" s="2"/>
      <c r="AJ50" s="2"/>
      <c r="AK50" s="2"/>
      <c r="AL50" s="2" t="e">
        <f>IF(AND(#REF!&gt;=$W$9,#REF!&lt;=$W$9+5),0,IF($C$9&gt;$AF$51,ROUND(AI10*#REF!/(DATEVALUE(CONCATENATE("01/01/",YEAR(#REF!)+1))-DATEVALUE(CONCATENATE("01/01/",YEAR(#REF!))))*(#REF!-Z6),2),0))</f>
        <v>#REF!</v>
      </c>
      <c r="AM50" s="34">
        <f t="shared" ref="AM50:AM113" si="53">AT11</f>
        <v>2617</v>
      </c>
      <c r="AN50" s="57">
        <f t="shared" si="52"/>
        <v>45380</v>
      </c>
      <c r="AO50" s="130">
        <f t="shared" si="17"/>
        <v>1</v>
      </c>
      <c r="AP50" s="261">
        <f t="shared" si="30"/>
        <v>42</v>
      </c>
      <c r="AQ50" s="262">
        <f t="shared" si="3"/>
        <v>45562</v>
      </c>
      <c r="AR50" s="263">
        <f t="shared" si="48"/>
        <v>0.16900000000000001</v>
      </c>
      <c r="AS50" s="258">
        <f t="shared" si="18"/>
        <v>2617</v>
      </c>
      <c r="AT50" s="258">
        <f t="shared" si="19"/>
        <v>2617</v>
      </c>
      <c r="AU50" s="258">
        <f t="shared" si="20"/>
        <v>243.28</v>
      </c>
      <c r="AV50" s="258">
        <f t="shared" si="21"/>
        <v>2373.7199999999998</v>
      </c>
      <c r="AW50" s="258">
        <f t="shared" si="5"/>
        <v>0</v>
      </c>
      <c r="AX50" s="258">
        <v>0</v>
      </c>
      <c r="AY50" s="258">
        <f t="shared" si="22"/>
        <v>243.28</v>
      </c>
      <c r="AZ50" s="258">
        <f t="shared" si="39"/>
        <v>0</v>
      </c>
      <c r="BA50" s="258">
        <f t="shared" si="37"/>
        <v>0</v>
      </c>
      <c r="BB50" s="258"/>
      <c r="BC50" s="258"/>
      <c r="BD50" s="258"/>
      <c r="BE50" s="258"/>
      <c r="BF50" s="258"/>
      <c r="BG50" s="258">
        <f t="shared" si="24"/>
        <v>14621.950000000006</v>
      </c>
      <c r="BH50" s="108">
        <f t="shared" si="31"/>
        <v>7</v>
      </c>
      <c r="BI50" s="108">
        <f t="shared" si="26"/>
        <v>7</v>
      </c>
      <c r="BJ50" s="22">
        <f t="shared" si="27"/>
        <v>45562</v>
      </c>
      <c r="BK50" s="108">
        <f t="shared" si="7"/>
        <v>2498</v>
      </c>
    </row>
    <row r="51" spans="1:64" s="16" customFormat="1" ht="19.5" customHeight="1" x14ac:dyDescent="0.3">
      <c r="A51" s="847" t="s">
        <v>186</v>
      </c>
      <c r="B51" s="213" t="s">
        <v>180</v>
      </c>
      <c r="C51" s="191">
        <f>C33/($C$10/12)</f>
        <v>11628.855</v>
      </c>
      <c r="D51" s="191">
        <f>D33/($C$10/12)</f>
        <v>8625.0774999999976</v>
      </c>
      <c r="E51" s="191">
        <f>C51-D51</f>
        <v>3003.777500000002</v>
      </c>
      <c r="F51" s="178"/>
      <c r="G51" s="244">
        <f t="shared" si="28"/>
        <v>43</v>
      </c>
      <c r="H51" s="245">
        <f t="shared" si="1"/>
        <v>45592</v>
      </c>
      <c r="I51" s="246">
        <f t="shared" si="49"/>
        <v>0.129</v>
      </c>
      <c r="J51" s="242">
        <f t="shared" si="9"/>
        <v>2498</v>
      </c>
      <c r="K51" s="242">
        <f t="shared" si="50"/>
        <v>2498</v>
      </c>
      <c r="L51" s="242">
        <f t="shared" si="36"/>
        <v>256.35000000000002</v>
      </c>
      <c r="M51" s="242">
        <f t="shared" si="12"/>
        <v>2241.65</v>
      </c>
      <c r="N51" s="242">
        <f t="shared" si="2"/>
        <v>0</v>
      </c>
      <c r="O51" s="242">
        <v>0</v>
      </c>
      <c r="P51" s="242">
        <f t="shared" si="25"/>
        <v>256.35000000000002</v>
      </c>
      <c r="Q51" s="242">
        <f t="shared" si="33"/>
        <v>0</v>
      </c>
      <c r="R51" s="242">
        <f t="shared" si="14"/>
        <v>0</v>
      </c>
      <c r="S51" s="242">
        <f t="shared" si="15"/>
        <v>22002.180000000029</v>
      </c>
      <c r="T51" s="467"/>
      <c r="U51" s="198">
        <f t="shared" si="29"/>
        <v>6</v>
      </c>
      <c r="V51" s="36">
        <f t="shared" si="16"/>
        <v>6</v>
      </c>
      <c r="W51" s="2" t="e">
        <f>IF(AND(G16&gt;=$W$9,G16&lt;=$W$9+5),0,IF($C$9&gt;$AF$51,ROUND(S15*#REF!/(DATEVALUE(CONCATENATE("01/01/",YEAR(H16)+1))-DATEVALUE(CONCATENATE("01/01/",YEAR(H16))))*(H16-H15),2),0))</f>
        <v>#REF!</v>
      </c>
      <c r="X51" s="34">
        <f t="shared" si="51"/>
        <v>2498</v>
      </c>
      <c r="Y51" s="57">
        <f t="shared" si="47"/>
        <v>47205</v>
      </c>
      <c r="Z51" s="11" t="s">
        <v>18</v>
      </c>
      <c r="AA51" s="11"/>
      <c r="AB51" s="11"/>
      <c r="AC51" s="42">
        <f>(D32-C7)</f>
        <v>50250.310000000012</v>
      </c>
      <c r="AD51" s="58"/>
      <c r="AE51" s="53">
        <v>41632</v>
      </c>
      <c r="AF51" s="53">
        <v>41820</v>
      </c>
      <c r="AG51" s="53">
        <v>41857</v>
      </c>
      <c r="AH51" s="46">
        <v>41991</v>
      </c>
      <c r="AI51" s="18">
        <v>0</v>
      </c>
      <c r="AJ51" s="3"/>
      <c r="AK51" s="3"/>
      <c r="AL51" s="2" t="e">
        <f>IF(AND(Y7&gt;=$W$9,Y7&lt;=$W$9+5),0,IF($C$9&gt;$AF$51,ROUND(AI11*#REF!/(DATEVALUE(CONCATENATE("01/01/",YEAR(Z7)+1))-DATEVALUE(CONCATENATE("01/01/",YEAR(Z7))))*(Z7-#REF!),2),0))</f>
        <v>#REF!</v>
      </c>
      <c r="AM51" s="34">
        <f t="shared" si="53"/>
        <v>2617</v>
      </c>
      <c r="AN51" s="57">
        <f t="shared" si="52"/>
        <v>45745</v>
      </c>
      <c r="AO51" s="130">
        <f t="shared" si="17"/>
        <v>1</v>
      </c>
      <c r="AP51" s="261">
        <f t="shared" si="30"/>
        <v>43</v>
      </c>
      <c r="AQ51" s="262">
        <f t="shared" si="3"/>
        <v>45592</v>
      </c>
      <c r="AR51" s="263">
        <f t="shared" si="48"/>
        <v>0.16900000000000001</v>
      </c>
      <c r="AS51" s="258">
        <f t="shared" si="18"/>
        <v>2617</v>
      </c>
      <c r="AT51" s="258">
        <f t="shared" si="19"/>
        <v>2617</v>
      </c>
      <c r="AU51" s="258">
        <f t="shared" si="20"/>
        <v>202.55</v>
      </c>
      <c r="AV51" s="258">
        <f t="shared" si="21"/>
        <v>2414.4499999999998</v>
      </c>
      <c r="AW51" s="258">
        <f t="shared" si="5"/>
        <v>0</v>
      </c>
      <c r="AX51" s="258">
        <v>0</v>
      </c>
      <c r="AY51" s="258">
        <f t="shared" si="22"/>
        <v>202.55</v>
      </c>
      <c r="AZ51" s="258">
        <f t="shared" si="39"/>
        <v>0</v>
      </c>
      <c r="BA51" s="258">
        <f t="shared" si="37"/>
        <v>0</v>
      </c>
      <c r="BB51" s="258"/>
      <c r="BC51" s="258"/>
      <c r="BD51" s="258"/>
      <c r="BE51" s="258"/>
      <c r="BF51" s="258"/>
      <c r="BG51" s="258">
        <f t="shared" si="24"/>
        <v>12207.500000000007</v>
      </c>
      <c r="BH51" s="108">
        <f t="shared" si="31"/>
        <v>6</v>
      </c>
      <c r="BI51" s="108">
        <f t="shared" si="26"/>
        <v>6</v>
      </c>
      <c r="BJ51" s="22">
        <f t="shared" si="27"/>
        <v>45592</v>
      </c>
      <c r="BK51" s="108">
        <f t="shared" si="7"/>
        <v>2498</v>
      </c>
    </row>
    <row r="52" spans="1:64" s="16" customFormat="1" ht="24" customHeight="1" x14ac:dyDescent="0.3">
      <c r="A52" s="847"/>
      <c r="B52" s="213" t="s">
        <v>181</v>
      </c>
      <c r="C52" s="201">
        <f>C51/C23</f>
        <v>0.12814165289256199</v>
      </c>
      <c r="D52" s="201">
        <f>D51/D23</f>
        <v>9.5042176308539922E-2</v>
      </c>
      <c r="E52" s="191"/>
      <c r="F52" s="178"/>
      <c r="G52" s="244">
        <f t="shared" si="28"/>
        <v>44</v>
      </c>
      <c r="H52" s="245">
        <f t="shared" si="1"/>
        <v>45623</v>
      </c>
      <c r="I52" s="246">
        <f t="shared" si="49"/>
        <v>0.129</v>
      </c>
      <c r="J52" s="242">
        <f t="shared" si="9"/>
        <v>2498</v>
      </c>
      <c r="K52" s="242">
        <f t="shared" si="50"/>
        <v>2498</v>
      </c>
      <c r="L52" s="242">
        <f t="shared" si="36"/>
        <v>240.4</v>
      </c>
      <c r="M52" s="242">
        <f t="shared" si="12"/>
        <v>2257.6</v>
      </c>
      <c r="N52" s="242">
        <f t="shared" si="2"/>
        <v>0</v>
      </c>
      <c r="O52" s="242">
        <v>0</v>
      </c>
      <c r="P52" s="242">
        <f t="shared" si="25"/>
        <v>240.4</v>
      </c>
      <c r="Q52" s="242">
        <f t="shared" si="33"/>
        <v>0</v>
      </c>
      <c r="R52" s="242">
        <f t="shared" si="14"/>
        <v>0</v>
      </c>
      <c r="S52" s="242">
        <f t="shared" si="15"/>
        <v>19744.580000000031</v>
      </c>
      <c r="T52" s="467"/>
      <c r="U52" s="198">
        <f t="shared" si="29"/>
        <v>5</v>
      </c>
      <c r="V52" s="36">
        <f t="shared" si="16"/>
        <v>5</v>
      </c>
      <c r="W52" s="2" t="e">
        <f>IF(AND(G17&gt;=$W$9,G17&lt;=$W$9+5),0,IF($C$9&gt;$AF$51,ROUND(S16*#REF!/(DATEVALUE(CONCATENATE("01/01/",YEAR(H17)+1))-DATEVALUE(CONCATENATE("01/01/",YEAR(H17))))*(H17-H16),2),0))</f>
        <v>#REF!</v>
      </c>
      <c r="X52" s="34">
        <f t="shared" si="51"/>
        <v>2498</v>
      </c>
      <c r="Y52" s="57">
        <f t="shared" si="47"/>
        <v>47570</v>
      </c>
      <c r="Z52" s="3" t="s">
        <v>22</v>
      </c>
      <c r="AA52" s="3"/>
      <c r="AB52" s="3"/>
      <c r="AC52" s="42"/>
      <c r="AD52" s="58"/>
      <c r="AE52" s="53">
        <v>42124</v>
      </c>
      <c r="AF52" s="53"/>
      <c r="AG52" s="53"/>
      <c r="AH52" s="46"/>
      <c r="AI52" s="2"/>
      <c r="AJ52" s="3"/>
      <c r="AK52" s="3"/>
      <c r="AL52" s="2" t="e">
        <f>IF(AND(Y8&gt;=$W$9,Y8&lt;=$W$9+5),0,IF($C$9&gt;$AF$51,ROUND(AI12*#REF!/(DATEVALUE(CONCATENATE("01/01/",YEAR(Z8)+1))-DATEVALUE(CONCATENATE("01/01/",YEAR(Z8))))*(Z8-Z7),2),0))</f>
        <v>#REF!</v>
      </c>
      <c r="AM52" s="34">
        <f t="shared" si="53"/>
        <v>2617</v>
      </c>
      <c r="AN52" s="57">
        <f t="shared" si="52"/>
        <v>46110</v>
      </c>
      <c r="AO52" s="130">
        <f t="shared" si="17"/>
        <v>1</v>
      </c>
      <c r="AP52" s="261">
        <f t="shared" si="30"/>
        <v>44</v>
      </c>
      <c r="AQ52" s="262">
        <f t="shared" si="3"/>
        <v>45623</v>
      </c>
      <c r="AR52" s="263">
        <f t="shared" si="48"/>
        <v>0.16900000000000001</v>
      </c>
      <c r="AS52" s="258">
        <f t="shared" si="18"/>
        <v>2617</v>
      </c>
      <c r="AT52" s="258">
        <f t="shared" si="19"/>
        <v>2617</v>
      </c>
      <c r="AU52" s="258">
        <f t="shared" si="20"/>
        <v>174.74</v>
      </c>
      <c r="AV52" s="258">
        <f t="shared" si="21"/>
        <v>2442.2600000000002</v>
      </c>
      <c r="AW52" s="258">
        <f t="shared" si="5"/>
        <v>0</v>
      </c>
      <c r="AX52" s="258">
        <v>0</v>
      </c>
      <c r="AY52" s="258">
        <f t="shared" si="22"/>
        <v>174.74</v>
      </c>
      <c r="AZ52" s="258">
        <f t="shared" si="39"/>
        <v>0</v>
      </c>
      <c r="BA52" s="258">
        <f t="shared" si="37"/>
        <v>0</v>
      </c>
      <c r="BB52" s="258"/>
      <c r="BC52" s="258"/>
      <c r="BD52" s="258"/>
      <c r="BE52" s="258"/>
      <c r="BF52" s="258"/>
      <c r="BG52" s="258">
        <f t="shared" si="24"/>
        <v>9765.2400000000071</v>
      </c>
      <c r="BH52" s="108">
        <f t="shared" si="31"/>
        <v>5</v>
      </c>
      <c r="BI52" s="108">
        <f t="shared" si="26"/>
        <v>5</v>
      </c>
      <c r="BJ52" s="22">
        <f t="shared" si="27"/>
        <v>45623</v>
      </c>
      <c r="BK52" s="108">
        <f t="shared" si="7"/>
        <v>2498</v>
      </c>
    </row>
    <row r="53" spans="1:64" s="16" customFormat="1" ht="24" customHeight="1" x14ac:dyDescent="0.3">
      <c r="A53" s="846" t="s">
        <v>177</v>
      </c>
      <c r="B53" s="846"/>
      <c r="C53" s="190">
        <f>C51/12</f>
        <v>969.07124999999996</v>
      </c>
      <c r="D53" s="191">
        <f>D51/12</f>
        <v>718.75645833333317</v>
      </c>
      <c r="E53" s="191">
        <f>C53-D53</f>
        <v>250.31479166666679</v>
      </c>
      <c r="F53" s="178"/>
      <c r="G53" s="244">
        <f t="shared" si="28"/>
        <v>45</v>
      </c>
      <c r="H53" s="245">
        <f t="shared" si="1"/>
        <v>45653</v>
      </c>
      <c r="I53" s="246">
        <f t="shared" si="49"/>
        <v>0.129</v>
      </c>
      <c r="J53" s="242">
        <f t="shared" si="9"/>
        <v>2498</v>
      </c>
      <c r="K53" s="242">
        <f t="shared" si="50"/>
        <v>2498</v>
      </c>
      <c r="L53" s="242">
        <f t="shared" si="36"/>
        <v>208.77</v>
      </c>
      <c r="M53" s="242">
        <f t="shared" si="12"/>
        <v>2289.23</v>
      </c>
      <c r="N53" s="242">
        <f t="shared" si="2"/>
        <v>0</v>
      </c>
      <c r="O53" s="242">
        <v>0</v>
      </c>
      <c r="P53" s="242">
        <f t="shared" si="25"/>
        <v>208.77</v>
      </c>
      <c r="Q53" s="242">
        <f t="shared" si="33"/>
        <v>0</v>
      </c>
      <c r="R53" s="242">
        <f t="shared" si="14"/>
        <v>0</v>
      </c>
      <c r="S53" s="242">
        <f t="shared" si="15"/>
        <v>17455.350000000031</v>
      </c>
      <c r="T53" s="467"/>
      <c r="U53" s="198">
        <f t="shared" si="29"/>
        <v>4</v>
      </c>
      <c r="V53" s="36">
        <f t="shared" si="16"/>
        <v>4</v>
      </c>
      <c r="W53" s="2" t="e">
        <f>IF(AND(G18&gt;=$W$9,G18&lt;=$W$9+5),0,IF($C$9&gt;$AF$51,ROUND(S17*#REF!/(DATEVALUE(CONCATENATE("01/01/",YEAR(H18)+1))-DATEVALUE(CONCATENATE("01/01/",YEAR(H18))))*(H18-H17),2),0))</f>
        <v>#REF!</v>
      </c>
      <c r="X53" s="34">
        <f t="shared" si="51"/>
        <v>2498</v>
      </c>
      <c r="Y53" s="57">
        <f t="shared" si="47"/>
        <v>47935</v>
      </c>
      <c r="Z53" s="3"/>
      <c r="AA53" s="3"/>
      <c r="AB53" s="3"/>
      <c r="AC53" s="2"/>
      <c r="AD53" s="2"/>
      <c r="AE53" s="2"/>
      <c r="AF53" s="2"/>
      <c r="AG53" s="2"/>
      <c r="AH53" s="2"/>
      <c r="AI53" s="2"/>
      <c r="AJ53" s="2"/>
      <c r="AK53" s="2"/>
      <c r="AL53" s="2" t="e">
        <f>IF(AND(Y9&gt;=$W$9,Y9&lt;=$W$9+5),0,IF($C$9&gt;$AF$51,ROUND(AI13*#REF!/(DATEVALUE(CONCATENATE("01/01/",YEAR(Z9)+1))-DATEVALUE(CONCATENATE("01/01/",YEAR(Z9))))*(Z9-Z8),2),0))</f>
        <v>#REF!</v>
      </c>
      <c r="AM53" s="34">
        <f t="shared" si="53"/>
        <v>2617</v>
      </c>
      <c r="AN53" s="57">
        <f t="shared" si="52"/>
        <v>46475</v>
      </c>
      <c r="AO53" s="130">
        <f t="shared" si="17"/>
        <v>1</v>
      </c>
      <c r="AP53" s="261">
        <f t="shared" si="30"/>
        <v>45</v>
      </c>
      <c r="AQ53" s="262">
        <f t="shared" si="3"/>
        <v>45653</v>
      </c>
      <c r="AR53" s="263">
        <f t="shared" si="48"/>
        <v>0.16900000000000001</v>
      </c>
      <c r="AS53" s="258">
        <f t="shared" si="18"/>
        <v>2617</v>
      </c>
      <c r="AT53" s="258">
        <f t="shared" si="19"/>
        <v>2617</v>
      </c>
      <c r="AU53" s="258">
        <f t="shared" si="20"/>
        <v>135.27000000000001</v>
      </c>
      <c r="AV53" s="258">
        <f t="shared" si="21"/>
        <v>2481.73</v>
      </c>
      <c r="AW53" s="258">
        <f t="shared" si="5"/>
        <v>0</v>
      </c>
      <c r="AX53" s="258">
        <v>0</v>
      </c>
      <c r="AY53" s="258">
        <f t="shared" si="22"/>
        <v>135.27000000000001</v>
      </c>
      <c r="AZ53" s="258">
        <f t="shared" si="39"/>
        <v>0</v>
      </c>
      <c r="BA53" s="258">
        <f t="shared" si="37"/>
        <v>0</v>
      </c>
      <c r="BB53" s="258"/>
      <c r="BC53" s="258"/>
      <c r="BD53" s="258"/>
      <c r="BE53" s="258"/>
      <c r="BF53" s="258"/>
      <c r="BG53" s="258">
        <f t="shared" si="24"/>
        <v>7283.5100000000075</v>
      </c>
      <c r="BH53" s="108">
        <f t="shared" si="31"/>
        <v>4</v>
      </c>
      <c r="BI53" s="108">
        <f t="shared" si="26"/>
        <v>4</v>
      </c>
      <c r="BJ53" s="22">
        <f t="shared" si="27"/>
        <v>45653</v>
      </c>
      <c r="BK53" s="108">
        <f t="shared" si="7"/>
        <v>2498</v>
      </c>
    </row>
    <row r="54" spans="1:64" s="16" customFormat="1" ht="24" customHeight="1" thickBot="1" x14ac:dyDescent="0.35">
      <c r="A54" s="843" t="s">
        <v>176</v>
      </c>
      <c r="B54" s="843"/>
      <c r="C54" s="203">
        <f>C53/30</f>
        <v>32.302374999999998</v>
      </c>
      <c r="D54" s="202">
        <f>D53/30</f>
        <v>23.958548611111105</v>
      </c>
      <c r="E54" s="202">
        <f>C54-D54</f>
        <v>8.3438263888888926</v>
      </c>
      <c r="F54" s="178"/>
      <c r="G54" s="244">
        <f t="shared" si="28"/>
        <v>46</v>
      </c>
      <c r="H54" s="245">
        <f t="shared" si="1"/>
        <v>45684</v>
      </c>
      <c r="I54" s="246">
        <f t="shared" si="49"/>
        <v>0.129</v>
      </c>
      <c r="J54" s="242">
        <f t="shared" si="9"/>
        <v>2498</v>
      </c>
      <c r="K54" s="242">
        <f t="shared" si="50"/>
        <v>2498</v>
      </c>
      <c r="L54" s="242">
        <f t="shared" si="36"/>
        <v>191.18</v>
      </c>
      <c r="M54" s="242">
        <f t="shared" si="12"/>
        <v>2306.8200000000002</v>
      </c>
      <c r="N54" s="242">
        <f t="shared" si="2"/>
        <v>0</v>
      </c>
      <c r="O54" s="242">
        <v>0</v>
      </c>
      <c r="P54" s="242">
        <f t="shared" si="25"/>
        <v>191.18</v>
      </c>
      <c r="Q54" s="242">
        <f t="shared" si="33"/>
        <v>0</v>
      </c>
      <c r="R54" s="242">
        <f t="shared" si="14"/>
        <v>0</v>
      </c>
      <c r="S54" s="242">
        <f t="shared" si="15"/>
        <v>15148.530000000032</v>
      </c>
      <c r="T54" s="467"/>
      <c r="U54" s="198">
        <f t="shared" si="29"/>
        <v>3</v>
      </c>
      <c r="V54" s="36">
        <f t="shared" si="16"/>
        <v>3</v>
      </c>
      <c r="W54" s="2" t="e">
        <f>IF(AND(G19&gt;=$W$9,G19&lt;=$W$9+5),0,IF($C$9&gt;$AF$51,ROUND(S18*#REF!/(DATEVALUE(CONCATENATE("01/01/",YEAR(H19)+1))-DATEVALUE(CONCATENATE("01/01/",YEAR(H19))))*(H19-H18),2),0))</f>
        <v>#REF!</v>
      </c>
      <c r="X54" s="34">
        <f t="shared" si="51"/>
        <v>2498</v>
      </c>
      <c r="Y54" s="57">
        <f t="shared" si="47"/>
        <v>48300</v>
      </c>
      <c r="Z54" s="2"/>
      <c r="AA54" s="2"/>
      <c r="AB54" s="2"/>
      <c r="AC54" s="1"/>
      <c r="AD54" s="7">
        <f>H8</f>
        <v>44285</v>
      </c>
      <c r="AE54" s="47">
        <f>(C23+AI51)*AG36/12*(1+AG36/12)^(C10)/((1+AG36/12)^(C10)-1)+C23/10000*IF(C10&lt;11,20,IF(C10&lt;20,2.5,IF(C10&lt;37,1.5,IF(C10&lt;60,0.7,0.5))))*IF(AG36&lt;0.3,AG36/0.2,AG36/0.1)</f>
        <v>2619.2702223029451</v>
      </c>
      <c r="AF54" s="2"/>
      <c r="AG54" s="47">
        <f>(D23+AI51)*AE14/12*(1+AE14/12)^(C10)/((1+AE14/12)^(C10)-1)+D23/10000*IF(C10&lt;11,20,IF(C10&lt;20,2.5,IF(C10&lt;37,1.5,IF(C10&lt;60,0.7,0.5))))*IF(AE14&lt;0.3,AE14/0.2,AE14/0.1)</f>
        <v>2619.2702223029451</v>
      </c>
      <c r="AH54" s="2"/>
      <c r="AI54" s="2"/>
      <c r="AJ54" s="2"/>
      <c r="AK54" s="2"/>
      <c r="AL54" s="2" t="e">
        <f>IF(AND(Y10&gt;=$W$9,Y10&lt;=$W$9+5),0,IF($C$9&gt;$AF$51,ROUND(AI14*#REF!/(DATEVALUE(CONCATENATE("01/01/",YEAR(Z10)+1))-DATEVALUE(CONCATENATE("01/01/",YEAR(Z10))))*(Z10-Z9),2),0))</f>
        <v>#REF!</v>
      </c>
      <c r="AM54" s="34">
        <f t="shared" si="53"/>
        <v>2617</v>
      </c>
      <c r="AN54" s="57">
        <f t="shared" si="52"/>
        <v>46840</v>
      </c>
      <c r="AO54" s="130">
        <f t="shared" si="17"/>
        <v>1</v>
      </c>
      <c r="AP54" s="261">
        <f t="shared" si="30"/>
        <v>46</v>
      </c>
      <c r="AQ54" s="262">
        <f t="shared" si="3"/>
        <v>45684</v>
      </c>
      <c r="AR54" s="263">
        <f t="shared" si="48"/>
        <v>0.16900000000000001</v>
      </c>
      <c r="AS54" s="258">
        <f t="shared" si="18"/>
        <v>2617</v>
      </c>
      <c r="AT54" s="258">
        <f t="shared" si="19"/>
        <v>2617</v>
      </c>
      <c r="AU54" s="258">
        <f t="shared" si="20"/>
        <v>104.51</v>
      </c>
      <c r="AV54" s="258">
        <f t="shared" si="21"/>
        <v>2512.4899999999998</v>
      </c>
      <c r="AW54" s="258">
        <f t="shared" si="5"/>
        <v>0</v>
      </c>
      <c r="AX54" s="258">
        <v>0</v>
      </c>
      <c r="AY54" s="258">
        <f t="shared" si="22"/>
        <v>104.51</v>
      </c>
      <c r="AZ54" s="258">
        <f t="shared" si="39"/>
        <v>0</v>
      </c>
      <c r="BA54" s="258">
        <f t="shared" si="37"/>
        <v>0</v>
      </c>
      <c r="BB54" s="258"/>
      <c r="BC54" s="258"/>
      <c r="BD54" s="258"/>
      <c r="BE54" s="258"/>
      <c r="BF54" s="258"/>
      <c r="BG54" s="258">
        <f t="shared" si="24"/>
        <v>4771.0200000000077</v>
      </c>
      <c r="BH54" s="108">
        <f t="shared" si="31"/>
        <v>3</v>
      </c>
      <c r="BI54" s="108">
        <f t="shared" si="26"/>
        <v>3</v>
      </c>
      <c r="BJ54" s="22">
        <f t="shared" si="27"/>
        <v>45684</v>
      </c>
      <c r="BK54" s="108">
        <f t="shared" si="7"/>
        <v>2498</v>
      </c>
      <c r="BL54" s="2">
        <f>IF(AND(G9&gt;=$W$9,G9&lt;=$W$9+5),0,IF($C$9&gt;$AF$51,ROUND(BG8*IF(#REF!="",0,#REF!)/(DATEVALUE(CONCATENATE("01/01/",YEAR(AQ9)+1))-DATEVALUE(CONCATENATE("01/01/",YEAR(AQ9))))*(AQ9-AQ8),2),0))</f>
        <v>0</v>
      </c>
    </row>
    <row r="55" spans="1:64" s="16" customFormat="1" x14ac:dyDescent="0.3">
      <c r="A55" s="178"/>
      <c r="B55" s="178"/>
      <c r="C55" s="178"/>
      <c r="D55" s="178"/>
      <c r="E55" s="178"/>
      <c r="F55" s="178"/>
      <c r="G55" s="244">
        <f t="shared" si="28"/>
        <v>47</v>
      </c>
      <c r="H55" s="245">
        <f t="shared" si="1"/>
        <v>45715</v>
      </c>
      <c r="I55" s="246">
        <f t="shared" si="49"/>
        <v>0.129</v>
      </c>
      <c r="J55" s="242">
        <f t="shared" si="9"/>
        <v>2498</v>
      </c>
      <c r="K55" s="242">
        <f t="shared" si="50"/>
        <v>2498</v>
      </c>
      <c r="L55" s="242">
        <f t="shared" si="36"/>
        <v>165.97</v>
      </c>
      <c r="M55" s="242">
        <f t="shared" si="12"/>
        <v>2332.0300000000002</v>
      </c>
      <c r="N55" s="242">
        <f t="shared" si="2"/>
        <v>0</v>
      </c>
      <c r="O55" s="242">
        <v>0</v>
      </c>
      <c r="P55" s="242">
        <f t="shared" si="25"/>
        <v>165.97</v>
      </c>
      <c r="Q55" s="242">
        <f t="shared" si="33"/>
        <v>0</v>
      </c>
      <c r="R55" s="242">
        <f t="shared" si="14"/>
        <v>0</v>
      </c>
      <c r="S55" s="242">
        <f t="shared" si="15"/>
        <v>12816.500000000031</v>
      </c>
      <c r="T55" s="467"/>
      <c r="U55" s="198">
        <f t="shared" si="29"/>
        <v>2</v>
      </c>
      <c r="V55" s="36">
        <f t="shared" si="16"/>
        <v>2</v>
      </c>
      <c r="W55" s="2" t="e">
        <f>IF(AND(G20&gt;=$W$9,G20&lt;=$W$9+5),0,IF($C$9&gt;$AF$51,ROUND(S19*#REF!/(DATEVALUE(CONCATENATE("01/01/",YEAR(H20)+1))-DATEVALUE(CONCATENATE("01/01/",YEAR(H20))))*(H20-H19),2),0))</f>
        <v>#REF!</v>
      </c>
      <c r="X55" s="34">
        <f t="shared" si="51"/>
        <v>2498</v>
      </c>
      <c r="Y55" s="57">
        <f t="shared" si="47"/>
        <v>48665</v>
      </c>
      <c r="AA55" s="170" t="s">
        <v>134</v>
      </c>
      <c r="AD55" s="47">
        <f>IF(DAY(C9)&lt;4,AE54,IF(DAY(C9)&gt;28,AE56,AE55))</f>
        <v>2613.9023598029453</v>
      </c>
      <c r="AE55" s="47">
        <f>(C23+AI51)*AG36/12*(1+AG36/12)^(C10)/((1+AG36/12)^(C10)-1)+C23/10000*IF(C10&lt;11,20,IF(C10&lt;34,0.7,IF(C10&lt;58,0.3,0.1)))*IF(AG36&lt;0.3,AG36/0.2,AG36/0.1)</f>
        <v>2616.2028723029453</v>
      </c>
      <c r="AF55" s="13">
        <f>IF(DAY(C9)&lt;4,AG54,IF(DAY(C9)&gt;28,AG56,AG55))</f>
        <v>2613.9023598029453</v>
      </c>
      <c r="AG55" s="156">
        <f>(D23+AI51)*AE14/12*(1+AE14/12)^(C10)/((1+AE14/12)^(C10)-1)+D23/10000*IF(C10&lt;11,20,IF(C10&lt;34,0.7,IF(C10&lt;58,0.3,0.1)))*IF(AE14&lt;0.3,AE14/0.2,AE14/0.1)</f>
        <v>2616.2028723029453</v>
      </c>
      <c r="AH55" s="2"/>
      <c r="AI55" s="2"/>
      <c r="AJ55" s="2"/>
      <c r="AK55" s="2"/>
      <c r="AL55" s="2" t="e">
        <f>IF(AND(Y11&gt;=$W$9,Y11&lt;=$W$9+5),0,IF($C$9&gt;$AF$51,ROUND(AI15*#REF!/(DATEVALUE(CONCATENATE("01/01/",YEAR(Z11)+1))-DATEVALUE(CONCATENATE("01/01/",YEAR(Z11))))*(Z11-Z10),2),0))</f>
        <v>#REF!</v>
      </c>
      <c r="AM55" s="34">
        <f t="shared" si="53"/>
        <v>2617</v>
      </c>
      <c r="AN55" s="57">
        <f t="shared" si="52"/>
        <v>47205</v>
      </c>
      <c r="AO55" s="130">
        <f t="shared" si="17"/>
        <v>1</v>
      </c>
      <c r="AP55" s="261">
        <f t="shared" si="30"/>
        <v>47</v>
      </c>
      <c r="AQ55" s="262">
        <f t="shared" si="3"/>
        <v>45715</v>
      </c>
      <c r="AR55" s="263">
        <f t="shared" si="48"/>
        <v>0.16900000000000001</v>
      </c>
      <c r="AS55" s="258">
        <f t="shared" si="18"/>
        <v>2617</v>
      </c>
      <c r="AT55" s="258">
        <f t="shared" si="19"/>
        <v>2617</v>
      </c>
      <c r="AU55" s="258">
        <f t="shared" si="20"/>
        <v>68.48</v>
      </c>
      <c r="AV55" s="258">
        <f t="shared" si="21"/>
        <v>2548.52</v>
      </c>
      <c r="AW55" s="258">
        <f t="shared" si="5"/>
        <v>0</v>
      </c>
      <c r="AX55" s="258">
        <v>0</v>
      </c>
      <c r="AY55" s="258">
        <f t="shared" si="22"/>
        <v>68.48</v>
      </c>
      <c r="AZ55" s="258">
        <f t="shared" si="39"/>
        <v>0</v>
      </c>
      <c r="BA55" s="258">
        <f t="shared" si="37"/>
        <v>0</v>
      </c>
      <c r="BB55" s="258"/>
      <c r="BC55" s="258"/>
      <c r="BD55" s="258"/>
      <c r="BE55" s="258"/>
      <c r="BF55" s="258"/>
      <c r="BG55" s="258">
        <f t="shared" si="24"/>
        <v>2222.5000000000077</v>
      </c>
      <c r="BH55" s="108">
        <f t="shared" si="31"/>
        <v>2</v>
      </c>
      <c r="BI55" s="108">
        <f t="shared" si="26"/>
        <v>2</v>
      </c>
      <c r="BJ55" s="22">
        <f t="shared" si="27"/>
        <v>45715</v>
      </c>
      <c r="BK55" s="108">
        <f t="shared" si="7"/>
        <v>2498</v>
      </c>
      <c r="BL55" s="2">
        <f>IF(AND(G10&gt;=$W$9,G10&lt;=$W$9+5),0,IF($C$9&gt;$AF$51,ROUND(BG9*IF(#REF!="",0,#REF!)/(DATEVALUE(CONCATENATE("01/01/",YEAR(AQ10)+1))-DATEVALUE(CONCATENATE("01/01/",YEAR(AQ10))))*(AQ10-AQ9),2),0))</f>
        <v>0</v>
      </c>
    </row>
    <row r="56" spans="1:64" s="16" customFormat="1" ht="13.8" thickBot="1" x14ac:dyDescent="0.35">
      <c r="A56" s="178"/>
      <c r="B56" s="179"/>
      <c r="C56" s="180"/>
      <c r="D56" s="179"/>
      <c r="E56" s="178"/>
      <c r="F56" s="178"/>
      <c r="G56" s="248">
        <f t="shared" si="28"/>
        <v>48</v>
      </c>
      <c r="H56" s="249">
        <f t="shared" si="1"/>
        <v>45743</v>
      </c>
      <c r="I56" s="250">
        <f t="shared" si="49"/>
        <v>0.129</v>
      </c>
      <c r="J56" s="252">
        <f t="shared" si="9"/>
        <v>2498</v>
      </c>
      <c r="K56" s="252">
        <f t="shared" si="50"/>
        <v>2498</v>
      </c>
      <c r="L56" s="252">
        <f t="shared" si="36"/>
        <v>126.83</v>
      </c>
      <c r="M56" s="252">
        <f t="shared" si="12"/>
        <v>2371.17</v>
      </c>
      <c r="N56" s="252">
        <f t="shared" si="2"/>
        <v>0</v>
      </c>
      <c r="O56" s="252">
        <v>0</v>
      </c>
      <c r="P56" s="252">
        <f t="shared" si="25"/>
        <v>126.83</v>
      </c>
      <c r="Q56" s="252">
        <f t="shared" si="33"/>
        <v>0</v>
      </c>
      <c r="R56" s="252">
        <f t="shared" si="14"/>
        <v>0</v>
      </c>
      <c r="S56" s="252">
        <f t="shared" si="15"/>
        <v>10445.330000000031</v>
      </c>
      <c r="T56" s="468"/>
      <c r="U56" s="198">
        <f t="shared" si="29"/>
        <v>1</v>
      </c>
      <c r="V56" s="36">
        <f t="shared" si="16"/>
        <v>1</v>
      </c>
      <c r="W56" s="2" t="e">
        <f>IF(AND(G21&gt;=$W$9,G21&lt;=$W$9+5),0,IF($C$9&gt;$AF$51,ROUND(S20*#REF!/(DATEVALUE(CONCATENATE("01/01/",YEAR(H21)+1))-DATEVALUE(CONCATENATE("01/01/",YEAR(H21))))*(H21-H20),2),0))</f>
        <v>#REF!</v>
      </c>
      <c r="X56" s="34">
        <f t="shared" si="51"/>
        <v>2498</v>
      </c>
      <c r="Y56" s="57">
        <f t="shared" si="47"/>
        <v>49030</v>
      </c>
      <c r="AA56" s="171">
        <v>20000</v>
      </c>
      <c r="AB56" s="133" t="s">
        <v>135</v>
      </c>
      <c r="AC56" s="118">
        <f>ROUNDUP(AD56/AG47,0)*AG47</f>
        <v>1857</v>
      </c>
      <c r="AD56" s="13">
        <f>(C23+AI51)*AC57/12*(1+AC57/12)^(C10+AD57)/((1+AC57/12)^(C10+AD57)-1)+10*C23/100000*IF(C10+AD57&lt;24,4,IF(C10+AD57&lt;36,3,IF(C10+AD57&lt;48,2,IF(C10+AD57&lt;60,1.5,1))))*AC57/0.2</f>
        <v>1856.9768922080962</v>
      </c>
      <c r="AE56" s="47">
        <f>(C23+AI51)*AG36/12*(1+AG36/12)^(C10)/((1+AG36/12)^(C10)-1)+C23/10000*IF(C10&lt;11,20,IF(C10&lt;34,0.7,IF(C10&lt;48,0.3,0)))*IF(AG36&lt;0.3,AG36/0.2,AG36/0.1)</f>
        <v>2613.9023598029453</v>
      </c>
      <c r="AF56" s="13">
        <f>(D23+AI51)*AF57/12*(1+AF57/12)^(C10+AD57)/((1+AF57/12)^(C10+AD57)-1)+10*D23/100000*IF(C10+AD57&lt;24,4,IF(C10+AD57&lt;36,3,IF(C10+AD57&lt;48,2,IF(C10+AD57&lt;60,1.5,1))))*AF57/0.2</f>
        <v>1856.9768922080962</v>
      </c>
      <c r="AG56" s="157">
        <f>(D23+AI51)*AE14/12*(1+AE14/12)^(C10)/((1+AE14/12)^(C10)-1)+D23/10000*IF(C10&lt;11,20,IF(C10&lt;34,0.7,IF(C10&lt;48,0.3,0)))*IF(AE14&lt;0.3,AE14/0.2,AE14/0.1)</f>
        <v>2613.9023598029453</v>
      </c>
      <c r="AH56" s="2"/>
      <c r="AI56" s="2"/>
      <c r="AJ56" s="2"/>
      <c r="AK56" s="2"/>
      <c r="AL56" s="2" t="e">
        <f>IF(AND(Y12&gt;=$W$9,Y12&lt;=$W$9+5),0,IF($C$9&gt;$AF$51,ROUND(AI16*#REF!/(DATEVALUE(CONCATENATE("01/01/",YEAR(Z12)+1))-DATEVALUE(CONCATENATE("01/01/",YEAR(Z12))))*(Z12-Z11),2),0))</f>
        <v>#REF!</v>
      </c>
      <c r="AM56" s="34">
        <f t="shared" si="53"/>
        <v>2617</v>
      </c>
      <c r="AN56" s="57">
        <f t="shared" si="52"/>
        <v>47570</v>
      </c>
      <c r="AO56" s="130">
        <f t="shared" si="17"/>
        <v>1</v>
      </c>
      <c r="AP56" s="261">
        <f t="shared" si="30"/>
        <v>48</v>
      </c>
      <c r="AQ56" s="262">
        <f t="shared" si="3"/>
        <v>45743</v>
      </c>
      <c r="AR56" s="263">
        <f t="shared" si="48"/>
        <v>0.16900000000000001</v>
      </c>
      <c r="AS56" s="258">
        <f t="shared" si="18"/>
        <v>2251.3100000000077</v>
      </c>
      <c r="AT56" s="258">
        <f t="shared" si="19"/>
        <v>2251.3100000000077</v>
      </c>
      <c r="AU56" s="258">
        <f t="shared" si="20"/>
        <v>28.81</v>
      </c>
      <c r="AV56" s="258">
        <f t="shared" si="21"/>
        <v>2222.5000000000077</v>
      </c>
      <c r="AW56" s="258">
        <f t="shared" si="5"/>
        <v>0</v>
      </c>
      <c r="AX56" s="258">
        <v>0</v>
      </c>
      <c r="AY56" s="258">
        <f t="shared" si="22"/>
        <v>28.81</v>
      </c>
      <c r="AZ56" s="258">
        <f t="shared" si="39"/>
        <v>0</v>
      </c>
      <c r="BA56" s="258">
        <f t="shared" si="37"/>
        <v>0</v>
      </c>
      <c r="BB56" s="258"/>
      <c r="BC56" s="258"/>
      <c r="BD56" s="258"/>
      <c r="BE56" s="258"/>
      <c r="BF56" s="258"/>
      <c r="BG56" s="258">
        <f t="shared" si="24"/>
        <v>0</v>
      </c>
      <c r="BH56" s="108">
        <f t="shared" si="31"/>
        <v>1</v>
      </c>
      <c r="BI56" s="108">
        <f t="shared" si="26"/>
        <v>1</v>
      </c>
      <c r="BJ56" s="22">
        <f t="shared" si="27"/>
        <v>45743</v>
      </c>
      <c r="BK56" s="108">
        <f t="shared" si="7"/>
        <v>2498</v>
      </c>
      <c r="BL56" s="2">
        <f>IF(AND(G11&gt;=$W$9,G11&lt;=$W$9+5),0,IF($C$9&gt;$AF$51,ROUND(BG10*IF(#REF!="",0,#REF!)/(DATEVALUE(CONCATENATE("01/01/",YEAR(AQ11)+1))-DATEVALUE(CONCATENATE("01/01/",YEAR(AQ11))))*(AQ11-AQ10),2),0))</f>
        <v>0</v>
      </c>
    </row>
    <row r="57" spans="1:64" s="16" customFormat="1" ht="13.8" x14ac:dyDescent="0.3">
      <c r="A57" s="180"/>
      <c r="B57" s="180"/>
      <c r="C57" s="180"/>
      <c r="D57" s="254"/>
      <c r="E57" s="178"/>
      <c r="F57" s="178"/>
      <c r="G57" s="244">
        <f t="shared" si="28"/>
        <v>49</v>
      </c>
      <c r="H57" s="245">
        <f t="shared" si="1"/>
        <v>45774</v>
      </c>
      <c r="I57" s="246">
        <f>IF(AND($C$16="Да",$C$8&lt;&gt;"Нет"),$AG$40,$C$13)</f>
        <v>0.129</v>
      </c>
      <c r="J57" s="242">
        <f t="shared" si="9"/>
        <v>2498</v>
      </c>
      <c r="K57" s="242">
        <f>IF(AND(G57&gt;=$W$9,G57&lt;=$W$9+5),$W$10,IF(AND(S56+N57+L57&gt;K56,K56&lt;&gt;0),IF(AND($C$16="Да",$C$8&lt;&gt;"Нет"),$AF$40,$C$24),IF(S56=0,0,S56+N57+L57+L58)))</f>
        <v>2498</v>
      </c>
      <c r="L57" s="242">
        <f t="shared" si="36"/>
        <v>114.44</v>
      </c>
      <c r="M57" s="242">
        <f t="shared" si="12"/>
        <v>2383.56</v>
      </c>
      <c r="N57" s="242">
        <f t="shared" si="2"/>
        <v>0</v>
      </c>
      <c r="O57" s="242">
        <v>0</v>
      </c>
      <c r="P57" s="242">
        <f t="shared" si="25"/>
        <v>114.44</v>
      </c>
      <c r="Q57" s="242">
        <f t="shared" si="33"/>
        <v>0</v>
      </c>
      <c r="R57" s="242">
        <f t="shared" si="14"/>
        <v>0</v>
      </c>
      <c r="S57" s="242">
        <f t="shared" si="15"/>
        <v>8061.7700000000314</v>
      </c>
      <c r="T57" s="467"/>
      <c r="U57" s="198">
        <f t="shared" si="29"/>
        <v>0</v>
      </c>
      <c r="V57" s="36">
        <f t="shared" si="16"/>
        <v>0</v>
      </c>
      <c r="W57" s="2" t="e">
        <f>IF(AND(G22&gt;=$W$9,G22&lt;=$W$9+5),0,IF($C$9&gt;$AF$51,ROUND(S21*#REF!/(DATEVALUE(CONCATENATE("01/01/",YEAR(H22)+1))-DATEVALUE(CONCATENATE("01/01/",YEAR(H22))))*(H22-H21),2),0))</f>
        <v>#REF!</v>
      </c>
      <c r="X57" s="34">
        <f t="shared" si="51"/>
        <v>2498</v>
      </c>
      <c r="Y57" s="57">
        <f t="shared" si="47"/>
        <v>49395</v>
      </c>
      <c r="AA57" s="171">
        <v>200000</v>
      </c>
      <c r="AB57" s="171">
        <v>200000</v>
      </c>
      <c r="AC57" s="15">
        <f>IF(C9&gt;AH48,C11,C11+0.05)</f>
        <v>0.16900000000000001</v>
      </c>
      <c r="AD57" s="2">
        <f xml:space="preserve"> IF(C9&gt;AH48,36,24)</f>
        <v>36</v>
      </c>
      <c r="AE57" s="44">
        <f>(C23+AI51)*AG36/12*(1+AG36/12)^(C10)/((1+AG36/12)^(C10)-1)</f>
        <v>2613.9023598029453</v>
      </c>
      <c r="AF57" s="15">
        <f>IF(C9&gt;AH48,D13,D13+0.05)</f>
        <v>0.16900000000000001</v>
      </c>
      <c r="AG57" s="118">
        <f>(D23+AI51)*AE14/12*(1+AE14/12)^(C10)/((1+AE14/12)^(C10)-1)</f>
        <v>2613.9023598029453</v>
      </c>
      <c r="AH57" s="2"/>
      <c r="AI57" s="2"/>
      <c r="AJ57" s="2"/>
      <c r="AK57" s="2"/>
      <c r="AL57" s="2" t="e">
        <f>IF(AND(Y13&gt;=$W$9,Y13&lt;=$W$9+5),0,IF($C$9&gt;$AF$51,ROUND(AI17*#REF!/(DATEVALUE(CONCATENATE("01/01/",YEAR(Z13)+1))-DATEVALUE(CONCATENATE("01/01/",YEAR(Z13))))*(Z13-Z12),2),0))</f>
        <v>#REF!</v>
      </c>
      <c r="AM57" s="34">
        <f t="shared" si="53"/>
        <v>2617</v>
      </c>
      <c r="AN57" s="57">
        <f t="shared" si="52"/>
        <v>47935</v>
      </c>
      <c r="AO57" s="130">
        <f t="shared" si="17"/>
        <v>0</v>
      </c>
      <c r="AP57" s="261">
        <f t="shared" si="30"/>
        <v>49</v>
      </c>
      <c r="AQ57" s="262">
        <f t="shared" si="3"/>
        <v>45774</v>
      </c>
      <c r="AR57" s="263">
        <f t="shared" ref="AR57:AR108" si="54">IF($D$16="Да",$AM$40,$D$13)</f>
        <v>0.16900000000000001</v>
      </c>
      <c r="AS57" s="258">
        <f t="shared" si="18"/>
        <v>0</v>
      </c>
      <c r="AT57" s="258">
        <f t="shared" si="19"/>
        <v>0</v>
      </c>
      <c r="AU57" s="258">
        <f t="shared" si="20"/>
        <v>0</v>
      </c>
      <c r="AV57" s="258">
        <f t="shared" si="21"/>
        <v>0</v>
      </c>
      <c r="AW57" s="258">
        <f t="shared" si="5"/>
        <v>0</v>
      </c>
      <c r="AX57" s="258">
        <v>0</v>
      </c>
      <c r="AY57" s="258">
        <f t="shared" si="22"/>
        <v>0</v>
      </c>
      <c r="AZ57" s="258">
        <f t="shared" si="39"/>
        <v>0</v>
      </c>
      <c r="BA57" s="258">
        <f t="shared" si="37"/>
        <v>0</v>
      </c>
      <c r="BB57" s="258"/>
      <c r="BC57" s="258"/>
      <c r="BD57" s="258"/>
      <c r="BE57" s="258"/>
      <c r="BF57" s="258"/>
      <c r="BG57" s="258">
        <f t="shared" si="24"/>
        <v>0</v>
      </c>
      <c r="BH57" s="108">
        <f t="shared" si="31"/>
        <v>0</v>
      </c>
      <c r="BI57" s="108">
        <f t="shared" si="26"/>
        <v>0</v>
      </c>
      <c r="BJ57" s="22">
        <f t="shared" si="27"/>
        <v>45774</v>
      </c>
      <c r="BK57" s="108">
        <f t="shared" si="7"/>
        <v>2498</v>
      </c>
      <c r="BL57" s="2">
        <f>IF(AND(G12&gt;=$W$9,G12&lt;=$W$9+5),0,IF($C$9&gt;$AF$51,ROUND(BG11*IF(#REF!="",0,#REF!)/(DATEVALUE(CONCATENATE("01/01/",YEAR(AQ12)+1))-DATEVALUE(CONCATENATE("01/01/",YEAR(AQ12))))*(AQ12-AQ11),2),0))</f>
        <v>0</v>
      </c>
    </row>
    <row r="58" spans="1:64" s="16" customFormat="1" ht="15.75" customHeight="1" x14ac:dyDescent="0.3">
      <c r="A58" s="180"/>
      <c r="B58" s="180"/>
      <c r="C58" s="180"/>
      <c r="D58" s="254"/>
      <c r="E58" s="178"/>
      <c r="F58" s="178"/>
      <c r="G58" s="244">
        <f t="shared" si="28"/>
        <v>50</v>
      </c>
      <c r="H58" s="245">
        <f t="shared" si="1"/>
        <v>45804</v>
      </c>
      <c r="I58" s="246">
        <f t="shared" ref="I58:I74" si="55">IF(AND($C$16="Да",$C$8&lt;&gt;"Нет"),$AG$40,$C$13)</f>
        <v>0.129</v>
      </c>
      <c r="J58" s="242">
        <f t="shared" si="9"/>
        <v>2498</v>
      </c>
      <c r="K58" s="242">
        <f t="shared" ref="K58:K68" si="56">IF(AND(G58&gt;=$W$9,G58&lt;=$W$9+5),$W$10,IF(AND(S57+N58+L58&gt;K57,K57&lt;&gt;0),IF(AND($C$16="Да",$C$8&lt;&gt;"Нет"),$AF$40,$C$24),IF(S57=0,0,S57+N58+L58+L59)))</f>
        <v>2498</v>
      </c>
      <c r="L58" s="242">
        <f t="shared" si="36"/>
        <v>85.48</v>
      </c>
      <c r="M58" s="242">
        <f t="shared" si="12"/>
        <v>2412.52</v>
      </c>
      <c r="N58" s="242">
        <f t="shared" si="2"/>
        <v>0</v>
      </c>
      <c r="O58" s="242">
        <v>0</v>
      </c>
      <c r="P58" s="242">
        <f t="shared" si="25"/>
        <v>85.48</v>
      </c>
      <c r="Q58" s="242">
        <f t="shared" si="33"/>
        <v>0</v>
      </c>
      <c r="R58" s="242">
        <f t="shared" si="14"/>
        <v>0</v>
      </c>
      <c r="S58" s="242">
        <f t="shared" si="15"/>
        <v>5649.2500000000309</v>
      </c>
      <c r="T58" s="467"/>
      <c r="U58" s="198">
        <f t="shared" si="29"/>
        <v>0</v>
      </c>
      <c r="V58" s="36">
        <f t="shared" si="16"/>
        <v>0</v>
      </c>
      <c r="W58" s="2" t="e">
        <f>IF(AND(G23&gt;=$W$9,G23&lt;=$W$9+5),0,IF($C$9&gt;$AF$51,ROUND(S22*#REF!/(DATEVALUE(CONCATENATE("01/01/",YEAR(H23)+1))-DATEVALUE(CONCATENATE("01/01/",YEAR(H23))))*(H23-H22),2),0))</f>
        <v>#REF!</v>
      </c>
      <c r="X58" s="34">
        <f t="shared" si="51"/>
        <v>2498</v>
      </c>
      <c r="Y58" s="57">
        <f t="shared" si="47"/>
        <v>49760</v>
      </c>
      <c r="AA58" s="170">
        <v>600000</v>
      </c>
      <c r="AB58" s="171">
        <v>600000</v>
      </c>
      <c r="AC58" s="2"/>
      <c r="AD58" s="2"/>
      <c r="AE58" s="2"/>
      <c r="AF58" s="2"/>
      <c r="AG58" s="2"/>
      <c r="AH58" s="2"/>
      <c r="AI58" s="2"/>
      <c r="AJ58" s="2"/>
      <c r="AK58" s="2"/>
      <c r="AL58" s="2" t="e">
        <f>IF(AND(Y14&gt;=$W$9,Y14&lt;=$W$9+5),0,IF($C$9&gt;$AF$51,ROUND(AI18*#REF!/(DATEVALUE(CONCATENATE("01/01/",YEAR(Z14)+1))-DATEVALUE(CONCATENATE("01/01/",YEAR(Z14))))*(Z14-Z13),2),0))</f>
        <v>#REF!</v>
      </c>
      <c r="AM58" s="34">
        <f t="shared" si="53"/>
        <v>2617</v>
      </c>
      <c r="AN58" s="57">
        <f t="shared" si="52"/>
        <v>48300</v>
      </c>
      <c r="AO58" s="130">
        <f t="shared" si="17"/>
        <v>0</v>
      </c>
      <c r="AP58" s="261">
        <f t="shared" si="30"/>
        <v>50</v>
      </c>
      <c r="AQ58" s="262">
        <f t="shared" si="3"/>
        <v>45804</v>
      </c>
      <c r="AR58" s="263">
        <f t="shared" si="54"/>
        <v>0.16900000000000001</v>
      </c>
      <c r="AS58" s="258">
        <f t="shared" si="18"/>
        <v>0</v>
      </c>
      <c r="AT58" s="258">
        <f t="shared" si="19"/>
        <v>0</v>
      </c>
      <c r="AU58" s="258">
        <f t="shared" si="20"/>
        <v>0</v>
      </c>
      <c r="AV58" s="258">
        <f t="shared" si="21"/>
        <v>0</v>
      </c>
      <c r="AW58" s="258">
        <f t="shared" si="5"/>
        <v>0</v>
      </c>
      <c r="AX58" s="258">
        <v>0</v>
      </c>
      <c r="AY58" s="258">
        <f t="shared" si="22"/>
        <v>0</v>
      </c>
      <c r="AZ58" s="258">
        <f t="shared" si="39"/>
        <v>0</v>
      </c>
      <c r="BA58" s="258">
        <f t="shared" si="37"/>
        <v>0</v>
      </c>
      <c r="BB58" s="258"/>
      <c r="BC58" s="258"/>
      <c r="BD58" s="258"/>
      <c r="BE58" s="258"/>
      <c r="BF58" s="258"/>
      <c r="BG58" s="258">
        <f t="shared" si="24"/>
        <v>0</v>
      </c>
      <c r="BH58" s="108">
        <f t="shared" si="31"/>
        <v>0</v>
      </c>
      <c r="BI58" s="108">
        <f t="shared" si="26"/>
        <v>0</v>
      </c>
      <c r="BJ58" s="22">
        <f t="shared" si="27"/>
        <v>45804</v>
      </c>
      <c r="BK58" s="108">
        <f t="shared" si="7"/>
        <v>2498</v>
      </c>
      <c r="BL58" s="2">
        <f>IF(AND(G13&gt;=$W$9,G13&lt;=$W$9+5),0,IF($C$9&gt;$AF$51,ROUND(BG12*IF(#REF!="",0,#REF!)/(DATEVALUE(CONCATENATE("01/01/",YEAR(AQ13)+1))-DATEVALUE(CONCATENATE("01/01/",YEAR(AQ13))))*(AQ13-AQ12),2),0))</f>
        <v>0</v>
      </c>
    </row>
    <row r="59" spans="1:64" s="16" customFormat="1" ht="13.8" x14ac:dyDescent="0.3">
      <c r="A59" s="180"/>
      <c r="B59" s="180"/>
      <c r="C59" s="180"/>
      <c r="D59" s="254"/>
      <c r="E59" s="178"/>
      <c r="F59" s="178"/>
      <c r="G59" s="244">
        <f t="shared" si="28"/>
        <v>51</v>
      </c>
      <c r="H59" s="245">
        <f t="shared" si="1"/>
        <v>45835</v>
      </c>
      <c r="I59" s="246">
        <f t="shared" si="55"/>
        <v>0.129</v>
      </c>
      <c r="J59" s="242">
        <f t="shared" si="9"/>
        <v>2498</v>
      </c>
      <c r="K59" s="242">
        <f t="shared" si="56"/>
        <v>2498</v>
      </c>
      <c r="L59" s="242">
        <f t="shared" si="36"/>
        <v>61.89</v>
      </c>
      <c r="M59" s="242">
        <f t="shared" si="12"/>
        <v>2436.11</v>
      </c>
      <c r="N59" s="242">
        <f t="shared" si="2"/>
        <v>0</v>
      </c>
      <c r="O59" s="242">
        <v>0</v>
      </c>
      <c r="P59" s="242">
        <f t="shared" si="25"/>
        <v>61.89</v>
      </c>
      <c r="Q59" s="242">
        <f t="shared" si="33"/>
        <v>0</v>
      </c>
      <c r="R59" s="242">
        <f t="shared" si="14"/>
        <v>0</v>
      </c>
      <c r="S59" s="242">
        <f t="shared" si="15"/>
        <v>3213.1400000000308</v>
      </c>
      <c r="T59" s="467"/>
      <c r="U59" s="198">
        <f t="shared" si="29"/>
        <v>0</v>
      </c>
      <c r="V59" s="36">
        <f t="shared" si="16"/>
        <v>0</v>
      </c>
      <c r="W59" s="2" t="e">
        <f>IF(AND(G24&gt;=$W$9,G24&lt;=$W$9+5),0,IF($C$9&gt;$AF$51,ROUND(S23*#REF!/(DATEVALUE(CONCATENATE("01/01/",YEAR(H24)+1))-DATEVALUE(CONCATENATE("01/01/",YEAR(H24))))*(H24-H23),2),0))</f>
        <v>#REF!</v>
      </c>
      <c r="X59" s="34">
        <f t="shared" si="51"/>
        <v>2498</v>
      </c>
      <c r="Y59" s="57">
        <f t="shared" si="47"/>
        <v>50125</v>
      </c>
      <c r="AA59" s="171">
        <v>1000000</v>
      </c>
      <c r="AB59" s="171">
        <v>1000000</v>
      </c>
      <c r="AC59" s="144" t="s">
        <v>330</v>
      </c>
      <c r="AD59" s="144" t="s">
        <v>111</v>
      </c>
      <c r="AE59" s="145" t="s">
        <v>114</v>
      </c>
      <c r="AF59" s="144" t="s">
        <v>115</v>
      </c>
      <c r="AG59" s="2" t="s">
        <v>35</v>
      </c>
      <c r="AH59" s="144" t="s">
        <v>118</v>
      </c>
      <c r="AI59" s="144" t="s">
        <v>119</v>
      </c>
      <c r="AJ59" s="145" t="s">
        <v>120</v>
      </c>
      <c r="AK59" s="2" t="s">
        <v>35</v>
      </c>
      <c r="AL59" s="2" t="e">
        <f>IF(AND(Y15&gt;=$W$9,Y15&lt;=$W$9+5),0,IF($C$9&gt;$AF$51,ROUND(AI19*#REF!/(DATEVALUE(CONCATENATE("01/01/",YEAR(Z15)+1))-DATEVALUE(CONCATENATE("01/01/",YEAR(Z15))))*(Z15-Z14),2),0))</f>
        <v>#REF!</v>
      </c>
      <c r="AM59" s="34">
        <f t="shared" si="53"/>
        <v>2617</v>
      </c>
      <c r="AN59" s="57">
        <f t="shared" si="52"/>
        <v>48665</v>
      </c>
      <c r="AO59" s="130">
        <f t="shared" si="17"/>
        <v>0</v>
      </c>
      <c r="AP59" s="261">
        <f t="shared" si="30"/>
        <v>51</v>
      </c>
      <c r="AQ59" s="262">
        <f t="shared" si="3"/>
        <v>45835</v>
      </c>
      <c r="AR59" s="263">
        <f t="shared" si="54"/>
        <v>0.16900000000000001</v>
      </c>
      <c r="AS59" s="258">
        <f t="shared" si="18"/>
        <v>0</v>
      </c>
      <c r="AT59" s="258">
        <f t="shared" si="19"/>
        <v>0</v>
      </c>
      <c r="AU59" s="258">
        <f t="shared" si="20"/>
        <v>0</v>
      </c>
      <c r="AV59" s="258">
        <f t="shared" si="21"/>
        <v>0</v>
      </c>
      <c r="AW59" s="258">
        <f t="shared" si="5"/>
        <v>0</v>
      </c>
      <c r="AX59" s="258">
        <v>0</v>
      </c>
      <c r="AY59" s="258">
        <f t="shared" si="22"/>
        <v>0</v>
      </c>
      <c r="AZ59" s="258">
        <f t="shared" si="39"/>
        <v>0</v>
      </c>
      <c r="BA59" s="258">
        <f t="shared" si="37"/>
        <v>0</v>
      </c>
      <c r="BB59" s="258"/>
      <c r="BC59" s="258"/>
      <c r="BD59" s="258"/>
      <c r="BE59" s="258"/>
      <c r="BF59" s="258"/>
      <c r="BG59" s="258">
        <f t="shared" si="24"/>
        <v>0</v>
      </c>
      <c r="BH59" s="108">
        <f t="shared" si="31"/>
        <v>0</v>
      </c>
      <c r="BI59" s="108">
        <f t="shared" si="26"/>
        <v>0</v>
      </c>
      <c r="BJ59" s="22">
        <f t="shared" si="27"/>
        <v>45835</v>
      </c>
      <c r="BK59" s="108">
        <f t="shared" si="7"/>
        <v>2498</v>
      </c>
      <c r="BL59" s="2">
        <f>IF(AND(G14&gt;=$W$9,G14&lt;=$W$9+5),0,IF($C$9&gt;$AF$51,ROUND(BG13*IF(#REF!="",0,#REF!)/(DATEVALUE(CONCATENATE("01/01/",YEAR(AQ14)+1))-DATEVALUE(CONCATENATE("01/01/",YEAR(AQ14))))*(AQ14-AQ13),2),0))</f>
        <v>0</v>
      </c>
    </row>
    <row r="60" spans="1:64" s="16" customFormat="1" ht="13.8" x14ac:dyDescent="0.3">
      <c r="A60" s="180"/>
      <c r="B60" s="180"/>
      <c r="C60" s="180"/>
      <c r="D60" s="254"/>
      <c r="E60" s="178"/>
      <c r="F60" s="178"/>
      <c r="G60" s="244">
        <f t="shared" si="28"/>
        <v>52</v>
      </c>
      <c r="H60" s="245">
        <f t="shared" si="1"/>
        <v>45865</v>
      </c>
      <c r="I60" s="246">
        <f t="shared" si="55"/>
        <v>0.129</v>
      </c>
      <c r="J60" s="242">
        <f t="shared" si="9"/>
        <v>2498</v>
      </c>
      <c r="K60" s="242">
        <f t="shared" si="56"/>
        <v>2498</v>
      </c>
      <c r="L60" s="242">
        <f t="shared" si="36"/>
        <v>34.07</v>
      </c>
      <c r="M60" s="242">
        <f t="shared" si="12"/>
        <v>2463.9299999999998</v>
      </c>
      <c r="N60" s="242">
        <f t="shared" si="2"/>
        <v>0</v>
      </c>
      <c r="O60" s="242">
        <v>0</v>
      </c>
      <c r="P60" s="242">
        <f t="shared" si="25"/>
        <v>34.07</v>
      </c>
      <c r="Q60" s="242">
        <f t="shared" si="33"/>
        <v>0</v>
      </c>
      <c r="R60" s="242">
        <f t="shared" si="14"/>
        <v>0</v>
      </c>
      <c r="S60" s="242">
        <f t="shared" si="15"/>
        <v>749.21000000003096</v>
      </c>
      <c r="T60" s="467"/>
      <c r="U60" s="198">
        <f t="shared" si="29"/>
        <v>0</v>
      </c>
      <c r="V60" s="36">
        <f t="shared" si="16"/>
        <v>0</v>
      </c>
      <c r="W60" s="2" t="e">
        <f>IF(AND(G25&gt;=$W$9,G25&lt;=$W$9+5),0,IF($C$9&gt;$AF$51,ROUND(S24*#REF!/(DATEVALUE(CONCATENATE("01/01/",YEAR(H25)+1))-DATEVALUE(CONCATENATE("01/01/",YEAR(H25))))*(H25-H24),2),0))</f>
        <v>#REF!</v>
      </c>
      <c r="X60" s="34">
        <f t="shared" si="51"/>
        <v>2498</v>
      </c>
      <c r="Y60" s="57">
        <f t="shared" si="47"/>
        <v>50490</v>
      </c>
      <c r="AA60" s="171"/>
      <c r="AB60" s="171">
        <v>3000000</v>
      </c>
      <c r="AC60" s="133" t="s">
        <v>125</v>
      </c>
      <c r="AD60" s="155"/>
      <c r="AE60" s="155"/>
      <c r="AF60" s="155"/>
      <c r="AG60" s="155"/>
      <c r="AH60" s="155"/>
      <c r="AI60" s="155"/>
      <c r="AJ60" s="155"/>
      <c r="AK60" s="2"/>
      <c r="AL60" s="2" t="e">
        <f>IF(AND(Y16&gt;=$W$9,Y16&lt;=$W$9+5),0,IF($C$9&gt;$AF$51,ROUND(AI20*#REF!/(DATEVALUE(CONCATENATE("01/01/",YEAR(Z16)+1))-DATEVALUE(CONCATENATE("01/01/",YEAR(Z16))))*(Z16-Z15),2),0))</f>
        <v>#REF!</v>
      </c>
      <c r="AM60" s="34">
        <f t="shared" si="53"/>
        <v>2617</v>
      </c>
      <c r="AN60" s="57">
        <f t="shared" si="52"/>
        <v>49030</v>
      </c>
      <c r="AO60" s="130">
        <f t="shared" si="17"/>
        <v>0</v>
      </c>
      <c r="AP60" s="261">
        <f t="shared" si="30"/>
        <v>52</v>
      </c>
      <c r="AQ60" s="262">
        <f t="shared" si="3"/>
        <v>45865</v>
      </c>
      <c r="AR60" s="263">
        <f t="shared" si="54"/>
        <v>0.16900000000000001</v>
      </c>
      <c r="AS60" s="258">
        <f t="shared" si="18"/>
        <v>0</v>
      </c>
      <c r="AT60" s="258">
        <f t="shared" si="19"/>
        <v>0</v>
      </c>
      <c r="AU60" s="258">
        <f t="shared" si="20"/>
        <v>0</v>
      </c>
      <c r="AV60" s="258">
        <f t="shared" si="21"/>
        <v>0</v>
      </c>
      <c r="AW60" s="258">
        <f t="shared" si="5"/>
        <v>0</v>
      </c>
      <c r="AX60" s="258">
        <v>0</v>
      </c>
      <c r="AY60" s="258">
        <f t="shared" si="22"/>
        <v>0</v>
      </c>
      <c r="AZ60" s="258">
        <f t="shared" si="39"/>
        <v>0</v>
      </c>
      <c r="BA60" s="258">
        <f t="shared" si="37"/>
        <v>0</v>
      </c>
      <c r="BB60" s="258"/>
      <c r="BC60" s="258"/>
      <c r="BD60" s="258"/>
      <c r="BE60" s="258"/>
      <c r="BF60" s="258"/>
      <c r="BG60" s="258">
        <f t="shared" si="24"/>
        <v>0</v>
      </c>
      <c r="BH60" s="108">
        <f t="shared" si="31"/>
        <v>0</v>
      </c>
      <c r="BI60" s="108">
        <f t="shared" si="26"/>
        <v>0</v>
      </c>
      <c r="BJ60" s="22">
        <f t="shared" si="27"/>
        <v>45865</v>
      </c>
      <c r="BK60" s="108">
        <f t="shared" si="7"/>
        <v>2498</v>
      </c>
      <c r="BL60" s="2" t="e">
        <f>IF(AND(G15&gt;=$W$9,G15&lt;=$W$9+5),0,IF($C$9&gt;$AF$51,ROUND(BG14*IF(#REF!="",0,#REF!)/(DATEVALUE(CONCATENATE("01/01/",YEAR(AQ15)+1))-DATEVALUE(CONCATENATE("01/01/",YEAR(AQ15))))*(AQ15-AQ14),2),0))</f>
        <v>#REF!</v>
      </c>
    </row>
    <row r="61" spans="1:64" s="16" customFormat="1" ht="15.75" customHeight="1" x14ac:dyDescent="0.3">
      <c r="A61" s="180"/>
      <c r="B61" s="180"/>
      <c r="C61" s="180"/>
      <c r="D61" s="254"/>
      <c r="E61" s="178"/>
      <c r="F61" s="178"/>
      <c r="G61" s="244">
        <f t="shared" si="28"/>
        <v>53</v>
      </c>
      <c r="H61" s="245">
        <f t="shared" si="1"/>
        <v>45896</v>
      </c>
      <c r="I61" s="246">
        <f t="shared" si="55"/>
        <v>0.129</v>
      </c>
      <c r="J61" s="242">
        <f t="shared" si="9"/>
        <v>757.420000000031</v>
      </c>
      <c r="K61" s="242">
        <f t="shared" si="56"/>
        <v>757.420000000031</v>
      </c>
      <c r="L61" s="242">
        <f t="shared" si="36"/>
        <v>8.2100000000000009</v>
      </c>
      <c r="M61" s="242">
        <f t="shared" si="12"/>
        <v>749.21000000003096</v>
      </c>
      <c r="N61" s="242">
        <f t="shared" si="2"/>
        <v>0</v>
      </c>
      <c r="O61" s="242">
        <v>0</v>
      </c>
      <c r="P61" s="242">
        <f t="shared" si="25"/>
        <v>8.2100000000000009</v>
      </c>
      <c r="Q61" s="242">
        <f t="shared" si="33"/>
        <v>0</v>
      </c>
      <c r="R61" s="242">
        <f t="shared" si="14"/>
        <v>0</v>
      </c>
      <c r="S61" s="242">
        <f t="shared" si="15"/>
        <v>0</v>
      </c>
      <c r="T61" s="467"/>
      <c r="U61" s="198">
        <f t="shared" si="29"/>
        <v>0</v>
      </c>
      <c r="V61" s="36">
        <f t="shared" si="16"/>
        <v>0</v>
      </c>
      <c r="W61" s="2" t="e">
        <f>IF(AND(G26&gt;=$W$9,G26&lt;=$W$9+5),0,IF($C$9&gt;$AF$51,ROUND(S25*#REF!/(DATEVALUE(CONCATENATE("01/01/",YEAR(H26)+1))-DATEVALUE(CONCATENATE("01/01/",YEAR(H26))))*(H26-H25),2),0))</f>
        <v>#REF!</v>
      </c>
      <c r="X61" s="34">
        <f t="shared" si="51"/>
        <v>2498</v>
      </c>
      <c r="Y61" s="57">
        <f t="shared" si="47"/>
        <v>50855</v>
      </c>
      <c r="AB61" s="172"/>
      <c r="AC61" s="133">
        <v>3.5000000000000001E-3</v>
      </c>
      <c r="AD61" s="133">
        <v>3.5000000000000001E-3</v>
      </c>
      <c r="AE61" s="133">
        <v>2.5000000000000001E-3</v>
      </c>
      <c r="AF61" s="133">
        <v>3.0000000000000001E-3</v>
      </c>
      <c r="AG61" s="133">
        <v>0</v>
      </c>
      <c r="AH61" s="133">
        <v>1E-3</v>
      </c>
      <c r="AI61" s="133">
        <v>4.0000000000000001E-3</v>
      </c>
      <c r="AJ61" s="133">
        <v>0</v>
      </c>
      <c r="AK61" s="2"/>
      <c r="AL61" s="2" t="e">
        <f>IF(AND(Y17&gt;=$W$9,Y17&lt;=$W$9+5),0,IF($C$9&gt;$AF$51,ROUND(AI21*#REF!/(DATEVALUE(CONCATENATE("01/01/",YEAR(Z17)+1))-DATEVALUE(CONCATENATE("01/01/",YEAR(Z17))))*(Z17-Z16),2),0))</f>
        <v>#REF!</v>
      </c>
      <c r="AM61" s="34">
        <f t="shared" si="53"/>
        <v>2617</v>
      </c>
      <c r="AN61" s="57">
        <f t="shared" si="52"/>
        <v>49395</v>
      </c>
      <c r="AO61" s="130">
        <f t="shared" si="17"/>
        <v>0</v>
      </c>
      <c r="AP61" s="261">
        <f t="shared" si="30"/>
        <v>53</v>
      </c>
      <c r="AQ61" s="262">
        <f t="shared" si="3"/>
        <v>45896</v>
      </c>
      <c r="AR61" s="263">
        <f t="shared" si="54"/>
        <v>0.16900000000000001</v>
      </c>
      <c r="AS61" s="258">
        <f t="shared" si="18"/>
        <v>0</v>
      </c>
      <c r="AT61" s="258">
        <f t="shared" si="19"/>
        <v>0</v>
      </c>
      <c r="AU61" s="258">
        <f t="shared" si="20"/>
        <v>0</v>
      </c>
      <c r="AV61" s="258">
        <f t="shared" si="21"/>
        <v>0</v>
      </c>
      <c r="AW61" s="258">
        <f t="shared" si="5"/>
        <v>0</v>
      </c>
      <c r="AX61" s="258">
        <v>0</v>
      </c>
      <c r="AY61" s="258">
        <f t="shared" si="22"/>
        <v>0</v>
      </c>
      <c r="AZ61" s="258">
        <f t="shared" si="39"/>
        <v>0</v>
      </c>
      <c r="BA61" s="258">
        <f t="shared" si="37"/>
        <v>0</v>
      </c>
      <c r="BB61" s="258"/>
      <c r="BC61" s="258"/>
      <c r="BD61" s="258"/>
      <c r="BE61" s="258"/>
      <c r="BF61" s="258"/>
      <c r="BG61" s="258">
        <f t="shared" si="24"/>
        <v>0</v>
      </c>
      <c r="BH61" s="108">
        <f t="shared" si="31"/>
        <v>0</v>
      </c>
      <c r="BI61" s="108">
        <f t="shared" si="26"/>
        <v>0</v>
      </c>
      <c r="BJ61" s="22">
        <f t="shared" si="27"/>
        <v>45896</v>
      </c>
      <c r="BK61" s="108">
        <f t="shared" si="7"/>
        <v>757.420000000031</v>
      </c>
      <c r="BL61" s="2" t="e">
        <f>IF(AND(G16&gt;=$W$9,G16&lt;=$W$9+5),0,IF($C$9&gt;$AF$51,ROUND(BG15*IF(#REF!="",0,#REF!)/(DATEVALUE(CONCATENATE("01/01/",YEAR(AQ16)+1))-DATEVALUE(CONCATENATE("01/01/",YEAR(AQ16))))*(AQ16-AQ15),2),0))</f>
        <v>#REF!</v>
      </c>
    </row>
    <row r="62" spans="1:64" s="16" customFormat="1" ht="13.8" x14ac:dyDescent="0.3">
      <c r="A62" s="180"/>
      <c r="B62" s="180"/>
      <c r="C62" s="180"/>
      <c r="D62" s="254"/>
      <c r="E62" s="178"/>
      <c r="F62" s="178"/>
      <c r="G62" s="244">
        <f t="shared" si="28"/>
        <v>54</v>
      </c>
      <c r="H62" s="245">
        <f t="shared" si="1"/>
        <v>45927</v>
      </c>
      <c r="I62" s="246">
        <f t="shared" si="55"/>
        <v>0.129</v>
      </c>
      <c r="J62" s="242">
        <f t="shared" si="9"/>
        <v>0</v>
      </c>
      <c r="K62" s="242">
        <f t="shared" si="56"/>
        <v>0</v>
      </c>
      <c r="L62" s="242">
        <f t="shared" si="36"/>
        <v>0</v>
      </c>
      <c r="M62" s="242">
        <f t="shared" si="12"/>
        <v>0</v>
      </c>
      <c r="N62" s="242">
        <f t="shared" si="2"/>
        <v>0</v>
      </c>
      <c r="O62" s="242">
        <v>0</v>
      </c>
      <c r="P62" s="242">
        <f t="shared" si="25"/>
        <v>0</v>
      </c>
      <c r="Q62" s="242">
        <f t="shared" si="33"/>
        <v>0</v>
      </c>
      <c r="R62" s="242">
        <f t="shared" si="14"/>
        <v>0</v>
      </c>
      <c r="S62" s="242">
        <f t="shared" si="15"/>
        <v>0</v>
      </c>
      <c r="T62" s="467"/>
      <c r="U62" s="198">
        <f t="shared" si="29"/>
        <v>0</v>
      </c>
      <c r="V62" s="36">
        <f t="shared" si="16"/>
        <v>0</v>
      </c>
      <c r="W62" s="2" t="e">
        <f>IF(AND(G27&gt;=$W$9,G27&lt;=$W$9+5),0,IF($C$9&gt;$AF$51,ROUND(S26*#REF!/(DATEVALUE(CONCATENATE("01/01/",YEAR(H27)+1))-DATEVALUE(CONCATENATE("01/01/",YEAR(H27))))*(H27-H26),2),0))</f>
        <v>#REF!</v>
      </c>
      <c r="X62" s="34">
        <f t="shared" si="51"/>
        <v>2498</v>
      </c>
      <c r="Y62" s="57">
        <f t="shared" si="47"/>
        <v>51220</v>
      </c>
      <c r="AC62" s="133">
        <v>3.0000000000000001E-3</v>
      </c>
      <c r="AD62" s="133">
        <v>3.0000000000000001E-3</v>
      </c>
      <c r="AE62" s="133">
        <v>2.5000000000000001E-3</v>
      </c>
      <c r="AF62" s="133">
        <v>3.0000000000000001E-3</v>
      </c>
      <c r="AG62" s="133">
        <v>0</v>
      </c>
      <c r="AH62" s="133">
        <v>1E-3</v>
      </c>
      <c r="AI62" s="133">
        <v>4.0000000000000001E-3</v>
      </c>
      <c r="AJ62" s="133">
        <v>0</v>
      </c>
      <c r="AK62" s="2"/>
      <c r="AL62" s="2" t="e">
        <f>IF(AND(Y18&gt;=$W$9,Y18&lt;=$W$9+5),0,IF($C$9&gt;$AF$51,ROUND(AI22*#REF!/(DATEVALUE(CONCATENATE("01/01/",YEAR(Z18)+1))-DATEVALUE(CONCATENATE("01/01/",YEAR(Z18))))*(Z18-Z17),2),0))</f>
        <v>#REF!</v>
      </c>
      <c r="AM62" s="34">
        <f t="shared" si="53"/>
        <v>2617</v>
      </c>
      <c r="AN62" s="57">
        <f t="shared" si="52"/>
        <v>49760</v>
      </c>
      <c r="AO62" s="130">
        <f t="shared" si="17"/>
        <v>0</v>
      </c>
      <c r="AP62" s="261">
        <f t="shared" si="30"/>
        <v>54</v>
      </c>
      <c r="AQ62" s="262">
        <f t="shared" si="3"/>
        <v>45927</v>
      </c>
      <c r="AR62" s="263">
        <f t="shared" si="54"/>
        <v>0.16900000000000001</v>
      </c>
      <c r="AS62" s="258">
        <f t="shared" si="18"/>
        <v>0</v>
      </c>
      <c r="AT62" s="258">
        <f t="shared" si="19"/>
        <v>0</v>
      </c>
      <c r="AU62" s="258">
        <f t="shared" si="20"/>
        <v>0</v>
      </c>
      <c r="AV62" s="258">
        <f t="shared" si="21"/>
        <v>0</v>
      </c>
      <c r="AW62" s="258">
        <f t="shared" si="5"/>
        <v>0</v>
      </c>
      <c r="AX62" s="258">
        <v>0</v>
      </c>
      <c r="AY62" s="258">
        <f t="shared" si="22"/>
        <v>0</v>
      </c>
      <c r="AZ62" s="258">
        <f t="shared" si="39"/>
        <v>0</v>
      </c>
      <c r="BA62" s="258">
        <f t="shared" si="37"/>
        <v>0</v>
      </c>
      <c r="BB62" s="258"/>
      <c r="BC62" s="258"/>
      <c r="BD62" s="258"/>
      <c r="BE62" s="258"/>
      <c r="BF62" s="258"/>
      <c r="BG62" s="258">
        <f t="shared" si="24"/>
        <v>0</v>
      </c>
      <c r="BH62" s="108">
        <f t="shared" si="31"/>
        <v>0</v>
      </c>
      <c r="BI62" s="108">
        <f t="shared" si="26"/>
        <v>0</v>
      </c>
      <c r="BJ62" s="22">
        <f t="shared" si="27"/>
        <v>45927</v>
      </c>
      <c r="BK62" s="108">
        <f t="shared" si="7"/>
        <v>0</v>
      </c>
      <c r="BL62" s="2" t="e">
        <f>IF(AND(G17&gt;=$W$9,G17&lt;=$W$9+5),0,IF($C$9&gt;$AF$51,ROUND(BG16*IF(#REF!="",0,#REF!)/(DATEVALUE(CONCATENATE("01/01/",YEAR(AQ17)+1))-DATEVALUE(CONCATENATE("01/01/",YEAR(AQ17))))*(AQ17-AQ16),2),0))</f>
        <v>#REF!</v>
      </c>
    </row>
    <row r="63" spans="1:64" s="16" customFormat="1" x14ac:dyDescent="0.3">
      <c r="A63" s="180"/>
      <c r="B63" s="180"/>
      <c r="C63" s="180"/>
      <c r="D63" s="178"/>
      <c r="E63" s="178"/>
      <c r="F63" s="178"/>
      <c r="G63" s="244">
        <f t="shared" si="28"/>
        <v>55</v>
      </c>
      <c r="H63" s="245">
        <f t="shared" si="1"/>
        <v>45957</v>
      </c>
      <c r="I63" s="246">
        <f t="shared" si="55"/>
        <v>0.129</v>
      </c>
      <c r="J63" s="242">
        <f t="shared" si="9"/>
        <v>0</v>
      </c>
      <c r="K63" s="242">
        <f t="shared" si="56"/>
        <v>0</v>
      </c>
      <c r="L63" s="242">
        <f t="shared" si="36"/>
        <v>0</v>
      </c>
      <c r="M63" s="242">
        <f t="shared" si="12"/>
        <v>0</v>
      </c>
      <c r="N63" s="242">
        <f t="shared" si="2"/>
        <v>0</v>
      </c>
      <c r="O63" s="242">
        <v>0</v>
      </c>
      <c r="P63" s="242">
        <f t="shared" si="25"/>
        <v>0</v>
      </c>
      <c r="Q63" s="242">
        <f t="shared" si="33"/>
        <v>0</v>
      </c>
      <c r="R63" s="242">
        <f t="shared" si="14"/>
        <v>0</v>
      </c>
      <c r="S63" s="242">
        <f t="shared" si="15"/>
        <v>0</v>
      </c>
      <c r="T63" s="467"/>
      <c r="U63" s="198">
        <f t="shared" si="29"/>
        <v>0</v>
      </c>
      <c r="V63" s="36">
        <f t="shared" si="16"/>
        <v>0</v>
      </c>
      <c r="W63" s="2" t="e">
        <f>IF(AND(G28&gt;=$W$9,G28&lt;=$W$9+5),0,IF($C$9&gt;$AF$51,ROUND(S27*#REF!/(DATEVALUE(CONCATENATE("01/01/",YEAR(H28)+1))-DATEVALUE(CONCATENATE("01/01/",YEAR(H28))))*(H28-H27),2),0))</f>
        <v>#REF!</v>
      </c>
      <c r="X63" s="34">
        <f t="shared" si="51"/>
        <v>2498</v>
      </c>
      <c r="Y63" s="57">
        <f t="shared" si="47"/>
        <v>51585</v>
      </c>
      <c r="AC63" s="133">
        <v>2.5000000000000001E-3</v>
      </c>
      <c r="AD63" s="133">
        <v>2.5000000000000001E-3</v>
      </c>
      <c r="AE63" s="133">
        <v>2.5000000000000001E-3</v>
      </c>
      <c r="AF63" s="133">
        <v>3.0000000000000001E-3</v>
      </c>
      <c r="AG63" s="133">
        <v>0</v>
      </c>
      <c r="AH63" s="133">
        <v>1E-3</v>
      </c>
      <c r="AI63" s="133">
        <v>3.2000000000000002E-3</v>
      </c>
      <c r="AJ63" s="133">
        <v>0</v>
      </c>
      <c r="AL63" s="2" t="e">
        <f>IF(AND(Y19&gt;=$W$9,Y19&lt;=$W$9+5),0,IF($C$9&gt;$AF$51,ROUND(AI23*#REF!/(DATEVALUE(CONCATENATE("01/01/",YEAR(Z19)+1))-DATEVALUE(CONCATENATE("01/01/",YEAR(Z19))))*(Z19-Z18),2),0))</f>
        <v>#REF!</v>
      </c>
      <c r="AM63" s="34">
        <f t="shared" si="53"/>
        <v>2617</v>
      </c>
      <c r="AN63" s="57">
        <f t="shared" si="52"/>
        <v>50125</v>
      </c>
      <c r="AO63" s="130">
        <f t="shared" si="17"/>
        <v>0</v>
      </c>
      <c r="AP63" s="261">
        <f t="shared" si="30"/>
        <v>55</v>
      </c>
      <c r="AQ63" s="262">
        <f t="shared" si="3"/>
        <v>45957</v>
      </c>
      <c r="AR63" s="263">
        <f>IF($D$16="Да",$AM$40,$D$13)</f>
        <v>0.16900000000000001</v>
      </c>
      <c r="AS63" s="258">
        <f t="shared" si="18"/>
        <v>0</v>
      </c>
      <c r="AT63" s="258">
        <f t="shared" si="19"/>
        <v>0</v>
      </c>
      <c r="AU63" s="258">
        <f t="shared" si="20"/>
        <v>0</v>
      </c>
      <c r="AV63" s="258">
        <f t="shared" si="21"/>
        <v>0</v>
      </c>
      <c r="AW63" s="258">
        <f t="shared" si="5"/>
        <v>0</v>
      </c>
      <c r="AX63" s="258">
        <v>0</v>
      </c>
      <c r="AY63" s="258">
        <f t="shared" si="22"/>
        <v>0</v>
      </c>
      <c r="AZ63" s="258">
        <f t="shared" si="39"/>
        <v>0</v>
      </c>
      <c r="BA63" s="258">
        <f t="shared" si="37"/>
        <v>0</v>
      </c>
      <c r="BB63" s="258"/>
      <c r="BC63" s="258"/>
      <c r="BD63" s="258"/>
      <c r="BE63" s="258"/>
      <c r="BF63" s="258"/>
      <c r="BG63" s="258">
        <f t="shared" si="24"/>
        <v>0</v>
      </c>
      <c r="BH63" s="108">
        <f t="shared" si="31"/>
        <v>0</v>
      </c>
      <c r="BI63" s="108">
        <f t="shared" si="26"/>
        <v>0</v>
      </c>
      <c r="BJ63" s="22">
        <f t="shared" si="27"/>
        <v>45957</v>
      </c>
      <c r="BK63" s="108">
        <f t="shared" si="7"/>
        <v>0</v>
      </c>
      <c r="BL63" s="2" t="e">
        <f>IF(AND(G18&gt;=$W$9,G18&lt;=$W$9+5),0,IF($C$9&gt;$AF$51,ROUND(BG17*IF(#REF!="",0,#REF!)/(DATEVALUE(CONCATENATE("01/01/",YEAR(AQ18)+1))-DATEVALUE(CONCATENATE("01/01/",YEAR(AQ18))))*(AQ18-AQ17),2),0))</f>
        <v>#REF!</v>
      </c>
    </row>
    <row r="64" spans="1:64" s="16" customFormat="1" x14ac:dyDescent="0.3">
      <c r="A64" s="180"/>
      <c r="B64" s="180"/>
      <c r="C64" s="180"/>
      <c r="D64" s="178"/>
      <c r="E64" s="178"/>
      <c r="F64" s="178"/>
      <c r="G64" s="244">
        <f t="shared" si="28"/>
        <v>56</v>
      </c>
      <c r="H64" s="245">
        <f t="shared" si="1"/>
        <v>45988</v>
      </c>
      <c r="I64" s="246">
        <f t="shared" si="55"/>
        <v>0.129</v>
      </c>
      <c r="J64" s="242">
        <f t="shared" si="9"/>
        <v>0</v>
      </c>
      <c r="K64" s="242">
        <f t="shared" si="56"/>
        <v>0</v>
      </c>
      <c r="L64" s="242">
        <f t="shared" si="36"/>
        <v>0</v>
      </c>
      <c r="M64" s="242">
        <f t="shared" si="12"/>
        <v>0</v>
      </c>
      <c r="N64" s="242">
        <f t="shared" si="2"/>
        <v>0</v>
      </c>
      <c r="O64" s="242">
        <v>0</v>
      </c>
      <c r="P64" s="242">
        <f t="shared" si="25"/>
        <v>0</v>
      </c>
      <c r="Q64" s="242">
        <f t="shared" si="33"/>
        <v>0</v>
      </c>
      <c r="R64" s="242">
        <f t="shared" si="14"/>
        <v>0</v>
      </c>
      <c r="S64" s="242">
        <f t="shared" si="15"/>
        <v>0</v>
      </c>
      <c r="T64" s="467"/>
      <c r="U64" s="198">
        <f t="shared" si="29"/>
        <v>0</v>
      </c>
      <c r="V64" s="36">
        <f t="shared" si="16"/>
        <v>0</v>
      </c>
      <c r="W64" s="2" t="e">
        <f>IF(AND(G29&gt;=$W$9,G29&lt;=$W$9+5),0,IF($C$9&gt;$AF$51,ROUND(S28*#REF!/(DATEVALUE(CONCATENATE("01/01/",YEAR(H29)+1))-DATEVALUE(CONCATENATE("01/01/",YEAR(H29))))*(H29-H28),2),0))</f>
        <v>#REF!</v>
      </c>
      <c r="X64" s="34">
        <f t="shared" si="51"/>
        <v>2498</v>
      </c>
      <c r="Y64" s="57">
        <f t="shared" si="47"/>
        <v>51950</v>
      </c>
      <c r="AC64" s="133">
        <v>2E-3</v>
      </c>
      <c r="AD64" s="133">
        <v>2E-3</v>
      </c>
      <c r="AE64" s="155"/>
      <c r="AF64" s="155"/>
      <c r="AG64" s="133">
        <v>0</v>
      </c>
      <c r="AH64" s="133">
        <v>1E-3</v>
      </c>
      <c r="AI64" s="133">
        <v>2E-3</v>
      </c>
      <c r="AJ64" s="133">
        <v>0</v>
      </c>
      <c r="AL64" s="2" t="e">
        <f>IF(AND(Y20&gt;=$W$9,Y20&lt;=$W$9+5),0,IF($C$9&gt;$AF$51,ROUND(AI24*#REF!/(DATEVALUE(CONCATENATE("01/01/",YEAR(Z20)+1))-DATEVALUE(CONCATENATE("01/01/",YEAR(Z20))))*(Z20-Z19),2),0))</f>
        <v>#REF!</v>
      </c>
      <c r="AM64" s="34">
        <f t="shared" si="53"/>
        <v>2617</v>
      </c>
      <c r="AN64" s="57">
        <f t="shared" si="52"/>
        <v>50490</v>
      </c>
      <c r="AO64" s="130">
        <f t="shared" si="17"/>
        <v>0</v>
      </c>
      <c r="AP64" s="261">
        <f t="shared" si="30"/>
        <v>56</v>
      </c>
      <c r="AQ64" s="262">
        <f t="shared" si="3"/>
        <v>45988</v>
      </c>
      <c r="AR64" s="263">
        <f t="shared" si="54"/>
        <v>0.16900000000000001</v>
      </c>
      <c r="AS64" s="258">
        <f t="shared" si="18"/>
        <v>0</v>
      </c>
      <c r="AT64" s="258">
        <f t="shared" si="19"/>
        <v>0</v>
      </c>
      <c r="AU64" s="258">
        <f t="shared" si="20"/>
        <v>0</v>
      </c>
      <c r="AV64" s="258">
        <f t="shared" si="21"/>
        <v>0</v>
      </c>
      <c r="AW64" s="258">
        <f t="shared" si="5"/>
        <v>0</v>
      </c>
      <c r="AX64" s="258">
        <v>0</v>
      </c>
      <c r="AY64" s="258">
        <f t="shared" si="22"/>
        <v>0</v>
      </c>
      <c r="AZ64" s="258">
        <f t="shared" si="39"/>
        <v>0</v>
      </c>
      <c r="BA64" s="258">
        <f t="shared" si="37"/>
        <v>0</v>
      </c>
      <c r="BB64" s="258"/>
      <c r="BC64" s="258"/>
      <c r="BD64" s="258"/>
      <c r="BE64" s="258"/>
      <c r="BF64" s="258"/>
      <c r="BG64" s="258">
        <f t="shared" si="24"/>
        <v>0</v>
      </c>
      <c r="BH64" s="108">
        <f t="shared" si="31"/>
        <v>0</v>
      </c>
      <c r="BI64" s="108">
        <f t="shared" si="26"/>
        <v>0</v>
      </c>
      <c r="BJ64" s="22">
        <f t="shared" si="27"/>
        <v>45988</v>
      </c>
      <c r="BK64" s="108">
        <f t="shared" si="7"/>
        <v>0</v>
      </c>
      <c r="BL64" s="2" t="e">
        <f>IF(AND(G19&gt;=$W$9,G19&lt;=$W$9+5),0,IF($C$9&gt;$AF$51,ROUND(BG18*IF(#REF!="",0,#REF!)/(DATEVALUE(CONCATENATE("01/01/",YEAR(AQ19)+1))-DATEVALUE(CONCATENATE("01/01/",YEAR(AQ19))))*(AQ19-AQ18),2),0))</f>
        <v>#REF!</v>
      </c>
    </row>
    <row r="65" spans="1:64" s="16" customFormat="1" x14ac:dyDescent="0.3">
      <c r="A65" s="178"/>
      <c r="B65" s="178"/>
      <c r="C65" s="178"/>
      <c r="D65" s="181"/>
      <c r="E65" s="178"/>
      <c r="F65" s="178"/>
      <c r="G65" s="244">
        <f t="shared" si="28"/>
        <v>57</v>
      </c>
      <c r="H65" s="245">
        <f t="shared" si="1"/>
        <v>46018</v>
      </c>
      <c r="I65" s="246">
        <f t="shared" si="55"/>
        <v>0.129</v>
      </c>
      <c r="J65" s="242">
        <f t="shared" si="9"/>
        <v>0</v>
      </c>
      <c r="K65" s="242">
        <f t="shared" si="56"/>
        <v>0</v>
      </c>
      <c r="L65" s="242">
        <f t="shared" si="36"/>
        <v>0</v>
      </c>
      <c r="M65" s="242">
        <f t="shared" si="12"/>
        <v>0</v>
      </c>
      <c r="N65" s="242">
        <f t="shared" si="2"/>
        <v>0</v>
      </c>
      <c r="O65" s="242">
        <v>0</v>
      </c>
      <c r="P65" s="242">
        <f t="shared" si="25"/>
        <v>0</v>
      </c>
      <c r="Q65" s="242">
        <f t="shared" si="33"/>
        <v>0</v>
      </c>
      <c r="R65" s="242">
        <f t="shared" si="14"/>
        <v>0</v>
      </c>
      <c r="S65" s="242">
        <f t="shared" si="15"/>
        <v>0</v>
      </c>
      <c r="T65" s="467"/>
      <c r="U65" s="198">
        <f t="shared" si="29"/>
        <v>0</v>
      </c>
      <c r="V65" s="36">
        <f t="shared" si="16"/>
        <v>0</v>
      </c>
      <c r="W65" s="2" t="e">
        <f>IF(AND(G30&gt;=$W$9,G30&lt;=$W$9+5),0,IF($C$9&gt;$AF$51,ROUND(S29*#REF!/(DATEVALUE(CONCATENATE("01/01/",YEAR(H30)+1))-DATEVALUE(CONCATENATE("01/01/",YEAR(H30))))*(H30-H29),2),0))</f>
        <v>#REF!</v>
      </c>
      <c r="X65" s="34">
        <f t="shared" si="51"/>
        <v>2498</v>
      </c>
      <c r="Y65" s="57">
        <f t="shared" si="47"/>
        <v>52315</v>
      </c>
      <c r="AB65" s="2"/>
      <c r="AC65" s="66">
        <f t="shared" ref="AC65:AI65" si="57">IF(AC79&gt;$AA$59,AC64,IF(AC79&gt;$AA$58,AC63,IF(AC79&gt;$AA$57,AC62,AC61)))</f>
        <v>3.5000000000000001E-3</v>
      </c>
      <c r="AD65" s="66">
        <f t="shared" si="57"/>
        <v>3.5000000000000001E-3</v>
      </c>
      <c r="AE65" s="66">
        <f t="shared" si="57"/>
        <v>2.5000000000000001E-3</v>
      </c>
      <c r="AF65" s="66">
        <f t="shared" si="57"/>
        <v>3.0000000000000001E-3</v>
      </c>
      <c r="AG65" s="66">
        <f t="shared" si="57"/>
        <v>0</v>
      </c>
      <c r="AH65" s="66">
        <f t="shared" si="57"/>
        <v>1E-3</v>
      </c>
      <c r="AI65" s="66">
        <f t="shared" si="57"/>
        <v>4.0000000000000001E-3</v>
      </c>
      <c r="AJ65" s="15" t="s">
        <v>126</v>
      </c>
      <c r="AL65" s="2" t="e">
        <f>IF(AND(Y21&gt;=$W$9,Y21&lt;=$W$9+5),0,IF($C$9&gt;$AF$51,ROUND(AI25*#REF!/(DATEVALUE(CONCATENATE("01/01/",YEAR(Z21)+1))-DATEVALUE(CONCATENATE("01/01/",YEAR(Z21))))*(Z21-Z20),2),0))</f>
        <v>#REF!</v>
      </c>
      <c r="AM65" s="34">
        <f t="shared" si="53"/>
        <v>2617</v>
      </c>
      <c r="AN65" s="57">
        <f t="shared" si="52"/>
        <v>50855</v>
      </c>
      <c r="AO65" s="130">
        <f t="shared" si="17"/>
        <v>0</v>
      </c>
      <c r="AP65" s="261">
        <f t="shared" si="30"/>
        <v>57</v>
      </c>
      <c r="AQ65" s="262">
        <f t="shared" si="3"/>
        <v>46018</v>
      </c>
      <c r="AR65" s="263">
        <f t="shared" si="54"/>
        <v>0.16900000000000001</v>
      </c>
      <c r="AS65" s="258">
        <f t="shared" si="18"/>
        <v>0</v>
      </c>
      <c r="AT65" s="258">
        <f t="shared" si="19"/>
        <v>0</v>
      </c>
      <c r="AU65" s="258">
        <f t="shared" si="20"/>
        <v>0</v>
      </c>
      <c r="AV65" s="258">
        <f t="shared" si="21"/>
        <v>0</v>
      </c>
      <c r="AW65" s="258">
        <f t="shared" si="5"/>
        <v>0</v>
      </c>
      <c r="AX65" s="258">
        <v>0</v>
      </c>
      <c r="AY65" s="258">
        <f t="shared" si="22"/>
        <v>0</v>
      </c>
      <c r="AZ65" s="258">
        <f t="shared" si="39"/>
        <v>0</v>
      </c>
      <c r="BA65" s="258">
        <f t="shared" si="37"/>
        <v>0</v>
      </c>
      <c r="BB65" s="258"/>
      <c r="BC65" s="258"/>
      <c r="BD65" s="258"/>
      <c r="BE65" s="258"/>
      <c r="BF65" s="258"/>
      <c r="BG65" s="258">
        <f t="shared" si="24"/>
        <v>0</v>
      </c>
      <c r="BH65" s="108">
        <f t="shared" si="31"/>
        <v>0</v>
      </c>
      <c r="BI65" s="108">
        <f t="shared" si="26"/>
        <v>0</v>
      </c>
      <c r="BJ65" s="22">
        <f t="shared" si="27"/>
        <v>46018</v>
      </c>
      <c r="BK65" s="108">
        <f t="shared" si="7"/>
        <v>0</v>
      </c>
      <c r="BL65" s="2" t="e">
        <f>IF(AND(G20&gt;=$W$9,G20&lt;=$W$9+5),0,IF($C$9&gt;$AF$51,ROUND(BG19*IF(#REF!="",0,#REF!)/(DATEVALUE(CONCATENATE("01/01/",YEAR(AQ20)+1))-DATEVALUE(CONCATENATE("01/01/",YEAR(AQ20))))*(AQ20-AQ19),2),0))</f>
        <v>#REF!</v>
      </c>
    </row>
    <row r="66" spans="1:64" s="16" customFormat="1" x14ac:dyDescent="0.3">
      <c r="A66" s="178"/>
      <c r="B66" s="178"/>
      <c r="C66" s="180"/>
      <c r="D66" s="182"/>
      <c r="E66" s="178"/>
      <c r="F66" s="178"/>
      <c r="G66" s="244">
        <f t="shared" si="28"/>
        <v>58</v>
      </c>
      <c r="H66" s="245">
        <f t="shared" si="1"/>
        <v>46049</v>
      </c>
      <c r="I66" s="246">
        <f t="shared" si="55"/>
        <v>0.129</v>
      </c>
      <c r="J66" s="242">
        <f t="shared" si="9"/>
        <v>0</v>
      </c>
      <c r="K66" s="242">
        <f t="shared" si="56"/>
        <v>0</v>
      </c>
      <c r="L66" s="242">
        <f t="shared" si="36"/>
        <v>0</v>
      </c>
      <c r="M66" s="242">
        <f t="shared" si="12"/>
        <v>0</v>
      </c>
      <c r="N66" s="242">
        <f t="shared" si="2"/>
        <v>0</v>
      </c>
      <c r="O66" s="242">
        <v>0</v>
      </c>
      <c r="P66" s="242">
        <f t="shared" si="25"/>
        <v>0</v>
      </c>
      <c r="Q66" s="242">
        <f t="shared" si="33"/>
        <v>0</v>
      </c>
      <c r="R66" s="242">
        <f t="shared" si="14"/>
        <v>0</v>
      </c>
      <c r="S66" s="242">
        <f t="shared" si="15"/>
        <v>0</v>
      </c>
      <c r="T66" s="467"/>
      <c r="U66" s="198">
        <f t="shared" si="29"/>
        <v>0</v>
      </c>
      <c r="V66" s="36">
        <f t="shared" si="16"/>
        <v>0</v>
      </c>
      <c r="W66" s="2" t="e">
        <f>IF(AND(G31&gt;=$W$9,G31&lt;=$W$9+5),0,IF($C$9&gt;$AF$51,ROUND(S30*#REF!/(DATEVALUE(CONCATENATE("01/01/",YEAR(H31)+1))-DATEVALUE(CONCATENATE("01/01/",YEAR(H31))))*(H31-H30),2),0))</f>
        <v>#REF!</v>
      </c>
      <c r="X66" s="34">
        <f t="shared" si="51"/>
        <v>2498</v>
      </c>
      <c r="Y66" s="57">
        <f t="shared" si="47"/>
        <v>52680</v>
      </c>
      <c r="AA66" s="133" t="s">
        <v>96</v>
      </c>
      <c r="AB66" s="15"/>
      <c r="AC66" s="143">
        <f>AC65*AC79*IF($C$10&gt;60,60,$C$10)</f>
        <v>12600</v>
      </c>
      <c r="AD66" s="143">
        <f>AD65*AD79*IF($C$10&gt;60,60,$C$10)</f>
        <v>15750</v>
      </c>
      <c r="AE66" s="143">
        <f>AE65*AE79*IF($C$10&gt;60,60,$C$10)</f>
        <v>13500</v>
      </c>
      <c r="AF66" s="143">
        <f>AF65*AF79*IF($C$10&gt;60,60,$C$10)</f>
        <v>14040</v>
      </c>
      <c r="AG66" s="143">
        <f t="shared" ref="AG66:AH66" si="58">AG65*AG79*$C$10</f>
        <v>0</v>
      </c>
      <c r="AH66" s="143">
        <f t="shared" si="58"/>
        <v>3600</v>
      </c>
      <c r="AI66" s="143">
        <f>AI65*AI79*$C$10</f>
        <v>28800</v>
      </c>
      <c r="AJ66" s="143">
        <f>AI66+AH66</f>
        <v>32400</v>
      </c>
      <c r="AL66" s="2" t="e">
        <f>IF(AND(Y22&gt;=$W$9,Y22&lt;=$W$9+5),0,IF($C$9&gt;$AF$51,ROUND(AI26*#REF!/(DATEVALUE(CONCATENATE("01/01/",YEAR(Z22)+1))-DATEVALUE(CONCATENATE("01/01/",YEAR(Z22))))*(Z22-Z21),2),0))</f>
        <v>#REF!</v>
      </c>
      <c r="AM66" s="34">
        <f t="shared" si="53"/>
        <v>2617</v>
      </c>
      <c r="AN66" s="57">
        <f t="shared" si="52"/>
        <v>51220</v>
      </c>
      <c r="AO66" s="130">
        <f t="shared" si="17"/>
        <v>0</v>
      </c>
      <c r="AP66" s="261">
        <f t="shared" si="30"/>
        <v>58</v>
      </c>
      <c r="AQ66" s="262">
        <f t="shared" si="3"/>
        <v>46049</v>
      </c>
      <c r="AR66" s="263">
        <f t="shared" si="54"/>
        <v>0.16900000000000001</v>
      </c>
      <c r="AS66" s="258">
        <f t="shared" si="18"/>
        <v>0</v>
      </c>
      <c r="AT66" s="258">
        <f t="shared" si="19"/>
        <v>0</v>
      </c>
      <c r="AU66" s="258">
        <f t="shared" si="20"/>
        <v>0</v>
      </c>
      <c r="AV66" s="258">
        <f t="shared" si="21"/>
        <v>0</v>
      </c>
      <c r="AW66" s="258">
        <f t="shared" si="5"/>
        <v>0</v>
      </c>
      <c r="AX66" s="258">
        <v>0</v>
      </c>
      <c r="AY66" s="258">
        <f t="shared" si="22"/>
        <v>0</v>
      </c>
      <c r="AZ66" s="258">
        <f t="shared" si="39"/>
        <v>0</v>
      </c>
      <c r="BA66" s="258">
        <f t="shared" si="37"/>
        <v>0</v>
      </c>
      <c r="BB66" s="258"/>
      <c r="BC66" s="258"/>
      <c r="BD66" s="258"/>
      <c r="BE66" s="258"/>
      <c r="BF66" s="258"/>
      <c r="BG66" s="258">
        <f t="shared" si="24"/>
        <v>0</v>
      </c>
      <c r="BH66" s="108">
        <f t="shared" si="31"/>
        <v>0</v>
      </c>
      <c r="BI66" s="108">
        <f t="shared" si="26"/>
        <v>0</v>
      </c>
      <c r="BJ66" s="22">
        <f t="shared" si="27"/>
        <v>46049</v>
      </c>
      <c r="BK66" s="108">
        <f t="shared" si="7"/>
        <v>0</v>
      </c>
      <c r="BL66" s="2" t="e">
        <f>IF(AND(G21&gt;=$W$9,G21&lt;=$W$9+5),0,IF($C$9&gt;$AF$51,ROUND(BG20*IF(#REF!="",0,#REF!)/(DATEVALUE(CONCATENATE("01/01/",YEAR(AQ21)+1))-DATEVALUE(CONCATENATE("01/01/",YEAR(AQ21))))*(AQ21-AQ20),2),0))</f>
        <v>#REF!</v>
      </c>
    </row>
    <row r="67" spans="1:64" s="16" customFormat="1" x14ac:dyDescent="0.3">
      <c r="A67" s="178"/>
      <c r="B67" s="178"/>
      <c r="C67" s="180"/>
      <c r="D67" s="182"/>
      <c r="E67" s="180"/>
      <c r="F67" s="178"/>
      <c r="G67" s="244">
        <f t="shared" si="28"/>
        <v>59</v>
      </c>
      <c r="H67" s="245">
        <f t="shared" si="1"/>
        <v>46080</v>
      </c>
      <c r="I67" s="246">
        <f t="shared" si="55"/>
        <v>0.129</v>
      </c>
      <c r="J67" s="242">
        <f t="shared" si="9"/>
        <v>0</v>
      </c>
      <c r="K67" s="242">
        <f t="shared" si="56"/>
        <v>0</v>
      </c>
      <c r="L67" s="242">
        <f t="shared" si="36"/>
        <v>0</v>
      </c>
      <c r="M67" s="242">
        <f t="shared" si="12"/>
        <v>0</v>
      </c>
      <c r="N67" s="242">
        <f t="shared" si="2"/>
        <v>0</v>
      </c>
      <c r="O67" s="242">
        <v>0</v>
      </c>
      <c r="P67" s="242">
        <f t="shared" si="25"/>
        <v>0</v>
      </c>
      <c r="Q67" s="242">
        <f t="shared" si="33"/>
        <v>0</v>
      </c>
      <c r="R67" s="242">
        <f t="shared" si="14"/>
        <v>0</v>
      </c>
      <c r="S67" s="242">
        <f t="shared" si="15"/>
        <v>0</v>
      </c>
      <c r="T67" s="467"/>
      <c r="U67" s="198">
        <f t="shared" si="29"/>
        <v>0</v>
      </c>
      <c r="V67" s="36">
        <f t="shared" si="16"/>
        <v>0</v>
      </c>
      <c r="W67" s="2" t="e">
        <f>IF(AND(G32&gt;=$W$9,G32&lt;=$W$9+5),0,IF($C$9&gt;$AF$51,ROUND(S31*#REF!/(DATEVALUE(CONCATENATE("01/01/",YEAR(H32)+1))-DATEVALUE(CONCATENATE("01/01/",YEAR(H32))))*(H32-H31),2),0))</f>
        <v>#REF!</v>
      </c>
      <c r="X67" s="34">
        <f t="shared" si="51"/>
        <v>2498</v>
      </c>
      <c r="Y67" s="57">
        <f t="shared" si="47"/>
        <v>53045</v>
      </c>
      <c r="AA67" s="170">
        <v>20000</v>
      </c>
      <c r="AB67" s="133" t="s">
        <v>323</v>
      </c>
      <c r="AL67" s="2">
        <f>IF(AND(Y23&gt;=$W$9,Y23&lt;=$W$9+5),0,IF($C$9&gt;$AF$51,ROUND(AI27*#REF!/(DATEVALUE(CONCATENATE("01/01/",YEAR(Z23)+1))-DATEVALUE(CONCATENATE("01/01/",YEAR(Z23))))*(Z23-Z22),2),0))</f>
        <v>0</v>
      </c>
      <c r="AM67" s="34">
        <f t="shared" si="53"/>
        <v>2617</v>
      </c>
      <c r="AN67" s="57">
        <f t="shared" si="52"/>
        <v>51585</v>
      </c>
      <c r="AO67" s="130">
        <f t="shared" si="17"/>
        <v>0</v>
      </c>
      <c r="AP67" s="261">
        <f t="shared" si="30"/>
        <v>59</v>
      </c>
      <c r="AQ67" s="262">
        <f t="shared" si="3"/>
        <v>46080</v>
      </c>
      <c r="AR67" s="263">
        <f t="shared" si="54"/>
        <v>0.16900000000000001</v>
      </c>
      <c r="AS67" s="258">
        <f t="shared" si="18"/>
        <v>0</v>
      </c>
      <c r="AT67" s="258">
        <f t="shared" si="19"/>
        <v>0</v>
      </c>
      <c r="AU67" s="258">
        <f t="shared" si="20"/>
        <v>0</v>
      </c>
      <c r="AV67" s="258">
        <f t="shared" si="21"/>
        <v>0</v>
      </c>
      <c r="AW67" s="258">
        <f t="shared" si="5"/>
        <v>0</v>
      </c>
      <c r="AX67" s="258">
        <v>0</v>
      </c>
      <c r="AY67" s="258">
        <f t="shared" si="22"/>
        <v>0</v>
      </c>
      <c r="AZ67" s="258">
        <f t="shared" si="39"/>
        <v>0</v>
      </c>
      <c r="BA67" s="258">
        <f t="shared" si="37"/>
        <v>0</v>
      </c>
      <c r="BB67" s="258"/>
      <c r="BC67" s="258"/>
      <c r="BD67" s="258"/>
      <c r="BE67" s="258"/>
      <c r="BF67" s="258"/>
      <c r="BG67" s="258">
        <f t="shared" si="24"/>
        <v>0</v>
      </c>
      <c r="BH67" s="108">
        <f t="shared" si="31"/>
        <v>0</v>
      </c>
      <c r="BI67" s="108">
        <f t="shared" si="26"/>
        <v>0</v>
      </c>
      <c r="BJ67" s="22">
        <f t="shared" si="27"/>
        <v>46080</v>
      </c>
      <c r="BK67" s="108">
        <f t="shared" si="7"/>
        <v>0</v>
      </c>
      <c r="BL67" s="2" t="e">
        <f>IF(AND(G22&gt;=$W$9,G22&lt;=$W$9+5),0,IF($C$9&gt;$AF$51,ROUND(BG21*IF(#REF!="",0,#REF!)/(DATEVALUE(CONCATENATE("01/01/",YEAR(AQ22)+1))-DATEVALUE(CONCATENATE("01/01/",YEAR(AQ22))))*(AQ22-AQ21),2),0))</f>
        <v>#REF!</v>
      </c>
    </row>
    <row r="68" spans="1:64" s="16" customFormat="1" x14ac:dyDescent="0.3">
      <c r="A68" s="178"/>
      <c r="B68" s="178"/>
      <c r="C68" s="180"/>
      <c r="D68" s="182"/>
      <c r="E68" s="180"/>
      <c r="F68" s="178"/>
      <c r="G68" s="244">
        <f t="shared" si="28"/>
        <v>60</v>
      </c>
      <c r="H68" s="245">
        <f t="shared" si="1"/>
        <v>46108</v>
      </c>
      <c r="I68" s="246">
        <f t="shared" si="55"/>
        <v>0.129</v>
      </c>
      <c r="J68" s="242">
        <f t="shared" si="9"/>
        <v>0</v>
      </c>
      <c r="K68" s="242">
        <f t="shared" si="56"/>
        <v>0</v>
      </c>
      <c r="L68" s="242">
        <f t="shared" si="36"/>
        <v>0</v>
      </c>
      <c r="M68" s="242">
        <f t="shared" si="12"/>
        <v>0</v>
      </c>
      <c r="N68" s="242">
        <f t="shared" si="2"/>
        <v>0</v>
      </c>
      <c r="O68" s="242">
        <v>0</v>
      </c>
      <c r="P68" s="242">
        <f t="shared" si="25"/>
        <v>0</v>
      </c>
      <c r="Q68" s="242">
        <f t="shared" si="33"/>
        <v>0</v>
      </c>
      <c r="R68" s="242">
        <f t="shared" si="14"/>
        <v>0</v>
      </c>
      <c r="S68" s="242">
        <f t="shared" si="15"/>
        <v>0</v>
      </c>
      <c r="T68" s="467"/>
      <c r="U68" s="198">
        <f t="shared" si="29"/>
        <v>0</v>
      </c>
      <c r="V68" s="36">
        <f t="shared" si="16"/>
        <v>0</v>
      </c>
      <c r="W68" s="2" t="e">
        <f>IF(AND(G33&gt;=$W$9,G33&lt;=$W$9+5),0,IF($C$9&gt;$AF$51,ROUND(S32*#REF!/(DATEVALUE(CONCATENATE("01/01/",YEAR(H33)+1))-DATEVALUE(CONCATENATE("01/01/",YEAR(H33))))*(H33-H32),2),0))</f>
        <v>#REF!</v>
      </c>
      <c r="X68" s="34">
        <f t="shared" si="51"/>
        <v>2498</v>
      </c>
      <c r="Y68" s="57">
        <f t="shared" si="47"/>
        <v>53410</v>
      </c>
      <c r="AA68" s="170">
        <v>300001</v>
      </c>
      <c r="AB68" s="135">
        <v>160000</v>
      </c>
      <c r="AL68" s="2" t="e">
        <f>IF(AND(Y24&gt;=$W$9,Y24&lt;=$W$9+5),0,IF($C$9&gt;$AF$51,ROUND(AI28*#REF!/(DATEVALUE(CONCATENATE("01/01/",YEAR(Z24)+1))-DATEVALUE(CONCATENATE("01/01/",YEAR(Z24))))*(Z24-Z23),2),0))</f>
        <v>#REF!</v>
      </c>
      <c r="AM68" s="34">
        <f t="shared" si="53"/>
        <v>2617</v>
      </c>
      <c r="AN68" s="57">
        <f t="shared" si="52"/>
        <v>51950</v>
      </c>
      <c r="AO68" s="130">
        <f t="shared" si="17"/>
        <v>0</v>
      </c>
      <c r="AP68" s="261">
        <f t="shared" si="30"/>
        <v>60</v>
      </c>
      <c r="AQ68" s="262">
        <f t="shared" si="3"/>
        <v>46108</v>
      </c>
      <c r="AR68" s="263">
        <f t="shared" si="54"/>
        <v>0.16900000000000001</v>
      </c>
      <c r="AS68" s="258">
        <f t="shared" si="18"/>
        <v>0</v>
      </c>
      <c r="AT68" s="258">
        <f t="shared" si="19"/>
        <v>0</v>
      </c>
      <c r="AU68" s="258">
        <f t="shared" si="20"/>
        <v>0</v>
      </c>
      <c r="AV68" s="258">
        <f t="shared" si="21"/>
        <v>0</v>
      </c>
      <c r="AW68" s="258">
        <f t="shared" si="5"/>
        <v>0</v>
      </c>
      <c r="AX68" s="258">
        <v>0</v>
      </c>
      <c r="AY68" s="258">
        <f t="shared" si="22"/>
        <v>0</v>
      </c>
      <c r="AZ68" s="258">
        <f t="shared" si="39"/>
        <v>0</v>
      </c>
      <c r="BA68" s="258">
        <f t="shared" si="37"/>
        <v>0</v>
      </c>
      <c r="BB68" s="258"/>
      <c r="BC68" s="258"/>
      <c r="BD68" s="258"/>
      <c r="BE68" s="258"/>
      <c r="BF68" s="258"/>
      <c r="BG68" s="258">
        <f t="shared" si="24"/>
        <v>0</v>
      </c>
      <c r="BH68" s="108">
        <f t="shared" si="31"/>
        <v>0</v>
      </c>
      <c r="BI68" s="108">
        <f t="shared" si="26"/>
        <v>0</v>
      </c>
      <c r="BJ68" s="22">
        <f t="shared" si="27"/>
        <v>46108</v>
      </c>
      <c r="BK68" s="108">
        <f t="shared" si="7"/>
        <v>0</v>
      </c>
      <c r="BL68" s="2" t="e">
        <f>IF(AND(G23&gt;=$W$9,G23&lt;=$W$9+5),0,IF($C$9&gt;$AF$51,ROUND(BG22*IF(#REF!="",0,#REF!)/(DATEVALUE(CONCATENATE("01/01/",YEAR(AQ23)+1))-DATEVALUE(CONCATENATE("01/01/",YEAR(AQ23))))*(AQ23-AQ22),2),0))</f>
        <v>#REF!</v>
      </c>
    </row>
    <row r="69" spans="1:64" s="16" customFormat="1" x14ac:dyDescent="0.3">
      <c r="A69" s="178"/>
      <c r="B69" s="178"/>
      <c r="C69" s="180"/>
      <c r="D69" s="182"/>
      <c r="E69" s="178"/>
      <c r="F69" s="178"/>
      <c r="G69" s="244">
        <f t="shared" si="28"/>
        <v>61</v>
      </c>
      <c r="H69" s="245">
        <f t="shared" si="1"/>
        <v>46139</v>
      </c>
      <c r="I69" s="246">
        <f t="shared" si="55"/>
        <v>0.129</v>
      </c>
      <c r="J69" s="242">
        <f t="shared" si="9"/>
        <v>0</v>
      </c>
      <c r="K69" s="242">
        <f t="shared" ref="K69:K108" si="59">IF(AND(G69&gt;=$W$9,G69&lt;=$W$9+5),$W$10,IF(AND(S68+N69+L69&gt;K68,K68&lt;&gt;0),IF($C$16="Да",$AF$40,$C$24),IF(S68=0,0,S68+N69+L69+L70)))</f>
        <v>0</v>
      </c>
      <c r="L69" s="242">
        <f t="shared" si="36"/>
        <v>0</v>
      </c>
      <c r="M69" s="242">
        <f t="shared" si="12"/>
        <v>0</v>
      </c>
      <c r="N69" s="242">
        <f t="shared" si="2"/>
        <v>0</v>
      </c>
      <c r="O69" s="242">
        <v>0</v>
      </c>
      <c r="P69" s="242">
        <f t="shared" si="25"/>
        <v>0</v>
      </c>
      <c r="Q69" s="242">
        <f t="shared" si="33"/>
        <v>0</v>
      </c>
      <c r="R69" s="242">
        <f t="shared" si="14"/>
        <v>0</v>
      </c>
      <c r="S69" s="242">
        <f t="shared" si="15"/>
        <v>0</v>
      </c>
      <c r="T69" s="467"/>
      <c r="U69" s="36">
        <f t="shared" si="29"/>
        <v>0</v>
      </c>
      <c r="V69" s="36">
        <f t="shared" si="16"/>
        <v>0</v>
      </c>
      <c r="W69" s="2" t="e">
        <f>IF(AND(G34&gt;=$W$9,G34&lt;=$W$9+5),0,IF($C$9&gt;$AF$51,ROUND(S33*#REF!/(DATEVALUE(CONCATENATE("01/01/",YEAR(H34)+1))-DATEVALUE(CONCATENATE("01/01/",YEAR(H34))))*(H34-H33),2),0))</f>
        <v>#REF!</v>
      </c>
      <c r="X69" s="34">
        <f t="shared" si="51"/>
        <v>2498</v>
      </c>
      <c r="Y69" s="57">
        <f t="shared" si="47"/>
        <v>53775</v>
      </c>
      <c r="AA69" s="170">
        <v>500001</v>
      </c>
      <c r="AB69" s="135">
        <v>400000</v>
      </c>
      <c r="AD69" s="2"/>
      <c r="AE69" s="2"/>
      <c r="AF69" s="2"/>
      <c r="AG69" s="2"/>
      <c r="AH69" s="2"/>
      <c r="AI69" s="63"/>
      <c r="AJ69" s="63"/>
      <c r="AK69" s="63"/>
      <c r="AL69" s="2">
        <f>IF(AND(Y25&gt;=$W$9,Y25&lt;=$W$9+5),0,IF($C$9&gt;$AF$51,ROUND(AI29*#REF!/(DATEVALUE(CONCATENATE("01/01/",YEAR(Z25)+1))-DATEVALUE(CONCATENATE("01/01/",YEAR(Z25))))*(Z25-Z24),2),0))</f>
        <v>0</v>
      </c>
      <c r="AM69" s="34">
        <f t="shared" si="53"/>
        <v>2617</v>
      </c>
      <c r="AN69" s="57">
        <f t="shared" si="52"/>
        <v>52315</v>
      </c>
      <c r="AO69" s="130">
        <f t="shared" si="17"/>
        <v>0</v>
      </c>
      <c r="AP69" s="261">
        <f t="shared" si="30"/>
        <v>61</v>
      </c>
      <c r="AQ69" s="262">
        <f t="shared" si="3"/>
        <v>46139</v>
      </c>
      <c r="AR69" s="263">
        <f t="shared" si="54"/>
        <v>0.16900000000000001</v>
      </c>
      <c r="AS69" s="258">
        <f t="shared" si="18"/>
        <v>0</v>
      </c>
      <c r="AT69" s="258">
        <f t="shared" si="19"/>
        <v>0</v>
      </c>
      <c r="AU69" s="258">
        <f t="shared" si="20"/>
        <v>0</v>
      </c>
      <c r="AV69" s="258">
        <f t="shared" si="21"/>
        <v>0</v>
      </c>
      <c r="AW69" s="258">
        <f t="shared" si="5"/>
        <v>0</v>
      </c>
      <c r="AX69" s="258">
        <v>0</v>
      </c>
      <c r="AY69" s="258">
        <f t="shared" si="22"/>
        <v>0</v>
      </c>
      <c r="AZ69" s="258">
        <f t="shared" si="39"/>
        <v>0</v>
      </c>
      <c r="BA69" s="258">
        <f t="shared" si="37"/>
        <v>0</v>
      </c>
      <c r="BB69" s="258"/>
      <c r="BC69" s="258"/>
      <c r="BD69" s="258"/>
      <c r="BE69" s="258"/>
      <c r="BF69" s="258"/>
      <c r="BG69" s="258">
        <f t="shared" si="24"/>
        <v>0</v>
      </c>
      <c r="BH69" s="108">
        <f t="shared" si="31"/>
        <v>0</v>
      </c>
      <c r="BI69" s="108">
        <f t="shared" si="26"/>
        <v>0</v>
      </c>
      <c r="BJ69" s="22">
        <f t="shared" si="27"/>
        <v>46139</v>
      </c>
      <c r="BK69" s="108">
        <f t="shared" si="7"/>
        <v>0</v>
      </c>
      <c r="BL69" s="2" t="e">
        <f>IF(AND(G24&gt;=$W$9,G24&lt;=$W$9+5),0,IF($C$9&gt;$AF$51,ROUND(BG23*IF(#REF!="",0,#REF!)/(DATEVALUE(CONCATENATE("01/01/",YEAR(AQ24)+1))-DATEVALUE(CONCATENATE("01/01/",YEAR(AQ24))))*(AQ24-AQ23),2),0))</f>
        <v>#REF!</v>
      </c>
    </row>
    <row r="70" spans="1:64" s="16" customFormat="1" x14ac:dyDescent="0.3">
      <c r="A70" s="178"/>
      <c r="B70" s="178"/>
      <c r="C70" s="180"/>
      <c r="D70" s="178"/>
      <c r="E70" s="178"/>
      <c r="F70" s="178"/>
      <c r="G70" s="244">
        <f t="shared" si="28"/>
        <v>62</v>
      </c>
      <c r="H70" s="245">
        <f t="shared" si="1"/>
        <v>46169</v>
      </c>
      <c r="I70" s="246">
        <f t="shared" si="55"/>
        <v>0.129</v>
      </c>
      <c r="J70" s="242">
        <f t="shared" si="9"/>
        <v>0</v>
      </c>
      <c r="K70" s="242">
        <f t="shared" si="59"/>
        <v>0</v>
      </c>
      <c r="L70" s="242">
        <f t="shared" si="36"/>
        <v>0</v>
      </c>
      <c r="M70" s="242">
        <f t="shared" si="12"/>
        <v>0</v>
      </c>
      <c r="N70" s="242">
        <f t="shared" si="2"/>
        <v>0</v>
      </c>
      <c r="O70" s="242">
        <v>0</v>
      </c>
      <c r="P70" s="242">
        <f t="shared" si="25"/>
        <v>0</v>
      </c>
      <c r="Q70" s="242">
        <f t="shared" si="33"/>
        <v>0</v>
      </c>
      <c r="R70" s="242">
        <f t="shared" si="14"/>
        <v>0</v>
      </c>
      <c r="S70" s="242">
        <f t="shared" si="15"/>
        <v>0</v>
      </c>
      <c r="T70" s="467"/>
      <c r="U70" s="36">
        <f t="shared" si="29"/>
        <v>0</v>
      </c>
      <c r="V70" s="36">
        <f t="shared" si="16"/>
        <v>0</v>
      </c>
      <c r="W70" s="2" t="e">
        <f>IF(AND(G35&gt;=$W$9,G35&lt;=$W$9+5),0,IF($C$9&gt;$AF$51,ROUND(S34*#REF!/(DATEVALUE(CONCATENATE("01/01/",YEAR(H35)+1))-DATEVALUE(CONCATENATE("01/01/",YEAR(H35))))*(H35-H34),2),0))</f>
        <v>#REF!</v>
      </c>
      <c r="X70" s="34">
        <f t="shared" si="51"/>
        <v>2498</v>
      </c>
      <c r="Y70" s="57">
        <f t="shared" si="47"/>
        <v>54140</v>
      </c>
      <c r="AA70" s="171">
        <v>600001</v>
      </c>
      <c r="AB70" s="135">
        <v>500000</v>
      </c>
      <c r="AC70" s="145" t="s">
        <v>330</v>
      </c>
      <c r="AD70" s="145" t="s">
        <v>111</v>
      </c>
      <c r="AE70" s="145" t="s">
        <v>114</v>
      </c>
      <c r="AF70" s="144" t="s">
        <v>115</v>
      </c>
      <c r="AG70" s="2" t="s">
        <v>35</v>
      </c>
      <c r="AH70" s="144" t="s">
        <v>118</v>
      </c>
      <c r="AI70" s="144" t="s">
        <v>119</v>
      </c>
      <c r="AJ70" s="145" t="s">
        <v>120</v>
      </c>
      <c r="AK70" s="15"/>
      <c r="AL70" s="2" t="e">
        <f>IF(AND(Y26&gt;=$W$9,Y26&lt;=$W$9+5),0,IF($C$9&gt;$AF$51,ROUND(AI30*#REF!/(DATEVALUE(CONCATENATE("01/01/",YEAR(Z26)+1))-DATEVALUE(CONCATENATE("01/01/",YEAR(Z26))))*(Z26-Z25),2),0))</f>
        <v>#REF!</v>
      </c>
      <c r="AM70" s="34">
        <f t="shared" si="53"/>
        <v>2617</v>
      </c>
      <c r="AN70" s="57">
        <f t="shared" si="52"/>
        <v>52680</v>
      </c>
      <c r="AO70" s="130">
        <f t="shared" si="17"/>
        <v>0</v>
      </c>
      <c r="AP70" s="261">
        <f t="shared" si="30"/>
        <v>62</v>
      </c>
      <c r="AQ70" s="262">
        <f t="shared" si="3"/>
        <v>46169</v>
      </c>
      <c r="AR70" s="263">
        <f t="shared" si="54"/>
        <v>0.16900000000000001</v>
      </c>
      <c r="AS70" s="258">
        <f t="shared" si="18"/>
        <v>0</v>
      </c>
      <c r="AT70" s="258">
        <f t="shared" si="19"/>
        <v>0</v>
      </c>
      <c r="AU70" s="258">
        <f t="shared" si="20"/>
        <v>0</v>
      </c>
      <c r="AV70" s="258">
        <f t="shared" si="21"/>
        <v>0</v>
      </c>
      <c r="AW70" s="258">
        <f t="shared" si="5"/>
        <v>0</v>
      </c>
      <c r="AX70" s="258">
        <v>0</v>
      </c>
      <c r="AY70" s="258">
        <f t="shared" si="22"/>
        <v>0</v>
      </c>
      <c r="AZ70" s="258">
        <f t="shared" si="39"/>
        <v>0</v>
      </c>
      <c r="BA70" s="258">
        <f t="shared" si="37"/>
        <v>0</v>
      </c>
      <c r="BB70" s="258"/>
      <c r="BC70" s="258"/>
      <c r="BD70" s="258"/>
      <c r="BE70" s="258"/>
      <c r="BF70" s="258"/>
      <c r="BG70" s="258">
        <f t="shared" si="24"/>
        <v>0</v>
      </c>
      <c r="BH70" s="108">
        <f t="shared" si="31"/>
        <v>0</v>
      </c>
      <c r="BI70" s="108">
        <f t="shared" si="26"/>
        <v>0</v>
      </c>
      <c r="BJ70" s="22">
        <f t="shared" si="27"/>
        <v>46169</v>
      </c>
      <c r="BK70" s="108">
        <f t="shared" si="7"/>
        <v>0</v>
      </c>
      <c r="BL70" s="2" t="e">
        <f>IF(AND(G25&gt;=$W$9,G25&lt;=$W$9+5),0,IF($C$9&gt;$AF$51,ROUND(BG24*IF(#REF!="",0,#REF!)/(DATEVALUE(CONCATENATE("01/01/",YEAR(AQ25)+1))-DATEVALUE(CONCATENATE("01/01/",YEAR(AQ25))))*(AQ25-AQ24),2),0))</f>
        <v>#REF!</v>
      </c>
    </row>
    <row r="71" spans="1:64" s="16" customFormat="1" x14ac:dyDescent="0.3">
      <c r="A71" s="178"/>
      <c r="B71" s="178"/>
      <c r="C71" s="180"/>
      <c r="D71" s="178"/>
      <c r="E71" s="178"/>
      <c r="F71" s="178"/>
      <c r="G71" s="244">
        <f t="shared" si="28"/>
        <v>63</v>
      </c>
      <c r="H71" s="245">
        <f t="shared" si="1"/>
        <v>46200</v>
      </c>
      <c r="I71" s="246">
        <f t="shared" si="55"/>
        <v>0.129</v>
      </c>
      <c r="J71" s="242">
        <f t="shared" si="9"/>
        <v>0</v>
      </c>
      <c r="K71" s="242">
        <f t="shared" si="59"/>
        <v>0</v>
      </c>
      <c r="L71" s="242">
        <f t="shared" si="36"/>
        <v>0</v>
      </c>
      <c r="M71" s="242">
        <f t="shared" si="12"/>
        <v>0</v>
      </c>
      <c r="N71" s="242">
        <f t="shared" si="2"/>
        <v>0</v>
      </c>
      <c r="O71" s="242">
        <v>0</v>
      </c>
      <c r="P71" s="242">
        <f t="shared" si="25"/>
        <v>0</v>
      </c>
      <c r="Q71" s="242">
        <f t="shared" si="33"/>
        <v>0</v>
      </c>
      <c r="R71" s="242">
        <f t="shared" si="14"/>
        <v>0</v>
      </c>
      <c r="S71" s="242">
        <f t="shared" si="15"/>
        <v>0</v>
      </c>
      <c r="T71" s="467"/>
      <c r="U71" s="36">
        <f t="shared" si="29"/>
        <v>0</v>
      </c>
      <c r="V71" s="36">
        <f t="shared" si="16"/>
        <v>0</v>
      </c>
      <c r="W71" s="2" t="e">
        <f>IF(AND(G36&gt;=$W$9,G36&lt;=$W$9+5),0,IF($C$9&gt;$AF$51,ROUND(S35*#REF!/(DATEVALUE(CONCATENATE("01/01/",YEAR(H36)+1))-DATEVALUE(CONCATENATE("01/01/",YEAR(H36))))*(H36-H35),2),0))</f>
        <v>#REF!</v>
      </c>
      <c r="X71" s="34">
        <f t="shared" si="51"/>
        <v>2498</v>
      </c>
      <c r="Y71" s="57">
        <f t="shared" si="47"/>
        <v>54505</v>
      </c>
      <c r="AA71" s="171">
        <v>1000001</v>
      </c>
      <c r="AB71" s="135">
        <v>800000</v>
      </c>
      <c r="AC71" s="133" t="s">
        <v>98</v>
      </c>
      <c r="AD71" s="134"/>
      <c r="AE71" s="134"/>
      <c r="AF71" s="134"/>
      <c r="AG71" s="134"/>
      <c r="AH71" s="134"/>
      <c r="AI71" s="134"/>
      <c r="AJ71" s="134"/>
      <c r="AK71" s="15"/>
      <c r="AL71" s="2" t="e">
        <f>IF(AND(Y27&gt;=$W$9,Y27&lt;=$W$9+5),0,IF($C$9&gt;$AF$51,ROUND(AI31*#REF!/(DATEVALUE(CONCATENATE("01/01/",YEAR(Z27)+1))-DATEVALUE(CONCATENATE("01/01/",YEAR(Z27))))*(Z27-Z26),2),0))</f>
        <v>#REF!</v>
      </c>
      <c r="AM71" s="34">
        <f t="shared" si="53"/>
        <v>2617</v>
      </c>
      <c r="AN71" s="57">
        <f t="shared" si="52"/>
        <v>53045</v>
      </c>
      <c r="AO71" s="130">
        <f t="shared" si="17"/>
        <v>0</v>
      </c>
      <c r="AP71" s="261">
        <f t="shared" si="30"/>
        <v>63</v>
      </c>
      <c r="AQ71" s="262">
        <f t="shared" si="3"/>
        <v>46200</v>
      </c>
      <c r="AR71" s="263">
        <f t="shared" si="54"/>
        <v>0.16900000000000001</v>
      </c>
      <c r="AS71" s="258">
        <f t="shared" si="18"/>
        <v>0</v>
      </c>
      <c r="AT71" s="258">
        <f t="shared" si="19"/>
        <v>0</v>
      </c>
      <c r="AU71" s="258">
        <f t="shared" si="20"/>
        <v>0</v>
      </c>
      <c r="AV71" s="258">
        <f t="shared" si="21"/>
        <v>0</v>
      </c>
      <c r="AW71" s="258">
        <f t="shared" si="5"/>
        <v>0</v>
      </c>
      <c r="AX71" s="258">
        <v>0</v>
      </c>
      <c r="AY71" s="258">
        <f t="shared" si="22"/>
        <v>0</v>
      </c>
      <c r="AZ71" s="258">
        <f t="shared" si="39"/>
        <v>0</v>
      </c>
      <c r="BA71" s="258">
        <f t="shared" si="37"/>
        <v>0</v>
      </c>
      <c r="BB71" s="258"/>
      <c r="BC71" s="258"/>
      <c r="BD71" s="258"/>
      <c r="BE71" s="258"/>
      <c r="BF71" s="258"/>
      <c r="BG71" s="258">
        <f t="shared" si="24"/>
        <v>0</v>
      </c>
      <c r="BH71" s="108">
        <f t="shared" si="31"/>
        <v>0</v>
      </c>
      <c r="BI71" s="108">
        <f t="shared" si="26"/>
        <v>0</v>
      </c>
      <c r="BJ71" s="22">
        <f t="shared" si="27"/>
        <v>46200</v>
      </c>
      <c r="BK71" s="108">
        <f t="shared" si="7"/>
        <v>0</v>
      </c>
      <c r="BL71" s="2" t="e">
        <f>IF(AND(G26&gt;=$W$9,G26&lt;=$W$9+5),0,IF($C$9&gt;$AF$51,ROUND(BG25*IF(#REF!="",0,#REF!)/(DATEVALUE(CONCATENATE("01/01/",YEAR(AQ26)+1))-DATEVALUE(CONCATENATE("01/01/",YEAR(AQ26))))*(AQ26-AQ25),2),0))</f>
        <v>#REF!</v>
      </c>
    </row>
    <row r="72" spans="1:64" s="16" customFormat="1" x14ac:dyDescent="0.3">
      <c r="A72" s="178"/>
      <c r="B72" s="178"/>
      <c r="C72" s="178"/>
      <c r="D72" s="178"/>
      <c r="E72" s="178"/>
      <c r="F72" s="178"/>
      <c r="G72" s="244">
        <f t="shared" si="28"/>
        <v>64</v>
      </c>
      <c r="H72" s="245">
        <f t="shared" si="1"/>
        <v>46230</v>
      </c>
      <c r="I72" s="246">
        <f t="shared" si="55"/>
        <v>0.129</v>
      </c>
      <c r="J72" s="242">
        <f t="shared" si="9"/>
        <v>0</v>
      </c>
      <c r="K72" s="242">
        <f t="shared" si="59"/>
        <v>0</v>
      </c>
      <c r="L72" s="242">
        <f t="shared" si="36"/>
        <v>0</v>
      </c>
      <c r="M72" s="242">
        <f t="shared" si="12"/>
        <v>0</v>
      </c>
      <c r="N72" s="242">
        <f t="shared" si="2"/>
        <v>0</v>
      </c>
      <c r="O72" s="242">
        <v>0</v>
      </c>
      <c r="P72" s="242">
        <f t="shared" si="25"/>
        <v>0</v>
      </c>
      <c r="Q72" s="242">
        <f t="shared" si="33"/>
        <v>0</v>
      </c>
      <c r="R72" s="242">
        <f t="shared" si="14"/>
        <v>0</v>
      </c>
      <c r="S72" s="242">
        <f t="shared" si="15"/>
        <v>0</v>
      </c>
      <c r="T72" s="467"/>
      <c r="U72" s="36">
        <f t="shared" si="29"/>
        <v>0</v>
      </c>
      <c r="V72" s="36">
        <f t="shared" si="16"/>
        <v>0</v>
      </c>
      <c r="W72" s="2" t="e">
        <f>IF(AND(G37&gt;=$W$9,G37&lt;=$W$9+5),0,IF($C$9&gt;$AF$51,ROUND(S36*#REF!/(DATEVALUE(CONCATENATE("01/01/",YEAR(H37)+1))-DATEVALUE(CONCATENATE("01/01/",YEAR(H37))))*(H37-H36),2),0))</f>
        <v>#REF!</v>
      </c>
      <c r="X72" s="34">
        <f t="shared" si="51"/>
        <v>2498</v>
      </c>
      <c r="Y72" s="57">
        <f t="shared" si="47"/>
        <v>54870</v>
      </c>
      <c r="AA72" s="16" t="s">
        <v>101</v>
      </c>
      <c r="AB72" s="135">
        <v>900000</v>
      </c>
      <c r="AC72" s="134">
        <v>1</v>
      </c>
      <c r="AD72" s="134">
        <v>1.25</v>
      </c>
      <c r="AE72" s="134">
        <v>1.5</v>
      </c>
      <c r="AF72" s="134">
        <v>1.3</v>
      </c>
      <c r="AG72" s="134">
        <v>0</v>
      </c>
      <c r="AH72" s="134">
        <v>1</v>
      </c>
      <c r="AI72" s="134">
        <v>2</v>
      </c>
      <c r="AJ72" s="134">
        <v>2.5</v>
      </c>
      <c r="AK72" s="15"/>
      <c r="AL72" s="2" t="e">
        <f>IF(AND(Y28&gt;=$W$9,Y28&lt;=$W$9+5),0,IF($C$9&gt;$AF$51,ROUND(AI32*#REF!/(DATEVALUE(CONCATENATE("01/01/",YEAR(Z28)+1))-DATEVALUE(CONCATENATE("01/01/",YEAR(Z28))))*(Z28-Z27),2),0))</f>
        <v>#REF!</v>
      </c>
      <c r="AM72" s="34">
        <f t="shared" si="53"/>
        <v>2617</v>
      </c>
      <c r="AN72" s="57">
        <f t="shared" si="52"/>
        <v>53410</v>
      </c>
      <c r="AO72" s="130">
        <f t="shared" si="17"/>
        <v>0</v>
      </c>
      <c r="AP72" s="261">
        <f t="shared" si="30"/>
        <v>64</v>
      </c>
      <c r="AQ72" s="262">
        <f t="shared" si="3"/>
        <v>46230</v>
      </c>
      <c r="AR72" s="263">
        <f t="shared" si="54"/>
        <v>0.16900000000000001</v>
      </c>
      <c r="AS72" s="258">
        <f t="shared" si="18"/>
        <v>0</v>
      </c>
      <c r="AT72" s="258">
        <f t="shared" si="19"/>
        <v>0</v>
      </c>
      <c r="AU72" s="258">
        <f t="shared" si="20"/>
        <v>0</v>
      </c>
      <c r="AV72" s="258">
        <f t="shared" si="21"/>
        <v>0</v>
      </c>
      <c r="AW72" s="258">
        <f t="shared" si="5"/>
        <v>0</v>
      </c>
      <c r="AX72" s="258">
        <v>0</v>
      </c>
      <c r="AY72" s="258">
        <f t="shared" si="22"/>
        <v>0</v>
      </c>
      <c r="AZ72" s="258">
        <f t="shared" si="39"/>
        <v>0</v>
      </c>
      <c r="BA72" s="258">
        <f t="shared" si="37"/>
        <v>0</v>
      </c>
      <c r="BB72" s="258"/>
      <c r="BC72" s="258"/>
      <c r="BD72" s="258"/>
      <c r="BE72" s="258"/>
      <c r="BF72" s="258"/>
      <c r="BG72" s="258">
        <f t="shared" si="24"/>
        <v>0</v>
      </c>
      <c r="BH72" s="108">
        <f t="shared" si="31"/>
        <v>0</v>
      </c>
      <c r="BI72" s="108">
        <f t="shared" si="26"/>
        <v>0</v>
      </c>
      <c r="BJ72" s="22">
        <f t="shared" si="27"/>
        <v>46230</v>
      </c>
      <c r="BK72" s="108">
        <f t="shared" si="7"/>
        <v>0</v>
      </c>
      <c r="BL72" s="2" t="e">
        <f>IF(AND(G27&gt;=$W$9,G27&lt;=$W$9+5),0,IF($C$9&gt;$AF$51,ROUND(BG26*IF(#REF!="",0,#REF!)/(DATEVALUE(CONCATENATE("01/01/",YEAR(AQ27)+1))-DATEVALUE(CONCATENATE("01/01/",YEAR(AQ27))))*(AQ27-AQ26),2),0))</f>
        <v>#REF!</v>
      </c>
    </row>
    <row r="73" spans="1:64" s="16" customFormat="1" x14ac:dyDescent="0.3">
      <c r="A73" s="178"/>
      <c r="B73" s="178"/>
      <c r="C73" s="178"/>
      <c r="D73" s="178"/>
      <c r="E73" s="178"/>
      <c r="F73" s="178"/>
      <c r="G73" s="244">
        <f t="shared" si="28"/>
        <v>65</v>
      </c>
      <c r="H73" s="245">
        <f t="shared" ref="H73:H108" si="60">IF((OR(DAY($AD$54)=29,DAY($AD$54)=30,DAY($AD$54)=31)),(EDATE($C$9-3,G73)),(IF((OR(DAY($AD$54)=1,DAY($AD$54)=2,DAY($AD$54)=3)),(EDATE($C$9,G73)+3),EDATE($C$9,G73))))</f>
        <v>46261</v>
      </c>
      <c r="I73" s="246">
        <f t="shared" si="55"/>
        <v>0.129</v>
      </c>
      <c r="J73" s="242">
        <f t="shared" si="9"/>
        <v>0</v>
      </c>
      <c r="K73" s="242">
        <f t="shared" si="59"/>
        <v>0</v>
      </c>
      <c r="L73" s="242">
        <f t="shared" si="36"/>
        <v>0</v>
      </c>
      <c r="M73" s="242">
        <f t="shared" si="12"/>
        <v>0</v>
      </c>
      <c r="N73" s="242">
        <f t="shared" ref="N73:N108" si="61">IF(P73-Q73&gt;$C$24,$C$24-L73,IF(V73=0,0,R73)+$AI$51)</f>
        <v>0</v>
      </c>
      <c r="O73" s="242">
        <v>0</v>
      </c>
      <c r="P73" s="242">
        <f t="shared" si="25"/>
        <v>0</v>
      </c>
      <c r="Q73" s="242">
        <f t="shared" si="33"/>
        <v>0</v>
      </c>
      <c r="R73" s="242">
        <f t="shared" si="14"/>
        <v>0</v>
      </c>
      <c r="S73" s="242">
        <f t="shared" si="15"/>
        <v>0</v>
      </c>
      <c r="T73" s="467"/>
      <c r="U73" s="36">
        <f t="shared" si="29"/>
        <v>0</v>
      </c>
      <c r="V73" s="36">
        <f t="shared" si="16"/>
        <v>0</v>
      </c>
      <c r="W73" s="2" t="e">
        <f>IF(AND(G38&gt;=$W$9,G38&lt;=$W$9+5),0,IF($C$9&gt;$AF$51,ROUND(S37*#REF!/(DATEVALUE(CONCATENATE("01/01/",YEAR(H38)+1))-DATEVALUE(CONCATENATE("01/01/",YEAR(H38))))*(H38-H37),2),0))</f>
        <v>#REF!</v>
      </c>
      <c r="X73" s="34">
        <f t="shared" si="51"/>
        <v>2498</v>
      </c>
      <c r="Y73" s="57">
        <f t="shared" si="47"/>
        <v>55235</v>
      </c>
      <c r="AB73" s="16">
        <v>1500000</v>
      </c>
      <c r="AC73" s="134">
        <v>1.1000000000000001</v>
      </c>
      <c r="AD73" s="134">
        <v>1.35</v>
      </c>
      <c r="AE73" s="134">
        <v>1.5</v>
      </c>
      <c r="AF73" s="134">
        <v>1.3</v>
      </c>
      <c r="AG73" s="134">
        <v>0</v>
      </c>
      <c r="AH73" s="134">
        <v>1</v>
      </c>
      <c r="AI73" s="134">
        <v>2</v>
      </c>
      <c r="AJ73" s="134">
        <v>2</v>
      </c>
      <c r="AK73" s="15"/>
      <c r="AL73" s="2" t="e">
        <f>IF(AND(Y29&gt;=$W$9,Y29&lt;=$W$9+5),0,IF($C$9&gt;$AF$51,ROUND(AI33*#REF!/(DATEVALUE(CONCATENATE("01/01/",YEAR(Z29)+1))-DATEVALUE(CONCATENATE("01/01/",YEAR(Z29))))*(Z29-Z28),2),0))</f>
        <v>#REF!</v>
      </c>
      <c r="AM73" s="34">
        <f t="shared" si="53"/>
        <v>2617</v>
      </c>
      <c r="AN73" s="57">
        <f t="shared" si="52"/>
        <v>53775</v>
      </c>
      <c r="AO73" s="130">
        <f t="shared" si="17"/>
        <v>0</v>
      </c>
      <c r="AP73" s="261">
        <f t="shared" si="30"/>
        <v>65</v>
      </c>
      <c r="AQ73" s="262">
        <f t="shared" ref="AQ73:AQ108" si="62">IF((OR(DAY($AD$54)=29,DAY($AD$54)=30,DAY($AD$54)=31)),(EDATE($C$9-3,AP73)),(IF((OR(DAY($AD$54)=1,DAY($AD$54)=2,DAY($AD$54)=3)),(EDATE($C$9,AP73)+3),EDATE($C$9,AP73))))</f>
        <v>46261</v>
      </c>
      <c r="AR73" s="263">
        <f t="shared" si="54"/>
        <v>0.16900000000000001</v>
      </c>
      <c r="AS73" s="258">
        <f t="shared" si="18"/>
        <v>0</v>
      </c>
      <c r="AT73" s="258">
        <f t="shared" si="19"/>
        <v>0</v>
      </c>
      <c r="AU73" s="258">
        <f t="shared" si="20"/>
        <v>0</v>
      </c>
      <c r="AV73" s="258">
        <f t="shared" si="21"/>
        <v>0</v>
      </c>
      <c r="AW73" s="258">
        <f t="shared" ref="AW73:AW108" si="63">IF(AY73-AZ73&gt;$D$24,$D$24-AU73,IF(BI73=0,0,BA73)+BX121)</f>
        <v>0</v>
      </c>
      <c r="AX73" s="258">
        <v>0</v>
      </c>
      <c r="AY73" s="258">
        <f t="shared" si="22"/>
        <v>0</v>
      </c>
      <c r="AZ73" s="258">
        <f t="shared" si="39"/>
        <v>0</v>
      </c>
      <c r="BA73" s="258">
        <f t="shared" si="37"/>
        <v>0</v>
      </c>
      <c r="BB73" s="258"/>
      <c r="BC73" s="258"/>
      <c r="BD73" s="258"/>
      <c r="BE73" s="258"/>
      <c r="BF73" s="258"/>
      <c r="BG73" s="258">
        <f t="shared" si="24"/>
        <v>0</v>
      </c>
      <c r="BH73" s="108">
        <f t="shared" si="31"/>
        <v>0</v>
      </c>
      <c r="BI73" s="108">
        <f t="shared" si="26"/>
        <v>0</v>
      </c>
      <c r="BJ73" s="22">
        <f t="shared" si="27"/>
        <v>46261</v>
      </c>
      <c r="BK73" s="108">
        <f t="shared" ref="BK73:BK114" si="64">K73</f>
        <v>0</v>
      </c>
      <c r="BL73" s="2" t="e">
        <f>IF(AND(G28&gt;=$W$9,G28&lt;=$W$9+5),0,IF($C$9&gt;$AF$51,ROUND(BG27*IF(#REF!="",0,#REF!)/(DATEVALUE(CONCATENATE("01/01/",YEAR(AQ28)+1))-DATEVALUE(CONCATENATE("01/01/",YEAR(AQ28))))*(AQ28-AQ27),2),0))</f>
        <v>#REF!</v>
      </c>
    </row>
    <row r="74" spans="1:64" s="16" customFormat="1" x14ac:dyDescent="0.3">
      <c r="A74" s="178"/>
      <c r="B74" s="178"/>
      <c r="C74" s="178"/>
      <c r="D74" s="178"/>
      <c r="E74" s="178"/>
      <c r="F74" s="178"/>
      <c r="G74" s="244">
        <f t="shared" si="28"/>
        <v>66</v>
      </c>
      <c r="H74" s="245">
        <f t="shared" si="60"/>
        <v>46292</v>
      </c>
      <c r="I74" s="246">
        <f t="shared" si="55"/>
        <v>0.129</v>
      </c>
      <c r="J74" s="242">
        <f t="shared" ref="J74:J108" si="65">K74+Q74</f>
        <v>0</v>
      </c>
      <c r="K74" s="242">
        <f t="shared" si="59"/>
        <v>0</v>
      </c>
      <c r="L74" s="242">
        <f t="shared" si="36"/>
        <v>0</v>
      </c>
      <c r="M74" s="242">
        <f t="shared" ref="M74" si="66">IF(S73=0,0,IF(S73+N74+L74&gt;K73,K74-L74-N74,S73))</f>
        <v>0</v>
      </c>
      <c r="N74" s="242">
        <f t="shared" si="61"/>
        <v>0</v>
      </c>
      <c r="O74" s="242">
        <v>0</v>
      </c>
      <c r="P74" s="242">
        <f t="shared" si="25"/>
        <v>0</v>
      </c>
      <c r="Q74" s="242">
        <f t="shared" si="33"/>
        <v>0</v>
      </c>
      <c r="R74" s="242">
        <f t="shared" ref="R74:R108" si="67">IF(V74=0,0,0)</f>
        <v>0</v>
      </c>
      <c r="S74" s="242">
        <f t="shared" ref="S74" si="68">S73-M74-T74</f>
        <v>0</v>
      </c>
      <c r="T74" s="467"/>
      <c r="U74" s="36">
        <f t="shared" si="29"/>
        <v>0</v>
      </c>
      <c r="V74" s="36">
        <f t="shared" ref="V74:V107" si="69">U74</f>
        <v>0</v>
      </c>
      <c r="W74" s="2" t="e">
        <f>IF(AND(G39&gt;=$W$9,G39&lt;=$W$9+5),0,IF($C$9&gt;$AF$51,ROUND(S38*#REF!/(DATEVALUE(CONCATENATE("01/01/",YEAR(H39)+1))-DATEVALUE(CONCATENATE("01/01/",YEAR(H39))))*(H39-H38),2),0))</f>
        <v>#REF!</v>
      </c>
      <c r="X74" s="34">
        <f t="shared" si="51"/>
        <v>2498</v>
      </c>
      <c r="Y74" s="57">
        <f t="shared" si="47"/>
        <v>55600</v>
      </c>
      <c r="AC74" s="134">
        <v>1.2</v>
      </c>
      <c r="AD74" s="134">
        <v>1.5</v>
      </c>
      <c r="AE74" s="134">
        <v>1.3</v>
      </c>
      <c r="AF74" s="134">
        <v>1.2</v>
      </c>
      <c r="AG74" s="134">
        <v>0</v>
      </c>
      <c r="AH74" s="134">
        <v>1</v>
      </c>
      <c r="AI74" s="134">
        <v>1.5</v>
      </c>
      <c r="AJ74" s="134">
        <v>1.5</v>
      </c>
      <c r="AK74" s="15"/>
      <c r="AL74" s="2" t="e">
        <f>IF(AND(Y30&gt;=$W$9,Y30&lt;=$W$9+5),0,IF($C$9&gt;$AF$51,ROUND(AI34*#REF!/(DATEVALUE(CONCATENATE("01/01/",YEAR(Z30)+1))-DATEVALUE(CONCATENATE("01/01/",YEAR(Z30))))*(Z30-Z29),2),0))</f>
        <v>#REF!</v>
      </c>
      <c r="AM74" s="34">
        <f t="shared" si="53"/>
        <v>2617</v>
      </c>
      <c r="AN74" s="57">
        <f t="shared" si="52"/>
        <v>54140</v>
      </c>
      <c r="AO74" s="130">
        <f t="shared" ref="AO74:AO108" si="70">IF(OR(AT74="",AT74=0),0,1)</f>
        <v>0</v>
      </c>
      <c r="AP74" s="261">
        <f t="shared" si="30"/>
        <v>66</v>
      </c>
      <c r="AQ74" s="262">
        <f t="shared" si="62"/>
        <v>46292</v>
      </c>
      <c r="AR74" s="263">
        <f t="shared" si="54"/>
        <v>0.16900000000000001</v>
      </c>
      <c r="AS74" s="258">
        <f t="shared" ref="AS74:AS108" si="71">AT74+AZ74</f>
        <v>0</v>
      </c>
      <c r="AT74" s="258">
        <f t="shared" ref="AT74" si="72">IF(AND(BG73+AW74+AU74&gt;AT73,AT73&lt;&gt;0),IF($D$16="Да",$AL$36,$D$24),IF(BG73=0,0,BG73+AW74+AU74+AU75))</f>
        <v>0</v>
      </c>
      <c r="AU74" s="258">
        <f t="shared" ref="AU74" si="73">IF($C$9&gt;$AF$51,ROUND(BG73*AR74*((AQ74-DATE(YEAR(AQ74),MONTH(AQ74),1)+1)/(DATE(YEAR(AQ74)+1,1,1)-DATE(YEAR(AQ74),1,1))+(EOMONTH(AQ73,0)-AQ73)/(DATE(YEAR(AQ73)+1,1,1)-DATE(YEAR(AQ73),1,1))),2),0)</f>
        <v>0</v>
      </c>
      <c r="AV74" s="258">
        <f t="shared" ref="AV74:AV108" si="74">IF(BI74=0,0,IF(BI74=1,BG73,IF(BG73+AW74+AU74&gt;AT73,AT74-AU74-AW74,BG73)))</f>
        <v>0</v>
      </c>
      <c r="AW74" s="258">
        <f t="shared" si="63"/>
        <v>0</v>
      </c>
      <c r="AX74" s="258">
        <v>0</v>
      </c>
      <c r="AY74" s="258">
        <f t="shared" si="22"/>
        <v>0</v>
      </c>
      <c r="AZ74" s="258">
        <f t="shared" si="39"/>
        <v>0</v>
      </c>
      <c r="BA74" s="258">
        <f t="shared" si="37"/>
        <v>0</v>
      </c>
      <c r="BB74" s="258"/>
      <c r="BC74" s="258"/>
      <c r="BD74" s="258"/>
      <c r="BE74" s="258"/>
      <c r="BF74" s="258"/>
      <c r="BG74" s="258">
        <f t="shared" ref="BG74:BG108" si="75">IF(OR(BI74=1,BG73=0),0,BG73-AV74)</f>
        <v>0</v>
      </c>
      <c r="BH74" s="108">
        <f t="shared" si="31"/>
        <v>0</v>
      </c>
      <c r="BI74" s="108">
        <f t="shared" si="26"/>
        <v>0</v>
      </c>
      <c r="BJ74" s="22">
        <f t="shared" si="27"/>
        <v>46292</v>
      </c>
      <c r="BK74" s="108">
        <f t="shared" si="64"/>
        <v>0</v>
      </c>
      <c r="BL74" s="2" t="e">
        <f>IF(AND(G29&gt;=$W$9,G29&lt;=$W$9+5),0,IF($C$9&gt;$AF$51,ROUND(BG28*IF(#REF!="",0,#REF!)/(DATEVALUE(CONCATENATE("01/01/",YEAR(AQ29)+1))-DATEVALUE(CONCATENATE("01/01/",YEAR(AQ29))))*(AQ29-AQ28),2),0))</f>
        <v>#REF!</v>
      </c>
    </row>
    <row r="75" spans="1:64" s="16" customFormat="1" x14ac:dyDescent="0.3">
      <c r="A75" s="178"/>
      <c r="B75" s="178"/>
      <c r="C75" s="178"/>
      <c r="D75" s="178"/>
      <c r="E75" s="178"/>
      <c r="F75" s="178"/>
      <c r="G75" s="114">
        <f t="shared" si="28"/>
        <v>67</v>
      </c>
      <c r="H75" s="111">
        <f t="shared" si="60"/>
        <v>46322</v>
      </c>
      <c r="I75" s="176">
        <f t="shared" ref="I75:I108" si="76">IF($C$16="Да",$AG$40,$C$13)</f>
        <v>0.129</v>
      </c>
      <c r="J75" s="24">
        <f t="shared" si="65"/>
        <v>0</v>
      </c>
      <c r="K75" s="24">
        <f t="shared" si="59"/>
        <v>0</v>
      </c>
      <c r="L75" s="24">
        <f t="shared" si="36"/>
        <v>0</v>
      </c>
      <c r="M75" s="24">
        <f t="shared" ref="M75:M108" si="77">IF(V75=0,0,IF(V75=1,S74,IF(S74+N75+L75&gt;K74,K75-L75-N75,S74)))</f>
        <v>0</v>
      </c>
      <c r="N75" s="24">
        <f t="shared" si="61"/>
        <v>0</v>
      </c>
      <c r="O75" s="24">
        <v>0</v>
      </c>
      <c r="P75" s="24">
        <f t="shared" si="25"/>
        <v>0</v>
      </c>
      <c r="Q75" s="24">
        <f t="shared" si="33"/>
        <v>0</v>
      </c>
      <c r="R75" s="24">
        <f t="shared" si="67"/>
        <v>0</v>
      </c>
      <c r="S75" s="24">
        <f t="shared" ref="S75:S108" si="78">IF(OR(V75=1,S74=0),0,S74-M75)</f>
        <v>0</v>
      </c>
      <c r="T75" s="24"/>
      <c r="U75" s="36">
        <f t="shared" si="29"/>
        <v>0</v>
      </c>
      <c r="V75" s="36">
        <f t="shared" si="69"/>
        <v>0</v>
      </c>
      <c r="W75" s="2" t="e">
        <f>IF(AND(G40&gt;=$W$9,G40&lt;=$W$9+5),0,IF($C$9&gt;$AF$51,ROUND(S39*#REF!/(DATEVALUE(CONCATENATE("01/01/",YEAR(H40)+1))-DATEVALUE(CONCATENATE("01/01/",YEAR(H40))))*(H40-H39),2),0))</f>
        <v>#REF!</v>
      </c>
      <c r="X75" s="34">
        <f t="shared" si="51"/>
        <v>2498</v>
      </c>
      <c r="Y75" s="57">
        <f t="shared" si="47"/>
        <v>55965</v>
      </c>
      <c r="AC75" s="134">
        <v>1.1000000000000001</v>
      </c>
      <c r="AD75" s="134">
        <v>1.25</v>
      </c>
      <c r="AE75" s="134">
        <v>1.3</v>
      </c>
      <c r="AF75" s="134">
        <v>1.2</v>
      </c>
      <c r="AG75" s="134">
        <v>0</v>
      </c>
      <c r="AH75" s="134">
        <v>1</v>
      </c>
      <c r="AI75" s="134">
        <v>1.3</v>
      </c>
      <c r="AJ75" s="134">
        <v>1.3</v>
      </c>
      <c r="AK75" s="2"/>
      <c r="AL75" s="2" t="e">
        <f>IF(AND(Y31&gt;=$W$9,Y31&lt;=$W$9+5),0,IF($C$9&gt;$AF$51,ROUND(AI35*#REF!/(DATEVALUE(CONCATENATE("01/01/",YEAR(Z31)+1))-DATEVALUE(CONCATENATE("01/01/",YEAR(Z31))))*(Z31-Z30),2),0))</f>
        <v>#REF!</v>
      </c>
      <c r="AM75" s="34">
        <f t="shared" si="53"/>
        <v>2617</v>
      </c>
      <c r="AN75" s="57">
        <f t="shared" si="52"/>
        <v>54505</v>
      </c>
      <c r="AO75" s="130">
        <f t="shared" si="70"/>
        <v>0</v>
      </c>
      <c r="AP75" s="109">
        <f t="shared" si="30"/>
        <v>67</v>
      </c>
      <c r="AQ75" s="110">
        <f t="shared" si="62"/>
        <v>46322</v>
      </c>
      <c r="AR75" s="177">
        <f t="shared" si="54"/>
        <v>0.16900000000000001</v>
      </c>
      <c r="AS75" s="105">
        <f t="shared" si="71"/>
        <v>0</v>
      </c>
      <c r="AT75" s="105">
        <f t="shared" ref="AT75:AT108" si="79">IF(AND(G75&gt;=$W$9,G75&lt;=$W$9+5),$W$10,IF(AND(BG74+AW75+AU75&gt;AT74,AT74&lt;&gt;0),IF($D$16="Да",$AL$40,$D$24),IF(BG74=0,0,BG74+AW75+AU75+AU76)))</f>
        <v>0</v>
      </c>
      <c r="AU75" s="105">
        <f t="shared" ref="AU75:AU108" si="80">IF(AND(G75&gt;=$W$9,G75&lt;=$W$9+5),0,IF($C$9&gt;$AF$51,ROUND(BG74*AR75*((AQ75-DATE(YEAR(AQ75),MONTH(AQ75),1)+1)/(DATE(YEAR(AQ75)+1,1,1)-DATE(YEAR(AQ75),1,1))+(EOMONTH(AQ74,0)-AQ74)/(DATE(YEAR(AQ74)+1,1,1)-DATE(YEAR(AQ74),1,1))),2),0))</f>
        <v>0</v>
      </c>
      <c r="AV75" s="105">
        <f t="shared" si="74"/>
        <v>0</v>
      </c>
      <c r="AW75" s="105">
        <f t="shared" si="63"/>
        <v>0</v>
      </c>
      <c r="AX75" s="105">
        <v>0</v>
      </c>
      <c r="AY75" s="105">
        <f t="shared" si="22"/>
        <v>0</v>
      </c>
      <c r="AZ75" s="105">
        <f t="shared" si="39"/>
        <v>0</v>
      </c>
      <c r="BA75" s="105">
        <f t="shared" si="37"/>
        <v>0</v>
      </c>
      <c r="BB75" s="105"/>
      <c r="BC75" s="105"/>
      <c r="BD75" s="105"/>
      <c r="BE75" s="105"/>
      <c r="BF75" s="105"/>
      <c r="BG75" s="105">
        <f t="shared" si="75"/>
        <v>0</v>
      </c>
      <c r="BH75" s="108">
        <f t="shared" si="31"/>
        <v>0</v>
      </c>
      <c r="BI75" s="108">
        <f t="shared" ref="BI75:BI114" si="81">BH75</f>
        <v>0</v>
      </c>
      <c r="BJ75" s="22">
        <f t="shared" ref="BJ75:BJ114" si="82">H75</f>
        <v>46322</v>
      </c>
      <c r="BK75" s="108">
        <f t="shared" si="64"/>
        <v>0</v>
      </c>
      <c r="BL75" s="2" t="e">
        <f>IF(AND(G30&gt;=$W$9,G30&lt;=$W$9+5),0,IF($C$9&gt;$AF$51,ROUND(BG29*IF(#REF!="",0,#REF!)/(DATEVALUE(CONCATENATE("01/01/",YEAR(AQ30)+1))-DATEVALUE(CONCATENATE("01/01/",YEAR(AQ30))))*(AQ30-AQ29),2),0))</f>
        <v>#REF!</v>
      </c>
    </row>
    <row r="76" spans="1:64" s="16" customFormat="1" x14ac:dyDescent="0.3">
      <c r="A76" s="178"/>
      <c r="B76" s="178"/>
      <c r="C76" s="178"/>
      <c r="D76" s="178"/>
      <c r="E76" s="178"/>
      <c r="F76" s="178"/>
      <c r="G76" s="114">
        <f t="shared" ref="G76:G108" si="83">G75+1</f>
        <v>68</v>
      </c>
      <c r="H76" s="111">
        <f t="shared" si="60"/>
        <v>46353</v>
      </c>
      <c r="I76" s="176">
        <f t="shared" si="76"/>
        <v>0.129</v>
      </c>
      <c r="J76" s="24">
        <f t="shared" si="65"/>
        <v>0</v>
      </c>
      <c r="K76" s="24">
        <f t="shared" si="59"/>
        <v>0</v>
      </c>
      <c r="L76" s="24">
        <f t="shared" si="36"/>
        <v>0</v>
      </c>
      <c r="M76" s="24">
        <f t="shared" si="77"/>
        <v>0</v>
      </c>
      <c r="N76" s="24">
        <f t="shared" si="61"/>
        <v>0</v>
      </c>
      <c r="O76" s="24">
        <v>0</v>
      </c>
      <c r="P76" s="24">
        <f t="shared" si="25"/>
        <v>0</v>
      </c>
      <c r="Q76" s="24">
        <f t="shared" si="33"/>
        <v>0</v>
      </c>
      <c r="R76" s="24">
        <f t="shared" si="67"/>
        <v>0</v>
      </c>
      <c r="S76" s="24">
        <f t="shared" si="78"/>
        <v>0</v>
      </c>
      <c r="T76" s="24"/>
      <c r="U76" s="36">
        <f t="shared" ref="U76:U108" si="84">IF((U75-1)&lt;0,0,U75-1)</f>
        <v>0</v>
      </c>
      <c r="V76" s="36">
        <f t="shared" si="69"/>
        <v>0</v>
      </c>
      <c r="W76" s="2" t="e">
        <f>IF(AND(G41&gt;=$W$9,G41&lt;=$W$9+5),0,IF($C$9&gt;$AF$51,ROUND(S40*#REF!/(DATEVALUE(CONCATENATE("01/01/",YEAR(H41)+1))-DATEVALUE(CONCATENATE("01/01/",YEAR(H41))))*(H41-H40),2),0))</f>
        <v>#REF!</v>
      </c>
      <c r="X76" s="34">
        <f t="shared" si="51"/>
        <v>2498</v>
      </c>
      <c r="Y76" s="57">
        <f t="shared" si="47"/>
        <v>56330</v>
      </c>
      <c r="AC76" s="134">
        <v>1</v>
      </c>
      <c r="AD76" s="134">
        <v>1.1000000000000001</v>
      </c>
      <c r="AE76" s="134">
        <v>1.3</v>
      </c>
      <c r="AF76" s="134">
        <v>1.2</v>
      </c>
      <c r="AG76" s="134">
        <v>0</v>
      </c>
      <c r="AH76" s="134">
        <v>1</v>
      </c>
      <c r="AI76" s="134">
        <v>1</v>
      </c>
      <c r="AJ76" s="134">
        <v>1</v>
      </c>
      <c r="AL76" s="2" t="e">
        <f>IF(AND(Y32&gt;=$W$9,Y32&lt;=$W$9+5),0,IF($C$9&gt;$AF$51,ROUND(AI36*#REF!/(DATEVALUE(CONCATENATE("01/01/",YEAR(Z32)+1))-DATEVALUE(CONCATENATE("01/01/",YEAR(Z32))))*(Z32-Z31),2),0))</f>
        <v>#REF!</v>
      </c>
      <c r="AM76" s="34">
        <f t="shared" si="53"/>
        <v>2617</v>
      </c>
      <c r="AN76" s="57">
        <f t="shared" si="52"/>
        <v>54870</v>
      </c>
      <c r="AO76" s="130">
        <f t="shared" si="70"/>
        <v>0</v>
      </c>
      <c r="AP76" s="109">
        <f t="shared" ref="AP76:AP108" si="85">AP75+1</f>
        <v>68</v>
      </c>
      <c r="AQ76" s="110">
        <f t="shared" si="62"/>
        <v>46353</v>
      </c>
      <c r="AR76" s="177">
        <f t="shared" si="54"/>
        <v>0.16900000000000001</v>
      </c>
      <c r="AS76" s="105">
        <f t="shared" si="71"/>
        <v>0</v>
      </c>
      <c r="AT76" s="105">
        <f t="shared" si="79"/>
        <v>0</v>
      </c>
      <c r="AU76" s="105">
        <f t="shared" si="80"/>
        <v>0</v>
      </c>
      <c r="AV76" s="105">
        <f t="shared" si="74"/>
        <v>0</v>
      </c>
      <c r="AW76" s="105">
        <f t="shared" si="63"/>
        <v>0</v>
      </c>
      <c r="AX76" s="105">
        <v>0</v>
      </c>
      <c r="AY76" s="105">
        <f t="shared" si="22"/>
        <v>0</v>
      </c>
      <c r="AZ76" s="105">
        <f t="shared" si="39"/>
        <v>0</v>
      </c>
      <c r="BA76" s="105">
        <f t="shared" si="37"/>
        <v>0</v>
      </c>
      <c r="BB76" s="105"/>
      <c r="BC76" s="105"/>
      <c r="BD76" s="105"/>
      <c r="BE76" s="105"/>
      <c r="BF76" s="105"/>
      <c r="BG76" s="105">
        <f t="shared" si="75"/>
        <v>0</v>
      </c>
      <c r="BH76" s="108">
        <f t="shared" ref="BH76:BH114" si="86">IF((BH75-1)&lt;0,0,BH75-1)</f>
        <v>0</v>
      </c>
      <c r="BI76" s="108">
        <f t="shared" si="81"/>
        <v>0</v>
      </c>
      <c r="BJ76" s="22">
        <f t="shared" si="82"/>
        <v>46353</v>
      </c>
      <c r="BK76" s="108">
        <f t="shared" si="64"/>
        <v>0</v>
      </c>
      <c r="BL76" s="2" t="e">
        <f>IF(AND(G31&gt;=$W$9,G31&lt;=$W$9+5),0,IF($C$9&gt;$AF$51,ROUND(BG30*IF(#REF!="",0,#REF!)/(DATEVALUE(CONCATENATE("01/01/",YEAR(AQ31)+1))-DATEVALUE(CONCATENATE("01/01/",YEAR(AQ31))))*(AQ31-AQ30),2),0))</f>
        <v>#REF!</v>
      </c>
    </row>
    <row r="77" spans="1:64" s="16" customFormat="1" x14ac:dyDescent="0.3">
      <c r="A77" s="178"/>
      <c r="B77" s="178"/>
      <c r="C77" s="178"/>
      <c r="D77" s="178"/>
      <c r="E77" s="178"/>
      <c r="F77" s="178"/>
      <c r="G77" s="114">
        <f t="shared" si="83"/>
        <v>69</v>
      </c>
      <c r="H77" s="111">
        <f t="shared" si="60"/>
        <v>46383</v>
      </c>
      <c r="I77" s="176">
        <f t="shared" si="76"/>
        <v>0.129</v>
      </c>
      <c r="J77" s="24">
        <f t="shared" si="65"/>
        <v>0</v>
      </c>
      <c r="K77" s="24">
        <f t="shared" si="59"/>
        <v>0</v>
      </c>
      <c r="L77" s="24">
        <f t="shared" si="36"/>
        <v>0</v>
      </c>
      <c r="M77" s="24">
        <f t="shared" si="77"/>
        <v>0</v>
      </c>
      <c r="N77" s="24">
        <f t="shared" si="61"/>
        <v>0</v>
      </c>
      <c r="O77" s="24">
        <v>0</v>
      </c>
      <c r="P77" s="24">
        <f t="shared" si="25"/>
        <v>0</v>
      </c>
      <c r="Q77" s="24">
        <f t="shared" si="33"/>
        <v>0</v>
      </c>
      <c r="R77" s="24">
        <f t="shared" si="67"/>
        <v>0</v>
      </c>
      <c r="S77" s="24">
        <f t="shared" si="78"/>
        <v>0</v>
      </c>
      <c r="T77" s="24"/>
      <c r="U77" s="36">
        <f t="shared" si="84"/>
        <v>0</v>
      </c>
      <c r="V77" s="36">
        <f t="shared" si="69"/>
        <v>0</v>
      </c>
      <c r="W77" s="2" t="e">
        <f>IF(AND(G42&gt;=$W$9,G42&lt;=$W$9+5),0,IF($C$9&gt;$AF$51,ROUND(S41*#REF!/(DATEVALUE(CONCATENATE("01/01/",YEAR(H42)+1))-DATEVALUE(CONCATENATE("01/01/",YEAR(H42))))*(H42-H41),2),0))</f>
        <v>#REF!</v>
      </c>
      <c r="X77" s="34">
        <f t="shared" si="51"/>
        <v>2498</v>
      </c>
      <c r="Y77" s="57">
        <f t="shared" si="47"/>
        <v>56695</v>
      </c>
      <c r="AC77" s="16">
        <f>IF($C$7&gt;=$AA$71,AC76,IF($C$7&gt;=$AA$70,AC75,IF($C$7&gt;=$AA$69,AC74,IF($C$7&gt;=$AA$68,AC73,AC72))))</f>
        <v>1</v>
      </c>
      <c r="AD77" s="16">
        <v>1.3</v>
      </c>
      <c r="AE77" s="16">
        <f t="shared" ref="AE77:AI77" si="87">IF($C$7&gt;=$AA$71,AE76,IF($C$7&gt;=$AA$70,AE75,IF($C$7&gt;=$AA$69,AE74,IF($C$7&gt;=$AA$68,AE73,AE72))))</f>
        <v>1.5</v>
      </c>
      <c r="AF77" s="16">
        <f t="shared" si="87"/>
        <v>1.3</v>
      </c>
      <c r="AG77" s="16">
        <f t="shared" si="87"/>
        <v>0</v>
      </c>
      <c r="AH77" s="16">
        <f t="shared" si="87"/>
        <v>1</v>
      </c>
      <c r="AI77" s="16">
        <f t="shared" si="87"/>
        <v>2</v>
      </c>
      <c r="AJ77" s="16">
        <v>1</v>
      </c>
      <c r="AL77" s="2" t="e">
        <f>IF(AND(#REF!&gt;=$W$9,#REF!&lt;=$W$9+5),0,IF($C$9&gt;$AF$51,ROUND(AI37*#REF!/(DATEVALUE(CONCATENATE("01/01/",YEAR(#REF!)+1))-DATEVALUE(CONCATENATE("01/01/",YEAR(#REF!))))*(#REF!-Z32),2),0))</f>
        <v>#REF!</v>
      </c>
      <c r="AM77" s="34">
        <f t="shared" si="53"/>
        <v>2617</v>
      </c>
      <c r="AN77" s="57">
        <f t="shared" si="52"/>
        <v>55235</v>
      </c>
      <c r="AO77" s="130">
        <f t="shared" si="70"/>
        <v>0</v>
      </c>
      <c r="AP77" s="109">
        <f t="shared" si="85"/>
        <v>69</v>
      </c>
      <c r="AQ77" s="110">
        <f t="shared" si="62"/>
        <v>46383</v>
      </c>
      <c r="AR77" s="177">
        <f t="shared" si="54"/>
        <v>0.16900000000000001</v>
      </c>
      <c r="AS77" s="105">
        <f t="shared" si="71"/>
        <v>0</v>
      </c>
      <c r="AT77" s="105">
        <f t="shared" si="79"/>
        <v>0</v>
      </c>
      <c r="AU77" s="105">
        <f t="shared" si="80"/>
        <v>0</v>
      </c>
      <c r="AV77" s="105">
        <f t="shared" si="74"/>
        <v>0</v>
      </c>
      <c r="AW77" s="105">
        <f t="shared" si="63"/>
        <v>0</v>
      </c>
      <c r="AX77" s="105">
        <v>0</v>
      </c>
      <c r="AY77" s="105">
        <f t="shared" si="22"/>
        <v>0</v>
      </c>
      <c r="AZ77" s="105">
        <f t="shared" si="39"/>
        <v>0</v>
      </c>
      <c r="BA77" s="105">
        <f t="shared" si="37"/>
        <v>0</v>
      </c>
      <c r="BB77" s="105"/>
      <c r="BC77" s="105"/>
      <c r="BD77" s="105"/>
      <c r="BE77" s="105"/>
      <c r="BF77" s="105"/>
      <c r="BG77" s="105">
        <f t="shared" si="75"/>
        <v>0</v>
      </c>
      <c r="BH77" s="108">
        <f t="shared" si="86"/>
        <v>0</v>
      </c>
      <c r="BI77" s="108">
        <f t="shared" si="81"/>
        <v>0</v>
      </c>
      <c r="BJ77" s="22">
        <f t="shared" si="82"/>
        <v>46383</v>
      </c>
      <c r="BK77" s="108">
        <f t="shared" si="64"/>
        <v>0</v>
      </c>
      <c r="BL77" s="2" t="e">
        <f>IF(AND(G32&gt;=$W$9,G32&lt;=$W$9+5),0,IF($C$9&gt;$AF$51,ROUND(BG31*IF(#REF!="",0,#REF!)/(DATEVALUE(CONCATENATE("01/01/",YEAR(AQ32)+1))-DATEVALUE(CONCATENATE("01/01/",YEAR(AQ32))))*(AQ32-AQ31),2),0))</f>
        <v>#REF!</v>
      </c>
    </row>
    <row r="78" spans="1:64" s="16" customFormat="1" x14ac:dyDescent="0.3">
      <c r="A78" s="178"/>
      <c r="B78" s="178"/>
      <c r="C78" s="182"/>
      <c r="D78" s="182"/>
      <c r="E78" s="178"/>
      <c r="F78" s="178"/>
      <c r="G78" s="114">
        <f t="shared" si="83"/>
        <v>70</v>
      </c>
      <c r="H78" s="111">
        <f t="shared" si="60"/>
        <v>46414</v>
      </c>
      <c r="I78" s="176">
        <f t="shared" si="76"/>
        <v>0.129</v>
      </c>
      <c r="J78" s="24">
        <f t="shared" si="65"/>
        <v>0</v>
      </c>
      <c r="K78" s="24">
        <f t="shared" si="59"/>
        <v>0</v>
      </c>
      <c r="L78" s="24">
        <f t="shared" si="36"/>
        <v>0</v>
      </c>
      <c r="M78" s="24">
        <f t="shared" si="77"/>
        <v>0</v>
      </c>
      <c r="N78" s="24">
        <f t="shared" si="61"/>
        <v>0</v>
      </c>
      <c r="O78" s="24">
        <v>0</v>
      </c>
      <c r="P78" s="24">
        <f t="shared" si="25"/>
        <v>0</v>
      </c>
      <c r="Q78" s="24">
        <f t="shared" si="33"/>
        <v>0</v>
      </c>
      <c r="R78" s="24">
        <f t="shared" si="67"/>
        <v>0</v>
      </c>
      <c r="S78" s="24">
        <f t="shared" si="78"/>
        <v>0</v>
      </c>
      <c r="T78" s="24"/>
      <c r="U78" s="36">
        <f t="shared" si="84"/>
        <v>0</v>
      </c>
      <c r="V78" s="36">
        <f t="shared" si="69"/>
        <v>0</v>
      </c>
      <c r="W78" s="2" t="e">
        <f>IF(AND(G43&gt;=$W$9,G43&lt;=$W$9+5),0,IF($C$9&gt;$AF$51,ROUND(S42*#REF!/(DATEVALUE(CONCATENATE("01/01/",YEAR(H43)+1))-DATEVALUE(CONCATENATE("01/01/",YEAR(H43))))*(H43-H42),2),0))</f>
        <v>#REF!</v>
      </c>
      <c r="X78" s="34">
        <f t="shared" si="51"/>
        <v>2498</v>
      </c>
      <c r="Y78" s="57">
        <f t="shared" si="47"/>
        <v>57060</v>
      </c>
      <c r="AC78" s="16" t="s">
        <v>330</v>
      </c>
      <c r="AD78" s="16" t="s">
        <v>112</v>
      </c>
      <c r="AE78" s="16" t="s">
        <v>116</v>
      </c>
      <c r="AF78" s="16" t="s">
        <v>117</v>
      </c>
      <c r="AG78" s="16" t="s">
        <v>113</v>
      </c>
      <c r="AH78" s="16" t="s">
        <v>122</v>
      </c>
      <c r="AI78" s="16" t="s">
        <v>121</v>
      </c>
      <c r="AL78" s="2" t="e">
        <f>IF(AND(#REF!&gt;=$W$9,#REF!&lt;=$W$9+5),0,IF($C$9&gt;$AF$51,ROUND(AI38*#REF!/(DATEVALUE(CONCATENATE("01/01/",YEAR(#REF!)+1))-DATEVALUE(CONCATENATE("01/01/",YEAR(#REF!))))*(#REF!-#REF!),2),0))</f>
        <v>#REF!</v>
      </c>
      <c r="AM78" s="34">
        <f t="shared" si="53"/>
        <v>2617</v>
      </c>
      <c r="AN78" s="57">
        <f t="shared" si="52"/>
        <v>55600</v>
      </c>
      <c r="AO78" s="130">
        <f t="shared" si="70"/>
        <v>0</v>
      </c>
      <c r="AP78" s="109">
        <f t="shared" si="85"/>
        <v>70</v>
      </c>
      <c r="AQ78" s="110">
        <f t="shared" si="62"/>
        <v>46414</v>
      </c>
      <c r="AR78" s="177">
        <f t="shared" si="54"/>
        <v>0.16900000000000001</v>
      </c>
      <c r="AS78" s="105">
        <f t="shared" si="71"/>
        <v>0</v>
      </c>
      <c r="AT78" s="105">
        <f t="shared" si="79"/>
        <v>0</v>
      </c>
      <c r="AU78" s="105">
        <f t="shared" si="80"/>
        <v>0</v>
      </c>
      <c r="AV78" s="105">
        <f t="shared" si="74"/>
        <v>0</v>
      </c>
      <c r="AW78" s="105">
        <f t="shared" si="63"/>
        <v>0</v>
      </c>
      <c r="AX78" s="105">
        <v>0</v>
      </c>
      <c r="AY78" s="105">
        <f t="shared" si="22"/>
        <v>0</v>
      </c>
      <c r="AZ78" s="105">
        <f t="shared" si="39"/>
        <v>0</v>
      </c>
      <c r="BA78" s="105">
        <f t="shared" si="37"/>
        <v>0</v>
      </c>
      <c r="BB78" s="105"/>
      <c r="BC78" s="105"/>
      <c r="BD78" s="105"/>
      <c r="BE78" s="105"/>
      <c r="BF78" s="105"/>
      <c r="BG78" s="105">
        <f t="shared" si="75"/>
        <v>0</v>
      </c>
      <c r="BH78" s="108">
        <f t="shared" si="86"/>
        <v>0</v>
      </c>
      <c r="BI78" s="108">
        <f t="shared" si="81"/>
        <v>0</v>
      </c>
      <c r="BJ78" s="22">
        <f t="shared" si="82"/>
        <v>46414</v>
      </c>
      <c r="BK78" s="108">
        <f t="shared" si="64"/>
        <v>0</v>
      </c>
      <c r="BL78" s="2" t="e">
        <f>IF(AND(G33&gt;=$W$9,G33&lt;=$W$9+5),0,IF($C$9&gt;$AF$51,ROUND(BG32*IF(#REF!="",0,#REF!)/(DATEVALUE(CONCATENATE("01/01/",YEAR(AQ33)+1))-DATEVALUE(CONCATENATE("01/01/",YEAR(AQ33))))*(AQ33-AQ32),2),0))</f>
        <v>#REF!</v>
      </c>
    </row>
    <row r="79" spans="1:64" s="16" customFormat="1" x14ac:dyDescent="0.3">
      <c r="A79" s="178"/>
      <c r="B79" s="178"/>
      <c r="C79" s="178"/>
      <c r="D79" s="182"/>
      <c r="E79" s="178"/>
      <c r="F79" s="178"/>
      <c r="G79" s="114">
        <f t="shared" si="83"/>
        <v>71</v>
      </c>
      <c r="H79" s="111">
        <f t="shared" si="60"/>
        <v>46445</v>
      </c>
      <c r="I79" s="176">
        <f t="shared" si="76"/>
        <v>0.129</v>
      </c>
      <c r="J79" s="24">
        <f t="shared" si="65"/>
        <v>0</v>
      </c>
      <c r="K79" s="24">
        <f t="shared" si="59"/>
        <v>0</v>
      </c>
      <c r="L79" s="24">
        <f t="shared" si="36"/>
        <v>0</v>
      </c>
      <c r="M79" s="24">
        <f t="shared" si="77"/>
        <v>0</v>
      </c>
      <c r="N79" s="24">
        <f t="shared" si="61"/>
        <v>0</v>
      </c>
      <c r="O79" s="24">
        <v>0</v>
      </c>
      <c r="P79" s="24">
        <f t="shared" si="25"/>
        <v>0</v>
      </c>
      <c r="Q79" s="24">
        <f t="shared" ref="Q79:Q108" si="88">IF(V79=0,0,0)</f>
        <v>0</v>
      </c>
      <c r="R79" s="24">
        <f t="shared" si="67"/>
        <v>0</v>
      </c>
      <c r="S79" s="24">
        <f t="shared" si="78"/>
        <v>0</v>
      </c>
      <c r="T79" s="24"/>
      <c r="U79" s="36">
        <f t="shared" si="84"/>
        <v>0</v>
      </c>
      <c r="V79" s="36">
        <f t="shared" si="69"/>
        <v>0</v>
      </c>
      <c r="W79" s="2" t="e">
        <f>IF(AND(G44&gt;=$W$9,G44&lt;=$W$9+5),0,IF($C$9&gt;$AF$51,ROUND(S43*#REF!/(DATEVALUE(CONCATENATE("01/01/",YEAR(H44)+1))-DATEVALUE(CONCATENATE("01/01/",YEAR(H44))))*(H44-H43),2),0))</f>
        <v>#REF!</v>
      </c>
      <c r="X79" s="34">
        <f t="shared" si="51"/>
        <v>2498</v>
      </c>
      <c r="Y79" s="57">
        <f t="shared" si="47"/>
        <v>57425</v>
      </c>
      <c r="AC79" s="143">
        <f>MIN($C$7*IF($C$7&gt;$AB$71,AC76,IF($C$7&gt;$AB$70,AC75,IF($C$7&gt;$AB$69,AC74,IF($C$7&gt;$AB$68,AC73,AC72)))),5000000)</f>
        <v>75000</v>
      </c>
      <c r="AD79" s="143">
        <f>MIN($C$7*IF($C$7&gt;$AB$72,AD77,IF($C$7&gt;$AB$71,AD76,IF($C$7&gt;$AB$70,AD75,IF($C$7&gt;$AB$69,AD74,IF($C$7&gt;$AB$68,AD73,AD72))))),5000000)</f>
        <v>93750</v>
      </c>
      <c r="AE79" s="143">
        <f>MIN(3000000,$C$7*IF($C$7&gt;=$AA$71,AE76,IF($C$7&gt;=$AA$70,AE75,IF($C$7&gt;=$AA$69,AE74,IF($C$7&gt;=$AA$68,AE73,AE72)))))</f>
        <v>112500</v>
      </c>
      <c r="AF79" s="143">
        <f>MIN(3000000,$C$7*IF($C$7&gt;=$AA$71,AF76,IF($C$7&gt;=$AA$70,AF75,IF($C$7&gt;=$AA$69,AF74,IF($C$7&gt;=$AA$68,AF73,AF72)))))</f>
        <v>97500</v>
      </c>
      <c r="AG79" s="143">
        <f>MIN(3000000,$C$7*IF($C$7&gt;=$AA$71,AG76,IF($C$7&gt;=$AA$70,AG75,IF($C$7&gt;=$AA$69,AG74,IF($C$7&gt;=$AA$68,AG73,AG72)))))</f>
        <v>0</v>
      </c>
      <c r="AH79" s="143">
        <f>$C$7*IF($C$7&gt;=$AA$71,AH76,IF($C$7&gt;=$AA$70,AH75,IF($C$7&gt;=$AA$69,AH74,IF($C$7&gt;=$AA$68,AH73,AH72))))</f>
        <v>75000</v>
      </c>
      <c r="AI79" s="143">
        <f>$C$7*IF($C$7&gt;=$AA$71,AI76,IF($C$7&gt;=$AA$70,AI75,IF($C$7&gt;=$AA$69,AI74,IF($C$7&gt;=$AA$68,AI73,AI72))))</f>
        <v>150000</v>
      </c>
      <c r="AL79" s="2" t="e">
        <f>IF(AND(#REF!&gt;=$W$9,#REF!&lt;=$W$9+5),0,IF($C$9&gt;$AF$51,ROUND(AI39*#REF!/(DATEVALUE(CONCATENATE("01/01/",YEAR(#REF!)+1))-DATEVALUE(CONCATENATE("01/01/",YEAR(#REF!))))*(#REF!-#REF!),2),0))</f>
        <v>#REF!</v>
      </c>
      <c r="AM79" s="34">
        <f t="shared" si="53"/>
        <v>2617</v>
      </c>
      <c r="AN79" s="57">
        <f t="shared" si="52"/>
        <v>55965</v>
      </c>
      <c r="AO79" s="130">
        <f t="shared" si="70"/>
        <v>0</v>
      </c>
      <c r="AP79" s="109">
        <f t="shared" si="85"/>
        <v>71</v>
      </c>
      <c r="AQ79" s="110">
        <f t="shared" si="62"/>
        <v>46445</v>
      </c>
      <c r="AR79" s="177">
        <f t="shared" si="54"/>
        <v>0.16900000000000001</v>
      </c>
      <c r="AS79" s="105">
        <f t="shared" si="71"/>
        <v>0</v>
      </c>
      <c r="AT79" s="105">
        <f t="shared" si="79"/>
        <v>0</v>
      </c>
      <c r="AU79" s="105">
        <f t="shared" si="80"/>
        <v>0</v>
      </c>
      <c r="AV79" s="105">
        <f t="shared" si="74"/>
        <v>0</v>
      </c>
      <c r="AW79" s="105">
        <f t="shared" si="63"/>
        <v>0</v>
      </c>
      <c r="AX79" s="105">
        <v>0</v>
      </c>
      <c r="AY79" s="105">
        <f t="shared" si="22"/>
        <v>0</v>
      </c>
      <c r="AZ79" s="105">
        <f t="shared" si="39"/>
        <v>0</v>
      </c>
      <c r="BA79" s="105">
        <f t="shared" si="37"/>
        <v>0</v>
      </c>
      <c r="BB79" s="105"/>
      <c r="BC79" s="105"/>
      <c r="BD79" s="105"/>
      <c r="BE79" s="105"/>
      <c r="BF79" s="105"/>
      <c r="BG79" s="105">
        <f t="shared" si="75"/>
        <v>0</v>
      </c>
      <c r="BH79" s="108">
        <f t="shared" si="86"/>
        <v>0</v>
      </c>
      <c r="BI79" s="108">
        <f t="shared" si="81"/>
        <v>0</v>
      </c>
      <c r="BJ79" s="22">
        <f t="shared" si="82"/>
        <v>46445</v>
      </c>
      <c r="BK79" s="108">
        <f t="shared" si="64"/>
        <v>0</v>
      </c>
      <c r="BL79" s="2" t="e">
        <f>IF(AND(G34&gt;=$W$9,G34&lt;=$W$9+5),0,IF($C$9&gt;$AF$51,ROUND(BG33*IF(#REF!="",0,#REF!)/(DATEVALUE(CONCATENATE("01/01/",YEAR(AQ34)+1))-DATEVALUE(CONCATENATE("01/01/",YEAR(AQ34))))*(AQ34-AQ33),2),0))</f>
        <v>#REF!</v>
      </c>
    </row>
    <row r="80" spans="1:64" s="16" customFormat="1" hidden="1" x14ac:dyDescent="0.3">
      <c r="A80" s="178"/>
      <c r="B80" s="178"/>
      <c r="C80" s="178"/>
      <c r="D80" s="178"/>
      <c r="E80" s="178"/>
      <c r="F80" s="178"/>
      <c r="G80" s="114">
        <f t="shared" si="83"/>
        <v>72</v>
      </c>
      <c r="H80" s="111">
        <f t="shared" si="60"/>
        <v>46473</v>
      </c>
      <c r="I80" s="176">
        <f t="shared" si="76"/>
        <v>0.129</v>
      </c>
      <c r="J80" s="24">
        <f t="shared" si="65"/>
        <v>0</v>
      </c>
      <c r="K80" s="24">
        <f t="shared" si="59"/>
        <v>0</v>
      </c>
      <c r="L80" s="24">
        <f t="shared" ref="L80:L108" si="89">IF(AND(G80&gt;=$W$9,G80&lt;=$W$9+5),0,IF($C$9&gt;$AF$51,ROUND(S79*I80*((H80-DATE(YEAR(H80),MONTH(H80),1)+1)/(DATE(YEAR(H80)+1,1,1)-DATE(YEAR(H80),1,1))+(EOMONTH(H79,0)-H79)/(DATE(YEAR(H79)+1,1,1)-DATE(YEAR(H79),1,1))),2),0))</f>
        <v>0</v>
      </c>
      <c r="M80" s="24">
        <f t="shared" si="77"/>
        <v>0</v>
      </c>
      <c r="N80" s="24">
        <f t="shared" si="61"/>
        <v>0</v>
      </c>
      <c r="O80" s="24">
        <v>0</v>
      </c>
      <c r="P80" s="24">
        <f t="shared" si="25"/>
        <v>0</v>
      </c>
      <c r="Q80" s="24">
        <f t="shared" si="88"/>
        <v>0</v>
      </c>
      <c r="R80" s="24">
        <f t="shared" si="67"/>
        <v>0</v>
      </c>
      <c r="S80" s="24">
        <f t="shared" si="78"/>
        <v>0</v>
      </c>
      <c r="T80" s="24"/>
      <c r="U80" s="36">
        <f t="shared" si="84"/>
        <v>0</v>
      </c>
      <c r="V80" s="36">
        <f t="shared" si="69"/>
        <v>0</v>
      </c>
      <c r="W80" s="2" t="e">
        <f>IF(AND(G45&gt;=$W$9,G45&lt;=$W$9+5),0,IF($C$9&gt;$AF$51,ROUND(S44*#REF!/(DATEVALUE(CONCATENATE("01/01/",YEAR(H45)+1))-DATEVALUE(CONCATENATE("01/01/",YEAR(H45))))*(H45-H44),2),0))</f>
        <v>#REF!</v>
      </c>
      <c r="X80" s="34">
        <f t="shared" si="51"/>
        <v>2498</v>
      </c>
      <c r="Y80" s="57">
        <f t="shared" si="47"/>
        <v>57790</v>
      </c>
      <c r="AL80" s="2" t="e">
        <f>IF(AND(#REF!&gt;=$W$9,#REF!&lt;=$W$9+5),0,IF($C$9&gt;$AF$51,ROUND(AI40*#REF!/(DATEVALUE(CONCATENATE("01/01/",YEAR(#REF!)+1))-DATEVALUE(CONCATENATE("01/01/",YEAR(#REF!))))*(#REF!-#REF!),2),0))</f>
        <v>#REF!</v>
      </c>
      <c r="AM80" s="34">
        <f t="shared" si="53"/>
        <v>2617</v>
      </c>
      <c r="AN80" s="57">
        <f t="shared" si="52"/>
        <v>56330</v>
      </c>
      <c r="AO80" s="130">
        <f t="shared" si="70"/>
        <v>0</v>
      </c>
      <c r="AP80" s="109">
        <f t="shared" si="85"/>
        <v>72</v>
      </c>
      <c r="AQ80" s="110">
        <f t="shared" si="62"/>
        <v>46473</v>
      </c>
      <c r="AR80" s="177">
        <f t="shared" si="54"/>
        <v>0.16900000000000001</v>
      </c>
      <c r="AS80" s="105">
        <f t="shared" si="71"/>
        <v>0</v>
      </c>
      <c r="AT80" s="105">
        <f t="shared" si="79"/>
        <v>0</v>
      </c>
      <c r="AU80" s="105">
        <f t="shared" si="80"/>
        <v>0</v>
      </c>
      <c r="AV80" s="105">
        <f t="shared" si="74"/>
        <v>0</v>
      </c>
      <c r="AW80" s="105">
        <f t="shared" si="63"/>
        <v>0</v>
      </c>
      <c r="AX80" s="105">
        <v>0</v>
      </c>
      <c r="AY80" s="105">
        <f t="shared" si="22"/>
        <v>0</v>
      </c>
      <c r="AZ80" s="105">
        <f t="shared" si="39"/>
        <v>0</v>
      </c>
      <c r="BA80" s="105">
        <f t="shared" si="37"/>
        <v>0</v>
      </c>
      <c r="BB80" s="105"/>
      <c r="BC80" s="105"/>
      <c r="BD80" s="105"/>
      <c r="BE80" s="105"/>
      <c r="BF80" s="105"/>
      <c r="BG80" s="105">
        <f t="shared" si="75"/>
        <v>0</v>
      </c>
      <c r="BH80" s="108">
        <f t="shared" si="86"/>
        <v>0</v>
      </c>
      <c r="BI80" s="108">
        <f t="shared" si="81"/>
        <v>0</v>
      </c>
      <c r="BJ80" s="22">
        <f t="shared" si="82"/>
        <v>46473</v>
      </c>
      <c r="BK80" s="108">
        <f t="shared" si="64"/>
        <v>0</v>
      </c>
      <c r="BL80" s="2" t="e">
        <f>IF(AND(G35&gt;=$W$9,G35&lt;=$W$9+5),0,IF($C$9&gt;$AF$51,ROUND(BG34*IF(#REF!="",0,#REF!)/(DATEVALUE(CONCATENATE("01/01/",YEAR(AQ35)+1))-DATEVALUE(CONCATENATE("01/01/",YEAR(AQ35))))*(AQ35-AQ34),2),0))</f>
        <v>#REF!</v>
      </c>
    </row>
    <row r="81" spans="1:64" s="16" customFormat="1" hidden="1" x14ac:dyDescent="0.3">
      <c r="A81" s="178"/>
      <c r="B81" s="178"/>
      <c r="C81" s="178"/>
      <c r="D81" s="178"/>
      <c r="E81" s="178"/>
      <c r="F81" s="178"/>
      <c r="G81" s="114">
        <f t="shared" si="83"/>
        <v>73</v>
      </c>
      <c r="H81" s="111">
        <f t="shared" si="60"/>
        <v>46504</v>
      </c>
      <c r="I81" s="176">
        <f t="shared" si="76"/>
        <v>0.129</v>
      </c>
      <c r="J81" s="24">
        <f t="shared" si="65"/>
        <v>0</v>
      </c>
      <c r="K81" s="24">
        <f t="shared" si="59"/>
        <v>0</v>
      </c>
      <c r="L81" s="24">
        <f t="shared" si="89"/>
        <v>0</v>
      </c>
      <c r="M81" s="24">
        <f t="shared" si="77"/>
        <v>0</v>
      </c>
      <c r="N81" s="24">
        <f t="shared" si="61"/>
        <v>0</v>
      </c>
      <c r="O81" s="24">
        <v>0</v>
      </c>
      <c r="P81" s="24">
        <f t="shared" si="25"/>
        <v>0</v>
      </c>
      <c r="Q81" s="24">
        <f t="shared" si="88"/>
        <v>0</v>
      </c>
      <c r="R81" s="24">
        <f t="shared" si="67"/>
        <v>0</v>
      </c>
      <c r="S81" s="24">
        <f t="shared" si="78"/>
        <v>0</v>
      </c>
      <c r="T81" s="24"/>
      <c r="U81" s="36">
        <f t="shared" si="84"/>
        <v>0</v>
      </c>
      <c r="V81" s="36">
        <f t="shared" si="69"/>
        <v>0</v>
      </c>
      <c r="W81" s="2" t="e">
        <f>IF(AND(G46&gt;=$W$9,G46&lt;=$W$9+5),0,IF($C$9&gt;$AF$51,ROUND(S45*#REF!/(DATEVALUE(CONCATENATE("01/01/",YEAR(H46)+1))-DATEVALUE(CONCATENATE("01/01/",YEAR(H46))))*(H46-H45),2),0))</f>
        <v>#REF!</v>
      </c>
      <c r="X81" s="34">
        <f t="shared" si="51"/>
        <v>2498</v>
      </c>
      <c r="Y81" s="57">
        <f t="shared" si="47"/>
        <v>58155</v>
      </c>
      <c r="AL81" s="2" t="e">
        <f>IF(AND(#REF!&gt;=$W$9,#REF!&lt;=$W$9+5),0,IF($C$9&gt;$AF$51,ROUND(AI41*#REF!/(DATEVALUE(CONCATENATE("01/01/",YEAR(#REF!)+1))-DATEVALUE(CONCATENATE("01/01/",YEAR(#REF!))))*(#REF!-#REF!),2),0))</f>
        <v>#REF!</v>
      </c>
      <c r="AM81" s="34">
        <f t="shared" si="53"/>
        <v>2617</v>
      </c>
      <c r="AN81" s="57">
        <f t="shared" si="52"/>
        <v>56695</v>
      </c>
      <c r="AO81" s="130">
        <f t="shared" si="70"/>
        <v>0</v>
      </c>
      <c r="AP81" s="109">
        <f t="shared" si="85"/>
        <v>73</v>
      </c>
      <c r="AQ81" s="110">
        <f t="shared" si="62"/>
        <v>46504</v>
      </c>
      <c r="AR81" s="177">
        <f t="shared" si="54"/>
        <v>0.16900000000000001</v>
      </c>
      <c r="AS81" s="105">
        <f t="shared" si="71"/>
        <v>0</v>
      </c>
      <c r="AT81" s="105">
        <f t="shared" si="79"/>
        <v>0</v>
      </c>
      <c r="AU81" s="105">
        <f t="shared" si="80"/>
        <v>0</v>
      </c>
      <c r="AV81" s="105">
        <f t="shared" si="74"/>
        <v>0</v>
      </c>
      <c r="AW81" s="105">
        <f t="shared" si="63"/>
        <v>0</v>
      </c>
      <c r="AX81" s="105">
        <v>0</v>
      </c>
      <c r="AY81" s="105">
        <f t="shared" si="22"/>
        <v>0</v>
      </c>
      <c r="AZ81" s="105">
        <f t="shared" si="39"/>
        <v>0</v>
      </c>
      <c r="BA81" s="105">
        <f t="shared" si="37"/>
        <v>0</v>
      </c>
      <c r="BB81" s="105"/>
      <c r="BC81" s="105"/>
      <c r="BD81" s="105"/>
      <c r="BE81" s="105"/>
      <c r="BF81" s="105"/>
      <c r="BG81" s="105">
        <f t="shared" si="75"/>
        <v>0</v>
      </c>
      <c r="BH81" s="108">
        <f t="shared" si="86"/>
        <v>0</v>
      </c>
      <c r="BI81" s="108">
        <f t="shared" si="81"/>
        <v>0</v>
      </c>
      <c r="BJ81" s="22">
        <f t="shared" si="82"/>
        <v>46504</v>
      </c>
      <c r="BK81" s="108">
        <f t="shared" si="64"/>
        <v>0</v>
      </c>
      <c r="BL81" s="2" t="e">
        <f>IF(AND(G36&gt;=$W$9,G36&lt;=$W$9+5),0,IF($C$9&gt;$AF$51,ROUND(BG35*IF(#REF!="",0,#REF!)/(DATEVALUE(CONCATENATE("01/01/",YEAR(AQ36)+1))-DATEVALUE(CONCATENATE("01/01/",YEAR(AQ36))))*(AQ36-AQ35),2),0))</f>
        <v>#REF!</v>
      </c>
    </row>
    <row r="82" spans="1:64" s="16" customFormat="1" hidden="1" x14ac:dyDescent="0.3">
      <c r="A82" s="178"/>
      <c r="B82" s="178"/>
      <c r="C82" s="178"/>
      <c r="D82" s="178"/>
      <c r="E82" s="178"/>
      <c r="F82" s="178"/>
      <c r="G82" s="114">
        <f t="shared" si="83"/>
        <v>74</v>
      </c>
      <c r="H82" s="111">
        <f t="shared" si="60"/>
        <v>46534</v>
      </c>
      <c r="I82" s="176">
        <f t="shared" si="76"/>
        <v>0.129</v>
      </c>
      <c r="J82" s="24">
        <f t="shared" si="65"/>
        <v>0</v>
      </c>
      <c r="K82" s="24">
        <f t="shared" si="59"/>
        <v>0</v>
      </c>
      <c r="L82" s="24">
        <f t="shared" si="89"/>
        <v>0</v>
      </c>
      <c r="M82" s="24">
        <f t="shared" si="77"/>
        <v>0</v>
      </c>
      <c r="N82" s="24">
        <f t="shared" si="61"/>
        <v>0</v>
      </c>
      <c r="O82" s="24">
        <v>0</v>
      </c>
      <c r="P82" s="24">
        <f t="shared" si="25"/>
        <v>0</v>
      </c>
      <c r="Q82" s="24">
        <f t="shared" si="88"/>
        <v>0</v>
      </c>
      <c r="R82" s="24">
        <f t="shared" si="67"/>
        <v>0</v>
      </c>
      <c r="S82" s="24">
        <f t="shared" si="78"/>
        <v>0</v>
      </c>
      <c r="T82" s="24"/>
      <c r="U82" s="36">
        <f t="shared" si="84"/>
        <v>0</v>
      </c>
      <c r="V82" s="36">
        <f t="shared" si="69"/>
        <v>0</v>
      </c>
      <c r="W82" s="2" t="e">
        <f>IF(AND(G47&gt;=$W$9,G47&lt;=$W$9+5),0,IF($C$9&gt;$AF$51,ROUND(S46*#REF!/(DATEVALUE(CONCATENATE("01/01/",YEAR(H47)+1))-DATEVALUE(CONCATENATE("01/01/",YEAR(H47))))*(H47-H46),2),0))</f>
        <v>#REF!</v>
      </c>
      <c r="X82" s="34">
        <f t="shared" si="51"/>
        <v>2498</v>
      </c>
      <c r="Y82" s="57">
        <f t="shared" si="47"/>
        <v>58520</v>
      </c>
      <c r="Z82" s="60">
        <v>43858</v>
      </c>
      <c r="AE82" s="16">
        <f>500000*0.3*60</f>
        <v>9000000</v>
      </c>
      <c r="AL82" s="2" t="e">
        <f>IF(AND(#REF!&gt;=$W$9,#REF!&lt;=$W$9+5),0,IF($C$9&gt;$AF$51,ROUND(AI42*#REF!/(DATEVALUE(CONCATENATE("01/01/",YEAR(#REF!)+1))-DATEVALUE(CONCATENATE("01/01/",YEAR(#REF!))))*(#REF!-#REF!),2),0))</f>
        <v>#REF!</v>
      </c>
      <c r="AM82" s="34">
        <f t="shared" si="53"/>
        <v>2617</v>
      </c>
      <c r="AN82" s="57">
        <f t="shared" si="52"/>
        <v>57060</v>
      </c>
      <c r="AO82" s="130">
        <f t="shared" si="70"/>
        <v>0</v>
      </c>
      <c r="AP82" s="109">
        <f t="shared" si="85"/>
        <v>74</v>
      </c>
      <c r="AQ82" s="110">
        <f t="shared" si="62"/>
        <v>46534</v>
      </c>
      <c r="AR82" s="177">
        <f t="shared" si="54"/>
        <v>0.16900000000000001</v>
      </c>
      <c r="AS82" s="105">
        <f t="shared" si="71"/>
        <v>0</v>
      </c>
      <c r="AT82" s="105">
        <f t="shared" si="79"/>
        <v>0</v>
      </c>
      <c r="AU82" s="105">
        <f t="shared" si="80"/>
        <v>0</v>
      </c>
      <c r="AV82" s="105">
        <f t="shared" si="74"/>
        <v>0</v>
      </c>
      <c r="AW82" s="105">
        <f t="shared" si="63"/>
        <v>0</v>
      </c>
      <c r="AX82" s="105">
        <v>0</v>
      </c>
      <c r="AY82" s="105">
        <f t="shared" si="22"/>
        <v>0</v>
      </c>
      <c r="AZ82" s="105">
        <f t="shared" si="39"/>
        <v>0</v>
      </c>
      <c r="BA82" s="105">
        <f t="shared" si="37"/>
        <v>0</v>
      </c>
      <c r="BB82" s="105"/>
      <c r="BC82" s="105"/>
      <c r="BD82" s="105"/>
      <c r="BE82" s="105"/>
      <c r="BF82" s="105"/>
      <c r="BG82" s="105">
        <f t="shared" si="75"/>
        <v>0</v>
      </c>
      <c r="BH82" s="108">
        <f t="shared" si="86"/>
        <v>0</v>
      </c>
      <c r="BI82" s="108">
        <f t="shared" si="81"/>
        <v>0</v>
      </c>
      <c r="BJ82" s="22">
        <f t="shared" si="82"/>
        <v>46534</v>
      </c>
      <c r="BK82" s="108">
        <f t="shared" si="64"/>
        <v>0</v>
      </c>
      <c r="BL82" s="2" t="e">
        <f>IF(AND(G37&gt;=$W$9,G37&lt;=$W$9+5),0,IF($C$9&gt;$AF$51,ROUND(BG36*IF(#REF!="",0,#REF!)/(DATEVALUE(CONCATENATE("01/01/",YEAR(AQ37)+1))-DATEVALUE(CONCATENATE("01/01/",YEAR(AQ37))))*(AQ37-AQ36),2),0))</f>
        <v>#REF!</v>
      </c>
    </row>
    <row r="83" spans="1:64" s="16" customFormat="1" hidden="1" x14ac:dyDescent="0.3">
      <c r="A83" s="178"/>
      <c r="B83" s="178"/>
      <c r="C83" s="178"/>
      <c r="D83" s="178"/>
      <c r="E83" s="178"/>
      <c r="F83" s="178"/>
      <c r="G83" s="114">
        <f t="shared" si="83"/>
        <v>75</v>
      </c>
      <c r="H83" s="111">
        <f t="shared" si="60"/>
        <v>46565</v>
      </c>
      <c r="I83" s="176">
        <f t="shared" si="76"/>
        <v>0.129</v>
      </c>
      <c r="J83" s="24">
        <f t="shared" si="65"/>
        <v>0</v>
      </c>
      <c r="K83" s="24">
        <f t="shared" si="59"/>
        <v>0</v>
      </c>
      <c r="L83" s="24">
        <f t="shared" si="89"/>
        <v>0</v>
      </c>
      <c r="M83" s="24">
        <f t="shared" si="77"/>
        <v>0</v>
      </c>
      <c r="N83" s="24">
        <f t="shared" si="61"/>
        <v>0</v>
      </c>
      <c r="O83" s="24">
        <v>0</v>
      </c>
      <c r="P83" s="24">
        <f t="shared" si="25"/>
        <v>0</v>
      </c>
      <c r="Q83" s="24">
        <f t="shared" si="88"/>
        <v>0</v>
      </c>
      <c r="R83" s="24">
        <f t="shared" si="67"/>
        <v>0</v>
      </c>
      <c r="S83" s="24">
        <f t="shared" si="78"/>
        <v>0</v>
      </c>
      <c r="T83" s="24"/>
      <c r="U83" s="36">
        <f t="shared" si="84"/>
        <v>0</v>
      </c>
      <c r="V83" s="36">
        <f t="shared" si="69"/>
        <v>0</v>
      </c>
      <c r="W83" s="2" t="e">
        <f>IF(AND(G48&gt;=$W$9,G48&lt;=$W$9+5),0,IF($C$9&gt;$AF$51,ROUND(S47*#REF!/(DATEVALUE(CONCATENATE("01/01/",YEAR(H48)+1))-DATEVALUE(CONCATENATE("01/01/",YEAR(H48))))*(H48-H47),2),0))</f>
        <v>#REF!</v>
      </c>
      <c r="X83" s="34">
        <f t="shared" si="51"/>
        <v>2498</v>
      </c>
      <c r="Y83" s="57">
        <f t="shared" si="47"/>
        <v>58885</v>
      </c>
      <c r="AL83" s="2" t="e">
        <f>IF(AND(#REF!&gt;=$W$9,#REF!&lt;=$W$9+5),0,IF($C$9&gt;$AF$51,ROUND(AI43*#REF!/(DATEVALUE(CONCATENATE("01/01/",YEAR(#REF!)+1))-DATEVALUE(CONCATENATE("01/01/",YEAR(#REF!))))*(#REF!-#REF!),2),0))</f>
        <v>#REF!</v>
      </c>
      <c r="AM83" s="34">
        <f t="shared" si="53"/>
        <v>2617</v>
      </c>
      <c r="AN83" s="57">
        <f t="shared" si="52"/>
        <v>57425</v>
      </c>
      <c r="AO83" s="130">
        <f t="shared" si="70"/>
        <v>0</v>
      </c>
      <c r="AP83" s="109">
        <f t="shared" si="85"/>
        <v>75</v>
      </c>
      <c r="AQ83" s="110">
        <f t="shared" si="62"/>
        <v>46565</v>
      </c>
      <c r="AR83" s="177">
        <f t="shared" si="54"/>
        <v>0.16900000000000001</v>
      </c>
      <c r="AS83" s="105">
        <f t="shared" si="71"/>
        <v>0</v>
      </c>
      <c r="AT83" s="105">
        <f t="shared" si="79"/>
        <v>0</v>
      </c>
      <c r="AU83" s="105">
        <f t="shared" si="80"/>
        <v>0</v>
      </c>
      <c r="AV83" s="105">
        <f t="shared" si="74"/>
        <v>0</v>
      </c>
      <c r="AW83" s="105">
        <f t="shared" si="63"/>
        <v>0</v>
      </c>
      <c r="AX83" s="105">
        <v>0</v>
      </c>
      <c r="AY83" s="105">
        <f t="shared" si="22"/>
        <v>0</v>
      </c>
      <c r="AZ83" s="105">
        <f t="shared" si="39"/>
        <v>0</v>
      </c>
      <c r="BA83" s="105">
        <f t="shared" si="37"/>
        <v>0</v>
      </c>
      <c r="BB83" s="105"/>
      <c r="BC83" s="105"/>
      <c r="BD83" s="105"/>
      <c r="BE83" s="105"/>
      <c r="BF83" s="105"/>
      <c r="BG83" s="105">
        <f t="shared" si="75"/>
        <v>0</v>
      </c>
      <c r="BH83" s="108">
        <f t="shared" si="86"/>
        <v>0</v>
      </c>
      <c r="BI83" s="108">
        <f t="shared" si="81"/>
        <v>0</v>
      </c>
      <c r="BJ83" s="22">
        <f t="shared" si="82"/>
        <v>46565</v>
      </c>
      <c r="BK83" s="108">
        <f t="shared" si="64"/>
        <v>0</v>
      </c>
      <c r="BL83" s="2" t="e">
        <f>IF(AND(G38&gt;=$W$9,G38&lt;=$W$9+5),0,IF($C$9&gt;$AF$51,ROUND(BG37*IF(#REF!="",0,#REF!)/(DATEVALUE(CONCATENATE("01/01/",YEAR(AQ38)+1))-DATEVALUE(CONCATENATE("01/01/",YEAR(AQ38))))*(AQ38-AQ37),2),0))</f>
        <v>#REF!</v>
      </c>
    </row>
    <row r="84" spans="1:64" s="16" customFormat="1" hidden="1" x14ac:dyDescent="0.3">
      <c r="A84" s="178"/>
      <c r="B84" s="178"/>
      <c r="C84" s="178"/>
      <c r="D84" s="178"/>
      <c r="E84" s="178"/>
      <c r="F84" s="178"/>
      <c r="G84" s="114">
        <f t="shared" si="83"/>
        <v>76</v>
      </c>
      <c r="H84" s="111">
        <f t="shared" si="60"/>
        <v>46595</v>
      </c>
      <c r="I84" s="176">
        <f t="shared" si="76"/>
        <v>0.129</v>
      </c>
      <c r="J84" s="24">
        <f t="shared" si="65"/>
        <v>0</v>
      </c>
      <c r="K84" s="24">
        <f t="shared" si="59"/>
        <v>0</v>
      </c>
      <c r="L84" s="24">
        <f t="shared" si="89"/>
        <v>0</v>
      </c>
      <c r="M84" s="24">
        <f t="shared" si="77"/>
        <v>0</v>
      </c>
      <c r="N84" s="24">
        <f t="shared" si="61"/>
        <v>0</v>
      </c>
      <c r="O84" s="24">
        <v>0</v>
      </c>
      <c r="P84" s="24">
        <f t="shared" si="25"/>
        <v>0</v>
      </c>
      <c r="Q84" s="24">
        <f t="shared" si="88"/>
        <v>0</v>
      </c>
      <c r="R84" s="24">
        <f t="shared" si="67"/>
        <v>0</v>
      </c>
      <c r="S84" s="24">
        <f t="shared" si="78"/>
        <v>0</v>
      </c>
      <c r="T84" s="24"/>
      <c r="U84" s="36">
        <f t="shared" si="84"/>
        <v>0</v>
      </c>
      <c r="V84" s="36">
        <f t="shared" si="69"/>
        <v>0</v>
      </c>
      <c r="W84" s="2" t="e">
        <f>IF(AND(G49&gt;=$W$9,G49&lt;=$W$9+5),0,IF($C$9&gt;$AF$51,ROUND(S48*#REF!/(DATEVALUE(CONCATENATE("01/01/",YEAR(H49)+1))-DATEVALUE(CONCATENATE("01/01/",YEAR(H49))))*(H49-H48),2),0))</f>
        <v>#REF!</v>
      </c>
      <c r="X84" s="34">
        <f t="shared" si="51"/>
        <v>2498</v>
      </c>
      <c r="Y84" s="57">
        <f t="shared" si="47"/>
        <v>59250</v>
      </c>
      <c r="AL84" s="2" t="e">
        <f>IF(AND(#REF!&gt;=$W$9,#REF!&lt;=$W$9+5),0,IF($C$9&gt;$AF$51,ROUND(AI44*#REF!/(DATEVALUE(CONCATENATE("01/01/",YEAR(#REF!)+1))-DATEVALUE(CONCATENATE("01/01/",YEAR(#REF!))))*(#REF!-#REF!),2),0))</f>
        <v>#REF!</v>
      </c>
      <c r="AM84" s="34">
        <f t="shared" si="53"/>
        <v>2617</v>
      </c>
      <c r="AN84" s="57">
        <f t="shared" si="52"/>
        <v>57790</v>
      </c>
      <c r="AO84" s="130">
        <f t="shared" si="70"/>
        <v>0</v>
      </c>
      <c r="AP84" s="109">
        <f t="shared" si="85"/>
        <v>76</v>
      </c>
      <c r="AQ84" s="110">
        <f t="shared" si="62"/>
        <v>46595</v>
      </c>
      <c r="AR84" s="177">
        <f t="shared" si="54"/>
        <v>0.16900000000000001</v>
      </c>
      <c r="AS84" s="105">
        <f t="shared" si="71"/>
        <v>0</v>
      </c>
      <c r="AT84" s="105">
        <f t="shared" si="79"/>
        <v>0</v>
      </c>
      <c r="AU84" s="105">
        <f t="shared" si="80"/>
        <v>0</v>
      </c>
      <c r="AV84" s="105">
        <f t="shared" si="74"/>
        <v>0</v>
      </c>
      <c r="AW84" s="105">
        <f t="shared" si="63"/>
        <v>0</v>
      </c>
      <c r="AX84" s="105">
        <v>0</v>
      </c>
      <c r="AY84" s="105">
        <f t="shared" si="22"/>
        <v>0</v>
      </c>
      <c r="AZ84" s="105">
        <f t="shared" si="39"/>
        <v>0</v>
      </c>
      <c r="BA84" s="105">
        <f t="shared" ref="BA84:BA108" si="90">IF(BI90=0,0,0)</f>
        <v>0</v>
      </c>
      <c r="BB84" s="105"/>
      <c r="BC84" s="105"/>
      <c r="BD84" s="105"/>
      <c r="BE84" s="105"/>
      <c r="BF84" s="105"/>
      <c r="BG84" s="105">
        <f t="shared" si="75"/>
        <v>0</v>
      </c>
      <c r="BH84" s="108">
        <f t="shared" si="86"/>
        <v>0</v>
      </c>
      <c r="BI84" s="108">
        <f t="shared" si="81"/>
        <v>0</v>
      </c>
      <c r="BJ84" s="22">
        <f t="shared" si="82"/>
        <v>46595</v>
      </c>
      <c r="BK84" s="108">
        <f t="shared" si="64"/>
        <v>0</v>
      </c>
      <c r="BL84" s="2" t="e">
        <f>IF(AND(G39&gt;=$W$9,G39&lt;=$W$9+5),0,IF($C$9&gt;$AF$51,ROUND(BG38*IF(#REF!="",0,#REF!)/(DATEVALUE(CONCATENATE("01/01/",YEAR(AQ39)+1))-DATEVALUE(CONCATENATE("01/01/",YEAR(AQ39))))*(AQ39-AQ38),2),0))</f>
        <v>#REF!</v>
      </c>
    </row>
    <row r="85" spans="1:64" s="16" customFormat="1" hidden="1" x14ac:dyDescent="0.3">
      <c r="A85" s="178"/>
      <c r="B85" s="178"/>
      <c r="C85" s="178"/>
      <c r="D85" s="178"/>
      <c r="E85" s="178"/>
      <c r="F85" s="178"/>
      <c r="G85" s="114">
        <f t="shared" si="83"/>
        <v>77</v>
      </c>
      <c r="H85" s="111">
        <f t="shared" si="60"/>
        <v>46626</v>
      </c>
      <c r="I85" s="176">
        <f t="shared" si="76"/>
        <v>0.129</v>
      </c>
      <c r="J85" s="24">
        <f t="shared" si="65"/>
        <v>0</v>
      </c>
      <c r="K85" s="24">
        <f t="shared" si="59"/>
        <v>0</v>
      </c>
      <c r="L85" s="24">
        <f t="shared" si="89"/>
        <v>0</v>
      </c>
      <c r="M85" s="24">
        <f t="shared" si="77"/>
        <v>0</v>
      </c>
      <c r="N85" s="24">
        <f t="shared" si="61"/>
        <v>0</v>
      </c>
      <c r="O85" s="24">
        <v>0</v>
      </c>
      <c r="P85" s="24">
        <f t="shared" si="25"/>
        <v>0</v>
      </c>
      <c r="Q85" s="24">
        <f t="shared" si="88"/>
        <v>0</v>
      </c>
      <c r="R85" s="24">
        <f t="shared" si="67"/>
        <v>0</v>
      </c>
      <c r="S85" s="24">
        <f t="shared" si="78"/>
        <v>0</v>
      </c>
      <c r="T85" s="24"/>
      <c r="U85" s="36">
        <f t="shared" si="84"/>
        <v>0</v>
      </c>
      <c r="V85" s="36">
        <f t="shared" si="69"/>
        <v>0</v>
      </c>
      <c r="W85" s="2" t="e">
        <f>IF(AND(G50&gt;=$W$9,G50&lt;=$W$9+5),0,IF($C$9&gt;$AF$51,ROUND(S49*#REF!/(DATEVALUE(CONCATENATE("01/01/",YEAR(H50)+1))-DATEVALUE(CONCATENATE("01/01/",YEAR(H50))))*(H50-H49),2),0))</f>
        <v>#REF!</v>
      </c>
      <c r="X85" s="34">
        <f t="shared" si="51"/>
        <v>2498</v>
      </c>
      <c r="Y85" s="57">
        <f t="shared" si="47"/>
        <v>59615</v>
      </c>
      <c r="AL85" s="2" t="e">
        <f>IF(AND(Y42&gt;=$W$9,Y42&lt;=$W$9+5),0,IF($C$9&gt;$AF$51,ROUND(AI45*#REF!/(DATEVALUE(CONCATENATE("01/01/",YEAR(Z42)+1))-DATEVALUE(CONCATENATE("01/01/",YEAR(Z42))))*(Z42-#REF!),2),0))</f>
        <v>#REF!</v>
      </c>
      <c r="AM85" s="34">
        <f t="shared" si="53"/>
        <v>2617</v>
      </c>
      <c r="AN85" s="57">
        <f t="shared" si="52"/>
        <v>58155</v>
      </c>
      <c r="AO85" s="130">
        <f t="shared" si="70"/>
        <v>0</v>
      </c>
      <c r="AP85" s="109">
        <f t="shared" si="85"/>
        <v>77</v>
      </c>
      <c r="AQ85" s="110">
        <f t="shared" si="62"/>
        <v>46626</v>
      </c>
      <c r="AR85" s="177">
        <f t="shared" si="54"/>
        <v>0.16900000000000001</v>
      </c>
      <c r="AS85" s="105">
        <f t="shared" si="71"/>
        <v>0</v>
      </c>
      <c r="AT85" s="105">
        <f t="shared" si="79"/>
        <v>0</v>
      </c>
      <c r="AU85" s="105">
        <f t="shared" si="80"/>
        <v>0</v>
      </c>
      <c r="AV85" s="105">
        <f t="shared" si="74"/>
        <v>0</v>
      </c>
      <c r="AW85" s="105">
        <f t="shared" si="63"/>
        <v>0</v>
      </c>
      <c r="AX85" s="105">
        <v>0</v>
      </c>
      <c r="AY85" s="105">
        <f t="shared" si="22"/>
        <v>0</v>
      </c>
      <c r="AZ85" s="105">
        <f t="shared" ref="AZ85:AZ108" si="91">IF(BI91=0,0,0)</f>
        <v>0</v>
      </c>
      <c r="BA85" s="105">
        <f t="shared" si="90"/>
        <v>0</v>
      </c>
      <c r="BB85" s="105"/>
      <c r="BC85" s="105"/>
      <c r="BD85" s="105"/>
      <c r="BE85" s="105"/>
      <c r="BF85" s="105"/>
      <c r="BG85" s="105">
        <f t="shared" si="75"/>
        <v>0</v>
      </c>
      <c r="BH85" s="108">
        <f t="shared" si="86"/>
        <v>0</v>
      </c>
      <c r="BI85" s="108">
        <f t="shared" si="81"/>
        <v>0</v>
      </c>
      <c r="BJ85" s="22">
        <f t="shared" si="82"/>
        <v>46626</v>
      </c>
      <c r="BK85" s="108">
        <f t="shared" si="64"/>
        <v>0</v>
      </c>
      <c r="BL85" s="2" t="e">
        <f>IF(AND(G40&gt;=$W$9,G40&lt;=$W$9+5),0,IF($C$9&gt;$AF$51,ROUND(BG39*IF(#REF!="",0,#REF!)/(DATEVALUE(CONCATENATE("01/01/",YEAR(AQ40)+1))-DATEVALUE(CONCATENATE("01/01/",YEAR(AQ40))))*(AQ40-AQ39),2),0))</f>
        <v>#REF!</v>
      </c>
    </row>
    <row r="86" spans="1:64" s="16" customFormat="1" hidden="1" x14ac:dyDescent="0.3">
      <c r="A86" s="178"/>
      <c r="B86" s="178"/>
      <c r="C86" s="178"/>
      <c r="D86" s="178"/>
      <c r="E86" s="178"/>
      <c r="F86" s="178"/>
      <c r="G86" s="114">
        <f t="shared" si="83"/>
        <v>78</v>
      </c>
      <c r="H86" s="111">
        <f t="shared" si="60"/>
        <v>46657</v>
      </c>
      <c r="I86" s="176">
        <f t="shared" si="76"/>
        <v>0.129</v>
      </c>
      <c r="J86" s="24">
        <f t="shared" si="65"/>
        <v>0</v>
      </c>
      <c r="K86" s="24">
        <f t="shared" si="59"/>
        <v>0</v>
      </c>
      <c r="L86" s="24">
        <f t="shared" si="89"/>
        <v>0</v>
      </c>
      <c r="M86" s="24">
        <f t="shared" si="77"/>
        <v>0</v>
      </c>
      <c r="N86" s="24">
        <f t="shared" si="61"/>
        <v>0</v>
      </c>
      <c r="O86" s="24">
        <v>0</v>
      </c>
      <c r="P86" s="24">
        <f t="shared" ref="P86:P108" si="92">L86+Q86</f>
        <v>0</v>
      </c>
      <c r="Q86" s="24">
        <f t="shared" si="88"/>
        <v>0</v>
      </c>
      <c r="R86" s="24">
        <f t="shared" si="67"/>
        <v>0</v>
      </c>
      <c r="S86" s="24">
        <f t="shared" si="78"/>
        <v>0</v>
      </c>
      <c r="T86" s="24"/>
      <c r="U86" s="36">
        <f t="shared" si="84"/>
        <v>0</v>
      </c>
      <c r="V86" s="36">
        <f t="shared" si="69"/>
        <v>0</v>
      </c>
      <c r="W86" s="2" t="e">
        <f>IF(AND(G51&gt;=$W$9,G51&lt;=$W$9+5),0,IF($C$9&gt;$AF$51,ROUND(S50*#REF!/(DATEVALUE(CONCATENATE("01/01/",YEAR(H51)+1))-DATEVALUE(CONCATENATE("01/01/",YEAR(H51))))*(H51-H50),2),0))</f>
        <v>#REF!</v>
      </c>
      <c r="X86" s="34">
        <f t="shared" si="51"/>
        <v>2498</v>
      </c>
      <c r="Y86" s="57">
        <f t="shared" si="47"/>
        <v>59980</v>
      </c>
      <c r="AL86" s="2" t="e">
        <f>IF(AND(Y43&gt;=$W$9,Y43&lt;=$W$9+5),0,IF($C$9&gt;$AF$51,ROUND(AI46*#REF!/(DATEVALUE(CONCATENATE("01/01/",YEAR(Z43)+1))-DATEVALUE(CONCATENATE("01/01/",YEAR(Z43))))*(Z43-Z42),2),0))</f>
        <v>#REF!</v>
      </c>
      <c r="AM86" s="34">
        <f t="shared" si="53"/>
        <v>2617</v>
      </c>
      <c r="AN86" s="57">
        <f t="shared" si="52"/>
        <v>58520</v>
      </c>
      <c r="AO86" s="130">
        <f t="shared" si="70"/>
        <v>0</v>
      </c>
      <c r="AP86" s="109">
        <f t="shared" si="85"/>
        <v>78</v>
      </c>
      <c r="AQ86" s="110">
        <f t="shared" si="62"/>
        <v>46657</v>
      </c>
      <c r="AR86" s="177">
        <f t="shared" si="54"/>
        <v>0.16900000000000001</v>
      </c>
      <c r="AS86" s="105">
        <f t="shared" si="71"/>
        <v>0</v>
      </c>
      <c r="AT86" s="105">
        <f t="shared" si="79"/>
        <v>0</v>
      </c>
      <c r="AU86" s="105">
        <f t="shared" si="80"/>
        <v>0</v>
      </c>
      <c r="AV86" s="105">
        <f t="shared" si="74"/>
        <v>0</v>
      </c>
      <c r="AW86" s="105">
        <f t="shared" si="63"/>
        <v>0</v>
      </c>
      <c r="AX86" s="105">
        <v>0</v>
      </c>
      <c r="AY86" s="105">
        <f t="shared" ref="AY86:AY108" si="93">AU86+AZ86</f>
        <v>0</v>
      </c>
      <c r="AZ86" s="105">
        <f t="shared" si="91"/>
        <v>0</v>
      </c>
      <c r="BA86" s="105">
        <f t="shared" si="90"/>
        <v>0</v>
      </c>
      <c r="BB86" s="105"/>
      <c r="BC86" s="105"/>
      <c r="BD86" s="105"/>
      <c r="BE86" s="105"/>
      <c r="BF86" s="105"/>
      <c r="BG86" s="105">
        <f t="shared" si="75"/>
        <v>0</v>
      </c>
      <c r="BH86" s="108">
        <f t="shared" si="86"/>
        <v>0</v>
      </c>
      <c r="BI86" s="108">
        <f t="shared" si="81"/>
        <v>0</v>
      </c>
      <c r="BJ86" s="22">
        <f t="shared" si="82"/>
        <v>46657</v>
      </c>
      <c r="BK86" s="108">
        <f t="shared" si="64"/>
        <v>0</v>
      </c>
      <c r="BL86" s="2" t="e">
        <f>IF(AND(G41&gt;=$W$9,G41&lt;=$W$9+5),0,IF($C$9&gt;$AF$51,ROUND(BG40*IF(#REF!="",0,#REF!)/(DATEVALUE(CONCATENATE("01/01/",YEAR(AQ41)+1))-DATEVALUE(CONCATENATE("01/01/",YEAR(AQ41))))*(AQ41-AQ40),2),0))</f>
        <v>#REF!</v>
      </c>
    </row>
    <row r="87" spans="1:64" s="16" customFormat="1" hidden="1" x14ac:dyDescent="0.3">
      <c r="A87" s="178"/>
      <c r="B87" s="178"/>
      <c r="C87" s="178"/>
      <c r="D87" s="178"/>
      <c r="E87" s="178"/>
      <c r="F87" s="178"/>
      <c r="G87" s="114">
        <f t="shared" si="83"/>
        <v>79</v>
      </c>
      <c r="H87" s="111">
        <f t="shared" si="60"/>
        <v>46687</v>
      </c>
      <c r="I87" s="176">
        <f t="shared" si="76"/>
        <v>0.129</v>
      </c>
      <c r="J87" s="24">
        <f t="shared" si="65"/>
        <v>0</v>
      </c>
      <c r="K87" s="24">
        <f t="shared" si="59"/>
        <v>0</v>
      </c>
      <c r="L87" s="24">
        <f t="shared" si="89"/>
        <v>0</v>
      </c>
      <c r="M87" s="24">
        <f t="shared" si="77"/>
        <v>0</v>
      </c>
      <c r="N87" s="24">
        <f t="shared" si="61"/>
        <v>0</v>
      </c>
      <c r="O87" s="24">
        <v>0</v>
      </c>
      <c r="P87" s="24">
        <f t="shared" si="92"/>
        <v>0</v>
      </c>
      <c r="Q87" s="24">
        <f t="shared" si="88"/>
        <v>0</v>
      </c>
      <c r="R87" s="24">
        <f t="shared" si="67"/>
        <v>0</v>
      </c>
      <c r="S87" s="24">
        <f t="shared" si="78"/>
        <v>0</v>
      </c>
      <c r="T87" s="24"/>
      <c r="U87" s="36">
        <f t="shared" si="84"/>
        <v>0</v>
      </c>
      <c r="V87" s="36">
        <f t="shared" si="69"/>
        <v>0</v>
      </c>
      <c r="W87" s="2" t="e">
        <f>IF(AND(G52&gt;=$W$9,G52&lt;=$W$9+5),0,IF($C$9&gt;$AF$51,ROUND(S51*#REF!/(DATEVALUE(CONCATENATE("01/01/",YEAR(H52)+1))-DATEVALUE(CONCATENATE("01/01/",YEAR(H52))))*(H52-H51),2),0))</f>
        <v>#REF!</v>
      </c>
      <c r="X87" s="34">
        <f t="shared" si="51"/>
        <v>2498</v>
      </c>
      <c r="Y87" s="57">
        <f t="shared" si="47"/>
        <v>60345</v>
      </c>
      <c r="AL87" s="2" t="e">
        <f>IF(AND(Y44&gt;=$W$9,Y44&lt;=$W$9+5),0,IF($C$9&gt;$AF$51,ROUND(AI47*#REF!/(DATEVALUE(CONCATENATE("01/01/",YEAR(Z44)+1))-DATEVALUE(CONCATENATE("01/01/",YEAR(Z44))))*(Z44-Z43),2),0))</f>
        <v>#REF!</v>
      </c>
      <c r="AM87" s="34">
        <f t="shared" si="53"/>
        <v>2617</v>
      </c>
      <c r="AN87" s="57">
        <f t="shared" si="52"/>
        <v>58885</v>
      </c>
      <c r="AO87" s="130">
        <f t="shared" si="70"/>
        <v>0</v>
      </c>
      <c r="AP87" s="109">
        <f t="shared" si="85"/>
        <v>79</v>
      </c>
      <c r="AQ87" s="110">
        <f t="shared" si="62"/>
        <v>46687</v>
      </c>
      <c r="AR87" s="177">
        <f t="shared" si="54"/>
        <v>0.16900000000000001</v>
      </c>
      <c r="AS87" s="105">
        <f t="shared" si="71"/>
        <v>0</v>
      </c>
      <c r="AT87" s="105">
        <f t="shared" si="79"/>
        <v>0</v>
      </c>
      <c r="AU87" s="105">
        <f t="shared" si="80"/>
        <v>0</v>
      </c>
      <c r="AV87" s="105">
        <f t="shared" si="74"/>
        <v>0</v>
      </c>
      <c r="AW87" s="105">
        <f t="shared" si="63"/>
        <v>0</v>
      </c>
      <c r="AX87" s="105">
        <v>0</v>
      </c>
      <c r="AY87" s="105">
        <f t="shared" si="93"/>
        <v>0</v>
      </c>
      <c r="AZ87" s="105">
        <f t="shared" si="91"/>
        <v>0</v>
      </c>
      <c r="BA87" s="105">
        <f t="shared" si="90"/>
        <v>0</v>
      </c>
      <c r="BB87" s="105"/>
      <c r="BC87" s="105"/>
      <c r="BD87" s="105"/>
      <c r="BE87" s="105"/>
      <c r="BF87" s="105"/>
      <c r="BG87" s="105">
        <f t="shared" si="75"/>
        <v>0</v>
      </c>
      <c r="BH87" s="108">
        <f t="shared" si="86"/>
        <v>0</v>
      </c>
      <c r="BI87" s="108">
        <f t="shared" si="81"/>
        <v>0</v>
      </c>
      <c r="BJ87" s="22">
        <f t="shared" si="82"/>
        <v>46687</v>
      </c>
      <c r="BK87" s="108">
        <f t="shared" si="64"/>
        <v>0</v>
      </c>
      <c r="BL87" s="2" t="e">
        <f>IF(AND(G42&gt;=$W$9,G42&lt;=$W$9+5),0,IF($C$9&gt;$AF$51,ROUND(BG41*IF(#REF!="",0,#REF!)/(DATEVALUE(CONCATENATE("01/01/",YEAR(AQ42)+1))-DATEVALUE(CONCATENATE("01/01/",YEAR(AQ42))))*(AQ42-AQ41),2),0))</f>
        <v>#REF!</v>
      </c>
    </row>
    <row r="88" spans="1:64" s="16" customFormat="1" hidden="1" x14ac:dyDescent="0.3">
      <c r="A88" s="178"/>
      <c r="B88" s="178"/>
      <c r="C88" s="182"/>
      <c r="D88" s="182"/>
      <c r="E88" s="178"/>
      <c r="F88" s="178"/>
      <c r="G88" s="114">
        <f t="shared" si="83"/>
        <v>80</v>
      </c>
      <c r="H88" s="111">
        <f t="shared" si="60"/>
        <v>46718</v>
      </c>
      <c r="I88" s="176">
        <f t="shared" si="76"/>
        <v>0.129</v>
      </c>
      <c r="J88" s="24">
        <f t="shared" si="65"/>
        <v>0</v>
      </c>
      <c r="K88" s="24">
        <f t="shared" si="59"/>
        <v>0</v>
      </c>
      <c r="L88" s="24">
        <f t="shared" si="89"/>
        <v>0</v>
      </c>
      <c r="M88" s="24">
        <f t="shared" si="77"/>
        <v>0</v>
      </c>
      <c r="N88" s="24">
        <f t="shared" si="61"/>
        <v>0</v>
      </c>
      <c r="O88" s="24">
        <v>0</v>
      </c>
      <c r="P88" s="24">
        <f t="shared" si="92"/>
        <v>0</v>
      </c>
      <c r="Q88" s="24">
        <f t="shared" si="88"/>
        <v>0</v>
      </c>
      <c r="R88" s="24">
        <f t="shared" si="67"/>
        <v>0</v>
      </c>
      <c r="S88" s="24">
        <f t="shared" si="78"/>
        <v>0</v>
      </c>
      <c r="T88" s="24"/>
      <c r="U88" s="36">
        <f t="shared" si="84"/>
        <v>0</v>
      </c>
      <c r="V88" s="36">
        <f t="shared" si="69"/>
        <v>0</v>
      </c>
      <c r="W88" s="2" t="e">
        <f>IF(AND(G53&gt;=$W$9,G53&lt;=$W$9+5),0,IF($C$9&gt;$AF$51,ROUND(S52*#REF!/(DATEVALUE(CONCATENATE("01/01/",YEAR(H53)+1))-DATEVALUE(CONCATENATE("01/01/",YEAR(H53))))*(H53-H52),2),0))</f>
        <v>#REF!</v>
      </c>
      <c r="X88" s="34">
        <f t="shared" si="51"/>
        <v>2498</v>
      </c>
      <c r="Y88" s="57">
        <f t="shared" si="47"/>
        <v>60710</v>
      </c>
      <c r="AL88" s="2" t="e">
        <f>IF(AND(Y45&gt;=$W$9,Y45&lt;=$W$9+5),0,IF($C$9&gt;$AF$51,ROUND(AI48*#REF!/(DATEVALUE(CONCATENATE("01/01/",YEAR(Z45)+1))-DATEVALUE(CONCATENATE("01/01/",YEAR(Z45))))*(Z45-Z44),2),0))</f>
        <v>#REF!</v>
      </c>
      <c r="AM88" s="34">
        <f t="shared" si="53"/>
        <v>2617</v>
      </c>
      <c r="AN88" s="57">
        <f t="shared" si="52"/>
        <v>59250</v>
      </c>
      <c r="AO88" s="130">
        <f t="shared" si="70"/>
        <v>0</v>
      </c>
      <c r="AP88" s="109">
        <f t="shared" si="85"/>
        <v>80</v>
      </c>
      <c r="AQ88" s="110">
        <f t="shared" si="62"/>
        <v>46718</v>
      </c>
      <c r="AR88" s="177">
        <f t="shared" si="54"/>
        <v>0.16900000000000001</v>
      </c>
      <c r="AS88" s="105">
        <f t="shared" si="71"/>
        <v>0</v>
      </c>
      <c r="AT88" s="105">
        <f t="shared" si="79"/>
        <v>0</v>
      </c>
      <c r="AU88" s="105">
        <f t="shared" si="80"/>
        <v>0</v>
      </c>
      <c r="AV88" s="105">
        <f t="shared" si="74"/>
        <v>0</v>
      </c>
      <c r="AW88" s="105">
        <f t="shared" si="63"/>
        <v>0</v>
      </c>
      <c r="AX88" s="105">
        <v>0</v>
      </c>
      <c r="AY88" s="105">
        <f t="shared" si="93"/>
        <v>0</v>
      </c>
      <c r="AZ88" s="105">
        <f t="shared" si="91"/>
        <v>0</v>
      </c>
      <c r="BA88" s="105">
        <f t="shared" si="90"/>
        <v>0</v>
      </c>
      <c r="BB88" s="105"/>
      <c r="BC88" s="105"/>
      <c r="BD88" s="105"/>
      <c r="BE88" s="105"/>
      <c r="BF88" s="105"/>
      <c r="BG88" s="105">
        <f t="shared" si="75"/>
        <v>0</v>
      </c>
      <c r="BH88" s="108">
        <f t="shared" si="86"/>
        <v>0</v>
      </c>
      <c r="BI88" s="108">
        <f t="shared" si="81"/>
        <v>0</v>
      </c>
      <c r="BJ88" s="22">
        <f t="shared" si="82"/>
        <v>46718</v>
      </c>
      <c r="BK88" s="108">
        <f t="shared" si="64"/>
        <v>0</v>
      </c>
      <c r="BL88" s="2" t="e">
        <f>IF(AND(G43&gt;=$W$9,G43&lt;=$W$9+5),0,IF($C$9&gt;$AF$51,ROUND(BG42*IF(#REF!="",0,#REF!)/(DATEVALUE(CONCATENATE("01/01/",YEAR(AQ43)+1))-DATEVALUE(CONCATENATE("01/01/",YEAR(AQ43))))*(AQ43-AQ42),2),0))</f>
        <v>#REF!</v>
      </c>
    </row>
    <row r="89" spans="1:64" s="16" customFormat="1" hidden="1" x14ac:dyDescent="0.3">
      <c r="A89" s="178"/>
      <c r="B89" s="178"/>
      <c r="C89" s="178"/>
      <c r="D89" s="182"/>
      <c r="E89" s="178"/>
      <c r="F89" s="178"/>
      <c r="G89" s="114">
        <f t="shared" si="83"/>
        <v>81</v>
      </c>
      <c r="H89" s="111">
        <f t="shared" si="60"/>
        <v>46748</v>
      </c>
      <c r="I89" s="176">
        <f t="shared" si="76"/>
        <v>0.129</v>
      </c>
      <c r="J89" s="24">
        <f t="shared" si="65"/>
        <v>0</v>
      </c>
      <c r="K89" s="24">
        <f t="shared" si="59"/>
        <v>0</v>
      </c>
      <c r="L89" s="24">
        <f t="shared" si="89"/>
        <v>0</v>
      </c>
      <c r="M89" s="24">
        <f t="shared" si="77"/>
        <v>0</v>
      </c>
      <c r="N89" s="24">
        <f t="shared" si="61"/>
        <v>0</v>
      </c>
      <c r="O89" s="24">
        <v>0</v>
      </c>
      <c r="P89" s="24">
        <f t="shared" si="92"/>
        <v>0</v>
      </c>
      <c r="Q89" s="24">
        <f t="shared" si="88"/>
        <v>0</v>
      </c>
      <c r="R89" s="24">
        <f t="shared" si="67"/>
        <v>0</v>
      </c>
      <c r="S89" s="24">
        <f t="shared" si="78"/>
        <v>0</v>
      </c>
      <c r="T89" s="24"/>
      <c r="U89" s="36">
        <f t="shared" si="84"/>
        <v>0</v>
      </c>
      <c r="V89" s="36">
        <f t="shared" si="69"/>
        <v>0</v>
      </c>
      <c r="W89" s="2" t="e">
        <f>IF(AND(G54&gt;=$W$9,G54&lt;=$W$9+5),0,IF($C$9&gt;$AF$51,ROUND(S53*#REF!/(DATEVALUE(CONCATENATE("01/01/",YEAR(H54)+1))-DATEVALUE(CONCATENATE("01/01/",YEAR(H54))))*(H54-H53),2),0))</f>
        <v>#REF!</v>
      </c>
      <c r="X89" s="34">
        <f t="shared" si="51"/>
        <v>2498</v>
      </c>
      <c r="Y89" s="57">
        <f t="shared" si="47"/>
        <v>61075</v>
      </c>
      <c r="AL89" s="2" t="e">
        <f>IF(AND(Y46&gt;=$W$9,Y46&lt;=$W$9+5),0,IF($C$9&gt;$AF$51,ROUND(AI49*#REF!/(DATEVALUE(CONCATENATE("01/01/",YEAR(Z46)+1))-DATEVALUE(CONCATENATE("01/01/",YEAR(Z46))))*(Z46-Z45),2),0))</f>
        <v>#REF!</v>
      </c>
      <c r="AM89" s="34">
        <f t="shared" si="53"/>
        <v>2617</v>
      </c>
      <c r="AN89" s="57">
        <f t="shared" si="52"/>
        <v>59615</v>
      </c>
      <c r="AO89" s="130">
        <f t="shared" si="70"/>
        <v>0</v>
      </c>
      <c r="AP89" s="109">
        <f t="shared" si="85"/>
        <v>81</v>
      </c>
      <c r="AQ89" s="110">
        <f t="shared" si="62"/>
        <v>46748</v>
      </c>
      <c r="AR89" s="177">
        <f t="shared" si="54"/>
        <v>0.16900000000000001</v>
      </c>
      <c r="AS89" s="105">
        <f t="shared" si="71"/>
        <v>0</v>
      </c>
      <c r="AT89" s="105">
        <f t="shared" si="79"/>
        <v>0</v>
      </c>
      <c r="AU89" s="105">
        <f t="shared" si="80"/>
        <v>0</v>
      </c>
      <c r="AV89" s="105">
        <f t="shared" si="74"/>
        <v>0</v>
      </c>
      <c r="AW89" s="105">
        <f t="shared" si="63"/>
        <v>0</v>
      </c>
      <c r="AX89" s="105">
        <v>0</v>
      </c>
      <c r="AY89" s="105">
        <f t="shared" si="93"/>
        <v>0</v>
      </c>
      <c r="AZ89" s="105">
        <f t="shared" si="91"/>
        <v>0</v>
      </c>
      <c r="BA89" s="105">
        <f t="shared" si="90"/>
        <v>0</v>
      </c>
      <c r="BB89" s="105"/>
      <c r="BC89" s="105"/>
      <c r="BD89" s="105"/>
      <c r="BE89" s="105"/>
      <c r="BF89" s="105"/>
      <c r="BG89" s="105">
        <f t="shared" si="75"/>
        <v>0</v>
      </c>
      <c r="BH89" s="108">
        <f t="shared" si="86"/>
        <v>0</v>
      </c>
      <c r="BI89" s="108">
        <f t="shared" si="81"/>
        <v>0</v>
      </c>
      <c r="BJ89" s="22">
        <f t="shared" si="82"/>
        <v>46748</v>
      </c>
      <c r="BK89" s="108">
        <f t="shared" si="64"/>
        <v>0</v>
      </c>
      <c r="BL89" s="2" t="e">
        <f>IF(AND(G44&gt;=$W$9,G44&lt;=$W$9+5),0,IF($C$9&gt;$AF$51,ROUND(BG43*IF(#REF!="",0,#REF!)/(DATEVALUE(CONCATENATE("01/01/",YEAR(AQ44)+1))-DATEVALUE(CONCATENATE("01/01/",YEAR(AQ44))))*(AQ44-AQ43),2),0))</f>
        <v>#REF!</v>
      </c>
    </row>
    <row r="90" spans="1:64" s="16" customFormat="1" hidden="1" x14ac:dyDescent="0.3">
      <c r="A90" s="178"/>
      <c r="B90" s="178"/>
      <c r="C90" s="178"/>
      <c r="D90" s="178"/>
      <c r="E90" s="178"/>
      <c r="F90" s="184"/>
      <c r="G90" s="114">
        <f t="shared" si="83"/>
        <v>82</v>
      </c>
      <c r="H90" s="111">
        <f t="shared" si="60"/>
        <v>46779</v>
      </c>
      <c r="I90" s="176">
        <f t="shared" si="76"/>
        <v>0.129</v>
      </c>
      <c r="J90" s="24">
        <f t="shared" si="65"/>
        <v>0</v>
      </c>
      <c r="K90" s="24">
        <f t="shared" si="59"/>
        <v>0</v>
      </c>
      <c r="L90" s="24">
        <f t="shared" si="89"/>
        <v>0</v>
      </c>
      <c r="M90" s="24">
        <f t="shared" si="77"/>
        <v>0</v>
      </c>
      <c r="N90" s="24">
        <f t="shared" si="61"/>
        <v>0</v>
      </c>
      <c r="O90" s="24">
        <v>0</v>
      </c>
      <c r="P90" s="24">
        <f t="shared" si="92"/>
        <v>0</v>
      </c>
      <c r="Q90" s="24">
        <f t="shared" si="88"/>
        <v>0</v>
      </c>
      <c r="R90" s="24">
        <f t="shared" si="67"/>
        <v>0</v>
      </c>
      <c r="S90" s="24">
        <f t="shared" si="78"/>
        <v>0</v>
      </c>
      <c r="T90" s="24"/>
      <c r="U90" s="36">
        <f t="shared" si="84"/>
        <v>0</v>
      </c>
      <c r="V90" s="36">
        <f t="shared" si="69"/>
        <v>0</v>
      </c>
      <c r="W90" s="2" t="e">
        <f>IF(AND(G55&gt;=$W$9,G55&lt;=$W$9+5),0,IF($C$9&gt;$AF$51,ROUND(S54*#REF!/(DATEVALUE(CONCATENATE("01/01/",YEAR(H55)+1))-DATEVALUE(CONCATENATE("01/01/",YEAR(H55))))*(H55-H54),2),0))</f>
        <v>#REF!</v>
      </c>
      <c r="X90" s="34">
        <f t="shared" si="51"/>
        <v>2498</v>
      </c>
      <c r="Y90" s="57">
        <f t="shared" si="47"/>
        <v>61440</v>
      </c>
      <c r="AL90" s="2" t="e">
        <f>IF(AND(Y47&gt;=$W$9,Y47&lt;=$W$9+5),0,IF($C$9&gt;$AF$51,ROUND(AI50*#REF!/(DATEVALUE(CONCATENATE("01/01/",YEAR(Z47)+1))-DATEVALUE(CONCATENATE("01/01/",YEAR(Z47))))*(Z47-Z46),2),0))</f>
        <v>#REF!</v>
      </c>
      <c r="AM90" s="34">
        <f t="shared" si="53"/>
        <v>2617</v>
      </c>
      <c r="AN90" s="57">
        <f t="shared" si="52"/>
        <v>59980</v>
      </c>
      <c r="AO90" s="130">
        <f t="shared" si="70"/>
        <v>0</v>
      </c>
      <c r="AP90" s="109">
        <f t="shared" si="85"/>
        <v>82</v>
      </c>
      <c r="AQ90" s="110">
        <f t="shared" si="62"/>
        <v>46779</v>
      </c>
      <c r="AR90" s="177">
        <f t="shared" si="54"/>
        <v>0.16900000000000001</v>
      </c>
      <c r="AS90" s="105">
        <f t="shared" si="71"/>
        <v>0</v>
      </c>
      <c r="AT90" s="105">
        <f t="shared" si="79"/>
        <v>0</v>
      </c>
      <c r="AU90" s="105">
        <f t="shared" si="80"/>
        <v>0</v>
      </c>
      <c r="AV90" s="105">
        <f t="shared" si="74"/>
        <v>0</v>
      </c>
      <c r="AW90" s="105">
        <f t="shared" si="63"/>
        <v>0</v>
      </c>
      <c r="AX90" s="105">
        <v>0</v>
      </c>
      <c r="AY90" s="105">
        <f t="shared" si="93"/>
        <v>0</v>
      </c>
      <c r="AZ90" s="105">
        <f t="shared" si="91"/>
        <v>0</v>
      </c>
      <c r="BA90" s="105">
        <f t="shared" si="90"/>
        <v>0</v>
      </c>
      <c r="BB90" s="105"/>
      <c r="BC90" s="105"/>
      <c r="BD90" s="105"/>
      <c r="BE90" s="105"/>
      <c r="BF90" s="105"/>
      <c r="BG90" s="105">
        <f t="shared" si="75"/>
        <v>0</v>
      </c>
      <c r="BH90" s="108">
        <f t="shared" si="86"/>
        <v>0</v>
      </c>
      <c r="BI90" s="108">
        <f t="shared" si="81"/>
        <v>0</v>
      </c>
      <c r="BJ90" s="22">
        <f t="shared" si="82"/>
        <v>46779</v>
      </c>
      <c r="BK90" s="108">
        <f t="shared" si="64"/>
        <v>0</v>
      </c>
      <c r="BL90" s="2" t="e">
        <f>IF(AND(G45&gt;=$W$9,G45&lt;=$W$9+5),0,IF($C$9&gt;$AF$51,ROUND(BG44*IF(#REF!="",0,#REF!)/(DATEVALUE(CONCATENATE("01/01/",YEAR(AQ45)+1))-DATEVALUE(CONCATENATE("01/01/",YEAR(AQ45))))*(AQ45-AQ44),2),0))</f>
        <v>#REF!</v>
      </c>
    </row>
    <row r="91" spans="1:64" s="16" customFormat="1" hidden="1" x14ac:dyDescent="0.3">
      <c r="A91" s="178"/>
      <c r="B91" s="178"/>
      <c r="C91" s="178"/>
      <c r="D91" s="178"/>
      <c r="E91" s="178"/>
      <c r="F91" s="184"/>
      <c r="G91" s="114">
        <f t="shared" si="83"/>
        <v>83</v>
      </c>
      <c r="H91" s="111">
        <f t="shared" si="60"/>
        <v>46810</v>
      </c>
      <c r="I91" s="176">
        <f t="shared" si="76"/>
        <v>0.129</v>
      </c>
      <c r="J91" s="24">
        <f t="shared" si="65"/>
        <v>0</v>
      </c>
      <c r="K91" s="24">
        <f t="shared" si="59"/>
        <v>0</v>
      </c>
      <c r="L91" s="24">
        <f t="shared" si="89"/>
        <v>0</v>
      </c>
      <c r="M91" s="24">
        <f t="shared" si="77"/>
        <v>0</v>
      </c>
      <c r="N91" s="24">
        <f t="shared" si="61"/>
        <v>0</v>
      </c>
      <c r="O91" s="24">
        <v>0</v>
      </c>
      <c r="P91" s="24">
        <f t="shared" si="92"/>
        <v>0</v>
      </c>
      <c r="Q91" s="24">
        <f t="shared" si="88"/>
        <v>0</v>
      </c>
      <c r="R91" s="24">
        <f t="shared" si="67"/>
        <v>0</v>
      </c>
      <c r="S91" s="24">
        <f t="shared" si="78"/>
        <v>0</v>
      </c>
      <c r="T91" s="24"/>
      <c r="U91" s="36">
        <f t="shared" si="84"/>
        <v>0</v>
      </c>
      <c r="V91" s="36">
        <f t="shared" si="69"/>
        <v>0</v>
      </c>
      <c r="W91" s="2" t="e">
        <f>IF(AND(G56&gt;=$W$9,G56&lt;=$W$9+5),0,IF($C$9&gt;$AF$51,ROUND(S55*#REF!/(DATEVALUE(CONCATENATE("01/01/",YEAR(H56)+1))-DATEVALUE(CONCATENATE("01/01/",YEAR(H56))))*(H56-H55),2),0))</f>
        <v>#REF!</v>
      </c>
      <c r="X91" s="34">
        <f t="shared" si="51"/>
        <v>2498</v>
      </c>
      <c r="Y91" s="57">
        <f t="shared" si="47"/>
        <v>61805</v>
      </c>
      <c r="AL91" s="2" t="e">
        <f>IF(AND(Y48&gt;=$W$9,Y48&lt;=$W$9+5),0,IF($C$9&gt;$AF$51,ROUND(AI51*#REF!/(DATEVALUE(CONCATENATE("01/01/",YEAR(Z48)+1))-DATEVALUE(CONCATENATE("01/01/",YEAR(Z48))))*(Z48-Z47),2),0))</f>
        <v>#REF!</v>
      </c>
      <c r="AM91" s="34">
        <f t="shared" si="53"/>
        <v>2617</v>
      </c>
      <c r="AN91" s="57">
        <f t="shared" si="52"/>
        <v>60345</v>
      </c>
      <c r="AO91" s="130">
        <f t="shared" si="70"/>
        <v>0</v>
      </c>
      <c r="AP91" s="109">
        <f t="shared" si="85"/>
        <v>83</v>
      </c>
      <c r="AQ91" s="110">
        <f t="shared" si="62"/>
        <v>46810</v>
      </c>
      <c r="AR91" s="177">
        <f t="shared" si="54"/>
        <v>0.16900000000000001</v>
      </c>
      <c r="AS91" s="105">
        <f t="shared" si="71"/>
        <v>0</v>
      </c>
      <c r="AT91" s="105">
        <f t="shared" si="79"/>
        <v>0</v>
      </c>
      <c r="AU91" s="105">
        <f t="shared" si="80"/>
        <v>0</v>
      </c>
      <c r="AV91" s="105">
        <f t="shared" si="74"/>
        <v>0</v>
      </c>
      <c r="AW91" s="105">
        <f t="shared" si="63"/>
        <v>0</v>
      </c>
      <c r="AX91" s="105">
        <v>0</v>
      </c>
      <c r="AY91" s="105">
        <f t="shared" si="93"/>
        <v>0</v>
      </c>
      <c r="AZ91" s="105">
        <f t="shared" si="91"/>
        <v>0</v>
      </c>
      <c r="BA91" s="105">
        <f t="shared" si="90"/>
        <v>0</v>
      </c>
      <c r="BB91" s="105"/>
      <c r="BC91" s="105"/>
      <c r="BD91" s="105"/>
      <c r="BE91" s="105"/>
      <c r="BF91" s="105"/>
      <c r="BG91" s="105">
        <f t="shared" si="75"/>
        <v>0</v>
      </c>
      <c r="BH91" s="108">
        <f t="shared" si="86"/>
        <v>0</v>
      </c>
      <c r="BI91" s="108">
        <f t="shared" si="81"/>
        <v>0</v>
      </c>
      <c r="BJ91" s="22">
        <f t="shared" si="82"/>
        <v>46810</v>
      </c>
      <c r="BK91" s="108">
        <f t="shared" si="64"/>
        <v>0</v>
      </c>
      <c r="BL91" s="2" t="e">
        <f>IF(AND(G46&gt;=$W$9,G46&lt;=$W$9+5),0,IF($C$9&gt;$AF$51,ROUND(BG45*IF(#REF!="",0,#REF!)/(DATEVALUE(CONCATENATE("01/01/",YEAR(AQ46)+1))-DATEVALUE(CONCATENATE("01/01/",YEAR(AQ46))))*(AQ46-AQ45),2),0))</f>
        <v>#REF!</v>
      </c>
    </row>
    <row r="92" spans="1:64" s="16" customFormat="1" hidden="1" x14ac:dyDescent="0.3">
      <c r="A92" s="178"/>
      <c r="B92" s="178"/>
      <c r="C92" s="178"/>
      <c r="D92" s="178"/>
      <c r="E92" s="178"/>
      <c r="F92" s="184"/>
      <c r="G92" s="114">
        <f t="shared" si="83"/>
        <v>84</v>
      </c>
      <c r="H92" s="111">
        <f t="shared" si="60"/>
        <v>46839</v>
      </c>
      <c r="I92" s="176">
        <f t="shared" si="76"/>
        <v>0.129</v>
      </c>
      <c r="J92" s="24">
        <f t="shared" si="65"/>
        <v>0</v>
      </c>
      <c r="K92" s="24">
        <f t="shared" si="59"/>
        <v>0</v>
      </c>
      <c r="L92" s="24">
        <f t="shared" si="89"/>
        <v>0</v>
      </c>
      <c r="M92" s="24">
        <f t="shared" si="77"/>
        <v>0</v>
      </c>
      <c r="N92" s="24">
        <f t="shared" si="61"/>
        <v>0</v>
      </c>
      <c r="O92" s="24">
        <v>0</v>
      </c>
      <c r="P92" s="24">
        <f t="shared" si="92"/>
        <v>0</v>
      </c>
      <c r="Q92" s="24">
        <f t="shared" si="88"/>
        <v>0</v>
      </c>
      <c r="R92" s="24">
        <f t="shared" si="67"/>
        <v>0</v>
      </c>
      <c r="S92" s="24">
        <f t="shared" si="78"/>
        <v>0</v>
      </c>
      <c r="T92" s="24"/>
      <c r="U92" s="36">
        <f t="shared" si="84"/>
        <v>0</v>
      </c>
      <c r="V92" s="36">
        <f t="shared" si="69"/>
        <v>0</v>
      </c>
      <c r="W92" s="2" t="e">
        <f>IF(AND(G57&gt;=$W$9,G57&lt;=$W$9+5),0,IF($C$9&gt;$AF$51,ROUND(S56*#REF!/(DATEVALUE(CONCATENATE("01/01/",YEAR(H57)+1))-DATEVALUE(CONCATENATE("01/01/",YEAR(H57))))*(H57-H56),2),0))</f>
        <v>#REF!</v>
      </c>
      <c r="X92" s="34">
        <f t="shared" si="51"/>
        <v>2498</v>
      </c>
      <c r="Y92" s="57">
        <f t="shared" si="47"/>
        <v>62170</v>
      </c>
      <c r="AL92" s="2" t="e">
        <f>IF(AND(Y49&gt;=$W$9,Y49&lt;=$W$9+5),0,IF($C$9&gt;$AF$51,ROUND(AI52*#REF!/(DATEVALUE(CONCATENATE("01/01/",YEAR(Z49)+1))-DATEVALUE(CONCATENATE("01/01/",YEAR(Z49))))*(Z49-Z48),2),0))</f>
        <v>#REF!</v>
      </c>
      <c r="AM92" s="34">
        <f t="shared" si="53"/>
        <v>2617</v>
      </c>
      <c r="AN92" s="57">
        <f t="shared" si="52"/>
        <v>60710</v>
      </c>
      <c r="AO92" s="130">
        <f t="shared" si="70"/>
        <v>0</v>
      </c>
      <c r="AP92" s="109">
        <f t="shared" si="85"/>
        <v>84</v>
      </c>
      <c r="AQ92" s="110">
        <f t="shared" si="62"/>
        <v>46839</v>
      </c>
      <c r="AR92" s="177">
        <f t="shared" si="54"/>
        <v>0.16900000000000001</v>
      </c>
      <c r="AS92" s="105">
        <f t="shared" si="71"/>
        <v>0</v>
      </c>
      <c r="AT92" s="105">
        <f t="shared" si="79"/>
        <v>0</v>
      </c>
      <c r="AU92" s="105">
        <f t="shared" si="80"/>
        <v>0</v>
      </c>
      <c r="AV92" s="105">
        <f t="shared" si="74"/>
        <v>0</v>
      </c>
      <c r="AW92" s="105">
        <f t="shared" si="63"/>
        <v>0</v>
      </c>
      <c r="AX92" s="105">
        <v>0</v>
      </c>
      <c r="AY92" s="105">
        <f t="shared" si="93"/>
        <v>0</v>
      </c>
      <c r="AZ92" s="105">
        <f t="shared" si="91"/>
        <v>0</v>
      </c>
      <c r="BA92" s="105">
        <f t="shared" si="90"/>
        <v>0</v>
      </c>
      <c r="BB92" s="105"/>
      <c r="BC92" s="105"/>
      <c r="BD92" s="105"/>
      <c r="BE92" s="105"/>
      <c r="BF92" s="105"/>
      <c r="BG92" s="105">
        <f t="shared" si="75"/>
        <v>0</v>
      </c>
      <c r="BH92" s="108">
        <f t="shared" si="86"/>
        <v>0</v>
      </c>
      <c r="BI92" s="108">
        <f t="shared" si="81"/>
        <v>0</v>
      </c>
      <c r="BJ92" s="22">
        <f t="shared" si="82"/>
        <v>46839</v>
      </c>
      <c r="BK92" s="108">
        <f t="shared" si="64"/>
        <v>0</v>
      </c>
      <c r="BL92" s="2" t="e">
        <f>IF(AND(G47&gt;=$W$9,G47&lt;=$W$9+5),0,IF($C$9&gt;$AF$51,ROUND(BG46*IF(#REF!="",0,#REF!)/(DATEVALUE(CONCATENATE("01/01/",YEAR(AQ47)+1))-DATEVALUE(CONCATENATE("01/01/",YEAR(AQ47))))*(AQ47-AQ46),2),0))</f>
        <v>#REF!</v>
      </c>
    </row>
    <row r="93" spans="1:64" s="16" customFormat="1" hidden="1" x14ac:dyDescent="0.3">
      <c r="A93" s="178"/>
      <c r="B93" s="178"/>
      <c r="C93" s="178"/>
      <c r="D93" s="178"/>
      <c r="E93" s="178"/>
      <c r="F93" s="184"/>
      <c r="G93" s="114">
        <f t="shared" si="83"/>
        <v>85</v>
      </c>
      <c r="H93" s="111">
        <f t="shared" si="60"/>
        <v>46870</v>
      </c>
      <c r="I93" s="176">
        <f t="shared" si="76"/>
        <v>0.129</v>
      </c>
      <c r="J93" s="24">
        <f t="shared" si="65"/>
        <v>0</v>
      </c>
      <c r="K93" s="24">
        <f t="shared" si="59"/>
        <v>0</v>
      </c>
      <c r="L93" s="24">
        <f t="shared" si="89"/>
        <v>0</v>
      </c>
      <c r="M93" s="24">
        <f t="shared" si="77"/>
        <v>0</v>
      </c>
      <c r="N93" s="24">
        <f t="shared" si="61"/>
        <v>0</v>
      </c>
      <c r="O93" s="24">
        <v>0</v>
      </c>
      <c r="P93" s="24">
        <f t="shared" si="92"/>
        <v>0</v>
      </c>
      <c r="Q93" s="24">
        <f t="shared" si="88"/>
        <v>0</v>
      </c>
      <c r="R93" s="24">
        <f t="shared" si="67"/>
        <v>0</v>
      </c>
      <c r="S93" s="24">
        <f t="shared" si="78"/>
        <v>0</v>
      </c>
      <c r="T93" s="24"/>
      <c r="U93" s="36">
        <f t="shared" si="84"/>
        <v>0</v>
      </c>
      <c r="V93" s="36">
        <f t="shared" si="69"/>
        <v>0</v>
      </c>
      <c r="W93" s="2" t="e">
        <f>IF(AND(G58&gt;=$W$9,G58&lt;=$W$9+5),0,IF($C$9&gt;$AF$51,ROUND(S57*#REF!/(DATEVALUE(CONCATENATE("01/01/",YEAR(H58)+1))-DATEVALUE(CONCATENATE("01/01/",YEAR(H58))))*(H58-H57),2),0))</f>
        <v>#REF!</v>
      </c>
      <c r="X93" s="34">
        <f t="shared" si="51"/>
        <v>2498</v>
      </c>
      <c r="Y93" s="57">
        <f t="shared" si="47"/>
        <v>62535</v>
      </c>
      <c r="AL93" s="2" t="e">
        <f>IF(AND(Y50&gt;=$W$9,Y50&lt;=$W$9+5),0,IF($C$9&gt;$AF$51,ROUND(AI53*#REF!/(DATEVALUE(CONCATENATE("01/01/",YEAR(Z50)+1))-DATEVALUE(CONCATENATE("01/01/",YEAR(Z50))))*(Z50-Z49),2),0))</f>
        <v>#REF!</v>
      </c>
      <c r="AM93" s="34">
        <f t="shared" si="53"/>
        <v>2617</v>
      </c>
      <c r="AN93" s="57">
        <f t="shared" si="52"/>
        <v>61075</v>
      </c>
      <c r="AO93" s="130">
        <f t="shared" si="70"/>
        <v>0</v>
      </c>
      <c r="AP93" s="109">
        <f t="shared" si="85"/>
        <v>85</v>
      </c>
      <c r="AQ93" s="110">
        <f t="shared" si="62"/>
        <v>46870</v>
      </c>
      <c r="AR93" s="177">
        <f t="shared" si="54"/>
        <v>0.16900000000000001</v>
      </c>
      <c r="AS93" s="105">
        <f t="shared" si="71"/>
        <v>0</v>
      </c>
      <c r="AT93" s="105">
        <f t="shared" si="79"/>
        <v>0</v>
      </c>
      <c r="AU93" s="105">
        <f t="shared" si="80"/>
        <v>0</v>
      </c>
      <c r="AV93" s="105">
        <f t="shared" si="74"/>
        <v>0</v>
      </c>
      <c r="AW93" s="105">
        <f t="shared" si="63"/>
        <v>0</v>
      </c>
      <c r="AX93" s="105">
        <v>0</v>
      </c>
      <c r="AY93" s="105">
        <f t="shared" si="93"/>
        <v>0</v>
      </c>
      <c r="AZ93" s="105">
        <f t="shared" si="91"/>
        <v>0</v>
      </c>
      <c r="BA93" s="105">
        <f t="shared" si="90"/>
        <v>0</v>
      </c>
      <c r="BB93" s="105"/>
      <c r="BC93" s="105"/>
      <c r="BD93" s="105"/>
      <c r="BE93" s="105"/>
      <c r="BF93" s="105"/>
      <c r="BG93" s="105">
        <f t="shared" si="75"/>
        <v>0</v>
      </c>
      <c r="BH93" s="108">
        <f t="shared" si="86"/>
        <v>0</v>
      </c>
      <c r="BI93" s="108">
        <f t="shared" si="81"/>
        <v>0</v>
      </c>
      <c r="BJ93" s="22">
        <f t="shared" si="82"/>
        <v>46870</v>
      </c>
      <c r="BK93" s="108">
        <f t="shared" si="64"/>
        <v>0</v>
      </c>
      <c r="BL93" s="2" t="e">
        <f>IF(AND(G48&gt;=$W$9,G48&lt;=$W$9+5),0,IF($C$9&gt;$AF$51,ROUND(BG47*IF(#REF!="",0,#REF!)/(DATEVALUE(CONCATENATE("01/01/",YEAR(AQ48)+1))-DATEVALUE(CONCATENATE("01/01/",YEAR(AQ48))))*(AQ48-AQ47),2),0))</f>
        <v>#REF!</v>
      </c>
    </row>
    <row r="94" spans="1:64" s="16" customFormat="1" hidden="1" x14ac:dyDescent="0.3">
      <c r="A94" s="178"/>
      <c r="B94" s="178"/>
      <c r="C94" s="178"/>
      <c r="D94" s="178"/>
      <c r="E94" s="178"/>
      <c r="F94" s="184"/>
      <c r="G94" s="114">
        <f t="shared" si="83"/>
        <v>86</v>
      </c>
      <c r="H94" s="111">
        <f t="shared" si="60"/>
        <v>46900</v>
      </c>
      <c r="I94" s="176">
        <f t="shared" si="76"/>
        <v>0.129</v>
      </c>
      <c r="J94" s="24">
        <f t="shared" si="65"/>
        <v>0</v>
      </c>
      <c r="K94" s="24">
        <f t="shared" si="59"/>
        <v>0</v>
      </c>
      <c r="L94" s="24">
        <f t="shared" si="89"/>
        <v>0</v>
      </c>
      <c r="M94" s="24">
        <f t="shared" si="77"/>
        <v>0</v>
      </c>
      <c r="N94" s="24">
        <f t="shared" si="61"/>
        <v>0</v>
      </c>
      <c r="O94" s="24">
        <v>0</v>
      </c>
      <c r="P94" s="24">
        <f t="shared" si="92"/>
        <v>0</v>
      </c>
      <c r="Q94" s="24">
        <f t="shared" si="88"/>
        <v>0</v>
      </c>
      <c r="R94" s="24">
        <f t="shared" si="67"/>
        <v>0</v>
      </c>
      <c r="S94" s="24">
        <f t="shared" si="78"/>
        <v>0</v>
      </c>
      <c r="T94" s="24"/>
      <c r="U94" s="36">
        <f t="shared" si="84"/>
        <v>0</v>
      </c>
      <c r="V94" s="36">
        <f t="shared" si="69"/>
        <v>0</v>
      </c>
      <c r="W94" s="2" t="e">
        <f>IF(AND(G59&gt;=$W$9,G59&lt;=$W$9+5),0,IF($C$9&gt;$AF$51,ROUND(S58*#REF!/(DATEVALUE(CONCATENATE("01/01/",YEAR(H59)+1))-DATEVALUE(CONCATENATE("01/01/",YEAR(H59))))*(H59-H58),2),0))</f>
        <v>#REF!</v>
      </c>
      <c r="X94" s="34">
        <f t="shared" si="51"/>
        <v>2498</v>
      </c>
      <c r="Y94" s="57">
        <f t="shared" si="47"/>
        <v>62900</v>
      </c>
      <c r="AL94" s="2" t="e">
        <f>IF(AND(Y51&gt;=$W$9,Y51&lt;=$W$9+5),0,IF($C$9&gt;$AF$51,ROUND(AI54*#REF!/(DATEVALUE(CONCATENATE("01/01/",YEAR(Z51)+1))-DATEVALUE(CONCATENATE("01/01/",YEAR(Z51))))*(Z51-Z50),2),0))</f>
        <v>#REF!</v>
      </c>
      <c r="AM94" s="34">
        <f t="shared" si="53"/>
        <v>2617</v>
      </c>
      <c r="AN94" s="57">
        <f t="shared" si="52"/>
        <v>61440</v>
      </c>
      <c r="AO94" s="130">
        <f t="shared" si="70"/>
        <v>0</v>
      </c>
      <c r="AP94" s="109">
        <f t="shared" si="85"/>
        <v>86</v>
      </c>
      <c r="AQ94" s="110">
        <f t="shared" si="62"/>
        <v>46900</v>
      </c>
      <c r="AR94" s="177">
        <f t="shared" si="54"/>
        <v>0.16900000000000001</v>
      </c>
      <c r="AS94" s="105">
        <f t="shared" si="71"/>
        <v>0</v>
      </c>
      <c r="AT94" s="105">
        <f t="shared" si="79"/>
        <v>0</v>
      </c>
      <c r="AU94" s="105">
        <f t="shared" si="80"/>
        <v>0</v>
      </c>
      <c r="AV94" s="105">
        <f t="shared" si="74"/>
        <v>0</v>
      </c>
      <c r="AW94" s="105">
        <f t="shared" si="63"/>
        <v>0</v>
      </c>
      <c r="AX94" s="105">
        <v>0</v>
      </c>
      <c r="AY94" s="105">
        <f t="shared" si="93"/>
        <v>0</v>
      </c>
      <c r="AZ94" s="105">
        <f t="shared" si="91"/>
        <v>0</v>
      </c>
      <c r="BA94" s="105">
        <f t="shared" si="90"/>
        <v>0</v>
      </c>
      <c r="BB94" s="105"/>
      <c r="BC94" s="105"/>
      <c r="BD94" s="105"/>
      <c r="BE94" s="105"/>
      <c r="BF94" s="105"/>
      <c r="BG94" s="105">
        <f t="shared" si="75"/>
        <v>0</v>
      </c>
      <c r="BH94" s="108">
        <f t="shared" si="86"/>
        <v>0</v>
      </c>
      <c r="BI94" s="108">
        <f t="shared" si="81"/>
        <v>0</v>
      </c>
      <c r="BJ94" s="22">
        <f t="shared" si="82"/>
        <v>46900</v>
      </c>
      <c r="BK94" s="108">
        <f t="shared" si="64"/>
        <v>0</v>
      </c>
      <c r="BL94" s="2" t="e">
        <f>IF(AND(G49&gt;=$W$9,G49&lt;=$W$9+5),0,IF($C$9&gt;$AF$51,ROUND(BG48*IF(#REF!="",0,#REF!)/(DATEVALUE(CONCATENATE("01/01/",YEAR(AQ49)+1))-DATEVALUE(CONCATENATE("01/01/",YEAR(AQ49))))*(AQ49-AQ48),2),0))</f>
        <v>#REF!</v>
      </c>
    </row>
    <row r="95" spans="1:64" s="16" customFormat="1" hidden="1" x14ac:dyDescent="0.3">
      <c r="A95" s="178"/>
      <c r="B95" s="178"/>
      <c r="C95" s="178"/>
      <c r="D95" s="178"/>
      <c r="E95" s="178"/>
      <c r="F95" s="184"/>
      <c r="G95" s="114">
        <f t="shared" si="83"/>
        <v>87</v>
      </c>
      <c r="H95" s="111">
        <f t="shared" si="60"/>
        <v>46931</v>
      </c>
      <c r="I95" s="176">
        <f t="shared" si="76"/>
        <v>0.129</v>
      </c>
      <c r="J95" s="24">
        <f t="shared" si="65"/>
        <v>0</v>
      </c>
      <c r="K95" s="24">
        <f t="shared" si="59"/>
        <v>0</v>
      </c>
      <c r="L95" s="24">
        <f t="shared" si="89"/>
        <v>0</v>
      </c>
      <c r="M95" s="24">
        <f t="shared" si="77"/>
        <v>0</v>
      </c>
      <c r="N95" s="24">
        <f t="shared" si="61"/>
        <v>0</v>
      </c>
      <c r="O95" s="24">
        <v>0</v>
      </c>
      <c r="P95" s="24">
        <f t="shared" si="92"/>
        <v>0</v>
      </c>
      <c r="Q95" s="24">
        <f t="shared" si="88"/>
        <v>0</v>
      </c>
      <c r="R95" s="24">
        <f t="shared" si="67"/>
        <v>0</v>
      </c>
      <c r="S95" s="24">
        <f t="shared" si="78"/>
        <v>0</v>
      </c>
      <c r="T95" s="24"/>
      <c r="U95" s="36">
        <f t="shared" si="84"/>
        <v>0</v>
      </c>
      <c r="V95" s="36">
        <f t="shared" si="69"/>
        <v>0</v>
      </c>
      <c r="W95" s="2" t="e">
        <f>IF(AND(G60&gt;=$W$9,G60&lt;=$W$9+5),0,IF($C$9&gt;$AF$51,ROUND(S59*#REF!/(DATEVALUE(CONCATENATE("01/01/",YEAR(H60)+1))-DATEVALUE(CONCATENATE("01/01/",YEAR(H60))))*(H60-H59),2),0))</f>
        <v>#REF!</v>
      </c>
      <c r="X95" s="34">
        <f t="shared" si="51"/>
        <v>2498</v>
      </c>
      <c r="Y95" s="57">
        <f t="shared" si="47"/>
        <v>63265</v>
      </c>
      <c r="AL95" s="2" t="e">
        <f>IF(AND(Y52&gt;=$W$9,Y52&lt;=$W$9+5),0,IF($C$9&gt;$AF$51,ROUND(AI55*#REF!/(DATEVALUE(CONCATENATE("01/01/",YEAR(Z52)+1))-DATEVALUE(CONCATENATE("01/01/",YEAR(Z52))))*(Z52-Z51),2),0))</f>
        <v>#REF!</v>
      </c>
      <c r="AM95" s="34">
        <f t="shared" si="53"/>
        <v>2251.3100000000077</v>
      </c>
      <c r="AN95" s="57">
        <f t="shared" si="52"/>
        <v>61805</v>
      </c>
      <c r="AO95" s="130">
        <f t="shared" si="70"/>
        <v>0</v>
      </c>
      <c r="AP95" s="109">
        <f t="shared" si="85"/>
        <v>87</v>
      </c>
      <c r="AQ95" s="110">
        <f t="shared" si="62"/>
        <v>46931</v>
      </c>
      <c r="AR95" s="177">
        <f t="shared" si="54"/>
        <v>0.16900000000000001</v>
      </c>
      <c r="AS95" s="105">
        <f t="shared" si="71"/>
        <v>0</v>
      </c>
      <c r="AT95" s="105">
        <f t="shared" si="79"/>
        <v>0</v>
      </c>
      <c r="AU95" s="105">
        <f t="shared" si="80"/>
        <v>0</v>
      </c>
      <c r="AV95" s="105">
        <f t="shared" si="74"/>
        <v>0</v>
      </c>
      <c r="AW95" s="105">
        <f t="shared" si="63"/>
        <v>0</v>
      </c>
      <c r="AX95" s="105">
        <v>0</v>
      </c>
      <c r="AY95" s="105">
        <f t="shared" si="93"/>
        <v>0</v>
      </c>
      <c r="AZ95" s="105">
        <f t="shared" si="91"/>
        <v>0</v>
      </c>
      <c r="BA95" s="105">
        <f t="shared" si="90"/>
        <v>0</v>
      </c>
      <c r="BB95" s="105"/>
      <c r="BC95" s="105"/>
      <c r="BD95" s="105"/>
      <c r="BE95" s="105"/>
      <c r="BF95" s="105"/>
      <c r="BG95" s="105">
        <f t="shared" si="75"/>
        <v>0</v>
      </c>
      <c r="BH95" s="108">
        <f t="shared" si="86"/>
        <v>0</v>
      </c>
      <c r="BI95" s="108">
        <f t="shared" si="81"/>
        <v>0</v>
      </c>
      <c r="BJ95" s="22">
        <f t="shared" si="82"/>
        <v>46931</v>
      </c>
      <c r="BK95" s="108">
        <f t="shared" si="64"/>
        <v>0</v>
      </c>
      <c r="BL95" s="2" t="e">
        <f>IF(AND(G50&gt;=$W$9,G50&lt;=$W$9+5),0,IF($C$9&gt;$AF$51,ROUND(BG49*IF(#REF!="",0,#REF!)/(DATEVALUE(CONCATENATE("01/01/",YEAR(AQ50)+1))-DATEVALUE(CONCATENATE("01/01/",YEAR(AQ50))))*(AQ50-AQ49),2),0))</f>
        <v>#REF!</v>
      </c>
    </row>
    <row r="96" spans="1:64" s="16" customFormat="1" hidden="1" x14ac:dyDescent="0.3">
      <c r="A96" s="178"/>
      <c r="B96" s="178"/>
      <c r="C96" s="178"/>
      <c r="D96" s="178"/>
      <c r="E96" s="178"/>
      <c r="F96" s="184"/>
      <c r="G96" s="114">
        <f t="shared" si="83"/>
        <v>88</v>
      </c>
      <c r="H96" s="111">
        <f t="shared" si="60"/>
        <v>46961</v>
      </c>
      <c r="I96" s="176">
        <f t="shared" si="76"/>
        <v>0.129</v>
      </c>
      <c r="J96" s="24">
        <f t="shared" si="65"/>
        <v>0</v>
      </c>
      <c r="K96" s="24">
        <f t="shared" si="59"/>
        <v>0</v>
      </c>
      <c r="L96" s="24">
        <f t="shared" si="89"/>
        <v>0</v>
      </c>
      <c r="M96" s="24">
        <f t="shared" si="77"/>
        <v>0</v>
      </c>
      <c r="N96" s="24">
        <f t="shared" si="61"/>
        <v>0</v>
      </c>
      <c r="O96" s="24">
        <v>0</v>
      </c>
      <c r="P96" s="24">
        <f t="shared" si="92"/>
        <v>0</v>
      </c>
      <c r="Q96" s="24">
        <f t="shared" si="88"/>
        <v>0</v>
      </c>
      <c r="R96" s="24">
        <f t="shared" si="67"/>
        <v>0</v>
      </c>
      <c r="S96" s="24">
        <f t="shared" si="78"/>
        <v>0</v>
      </c>
      <c r="T96" s="24"/>
      <c r="U96" s="36">
        <f t="shared" si="84"/>
        <v>0</v>
      </c>
      <c r="V96" s="36">
        <f t="shared" si="69"/>
        <v>0</v>
      </c>
      <c r="W96" s="2" t="e">
        <f>IF(AND(G61&gt;=$W$9,G61&lt;=$W$9+5),0,IF($C$9&gt;$AF$51,ROUND(S60*#REF!/(DATEVALUE(CONCATENATE("01/01/",YEAR(H61)+1))-DATEVALUE(CONCATENATE("01/01/",YEAR(H61))))*(H61-H60),2),0))</f>
        <v>#REF!</v>
      </c>
      <c r="X96" s="34">
        <f t="shared" si="51"/>
        <v>757.420000000031</v>
      </c>
      <c r="Y96" s="57">
        <f t="shared" si="47"/>
        <v>63630</v>
      </c>
      <c r="AL96" s="2" t="e">
        <f>IF(AND(Y53&gt;=$W$9,Y53&lt;=$W$9+5),0,IF($C$9&gt;$AF$51,ROUND(AI56*#REF!/(DATEVALUE(CONCATENATE("01/01/",YEAR(Z53)+1))-DATEVALUE(CONCATENATE("01/01/",YEAR(Z53))))*(Z53-Z52),2),0))</f>
        <v>#REF!</v>
      </c>
      <c r="AM96" s="34">
        <f t="shared" si="53"/>
        <v>0</v>
      </c>
      <c r="AN96" s="57">
        <f t="shared" si="52"/>
        <v>62170</v>
      </c>
      <c r="AO96" s="130">
        <f t="shared" si="70"/>
        <v>0</v>
      </c>
      <c r="AP96" s="109">
        <f t="shared" si="85"/>
        <v>88</v>
      </c>
      <c r="AQ96" s="110">
        <f t="shared" si="62"/>
        <v>46961</v>
      </c>
      <c r="AR96" s="177">
        <f t="shared" si="54"/>
        <v>0.16900000000000001</v>
      </c>
      <c r="AS96" s="105">
        <f t="shared" si="71"/>
        <v>0</v>
      </c>
      <c r="AT96" s="105">
        <f t="shared" si="79"/>
        <v>0</v>
      </c>
      <c r="AU96" s="105">
        <f t="shared" si="80"/>
        <v>0</v>
      </c>
      <c r="AV96" s="105">
        <f t="shared" si="74"/>
        <v>0</v>
      </c>
      <c r="AW96" s="105">
        <f t="shared" si="63"/>
        <v>0</v>
      </c>
      <c r="AX96" s="105">
        <v>0</v>
      </c>
      <c r="AY96" s="105">
        <f t="shared" si="93"/>
        <v>0</v>
      </c>
      <c r="AZ96" s="105">
        <f t="shared" si="91"/>
        <v>0</v>
      </c>
      <c r="BA96" s="105">
        <f t="shared" si="90"/>
        <v>0</v>
      </c>
      <c r="BB96" s="105"/>
      <c r="BC96" s="105"/>
      <c r="BD96" s="105"/>
      <c r="BE96" s="105"/>
      <c r="BF96" s="105"/>
      <c r="BG96" s="105">
        <f t="shared" si="75"/>
        <v>0</v>
      </c>
      <c r="BH96" s="108">
        <f t="shared" si="86"/>
        <v>0</v>
      </c>
      <c r="BI96" s="108">
        <f t="shared" si="81"/>
        <v>0</v>
      </c>
      <c r="BJ96" s="22">
        <f t="shared" si="82"/>
        <v>46961</v>
      </c>
      <c r="BK96" s="108">
        <f t="shared" si="64"/>
        <v>0</v>
      </c>
      <c r="BL96" s="2" t="e">
        <f>IF(AND(G51&gt;=$W$9,G51&lt;=$W$9+5),0,IF($C$9&gt;$AF$51,ROUND(BG50*IF(#REF!="",0,#REF!)/(DATEVALUE(CONCATENATE("01/01/",YEAR(AQ51)+1))-DATEVALUE(CONCATENATE("01/01/",YEAR(AQ51))))*(AQ51-AQ50),2),0))</f>
        <v>#REF!</v>
      </c>
    </row>
    <row r="97" spans="1:1217" s="16" customFormat="1" hidden="1" x14ac:dyDescent="0.3">
      <c r="A97" s="178"/>
      <c r="B97" s="178"/>
      <c r="C97" s="178"/>
      <c r="D97" s="178"/>
      <c r="E97" s="178"/>
      <c r="F97" s="184"/>
      <c r="G97" s="114">
        <f t="shared" si="83"/>
        <v>89</v>
      </c>
      <c r="H97" s="111">
        <f t="shared" si="60"/>
        <v>46992</v>
      </c>
      <c r="I97" s="176">
        <f t="shared" si="76"/>
        <v>0.129</v>
      </c>
      <c r="J97" s="24">
        <f t="shared" si="65"/>
        <v>0</v>
      </c>
      <c r="K97" s="24">
        <f t="shared" si="59"/>
        <v>0</v>
      </c>
      <c r="L97" s="24">
        <f t="shared" si="89"/>
        <v>0</v>
      </c>
      <c r="M97" s="24">
        <f t="shared" si="77"/>
        <v>0</v>
      </c>
      <c r="N97" s="24">
        <f t="shared" si="61"/>
        <v>0</v>
      </c>
      <c r="O97" s="24">
        <v>0</v>
      </c>
      <c r="P97" s="24">
        <f t="shared" si="92"/>
        <v>0</v>
      </c>
      <c r="Q97" s="24">
        <f t="shared" si="88"/>
        <v>0</v>
      </c>
      <c r="R97" s="24">
        <f t="shared" si="67"/>
        <v>0</v>
      </c>
      <c r="S97" s="24">
        <f t="shared" si="78"/>
        <v>0</v>
      </c>
      <c r="T97" s="24"/>
      <c r="U97" s="36">
        <f t="shared" si="84"/>
        <v>0</v>
      </c>
      <c r="V97" s="36">
        <f t="shared" si="69"/>
        <v>0</v>
      </c>
      <c r="W97" s="2" t="e">
        <f>IF(AND(G62&gt;=$W$9,G62&lt;=$W$9+5),0,IF($C$9&gt;$AF$51,ROUND(S61*#REF!/(DATEVALUE(CONCATENATE("01/01/",YEAR(H62)+1))-DATEVALUE(CONCATENATE("01/01/",YEAR(H62))))*(H62-H61),2),0))</f>
        <v>#REF!</v>
      </c>
      <c r="X97" s="34">
        <f t="shared" si="51"/>
        <v>0</v>
      </c>
      <c r="Y97" s="57">
        <f t="shared" si="47"/>
        <v>63995</v>
      </c>
      <c r="AL97" s="2" t="e">
        <f>IF(AND(Y54&gt;=$W$9,Y54&lt;=$W$9+5),0,IF($C$9&gt;$AF$51,ROUND(AI57*#REF!/(DATEVALUE(CONCATENATE("01/01/",YEAR(Z54)+1))-DATEVALUE(CONCATENATE("01/01/",YEAR(Z54))))*(Z54-Z53),2),0))</f>
        <v>#REF!</v>
      </c>
      <c r="AM97" s="34">
        <f t="shared" si="53"/>
        <v>0</v>
      </c>
      <c r="AN97" s="57">
        <f t="shared" si="52"/>
        <v>62535</v>
      </c>
      <c r="AO97" s="130">
        <f t="shared" si="70"/>
        <v>0</v>
      </c>
      <c r="AP97" s="109">
        <f t="shared" si="85"/>
        <v>89</v>
      </c>
      <c r="AQ97" s="110">
        <f t="shared" si="62"/>
        <v>46992</v>
      </c>
      <c r="AR97" s="177">
        <f t="shared" si="54"/>
        <v>0.16900000000000001</v>
      </c>
      <c r="AS97" s="105">
        <f t="shared" si="71"/>
        <v>0</v>
      </c>
      <c r="AT97" s="105">
        <f t="shared" si="79"/>
        <v>0</v>
      </c>
      <c r="AU97" s="105">
        <f t="shared" si="80"/>
        <v>0</v>
      </c>
      <c r="AV97" s="105">
        <f t="shared" si="74"/>
        <v>0</v>
      </c>
      <c r="AW97" s="105">
        <f t="shared" si="63"/>
        <v>0</v>
      </c>
      <c r="AX97" s="105">
        <v>0</v>
      </c>
      <c r="AY97" s="105">
        <f t="shared" si="93"/>
        <v>0</v>
      </c>
      <c r="AZ97" s="105">
        <f t="shared" si="91"/>
        <v>0</v>
      </c>
      <c r="BA97" s="105">
        <f t="shared" si="90"/>
        <v>0</v>
      </c>
      <c r="BB97" s="105"/>
      <c r="BC97" s="105"/>
      <c r="BD97" s="105"/>
      <c r="BE97" s="105"/>
      <c r="BF97" s="105"/>
      <c r="BG97" s="105">
        <f t="shared" si="75"/>
        <v>0</v>
      </c>
      <c r="BH97" s="108">
        <f t="shared" si="86"/>
        <v>0</v>
      </c>
      <c r="BI97" s="108">
        <f t="shared" si="81"/>
        <v>0</v>
      </c>
      <c r="BJ97" s="22">
        <f t="shared" si="82"/>
        <v>46992</v>
      </c>
      <c r="BK97" s="108">
        <f t="shared" si="64"/>
        <v>0</v>
      </c>
      <c r="BL97" s="2" t="e">
        <f>IF(AND(G52&gt;=$W$9,G52&lt;=$W$9+5),0,IF($C$9&gt;$AF$51,ROUND(BG51*IF(#REF!="",0,#REF!)/(DATEVALUE(CONCATENATE("01/01/",YEAR(AQ52)+1))-DATEVALUE(CONCATENATE("01/01/",YEAR(AQ52))))*(AQ52-AQ51),2),0))</f>
        <v>#REF!</v>
      </c>
    </row>
    <row r="98" spans="1:1217" s="16" customFormat="1" hidden="1" x14ac:dyDescent="0.3">
      <c r="A98" s="178"/>
      <c r="B98" s="178"/>
      <c r="C98" s="178"/>
      <c r="D98" s="178"/>
      <c r="E98" s="178"/>
      <c r="F98" s="184"/>
      <c r="G98" s="114">
        <f t="shared" si="83"/>
        <v>90</v>
      </c>
      <c r="H98" s="111">
        <f t="shared" si="60"/>
        <v>47023</v>
      </c>
      <c r="I98" s="176">
        <f t="shared" si="76"/>
        <v>0.129</v>
      </c>
      <c r="J98" s="24">
        <f t="shared" si="65"/>
        <v>0</v>
      </c>
      <c r="K98" s="24">
        <f t="shared" si="59"/>
        <v>0</v>
      </c>
      <c r="L98" s="24">
        <f t="shared" si="89"/>
        <v>0</v>
      </c>
      <c r="M98" s="24">
        <f t="shared" si="77"/>
        <v>0</v>
      </c>
      <c r="N98" s="24">
        <f t="shared" si="61"/>
        <v>0</v>
      </c>
      <c r="O98" s="24">
        <v>0</v>
      </c>
      <c r="P98" s="24">
        <f t="shared" si="92"/>
        <v>0</v>
      </c>
      <c r="Q98" s="24">
        <f t="shared" si="88"/>
        <v>0</v>
      </c>
      <c r="R98" s="24">
        <f t="shared" si="67"/>
        <v>0</v>
      </c>
      <c r="S98" s="24">
        <f t="shared" si="78"/>
        <v>0</v>
      </c>
      <c r="T98" s="24"/>
      <c r="U98" s="36">
        <f t="shared" si="84"/>
        <v>0</v>
      </c>
      <c r="V98" s="36">
        <f t="shared" si="69"/>
        <v>0</v>
      </c>
      <c r="W98" s="2" t="e">
        <f>IF(AND(G63&gt;=$W$9,G63&lt;=$W$9+5),0,IF($C$9&gt;$AF$51,ROUND(S62*#REF!/(DATEVALUE(CONCATENATE("01/01/",YEAR(H63)+1))-DATEVALUE(CONCATENATE("01/01/",YEAR(H63))))*(H63-H62),2),0))</f>
        <v>#REF!</v>
      </c>
      <c r="X98" s="34">
        <f t="shared" si="51"/>
        <v>0</v>
      </c>
      <c r="Y98" s="57">
        <f t="shared" si="47"/>
        <v>64360</v>
      </c>
      <c r="AL98" s="2" t="e">
        <f>IF(AND(Y55&gt;=$W$9,Y55&lt;=$W$9+5),0,IF($C$9&gt;$AF$51,ROUND(AI58*#REF!/(DATEVALUE(CONCATENATE("01/01/",YEAR(Z55)+1))-DATEVALUE(CONCATENATE("01/01/",YEAR(Z55))))*(Z55-Z54),2),0))</f>
        <v>#REF!</v>
      </c>
      <c r="AM98" s="34">
        <f t="shared" si="53"/>
        <v>0</v>
      </c>
      <c r="AN98" s="57">
        <f t="shared" si="52"/>
        <v>62900</v>
      </c>
      <c r="AO98" s="130">
        <f t="shared" si="70"/>
        <v>0</v>
      </c>
      <c r="AP98" s="109">
        <f t="shared" si="85"/>
        <v>90</v>
      </c>
      <c r="AQ98" s="110">
        <f t="shared" si="62"/>
        <v>47023</v>
      </c>
      <c r="AR98" s="177">
        <f t="shared" si="54"/>
        <v>0.16900000000000001</v>
      </c>
      <c r="AS98" s="105">
        <f t="shared" si="71"/>
        <v>0</v>
      </c>
      <c r="AT98" s="105">
        <f t="shared" si="79"/>
        <v>0</v>
      </c>
      <c r="AU98" s="105">
        <f t="shared" si="80"/>
        <v>0</v>
      </c>
      <c r="AV98" s="105">
        <f t="shared" si="74"/>
        <v>0</v>
      </c>
      <c r="AW98" s="105">
        <f t="shared" si="63"/>
        <v>0</v>
      </c>
      <c r="AX98" s="105">
        <v>0</v>
      </c>
      <c r="AY98" s="105">
        <f t="shared" si="93"/>
        <v>0</v>
      </c>
      <c r="AZ98" s="105">
        <f t="shared" si="91"/>
        <v>0</v>
      </c>
      <c r="BA98" s="105">
        <f t="shared" si="90"/>
        <v>0</v>
      </c>
      <c r="BB98" s="105"/>
      <c r="BC98" s="105"/>
      <c r="BD98" s="105"/>
      <c r="BE98" s="105"/>
      <c r="BF98" s="105"/>
      <c r="BG98" s="105">
        <f t="shared" si="75"/>
        <v>0</v>
      </c>
      <c r="BH98" s="108">
        <f t="shared" si="86"/>
        <v>0</v>
      </c>
      <c r="BI98" s="108">
        <f t="shared" si="81"/>
        <v>0</v>
      </c>
      <c r="BJ98" s="22">
        <f t="shared" si="82"/>
        <v>47023</v>
      </c>
      <c r="BK98" s="108">
        <f t="shared" si="64"/>
        <v>0</v>
      </c>
      <c r="BL98" s="2" t="e">
        <f>IF(AND(G53&gt;=$W$9,G53&lt;=$W$9+5),0,IF($C$9&gt;$AF$51,ROUND(BG52*IF(#REF!="",0,#REF!)/(DATEVALUE(CONCATENATE("01/01/",YEAR(AQ53)+1))-DATEVALUE(CONCATENATE("01/01/",YEAR(AQ53))))*(AQ53-AQ52),2),0))</f>
        <v>#REF!</v>
      </c>
    </row>
    <row r="99" spans="1:1217" s="16" customFormat="1" hidden="1" x14ac:dyDescent="0.3">
      <c r="A99" s="178"/>
      <c r="B99" s="178"/>
      <c r="C99" s="178"/>
      <c r="D99" s="178"/>
      <c r="E99" s="178"/>
      <c r="F99" s="184"/>
      <c r="G99" s="114">
        <f t="shared" si="83"/>
        <v>91</v>
      </c>
      <c r="H99" s="111">
        <f t="shared" si="60"/>
        <v>47053</v>
      </c>
      <c r="I99" s="176">
        <f t="shared" si="76"/>
        <v>0.129</v>
      </c>
      <c r="J99" s="24">
        <f t="shared" si="65"/>
        <v>0</v>
      </c>
      <c r="K99" s="24">
        <f t="shared" si="59"/>
        <v>0</v>
      </c>
      <c r="L99" s="24">
        <f t="shared" si="89"/>
        <v>0</v>
      </c>
      <c r="M99" s="24">
        <f t="shared" si="77"/>
        <v>0</v>
      </c>
      <c r="N99" s="24">
        <f t="shared" si="61"/>
        <v>0</v>
      </c>
      <c r="O99" s="24">
        <v>0</v>
      </c>
      <c r="P99" s="24">
        <f t="shared" si="92"/>
        <v>0</v>
      </c>
      <c r="Q99" s="24">
        <f t="shared" si="88"/>
        <v>0</v>
      </c>
      <c r="R99" s="24">
        <f t="shared" si="67"/>
        <v>0</v>
      </c>
      <c r="S99" s="24">
        <f t="shared" si="78"/>
        <v>0</v>
      </c>
      <c r="T99" s="24"/>
      <c r="U99" s="36">
        <f t="shared" si="84"/>
        <v>0</v>
      </c>
      <c r="V99" s="36">
        <f t="shared" si="69"/>
        <v>0</v>
      </c>
      <c r="W99" s="2" t="e">
        <f>IF(AND(G64&gt;=$W$9,G64&lt;=$W$9+5),0,IF($C$9&gt;$AF$51,ROUND(S63*#REF!/(DATEVALUE(CONCATENATE("01/01/",YEAR(H64)+1))-DATEVALUE(CONCATENATE("01/01/",YEAR(H64))))*(H64-H63),2),0))</f>
        <v>#REF!</v>
      </c>
      <c r="X99" s="34">
        <f t="shared" si="51"/>
        <v>0</v>
      </c>
      <c r="Y99" s="57">
        <f t="shared" si="47"/>
        <v>64725</v>
      </c>
      <c r="AL99" s="2" t="e">
        <f>IF(AND(Y56&gt;=$W$9,Y56&lt;=$W$9+5),0,IF($C$9&gt;$AF$51,ROUND(AI59*#REF!/(DATEVALUE(CONCATENATE("01/01/",YEAR(Z56)+1))-DATEVALUE(CONCATENATE("01/01/",YEAR(Z56))))*(Z56-Z55),2),0))</f>
        <v>#VALUE!</v>
      </c>
      <c r="AM99" s="34">
        <f t="shared" si="53"/>
        <v>0</v>
      </c>
      <c r="AN99" s="57">
        <f t="shared" si="52"/>
        <v>63265</v>
      </c>
      <c r="AO99" s="130">
        <f t="shared" si="70"/>
        <v>0</v>
      </c>
      <c r="AP99" s="109">
        <f t="shared" si="85"/>
        <v>91</v>
      </c>
      <c r="AQ99" s="110">
        <f t="shared" si="62"/>
        <v>47053</v>
      </c>
      <c r="AR99" s="177">
        <f t="shared" si="54"/>
        <v>0.16900000000000001</v>
      </c>
      <c r="AS99" s="105">
        <f t="shared" si="71"/>
        <v>0</v>
      </c>
      <c r="AT99" s="105">
        <f t="shared" si="79"/>
        <v>0</v>
      </c>
      <c r="AU99" s="105">
        <f t="shared" si="80"/>
        <v>0</v>
      </c>
      <c r="AV99" s="105">
        <f t="shared" si="74"/>
        <v>0</v>
      </c>
      <c r="AW99" s="105">
        <f t="shared" si="63"/>
        <v>0</v>
      </c>
      <c r="AX99" s="105">
        <v>0</v>
      </c>
      <c r="AY99" s="105">
        <f t="shared" si="93"/>
        <v>0</v>
      </c>
      <c r="AZ99" s="105">
        <f t="shared" si="91"/>
        <v>0</v>
      </c>
      <c r="BA99" s="105">
        <f t="shared" si="90"/>
        <v>0</v>
      </c>
      <c r="BB99" s="105"/>
      <c r="BC99" s="105"/>
      <c r="BD99" s="105"/>
      <c r="BE99" s="105"/>
      <c r="BF99" s="105"/>
      <c r="BG99" s="105">
        <f t="shared" si="75"/>
        <v>0</v>
      </c>
      <c r="BH99" s="108">
        <f t="shared" si="86"/>
        <v>0</v>
      </c>
      <c r="BI99" s="108">
        <f t="shared" si="81"/>
        <v>0</v>
      </c>
      <c r="BJ99" s="22">
        <f t="shared" si="82"/>
        <v>47053</v>
      </c>
      <c r="BK99" s="108">
        <f t="shared" si="64"/>
        <v>0</v>
      </c>
      <c r="BL99" s="2" t="e">
        <f>IF(AND(G54&gt;=$W$9,G54&lt;=$W$9+5),0,IF($C$9&gt;$AF$51,ROUND(BG53*IF(#REF!="",0,#REF!)/(DATEVALUE(CONCATENATE("01/01/",YEAR(AQ54)+1))-DATEVALUE(CONCATENATE("01/01/",YEAR(AQ54))))*(AQ54-AQ53),2),0))</f>
        <v>#REF!</v>
      </c>
    </row>
    <row r="100" spans="1:1217" s="16" customFormat="1" hidden="1" x14ac:dyDescent="0.3">
      <c r="A100" s="183"/>
      <c r="B100" s="180"/>
      <c r="C100" s="178"/>
      <c r="D100" s="182"/>
      <c r="E100" s="178"/>
      <c r="F100" s="184"/>
      <c r="G100" s="114">
        <f t="shared" si="83"/>
        <v>92</v>
      </c>
      <c r="H100" s="111">
        <f t="shared" si="60"/>
        <v>47084</v>
      </c>
      <c r="I100" s="176">
        <f t="shared" si="76"/>
        <v>0.129</v>
      </c>
      <c r="J100" s="24">
        <f t="shared" si="65"/>
        <v>0</v>
      </c>
      <c r="K100" s="24">
        <f t="shared" si="59"/>
        <v>0</v>
      </c>
      <c r="L100" s="24">
        <f t="shared" si="89"/>
        <v>0</v>
      </c>
      <c r="M100" s="24">
        <f t="shared" si="77"/>
        <v>0</v>
      </c>
      <c r="N100" s="24">
        <f t="shared" si="61"/>
        <v>0</v>
      </c>
      <c r="O100" s="24">
        <v>0</v>
      </c>
      <c r="P100" s="24">
        <f t="shared" si="92"/>
        <v>0</v>
      </c>
      <c r="Q100" s="24">
        <f t="shared" si="88"/>
        <v>0</v>
      </c>
      <c r="R100" s="24">
        <f t="shared" si="67"/>
        <v>0</v>
      </c>
      <c r="S100" s="24">
        <f t="shared" si="78"/>
        <v>0</v>
      </c>
      <c r="T100" s="24"/>
      <c r="U100" s="36">
        <f t="shared" si="84"/>
        <v>0</v>
      </c>
      <c r="V100" s="36">
        <f t="shared" si="69"/>
        <v>0</v>
      </c>
      <c r="W100" s="2" t="e">
        <f>IF(AND(G65&gt;=$W$9,G65&lt;=$W$9+5),0,IF($C$9&gt;$AF$51,ROUND(S64*#REF!/(DATEVALUE(CONCATENATE("01/01/",YEAR(H65)+1))-DATEVALUE(CONCATENATE("01/01/",YEAR(H65))))*(H65-H64),2),0))</f>
        <v>#REF!</v>
      </c>
      <c r="X100" s="34">
        <f t="shared" si="51"/>
        <v>0</v>
      </c>
      <c r="Y100" s="57">
        <f t="shared" si="47"/>
        <v>65090</v>
      </c>
      <c r="AL100" s="2" t="e">
        <f>IF(AND(Y57&gt;=$W$9,Y57&lt;=$W$9+5),0,IF($C$9&gt;$AF$51,ROUND(AI60*#REF!/(DATEVALUE(CONCATENATE("01/01/",YEAR(Z57)+1))-DATEVALUE(CONCATENATE("01/01/",YEAR(Z57))))*(Z57-Z56),2),0))</f>
        <v>#REF!</v>
      </c>
      <c r="AM100" s="34">
        <f t="shared" si="53"/>
        <v>0</v>
      </c>
      <c r="AN100" s="57">
        <f t="shared" si="52"/>
        <v>63630</v>
      </c>
      <c r="AO100" s="130">
        <f t="shared" si="70"/>
        <v>0</v>
      </c>
      <c r="AP100" s="109">
        <f t="shared" si="85"/>
        <v>92</v>
      </c>
      <c r="AQ100" s="110">
        <f t="shared" si="62"/>
        <v>47084</v>
      </c>
      <c r="AR100" s="177">
        <f t="shared" si="54"/>
        <v>0.16900000000000001</v>
      </c>
      <c r="AS100" s="105">
        <f t="shared" si="71"/>
        <v>0</v>
      </c>
      <c r="AT100" s="105">
        <f t="shared" si="79"/>
        <v>0</v>
      </c>
      <c r="AU100" s="105">
        <f t="shared" si="80"/>
        <v>0</v>
      </c>
      <c r="AV100" s="105">
        <f t="shared" si="74"/>
        <v>0</v>
      </c>
      <c r="AW100" s="105">
        <f t="shared" si="63"/>
        <v>0</v>
      </c>
      <c r="AX100" s="105">
        <v>0</v>
      </c>
      <c r="AY100" s="105">
        <f t="shared" si="93"/>
        <v>0</v>
      </c>
      <c r="AZ100" s="105">
        <f t="shared" si="91"/>
        <v>0</v>
      </c>
      <c r="BA100" s="105">
        <f t="shared" si="90"/>
        <v>0</v>
      </c>
      <c r="BB100" s="105"/>
      <c r="BC100" s="105"/>
      <c r="BD100" s="105"/>
      <c r="BE100" s="105"/>
      <c r="BF100" s="105"/>
      <c r="BG100" s="105">
        <f t="shared" si="75"/>
        <v>0</v>
      </c>
      <c r="BH100" s="108">
        <f t="shared" si="86"/>
        <v>0</v>
      </c>
      <c r="BI100" s="108">
        <f t="shared" si="81"/>
        <v>0</v>
      </c>
      <c r="BJ100" s="22">
        <f t="shared" si="82"/>
        <v>47084</v>
      </c>
      <c r="BK100" s="108">
        <f t="shared" si="64"/>
        <v>0</v>
      </c>
      <c r="BL100" s="2" t="e">
        <f>IF(AND(G55&gt;=$W$9,G55&lt;=$W$9+5),0,IF($C$9&gt;$AF$51,ROUND(BG54*IF(#REF!="",0,#REF!)/(DATEVALUE(CONCATENATE("01/01/",YEAR(AQ55)+1))-DATEVALUE(CONCATENATE("01/01/",YEAR(AQ55))))*(AQ55-AQ54),2),0))</f>
        <v>#REF!</v>
      </c>
    </row>
    <row r="101" spans="1:1217" s="16" customFormat="1" hidden="1" x14ac:dyDescent="0.3">
      <c r="A101" s="183"/>
      <c r="B101" s="178"/>
      <c r="C101" s="178"/>
      <c r="D101" s="178"/>
      <c r="E101" s="178"/>
      <c r="F101" s="184"/>
      <c r="G101" s="114">
        <f t="shared" si="83"/>
        <v>93</v>
      </c>
      <c r="H101" s="111">
        <f t="shared" si="60"/>
        <v>47114</v>
      </c>
      <c r="I101" s="176">
        <f t="shared" si="76"/>
        <v>0.129</v>
      </c>
      <c r="J101" s="24">
        <f t="shared" si="65"/>
        <v>0</v>
      </c>
      <c r="K101" s="24">
        <f t="shared" si="59"/>
        <v>0</v>
      </c>
      <c r="L101" s="24">
        <f t="shared" si="89"/>
        <v>0</v>
      </c>
      <c r="M101" s="24">
        <f t="shared" si="77"/>
        <v>0</v>
      </c>
      <c r="N101" s="24">
        <f t="shared" si="61"/>
        <v>0</v>
      </c>
      <c r="O101" s="24">
        <v>0</v>
      </c>
      <c r="P101" s="24">
        <f t="shared" si="92"/>
        <v>0</v>
      </c>
      <c r="Q101" s="24">
        <f t="shared" si="88"/>
        <v>0</v>
      </c>
      <c r="R101" s="24">
        <f t="shared" si="67"/>
        <v>0</v>
      </c>
      <c r="S101" s="24">
        <f t="shared" si="78"/>
        <v>0</v>
      </c>
      <c r="T101" s="24"/>
      <c r="U101" s="36">
        <f t="shared" si="84"/>
        <v>0</v>
      </c>
      <c r="V101" s="36">
        <f t="shared" si="69"/>
        <v>0</v>
      </c>
      <c r="W101" s="2" t="e">
        <f>IF(AND(G66&gt;=$W$9,G66&lt;=$W$9+5),0,IF($C$9&gt;$AF$51,ROUND(S65*#REF!/(DATEVALUE(CONCATENATE("01/01/",YEAR(H66)+1))-DATEVALUE(CONCATENATE("01/01/",YEAR(H66))))*(H66-H65),2),0))</f>
        <v>#REF!</v>
      </c>
      <c r="X101" s="34">
        <f t="shared" si="51"/>
        <v>0</v>
      </c>
      <c r="Y101" s="57">
        <f t="shared" si="47"/>
        <v>65455</v>
      </c>
      <c r="AL101" s="2" t="e">
        <f>IF(AND(Y58&gt;=$W$9,Y58&lt;=$W$9+5),0,IF($C$9&gt;$AF$51,ROUND(AI61*#REF!/(DATEVALUE(CONCATENATE("01/01/",YEAR(Z58)+1))-DATEVALUE(CONCATENATE("01/01/",YEAR(Z58))))*(Z58-Z57),2),0))</f>
        <v>#REF!</v>
      </c>
      <c r="AM101" s="34">
        <f t="shared" si="53"/>
        <v>0</v>
      </c>
      <c r="AN101" s="57">
        <f t="shared" si="52"/>
        <v>63995</v>
      </c>
      <c r="AO101" s="130">
        <f t="shared" si="70"/>
        <v>0</v>
      </c>
      <c r="AP101" s="109">
        <f t="shared" si="85"/>
        <v>93</v>
      </c>
      <c r="AQ101" s="110">
        <f t="shared" si="62"/>
        <v>47114</v>
      </c>
      <c r="AR101" s="177">
        <f t="shared" si="54"/>
        <v>0.16900000000000001</v>
      </c>
      <c r="AS101" s="105">
        <f t="shared" si="71"/>
        <v>0</v>
      </c>
      <c r="AT101" s="105">
        <f t="shared" si="79"/>
        <v>0</v>
      </c>
      <c r="AU101" s="105">
        <f t="shared" si="80"/>
        <v>0</v>
      </c>
      <c r="AV101" s="105">
        <f t="shared" si="74"/>
        <v>0</v>
      </c>
      <c r="AW101" s="105">
        <f t="shared" si="63"/>
        <v>0</v>
      </c>
      <c r="AX101" s="105">
        <v>0</v>
      </c>
      <c r="AY101" s="105">
        <f t="shared" si="93"/>
        <v>0</v>
      </c>
      <c r="AZ101" s="105">
        <f t="shared" si="91"/>
        <v>0</v>
      </c>
      <c r="BA101" s="105">
        <f t="shared" si="90"/>
        <v>0</v>
      </c>
      <c r="BB101" s="105"/>
      <c r="BC101" s="105"/>
      <c r="BD101" s="105"/>
      <c r="BE101" s="105"/>
      <c r="BF101" s="105"/>
      <c r="BG101" s="105">
        <f t="shared" si="75"/>
        <v>0</v>
      </c>
      <c r="BH101" s="108">
        <f t="shared" si="86"/>
        <v>0</v>
      </c>
      <c r="BI101" s="108">
        <f t="shared" si="81"/>
        <v>0</v>
      </c>
      <c r="BJ101" s="22">
        <f t="shared" si="82"/>
        <v>47114</v>
      </c>
      <c r="BK101" s="108">
        <f t="shared" si="64"/>
        <v>0</v>
      </c>
      <c r="BL101" s="2" t="e">
        <f>IF(AND(G56&gt;=$W$9,G56&lt;=$W$9+5),0,IF($C$9&gt;$AF$51,ROUND(BG55*IF(#REF!="",0,#REF!)/(DATEVALUE(CONCATENATE("01/01/",YEAR(AQ56)+1))-DATEVALUE(CONCATENATE("01/01/",YEAR(AQ56))))*(AQ56-AQ55),2),0))</f>
        <v>#REF!</v>
      </c>
    </row>
    <row r="102" spans="1:1217" s="16" customFormat="1" hidden="1" x14ac:dyDescent="0.3">
      <c r="A102" s="178"/>
      <c r="B102" s="178"/>
      <c r="C102" s="184"/>
      <c r="D102" s="184"/>
      <c r="E102" s="178"/>
      <c r="F102" s="184"/>
      <c r="G102" s="114">
        <f t="shared" si="83"/>
        <v>94</v>
      </c>
      <c r="H102" s="111">
        <f t="shared" si="60"/>
        <v>47145</v>
      </c>
      <c r="I102" s="176">
        <f t="shared" si="76"/>
        <v>0.129</v>
      </c>
      <c r="J102" s="24">
        <f t="shared" si="65"/>
        <v>0</v>
      </c>
      <c r="K102" s="24">
        <f t="shared" si="59"/>
        <v>0</v>
      </c>
      <c r="L102" s="24">
        <f t="shared" si="89"/>
        <v>0</v>
      </c>
      <c r="M102" s="24">
        <f t="shared" si="77"/>
        <v>0</v>
      </c>
      <c r="N102" s="24">
        <f t="shared" si="61"/>
        <v>0</v>
      </c>
      <c r="O102" s="24">
        <v>0</v>
      </c>
      <c r="P102" s="24">
        <f t="shared" si="92"/>
        <v>0</v>
      </c>
      <c r="Q102" s="24">
        <f t="shared" si="88"/>
        <v>0</v>
      </c>
      <c r="R102" s="24">
        <f t="shared" si="67"/>
        <v>0</v>
      </c>
      <c r="S102" s="24">
        <f t="shared" si="78"/>
        <v>0</v>
      </c>
      <c r="T102" s="24"/>
      <c r="U102" s="36">
        <f t="shared" si="84"/>
        <v>0</v>
      </c>
      <c r="V102" s="36">
        <f t="shared" si="69"/>
        <v>0</v>
      </c>
      <c r="W102" s="2" t="e">
        <f>IF(AND(G67&gt;=$W$9,G67&lt;=$W$9+5),0,IF($C$9&gt;$AF$51,ROUND(S66*#REF!/(DATEVALUE(CONCATENATE("01/01/",YEAR(H67)+1))-DATEVALUE(CONCATENATE("01/01/",YEAR(H67))))*(H67-H66),2),0))</f>
        <v>#REF!</v>
      </c>
      <c r="X102" s="34">
        <f t="shared" si="51"/>
        <v>0</v>
      </c>
      <c r="Y102" s="57">
        <f t="shared" si="47"/>
        <v>65820</v>
      </c>
      <c r="AL102" s="2" t="e">
        <f>IF(AND(Y59&gt;=$W$9,Y59&lt;=$W$9+5),0,IF($C$9&gt;$AF$51,ROUND(AI62*#REF!/(DATEVALUE(CONCATENATE("01/01/",YEAR(Z59)+1))-DATEVALUE(CONCATENATE("01/01/",YEAR(Z59))))*(Z59-Z58),2),0))</f>
        <v>#REF!</v>
      </c>
      <c r="AM102" s="34">
        <f t="shared" si="53"/>
        <v>0</v>
      </c>
      <c r="AN102" s="57">
        <f t="shared" si="52"/>
        <v>64360</v>
      </c>
      <c r="AO102" s="130">
        <f t="shared" si="70"/>
        <v>0</v>
      </c>
      <c r="AP102" s="109">
        <f t="shared" si="85"/>
        <v>94</v>
      </c>
      <c r="AQ102" s="110">
        <f t="shared" si="62"/>
        <v>47145</v>
      </c>
      <c r="AR102" s="177">
        <f t="shared" si="54"/>
        <v>0.16900000000000001</v>
      </c>
      <c r="AS102" s="105">
        <f t="shared" si="71"/>
        <v>0</v>
      </c>
      <c r="AT102" s="105">
        <f t="shared" si="79"/>
        <v>0</v>
      </c>
      <c r="AU102" s="105">
        <f t="shared" si="80"/>
        <v>0</v>
      </c>
      <c r="AV102" s="105">
        <f t="shared" si="74"/>
        <v>0</v>
      </c>
      <c r="AW102" s="105">
        <f t="shared" si="63"/>
        <v>0</v>
      </c>
      <c r="AX102" s="105">
        <v>0</v>
      </c>
      <c r="AY102" s="105">
        <f t="shared" si="93"/>
        <v>0</v>
      </c>
      <c r="AZ102" s="105">
        <f t="shared" si="91"/>
        <v>0</v>
      </c>
      <c r="BA102" s="105">
        <f t="shared" si="90"/>
        <v>0</v>
      </c>
      <c r="BB102" s="105"/>
      <c r="BC102" s="105"/>
      <c r="BD102" s="105"/>
      <c r="BE102" s="105"/>
      <c r="BF102" s="105"/>
      <c r="BG102" s="105">
        <f t="shared" si="75"/>
        <v>0</v>
      </c>
      <c r="BH102" s="108">
        <f t="shared" si="86"/>
        <v>0</v>
      </c>
      <c r="BI102" s="108">
        <f t="shared" si="81"/>
        <v>0</v>
      </c>
      <c r="BJ102" s="22">
        <f t="shared" si="82"/>
        <v>47145</v>
      </c>
      <c r="BK102" s="108">
        <f t="shared" si="64"/>
        <v>0</v>
      </c>
      <c r="BL102" s="2" t="e">
        <f>IF(AND(G57&gt;=$W$9,G57&lt;=$W$9+5),0,IF($C$9&gt;$AF$51,ROUND(BG56*IF(#REF!="",0,#REF!)/(DATEVALUE(CONCATENATE("01/01/",YEAR(AQ57)+1))-DATEVALUE(CONCATENATE("01/01/",YEAR(AQ57))))*(AQ57-AQ56),2),0))</f>
        <v>#REF!</v>
      </c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  <c r="AAB102" s="2"/>
      <c r="AAC102" s="2"/>
      <c r="AAD102" s="2"/>
      <c r="AAE102" s="2"/>
      <c r="AAF102" s="2"/>
      <c r="AAG102" s="2"/>
      <c r="AAH102" s="2"/>
      <c r="AAI102" s="2"/>
      <c r="AAJ102" s="2"/>
      <c r="AAK102" s="2"/>
      <c r="AAL102" s="2"/>
      <c r="AAM102" s="2"/>
      <c r="AAN102" s="2"/>
      <c r="AAO102" s="2"/>
      <c r="AAP102" s="2"/>
      <c r="AAQ102" s="2"/>
      <c r="AAR102" s="2"/>
      <c r="AAS102" s="2"/>
      <c r="AAT102" s="2"/>
      <c r="AAU102" s="2"/>
      <c r="AAV102" s="2"/>
      <c r="AAW102" s="2"/>
      <c r="AAX102" s="2"/>
      <c r="AAY102" s="2"/>
      <c r="AAZ102" s="2"/>
      <c r="ABA102" s="2"/>
      <c r="ABB102" s="2"/>
      <c r="ABC102" s="2"/>
      <c r="ABD102" s="2"/>
      <c r="ABE102" s="2"/>
      <c r="ABF102" s="2"/>
      <c r="ABG102" s="2"/>
      <c r="ABH102" s="2"/>
      <c r="ABI102" s="2"/>
      <c r="ABJ102" s="2"/>
      <c r="ABK102" s="2"/>
      <c r="ABL102" s="2"/>
      <c r="ABM102" s="2"/>
      <c r="ABN102" s="2"/>
      <c r="ABO102" s="2"/>
      <c r="ABP102" s="2"/>
      <c r="ABQ102" s="2"/>
      <c r="ABR102" s="2"/>
      <c r="ABS102" s="2"/>
      <c r="ABT102" s="2"/>
      <c r="ABU102" s="2"/>
      <c r="ABV102" s="2"/>
      <c r="ABW102" s="2"/>
      <c r="ABX102" s="2"/>
      <c r="ABY102" s="2"/>
      <c r="ABZ102" s="2"/>
      <c r="ACA102" s="2"/>
      <c r="ACB102" s="2"/>
      <c r="ACC102" s="2"/>
      <c r="ACD102" s="2"/>
      <c r="ACE102" s="2"/>
      <c r="ACF102" s="2"/>
      <c r="ACG102" s="2"/>
      <c r="ACH102" s="2"/>
      <c r="ACI102" s="2"/>
      <c r="ACJ102" s="2"/>
      <c r="ACK102" s="2"/>
      <c r="ACL102" s="2"/>
      <c r="ACM102" s="2"/>
      <c r="ACN102" s="2"/>
      <c r="ACO102" s="2"/>
      <c r="ACP102" s="2"/>
      <c r="ACQ102" s="2"/>
      <c r="ACR102" s="2"/>
      <c r="ACS102" s="2"/>
      <c r="ACT102" s="2"/>
      <c r="ACU102" s="2"/>
      <c r="ACV102" s="2"/>
      <c r="ACW102" s="2"/>
      <c r="ACX102" s="2"/>
      <c r="ACY102" s="2"/>
      <c r="ACZ102" s="2"/>
      <c r="ADA102" s="2"/>
      <c r="ADB102" s="2"/>
      <c r="ADC102" s="2"/>
      <c r="ADD102" s="2"/>
      <c r="ADE102" s="2"/>
      <c r="ADF102" s="2"/>
      <c r="ADG102" s="2"/>
      <c r="ADH102" s="2"/>
      <c r="ADI102" s="2"/>
      <c r="ADJ102" s="2"/>
      <c r="ADK102" s="2"/>
      <c r="ADL102" s="2"/>
      <c r="ADM102" s="2"/>
      <c r="ADN102" s="2"/>
      <c r="ADO102" s="2"/>
      <c r="ADP102" s="2"/>
      <c r="ADQ102" s="2"/>
      <c r="ADR102" s="2"/>
      <c r="ADS102" s="2"/>
      <c r="ADT102" s="2"/>
      <c r="ADU102" s="2"/>
      <c r="ADV102" s="2"/>
      <c r="ADW102" s="2"/>
      <c r="ADX102" s="2"/>
      <c r="ADY102" s="2"/>
      <c r="ADZ102" s="2"/>
      <c r="AEA102" s="2"/>
      <c r="AEB102" s="2"/>
      <c r="AEC102" s="2"/>
      <c r="AED102" s="2"/>
      <c r="AEE102" s="2"/>
      <c r="AEF102" s="2"/>
      <c r="AEG102" s="2"/>
      <c r="AEH102" s="2"/>
      <c r="AEI102" s="2"/>
      <c r="AEJ102" s="2"/>
      <c r="AEK102" s="2"/>
      <c r="AEL102" s="2"/>
      <c r="AEM102" s="2"/>
      <c r="AEN102" s="2"/>
      <c r="AEO102" s="2"/>
      <c r="AEP102" s="2"/>
      <c r="AEQ102" s="2"/>
      <c r="AER102" s="2"/>
      <c r="AES102" s="2"/>
      <c r="AET102" s="2"/>
      <c r="AEU102" s="2"/>
      <c r="AEV102" s="2"/>
      <c r="AEW102" s="2"/>
      <c r="AEX102" s="2"/>
      <c r="AEY102" s="2"/>
      <c r="AEZ102" s="2"/>
      <c r="AFA102" s="2"/>
      <c r="AFB102" s="2"/>
      <c r="AFC102" s="2"/>
      <c r="AFD102" s="2"/>
      <c r="AFE102" s="2"/>
      <c r="AFF102" s="2"/>
      <c r="AFG102" s="2"/>
      <c r="AFH102" s="2"/>
      <c r="AFI102" s="2"/>
      <c r="AFJ102" s="2"/>
      <c r="AFK102" s="2"/>
      <c r="AFL102" s="2"/>
      <c r="AFM102" s="2"/>
      <c r="AFN102" s="2"/>
      <c r="AFO102" s="2"/>
      <c r="AFP102" s="2"/>
      <c r="AFQ102" s="2"/>
      <c r="AFR102" s="2"/>
      <c r="AFS102" s="2"/>
      <c r="AFT102" s="2"/>
      <c r="AFU102" s="2"/>
      <c r="AFV102" s="2"/>
      <c r="AFW102" s="2"/>
      <c r="AFX102" s="2"/>
      <c r="AFY102" s="2"/>
      <c r="AFZ102" s="2"/>
      <c r="AGA102" s="2"/>
      <c r="AGB102" s="2"/>
      <c r="AGC102" s="2"/>
      <c r="AGD102" s="2"/>
      <c r="AGE102" s="2"/>
      <c r="AGF102" s="2"/>
      <c r="AGG102" s="2"/>
      <c r="AGH102" s="2"/>
      <c r="AGI102" s="2"/>
      <c r="AGJ102" s="2"/>
      <c r="AGK102" s="2"/>
      <c r="AGL102" s="2"/>
      <c r="AGM102" s="2"/>
      <c r="AGN102" s="2"/>
      <c r="AGO102" s="2"/>
      <c r="AGP102" s="2"/>
      <c r="AGQ102" s="2"/>
      <c r="AGR102" s="2"/>
      <c r="AGS102" s="2"/>
      <c r="AGT102" s="2"/>
      <c r="AGU102" s="2"/>
      <c r="AGV102" s="2"/>
      <c r="AGW102" s="2"/>
      <c r="AGX102" s="2"/>
      <c r="AGY102" s="2"/>
      <c r="AGZ102" s="2"/>
      <c r="AHA102" s="2"/>
      <c r="AHB102" s="2"/>
      <c r="AHC102" s="2"/>
      <c r="AHD102" s="2"/>
      <c r="AHE102" s="2"/>
      <c r="AHF102" s="2"/>
      <c r="AHG102" s="2"/>
      <c r="AHH102" s="2"/>
      <c r="AHI102" s="2"/>
      <c r="AHJ102" s="2"/>
      <c r="AHK102" s="2"/>
      <c r="AHL102" s="2"/>
      <c r="AHM102" s="2"/>
      <c r="AHN102" s="2"/>
      <c r="AHO102" s="2"/>
      <c r="AHP102" s="2"/>
      <c r="AHQ102" s="2"/>
      <c r="AHR102" s="2"/>
      <c r="AHS102" s="2"/>
      <c r="AHT102" s="2"/>
      <c r="AHU102" s="2"/>
      <c r="AHV102" s="2"/>
      <c r="AHW102" s="2"/>
      <c r="AHX102" s="2"/>
      <c r="AHY102" s="2"/>
      <c r="AHZ102" s="2"/>
      <c r="AIA102" s="2"/>
      <c r="AIB102" s="2"/>
      <c r="AIC102" s="2"/>
      <c r="AID102" s="2"/>
      <c r="AIE102" s="2"/>
      <c r="AIF102" s="2"/>
      <c r="AIG102" s="2"/>
      <c r="AIH102" s="2"/>
      <c r="AII102" s="2"/>
      <c r="AIJ102" s="2"/>
      <c r="AIK102" s="2"/>
      <c r="AIL102" s="2"/>
      <c r="AIM102" s="2"/>
      <c r="AIN102" s="2"/>
      <c r="AIO102" s="2"/>
      <c r="AIP102" s="2"/>
      <c r="AIQ102" s="2"/>
      <c r="AIR102" s="2"/>
      <c r="AIS102" s="2"/>
      <c r="AIT102" s="2"/>
      <c r="AIU102" s="2"/>
      <c r="AIV102" s="2"/>
      <c r="AIW102" s="2"/>
      <c r="AIX102" s="2"/>
      <c r="AIY102" s="2"/>
      <c r="AIZ102" s="2"/>
      <c r="AJA102" s="2"/>
      <c r="AJB102" s="2"/>
      <c r="AJC102" s="2"/>
      <c r="AJD102" s="2"/>
      <c r="AJE102" s="2"/>
      <c r="AJF102" s="2"/>
      <c r="AJG102" s="2"/>
      <c r="AJH102" s="2"/>
      <c r="AJI102" s="2"/>
      <c r="AJJ102" s="2"/>
      <c r="AJK102" s="2"/>
      <c r="AJL102" s="2"/>
      <c r="AJM102" s="2"/>
      <c r="AJN102" s="2"/>
      <c r="AJO102" s="2"/>
      <c r="AJP102" s="2"/>
      <c r="AJQ102" s="2"/>
      <c r="AJR102" s="2"/>
      <c r="AJS102" s="2"/>
      <c r="AJT102" s="2"/>
      <c r="AJU102" s="2"/>
      <c r="AJV102" s="2"/>
      <c r="AJW102" s="2"/>
      <c r="AJX102" s="2"/>
      <c r="AJY102" s="2"/>
      <c r="AJZ102" s="2"/>
      <c r="AKA102" s="2"/>
      <c r="AKB102" s="2"/>
      <c r="AKC102" s="2"/>
      <c r="AKD102" s="2"/>
      <c r="AKE102" s="2"/>
      <c r="AKF102" s="2"/>
      <c r="AKG102" s="2"/>
      <c r="AKH102" s="2"/>
      <c r="AKI102" s="2"/>
      <c r="AKJ102" s="2"/>
      <c r="AKK102" s="2"/>
      <c r="AKL102" s="2"/>
      <c r="AKM102" s="2"/>
      <c r="AKN102" s="2"/>
      <c r="AKO102" s="2"/>
      <c r="AKP102" s="2"/>
      <c r="AKQ102" s="2"/>
      <c r="AKR102" s="2"/>
      <c r="AKS102" s="2"/>
      <c r="AKT102" s="2"/>
      <c r="AKU102" s="2"/>
      <c r="AKV102" s="2"/>
      <c r="AKW102" s="2"/>
      <c r="AKX102" s="2"/>
      <c r="AKY102" s="2"/>
      <c r="AKZ102" s="2"/>
      <c r="ALA102" s="2"/>
      <c r="ALB102" s="2"/>
      <c r="ALC102" s="2"/>
      <c r="ALD102" s="2"/>
      <c r="ALE102" s="2"/>
      <c r="ALF102" s="2"/>
      <c r="ALG102" s="2"/>
      <c r="ALH102" s="2"/>
      <c r="ALI102" s="2"/>
      <c r="ALJ102" s="2"/>
      <c r="ALK102" s="2"/>
      <c r="ALL102" s="2"/>
      <c r="ALM102" s="2"/>
      <c r="ALN102" s="2"/>
      <c r="ALO102" s="2"/>
      <c r="ALP102" s="2"/>
      <c r="ALQ102" s="2"/>
      <c r="ALR102" s="2"/>
      <c r="ALS102" s="2"/>
      <c r="ALT102" s="2"/>
      <c r="ALU102" s="2"/>
      <c r="ALV102" s="2"/>
      <c r="ALW102" s="2"/>
      <c r="ALX102" s="2"/>
      <c r="ALY102" s="2"/>
      <c r="ALZ102" s="2"/>
      <c r="AMA102" s="2"/>
      <c r="AMB102" s="2"/>
      <c r="AMC102" s="2"/>
      <c r="AMD102" s="2"/>
      <c r="AME102" s="2"/>
      <c r="AMF102" s="2"/>
      <c r="AMG102" s="2"/>
      <c r="AMH102" s="2"/>
      <c r="AMI102" s="2"/>
      <c r="AMJ102" s="2"/>
      <c r="AMK102" s="2"/>
      <c r="AML102" s="2"/>
      <c r="AMM102" s="2"/>
      <c r="AMN102" s="2"/>
      <c r="AMO102" s="2"/>
      <c r="AMP102" s="2"/>
      <c r="AMQ102" s="2"/>
      <c r="AMR102" s="2"/>
      <c r="AMS102" s="2"/>
      <c r="AMT102" s="2"/>
      <c r="AMU102" s="2"/>
      <c r="AMV102" s="2"/>
      <c r="AMW102" s="2"/>
      <c r="AMX102" s="2"/>
      <c r="AMY102" s="2"/>
      <c r="AMZ102" s="2"/>
      <c r="ANA102" s="2"/>
      <c r="ANB102" s="2"/>
      <c r="ANC102" s="2"/>
      <c r="AND102" s="2"/>
      <c r="ANE102" s="2"/>
      <c r="ANF102" s="2"/>
      <c r="ANG102" s="2"/>
      <c r="ANH102" s="2"/>
      <c r="ANI102" s="2"/>
      <c r="ANJ102" s="2"/>
      <c r="ANK102" s="2"/>
      <c r="ANL102" s="2"/>
      <c r="ANM102" s="2"/>
      <c r="ANN102" s="2"/>
      <c r="ANO102" s="2"/>
      <c r="ANP102" s="2"/>
      <c r="ANQ102" s="2"/>
      <c r="ANR102" s="2"/>
      <c r="ANS102" s="2"/>
      <c r="ANT102" s="2"/>
      <c r="ANU102" s="2"/>
      <c r="ANV102" s="2"/>
      <c r="ANW102" s="2"/>
      <c r="ANX102" s="2"/>
      <c r="ANY102" s="2"/>
      <c r="ANZ102" s="2"/>
      <c r="AOA102" s="2"/>
      <c r="AOB102" s="2"/>
      <c r="AOC102" s="2"/>
      <c r="AOD102" s="2"/>
      <c r="AOE102" s="2"/>
      <c r="AOF102" s="2"/>
      <c r="AOG102" s="2"/>
      <c r="AOH102" s="2"/>
      <c r="AOI102" s="2"/>
      <c r="AOJ102" s="2"/>
      <c r="AOK102" s="2"/>
      <c r="AOL102" s="2"/>
      <c r="AOM102" s="2"/>
      <c r="AON102" s="2"/>
      <c r="AOO102" s="2"/>
      <c r="AOP102" s="2"/>
      <c r="AOQ102" s="2"/>
      <c r="AOR102" s="2"/>
      <c r="AOS102" s="2"/>
      <c r="AOT102" s="2"/>
      <c r="AOU102" s="2"/>
      <c r="AOV102" s="2"/>
      <c r="AOW102" s="2"/>
      <c r="AOX102" s="2"/>
      <c r="AOY102" s="2"/>
      <c r="AOZ102" s="2"/>
      <c r="APA102" s="2"/>
      <c r="APB102" s="2"/>
      <c r="APC102" s="2"/>
      <c r="APD102" s="2"/>
      <c r="APE102" s="2"/>
      <c r="APF102" s="2"/>
      <c r="APG102" s="2"/>
      <c r="APH102" s="2"/>
      <c r="API102" s="2"/>
      <c r="APJ102" s="2"/>
      <c r="APK102" s="2"/>
      <c r="APL102" s="2"/>
      <c r="APM102" s="2"/>
      <c r="APN102" s="2"/>
      <c r="APO102" s="2"/>
      <c r="APP102" s="2"/>
      <c r="APQ102" s="2"/>
      <c r="APR102" s="2"/>
      <c r="APS102" s="2"/>
      <c r="APT102" s="2"/>
      <c r="APU102" s="2"/>
      <c r="APV102" s="2"/>
      <c r="APW102" s="2"/>
      <c r="APX102" s="2"/>
      <c r="APY102" s="2"/>
      <c r="APZ102" s="2"/>
      <c r="AQA102" s="2"/>
      <c r="AQB102" s="2"/>
      <c r="AQC102" s="2"/>
      <c r="AQD102" s="2"/>
      <c r="AQE102" s="2"/>
      <c r="AQF102" s="2"/>
      <c r="AQG102" s="2"/>
      <c r="AQH102" s="2"/>
      <c r="AQI102" s="2"/>
      <c r="AQJ102" s="2"/>
      <c r="AQK102" s="2"/>
      <c r="AQL102" s="2"/>
      <c r="AQM102" s="2"/>
      <c r="AQN102" s="2"/>
      <c r="AQO102" s="2"/>
      <c r="AQP102" s="2"/>
      <c r="AQQ102" s="2"/>
      <c r="AQR102" s="2"/>
      <c r="AQS102" s="2"/>
      <c r="AQT102" s="2"/>
      <c r="AQU102" s="2"/>
      <c r="AQV102" s="2"/>
      <c r="AQW102" s="2"/>
      <c r="AQX102" s="2"/>
      <c r="AQY102" s="2"/>
      <c r="AQZ102" s="2"/>
      <c r="ARA102" s="2"/>
      <c r="ARB102" s="2"/>
      <c r="ARC102" s="2"/>
      <c r="ARD102" s="2"/>
      <c r="ARE102" s="2"/>
      <c r="ARF102" s="2"/>
      <c r="ARG102" s="2"/>
      <c r="ARH102" s="2"/>
      <c r="ARI102" s="2"/>
      <c r="ARJ102" s="2"/>
      <c r="ARK102" s="2"/>
      <c r="ARL102" s="2"/>
      <c r="ARM102" s="2"/>
      <c r="ARN102" s="2"/>
      <c r="ARO102" s="2"/>
      <c r="ARP102" s="2"/>
      <c r="ARQ102" s="2"/>
      <c r="ARR102" s="2"/>
      <c r="ARS102" s="2"/>
      <c r="ART102" s="2"/>
      <c r="ARU102" s="2"/>
      <c r="ARV102" s="2"/>
      <c r="ARW102" s="2"/>
      <c r="ARX102" s="2"/>
      <c r="ARY102" s="2"/>
      <c r="ARZ102" s="2"/>
      <c r="ASA102" s="2"/>
      <c r="ASB102" s="2"/>
      <c r="ASC102" s="2"/>
      <c r="ASD102" s="2"/>
      <c r="ASE102" s="2"/>
      <c r="ASF102" s="2"/>
      <c r="ASG102" s="2"/>
      <c r="ASH102" s="2"/>
      <c r="ASI102" s="2"/>
      <c r="ASJ102" s="2"/>
      <c r="ASK102" s="2"/>
      <c r="ASL102" s="2"/>
      <c r="ASM102" s="2"/>
      <c r="ASN102" s="2"/>
      <c r="ASO102" s="2"/>
      <c r="ASP102" s="2"/>
      <c r="ASQ102" s="2"/>
      <c r="ASR102" s="2"/>
      <c r="ASS102" s="2"/>
      <c r="AST102" s="2"/>
      <c r="ASU102" s="2"/>
      <c r="ASV102" s="2"/>
      <c r="ASW102" s="2"/>
      <c r="ASX102" s="2"/>
      <c r="ASY102" s="2"/>
      <c r="ASZ102" s="2"/>
      <c r="ATA102" s="2"/>
      <c r="ATB102" s="2"/>
      <c r="ATC102" s="2"/>
      <c r="ATD102" s="2"/>
      <c r="ATE102" s="2"/>
      <c r="ATF102" s="2"/>
      <c r="ATG102" s="2"/>
      <c r="ATH102" s="2"/>
      <c r="ATI102" s="2"/>
      <c r="ATJ102" s="2"/>
      <c r="ATK102" s="2"/>
      <c r="ATL102" s="2"/>
      <c r="ATM102" s="2"/>
      <c r="ATN102" s="2"/>
      <c r="ATO102" s="2"/>
      <c r="ATP102" s="2"/>
      <c r="ATQ102" s="2"/>
      <c r="ATR102" s="2"/>
      <c r="ATS102" s="2"/>
      <c r="ATT102" s="2"/>
      <c r="ATU102" s="2"/>
    </row>
    <row r="103" spans="1:1217" hidden="1" x14ac:dyDescent="0.3">
      <c r="A103" s="178"/>
      <c r="B103" s="178"/>
      <c r="C103" s="184"/>
      <c r="D103" s="184"/>
      <c r="E103" s="178"/>
      <c r="F103" s="184"/>
      <c r="G103" s="114">
        <f t="shared" si="83"/>
        <v>95</v>
      </c>
      <c r="H103" s="111">
        <f t="shared" si="60"/>
        <v>47176</v>
      </c>
      <c r="I103" s="176">
        <f t="shared" si="76"/>
        <v>0.129</v>
      </c>
      <c r="J103" s="24">
        <f t="shared" si="65"/>
        <v>0</v>
      </c>
      <c r="K103" s="24">
        <f t="shared" si="59"/>
        <v>0</v>
      </c>
      <c r="L103" s="24">
        <f t="shared" si="89"/>
        <v>0</v>
      </c>
      <c r="M103" s="24">
        <f t="shared" si="77"/>
        <v>0</v>
      </c>
      <c r="N103" s="24">
        <f t="shared" si="61"/>
        <v>0</v>
      </c>
      <c r="O103" s="24">
        <v>0</v>
      </c>
      <c r="P103" s="24">
        <f t="shared" si="92"/>
        <v>0</v>
      </c>
      <c r="Q103" s="24">
        <f t="shared" si="88"/>
        <v>0</v>
      </c>
      <c r="R103" s="24">
        <f t="shared" si="67"/>
        <v>0</v>
      </c>
      <c r="S103" s="24">
        <f t="shared" si="78"/>
        <v>0</v>
      </c>
      <c r="T103" s="24"/>
      <c r="U103" s="36">
        <f t="shared" si="84"/>
        <v>0</v>
      </c>
      <c r="V103" s="36">
        <f t="shared" si="69"/>
        <v>0</v>
      </c>
      <c r="W103" s="2" t="e">
        <f>IF(AND(G68&gt;=$W$9,G68&lt;=$W$9+5),0,IF($C$9&gt;$AF$51,ROUND(S67*#REF!/(DATEVALUE(CONCATENATE("01/01/",YEAR(H68)+1))-DATEVALUE(CONCATENATE("01/01/",YEAR(H68))))*(H68-H67),2),0))</f>
        <v>#REF!</v>
      </c>
      <c r="X103" s="34">
        <f t="shared" si="51"/>
        <v>0</v>
      </c>
      <c r="Y103" s="57">
        <f t="shared" si="47"/>
        <v>66185</v>
      </c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2" t="e">
        <f>IF(AND(Y60&gt;=$W$9,Y60&lt;=$W$9+5),0,IF($C$9&gt;$AF$51,ROUND(AI63*#REF!/(DATEVALUE(CONCATENATE("01/01/",YEAR(Z60)+1))-DATEVALUE(CONCATENATE("01/01/",YEAR(Z60))))*(Z60-Z59),2),0))</f>
        <v>#REF!</v>
      </c>
      <c r="AM103" s="34">
        <f t="shared" si="53"/>
        <v>0</v>
      </c>
      <c r="AN103" s="57">
        <f t="shared" si="52"/>
        <v>64725</v>
      </c>
      <c r="AO103" s="130">
        <f t="shared" si="70"/>
        <v>0</v>
      </c>
      <c r="AP103" s="109">
        <f t="shared" si="85"/>
        <v>95</v>
      </c>
      <c r="AQ103" s="110">
        <f t="shared" si="62"/>
        <v>47176</v>
      </c>
      <c r="AR103" s="177">
        <f t="shared" si="54"/>
        <v>0.16900000000000001</v>
      </c>
      <c r="AS103" s="105">
        <f t="shared" si="71"/>
        <v>0</v>
      </c>
      <c r="AT103" s="105">
        <f t="shared" si="79"/>
        <v>0</v>
      </c>
      <c r="AU103" s="105">
        <f t="shared" si="80"/>
        <v>0</v>
      </c>
      <c r="AV103" s="105">
        <f t="shared" si="74"/>
        <v>0</v>
      </c>
      <c r="AW103" s="105">
        <f t="shared" si="63"/>
        <v>0</v>
      </c>
      <c r="AX103" s="105">
        <v>0</v>
      </c>
      <c r="AY103" s="105">
        <f t="shared" si="93"/>
        <v>0</v>
      </c>
      <c r="AZ103" s="105">
        <f t="shared" si="91"/>
        <v>0</v>
      </c>
      <c r="BA103" s="105">
        <f t="shared" si="90"/>
        <v>0</v>
      </c>
      <c r="BB103" s="105"/>
      <c r="BC103" s="105"/>
      <c r="BD103" s="105"/>
      <c r="BE103" s="105"/>
      <c r="BF103" s="105"/>
      <c r="BG103" s="105">
        <f t="shared" si="75"/>
        <v>0</v>
      </c>
      <c r="BH103" s="108">
        <f t="shared" si="86"/>
        <v>0</v>
      </c>
      <c r="BI103" s="108">
        <f t="shared" si="81"/>
        <v>0</v>
      </c>
      <c r="BJ103" s="22">
        <f t="shared" si="82"/>
        <v>47176</v>
      </c>
      <c r="BK103" s="108">
        <f t="shared" si="64"/>
        <v>0</v>
      </c>
      <c r="BL103" s="2" t="e">
        <f>IF(AND(G58&gt;=$W$9,G58&lt;=$W$9+5),0,IF($C$9&gt;$AF$51,ROUND(BG57*IF(#REF!="",0,#REF!)/(DATEVALUE(CONCATENATE("01/01/",YEAR(AQ58)+1))-DATEVALUE(CONCATENATE("01/01/",YEAR(AQ58))))*(AQ58-AQ57),2),0))</f>
        <v>#REF!</v>
      </c>
    </row>
    <row r="104" spans="1:1217" hidden="1" x14ac:dyDescent="0.3">
      <c r="A104" s="178"/>
      <c r="B104" s="178"/>
      <c r="C104" s="184"/>
      <c r="D104" s="184"/>
      <c r="E104" s="178"/>
      <c r="F104" s="184"/>
      <c r="G104" s="114">
        <f t="shared" si="83"/>
        <v>96</v>
      </c>
      <c r="H104" s="111">
        <f t="shared" si="60"/>
        <v>47204</v>
      </c>
      <c r="I104" s="176">
        <f t="shared" si="76"/>
        <v>0.129</v>
      </c>
      <c r="J104" s="24">
        <f t="shared" si="65"/>
        <v>0</v>
      </c>
      <c r="K104" s="24">
        <f t="shared" si="59"/>
        <v>0</v>
      </c>
      <c r="L104" s="24">
        <f t="shared" si="89"/>
        <v>0</v>
      </c>
      <c r="M104" s="24">
        <f t="shared" si="77"/>
        <v>0</v>
      </c>
      <c r="N104" s="24">
        <f t="shared" si="61"/>
        <v>0</v>
      </c>
      <c r="O104" s="24">
        <v>0</v>
      </c>
      <c r="P104" s="24">
        <f t="shared" si="92"/>
        <v>0</v>
      </c>
      <c r="Q104" s="24">
        <f t="shared" si="88"/>
        <v>0</v>
      </c>
      <c r="R104" s="24">
        <f t="shared" si="67"/>
        <v>0</v>
      </c>
      <c r="S104" s="24">
        <f t="shared" si="78"/>
        <v>0</v>
      </c>
      <c r="T104" s="24"/>
      <c r="U104" s="36">
        <f t="shared" si="84"/>
        <v>0</v>
      </c>
      <c r="V104" s="36">
        <f t="shared" si="69"/>
        <v>0</v>
      </c>
      <c r="W104" s="2" t="e">
        <f>IF(AND(G69&gt;=$W$9,G69&lt;=$W$9+5),0,IF($C$9&gt;$AF$51,ROUND(S68*#REF!/(DATEVALUE(CONCATENATE("01/01/",YEAR(H69)+1))-DATEVALUE(CONCATENATE("01/01/",YEAR(H69))))*(H69-H68),2),0))</f>
        <v>#REF!</v>
      </c>
      <c r="X104" s="34">
        <f t="shared" si="51"/>
        <v>0</v>
      </c>
      <c r="Y104" s="57">
        <f t="shared" si="47"/>
        <v>66550</v>
      </c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2" t="e">
        <f>IF(AND(Y61&gt;=$W$9,Y61&lt;=$W$9+5),0,IF($C$9&gt;$AF$51,ROUND(AI64*#REF!/(DATEVALUE(CONCATENATE("01/01/",YEAR(Z61)+1))-DATEVALUE(CONCATENATE("01/01/",YEAR(Z61))))*(Z61-Z60),2),0))</f>
        <v>#REF!</v>
      </c>
      <c r="AM104" s="34">
        <f t="shared" si="53"/>
        <v>0</v>
      </c>
      <c r="AN104" s="57">
        <f t="shared" si="52"/>
        <v>65090</v>
      </c>
      <c r="AO104" s="130">
        <f t="shared" si="70"/>
        <v>0</v>
      </c>
      <c r="AP104" s="109">
        <f t="shared" si="85"/>
        <v>96</v>
      </c>
      <c r="AQ104" s="110">
        <f t="shared" si="62"/>
        <v>47204</v>
      </c>
      <c r="AR104" s="177">
        <f t="shared" si="54"/>
        <v>0.16900000000000001</v>
      </c>
      <c r="AS104" s="105">
        <f t="shared" si="71"/>
        <v>0</v>
      </c>
      <c r="AT104" s="105">
        <f t="shared" si="79"/>
        <v>0</v>
      </c>
      <c r="AU104" s="105">
        <f t="shared" si="80"/>
        <v>0</v>
      </c>
      <c r="AV104" s="105">
        <f t="shared" si="74"/>
        <v>0</v>
      </c>
      <c r="AW104" s="105">
        <f t="shared" si="63"/>
        <v>0</v>
      </c>
      <c r="AX104" s="105">
        <v>0</v>
      </c>
      <c r="AY104" s="105">
        <f t="shared" si="93"/>
        <v>0</v>
      </c>
      <c r="AZ104" s="105">
        <f t="shared" si="91"/>
        <v>0</v>
      </c>
      <c r="BA104" s="105">
        <f t="shared" si="90"/>
        <v>0</v>
      </c>
      <c r="BB104" s="105"/>
      <c r="BC104" s="105"/>
      <c r="BD104" s="105"/>
      <c r="BE104" s="105"/>
      <c r="BF104" s="105"/>
      <c r="BG104" s="105">
        <f t="shared" si="75"/>
        <v>0</v>
      </c>
      <c r="BH104" s="108">
        <f t="shared" si="86"/>
        <v>0</v>
      </c>
      <c r="BI104" s="108">
        <f t="shared" si="81"/>
        <v>0</v>
      </c>
      <c r="BJ104" s="22">
        <f t="shared" si="82"/>
        <v>47204</v>
      </c>
      <c r="BK104" s="108">
        <f t="shared" si="64"/>
        <v>0</v>
      </c>
      <c r="BL104" s="2" t="e">
        <f>IF(AND(G59&gt;=$W$9,G59&lt;=$W$9+5),0,IF($C$9&gt;$AF$51,ROUND(BG58*IF(#REF!="",0,#REF!)/(DATEVALUE(CONCATENATE("01/01/",YEAR(AQ59)+1))-DATEVALUE(CONCATENATE("01/01/",YEAR(AQ59))))*(AQ59-AQ58),2),0))</f>
        <v>#REF!</v>
      </c>
    </row>
    <row r="105" spans="1:1217" hidden="1" x14ac:dyDescent="0.3">
      <c r="A105" s="178"/>
      <c r="B105" s="178"/>
      <c r="C105" s="184"/>
      <c r="D105" s="184"/>
      <c r="E105" s="178"/>
      <c r="F105" s="184"/>
      <c r="G105" s="114">
        <f t="shared" si="83"/>
        <v>97</v>
      </c>
      <c r="H105" s="111">
        <f t="shared" si="60"/>
        <v>47235</v>
      </c>
      <c r="I105" s="176">
        <f t="shared" si="76"/>
        <v>0.129</v>
      </c>
      <c r="J105" s="24">
        <f t="shared" si="65"/>
        <v>0</v>
      </c>
      <c r="K105" s="24">
        <f t="shared" si="59"/>
        <v>0</v>
      </c>
      <c r="L105" s="24">
        <f t="shared" si="89"/>
        <v>0</v>
      </c>
      <c r="M105" s="24">
        <f t="shared" si="77"/>
        <v>0</v>
      </c>
      <c r="N105" s="24">
        <f t="shared" si="61"/>
        <v>0</v>
      </c>
      <c r="O105" s="24">
        <v>0</v>
      </c>
      <c r="P105" s="24">
        <f t="shared" si="92"/>
        <v>0</v>
      </c>
      <c r="Q105" s="24">
        <f t="shared" si="88"/>
        <v>0</v>
      </c>
      <c r="R105" s="24">
        <f t="shared" si="67"/>
        <v>0</v>
      </c>
      <c r="S105" s="24">
        <f t="shared" si="78"/>
        <v>0</v>
      </c>
      <c r="T105" s="24"/>
      <c r="U105" s="36">
        <f t="shared" si="84"/>
        <v>0</v>
      </c>
      <c r="V105" s="36">
        <f t="shared" si="69"/>
        <v>0</v>
      </c>
      <c r="W105" s="2" t="e">
        <f>IF(AND(G70&gt;=$W$9,G70&lt;=$W$9+5),0,IF($C$9&gt;$AF$51,ROUND(S69*#REF!/(DATEVALUE(CONCATENATE("01/01/",YEAR(H70)+1))-DATEVALUE(CONCATENATE("01/01/",YEAR(H70))))*(H70-H69),2),0))</f>
        <v>#REF!</v>
      </c>
      <c r="X105" s="34">
        <f t="shared" si="51"/>
        <v>0</v>
      </c>
      <c r="Y105" s="57">
        <f t="shared" si="47"/>
        <v>66915</v>
      </c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2" t="e">
        <f>IF(AND(Y62&gt;=$W$9,Y62&lt;=$W$9+5),0,IF($C$9&gt;$AF$51,ROUND(AI65*#REF!/(DATEVALUE(CONCATENATE("01/01/",YEAR(Z62)+1))-DATEVALUE(CONCATENATE("01/01/",YEAR(Z62))))*(Z62-Z61),2),0))</f>
        <v>#REF!</v>
      </c>
      <c r="AM105" s="34">
        <f t="shared" si="53"/>
        <v>0</v>
      </c>
      <c r="AN105" s="57">
        <f t="shared" si="52"/>
        <v>65455</v>
      </c>
      <c r="AO105" s="130">
        <f t="shared" si="70"/>
        <v>0</v>
      </c>
      <c r="AP105" s="109">
        <f t="shared" si="85"/>
        <v>97</v>
      </c>
      <c r="AQ105" s="110">
        <f t="shared" si="62"/>
        <v>47235</v>
      </c>
      <c r="AR105" s="177">
        <f t="shared" si="54"/>
        <v>0.16900000000000001</v>
      </c>
      <c r="AS105" s="105">
        <f t="shared" si="71"/>
        <v>0</v>
      </c>
      <c r="AT105" s="105">
        <f t="shared" si="79"/>
        <v>0</v>
      </c>
      <c r="AU105" s="105">
        <f t="shared" si="80"/>
        <v>0</v>
      </c>
      <c r="AV105" s="105">
        <f t="shared" si="74"/>
        <v>0</v>
      </c>
      <c r="AW105" s="105">
        <f t="shared" si="63"/>
        <v>0</v>
      </c>
      <c r="AX105" s="105">
        <v>0</v>
      </c>
      <c r="AY105" s="105">
        <f t="shared" si="93"/>
        <v>0</v>
      </c>
      <c r="AZ105" s="105">
        <f t="shared" si="91"/>
        <v>0</v>
      </c>
      <c r="BA105" s="105">
        <f t="shared" si="90"/>
        <v>0</v>
      </c>
      <c r="BB105" s="105"/>
      <c r="BC105" s="105"/>
      <c r="BD105" s="105"/>
      <c r="BE105" s="105"/>
      <c r="BF105" s="105"/>
      <c r="BG105" s="105">
        <f t="shared" si="75"/>
        <v>0</v>
      </c>
      <c r="BH105" s="108">
        <f t="shared" si="86"/>
        <v>0</v>
      </c>
      <c r="BI105" s="108">
        <f t="shared" si="81"/>
        <v>0</v>
      </c>
      <c r="BJ105" s="22">
        <f t="shared" si="82"/>
        <v>47235</v>
      </c>
      <c r="BK105" s="108">
        <f t="shared" si="64"/>
        <v>0</v>
      </c>
      <c r="BL105" s="2" t="e">
        <f>IF(AND(G60&gt;=$W$9,G60&lt;=$W$9+5),0,IF($C$9&gt;$AF$51,ROUND(BG59*IF(#REF!="",0,#REF!)/(DATEVALUE(CONCATENATE("01/01/",YEAR(AQ60)+1))-DATEVALUE(CONCATENATE("01/01/",YEAR(AQ60))))*(AQ60-AQ59),2),0))</f>
        <v>#REF!</v>
      </c>
    </row>
    <row r="106" spans="1:1217" hidden="1" x14ac:dyDescent="0.3">
      <c r="A106" s="178"/>
      <c r="B106" s="178"/>
      <c r="C106" s="184"/>
      <c r="D106" s="184"/>
      <c r="E106" s="178"/>
      <c r="F106" s="184"/>
      <c r="G106" s="114">
        <f t="shared" si="83"/>
        <v>98</v>
      </c>
      <c r="H106" s="111">
        <f t="shared" si="60"/>
        <v>47265</v>
      </c>
      <c r="I106" s="176">
        <f t="shared" si="76"/>
        <v>0.129</v>
      </c>
      <c r="J106" s="24">
        <f t="shared" si="65"/>
        <v>0</v>
      </c>
      <c r="K106" s="24">
        <f t="shared" si="59"/>
        <v>0</v>
      </c>
      <c r="L106" s="24">
        <f t="shared" si="89"/>
        <v>0</v>
      </c>
      <c r="M106" s="24">
        <f t="shared" si="77"/>
        <v>0</v>
      </c>
      <c r="N106" s="24">
        <f t="shared" si="61"/>
        <v>0</v>
      </c>
      <c r="O106" s="24">
        <v>0</v>
      </c>
      <c r="P106" s="24">
        <f t="shared" si="92"/>
        <v>0</v>
      </c>
      <c r="Q106" s="24">
        <f t="shared" si="88"/>
        <v>0</v>
      </c>
      <c r="R106" s="24">
        <f t="shared" si="67"/>
        <v>0</v>
      </c>
      <c r="S106" s="24">
        <f t="shared" si="78"/>
        <v>0</v>
      </c>
      <c r="T106" s="24"/>
      <c r="U106" s="36">
        <f t="shared" si="84"/>
        <v>0</v>
      </c>
      <c r="V106" s="36">
        <f t="shared" si="69"/>
        <v>0</v>
      </c>
      <c r="W106" s="2" t="e">
        <f>IF(AND(G71&gt;=$W$9,G71&lt;=$W$9+5),0,IF($C$9&gt;$AF$51,ROUND(S70*#REF!/(DATEVALUE(CONCATENATE("01/01/",YEAR(H71)+1))-DATEVALUE(CONCATENATE("01/01/",YEAR(H71))))*(H71-H70),2),0))</f>
        <v>#REF!</v>
      </c>
      <c r="X106" s="34">
        <f t="shared" si="51"/>
        <v>0</v>
      </c>
      <c r="Y106" s="57">
        <f t="shared" si="47"/>
        <v>67280</v>
      </c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2" t="e">
        <f>IF(AND(Y63&gt;=$W$9,Y63&lt;=$W$9+5),0,IF($C$9&gt;$AF$51,ROUND(AI66*#REF!/(DATEVALUE(CONCATENATE("01/01/",YEAR(Z63)+1))-DATEVALUE(CONCATENATE("01/01/",YEAR(Z63))))*(Z63-Z62),2),0))</f>
        <v>#REF!</v>
      </c>
      <c r="AM106" s="34">
        <f t="shared" si="53"/>
        <v>0</v>
      </c>
      <c r="AN106" s="57">
        <f t="shared" si="52"/>
        <v>65820</v>
      </c>
      <c r="AO106" s="130">
        <f t="shared" si="70"/>
        <v>0</v>
      </c>
      <c r="AP106" s="109">
        <f t="shared" si="85"/>
        <v>98</v>
      </c>
      <c r="AQ106" s="110">
        <f t="shared" si="62"/>
        <v>47265</v>
      </c>
      <c r="AR106" s="177">
        <f t="shared" si="54"/>
        <v>0.16900000000000001</v>
      </c>
      <c r="AS106" s="105">
        <f t="shared" si="71"/>
        <v>0</v>
      </c>
      <c r="AT106" s="105">
        <f t="shared" si="79"/>
        <v>0</v>
      </c>
      <c r="AU106" s="105">
        <f t="shared" si="80"/>
        <v>0</v>
      </c>
      <c r="AV106" s="105">
        <f t="shared" si="74"/>
        <v>0</v>
      </c>
      <c r="AW106" s="105">
        <f t="shared" si="63"/>
        <v>0</v>
      </c>
      <c r="AX106" s="105">
        <v>0</v>
      </c>
      <c r="AY106" s="105">
        <f t="shared" si="93"/>
        <v>0</v>
      </c>
      <c r="AZ106" s="105">
        <f t="shared" si="91"/>
        <v>0</v>
      </c>
      <c r="BA106" s="105">
        <f t="shared" si="90"/>
        <v>0</v>
      </c>
      <c r="BB106" s="105"/>
      <c r="BC106" s="105"/>
      <c r="BD106" s="105"/>
      <c r="BE106" s="105"/>
      <c r="BF106" s="105"/>
      <c r="BG106" s="105">
        <f t="shared" si="75"/>
        <v>0</v>
      </c>
      <c r="BH106" s="108">
        <f t="shared" si="86"/>
        <v>0</v>
      </c>
      <c r="BI106" s="108">
        <f t="shared" si="81"/>
        <v>0</v>
      </c>
      <c r="BJ106" s="22">
        <f t="shared" si="82"/>
        <v>47265</v>
      </c>
      <c r="BK106" s="108">
        <f t="shared" si="64"/>
        <v>0</v>
      </c>
      <c r="BL106" s="2" t="e">
        <f>IF(AND(G61&gt;=$W$9,G61&lt;=$W$9+5),0,IF($C$9&gt;$AF$51,ROUND(BG60*IF(#REF!="",0,#REF!)/(DATEVALUE(CONCATENATE("01/01/",YEAR(AQ61)+1))-DATEVALUE(CONCATENATE("01/01/",YEAR(AQ61))))*(AQ61-AQ60),2),0))</f>
        <v>#REF!</v>
      </c>
    </row>
    <row r="107" spans="1:1217" hidden="1" x14ac:dyDescent="0.3">
      <c r="A107" s="178"/>
      <c r="B107" s="178"/>
      <c r="C107" s="184"/>
      <c r="D107" s="184"/>
      <c r="E107" s="178"/>
      <c r="F107" s="184"/>
      <c r="G107" s="114">
        <f t="shared" si="83"/>
        <v>99</v>
      </c>
      <c r="H107" s="111">
        <f t="shared" si="60"/>
        <v>47296</v>
      </c>
      <c r="I107" s="176">
        <f t="shared" si="76"/>
        <v>0.129</v>
      </c>
      <c r="J107" s="24">
        <f t="shared" si="65"/>
        <v>0</v>
      </c>
      <c r="K107" s="24">
        <f t="shared" si="59"/>
        <v>0</v>
      </c>
      <c r="L107" s="24">
        <f t="shared" si="89"/>
        <v>0</v>
      </c>
      <c r="M107" s="24">
        <f t="shared" si="77"/>
        <v>0</v>
      </c>
      <c r="N107" s="24">
        <f t="shared" si="61"/>
        <v>0</v>
      </c>
      <c r="O107" s="24">
        <v>0</v>
      </c>
      <c r="P107" s="24">
        <f t="shared" si="92"/>
        <v>0</v>
      </c>
      <c r="Q107" s="24">
        <f t="shared" si="88"/>
        <v>0</v>
      </c>
      <c r="R107" s="24">
        <f t="shared" si="67"/>
        <v>0</v>
      </c>
      <c r="S107" s="24">
        <f t="shared" si="78"/>
        <v>0</v>
      </c>
      <c r="T107" s="24"/>
      <c r="U107" s="36">
        <f t="shared" si="84"/>
        <v>0</v>
      </c>
      <c r="V107" s="36">
        <f t="shared" si="69"/>
        <v>0</v>
      </c>
      <c r="W107" s="2" t="e">
        <f>IF(AND(G72&gt;=$W$9,G72&lt;=$W$9+5),0,IF($C$9&gt;$AF$51,ROUND(S71*#REF!/(DATEVALUE(CONCATENATE("01/01/",YEAR(H72)+1))-DATEVALUE(CONCATENATE("01/01/",YEAR(H72))))*(H72-H71),2),0))</f>
        <v>#REF!</v>
      </c>
      <c r="X107" s="34">
        <f t="shared" si="51"/>
        <v>0</v>
      </c>
      <c r="Y107" s="57">
        <f t="shared" si="47"/>
        <v>67645</v>
      </c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2" t="e">
        <f>IF(AND(Y64&gt;=$W$9,Y64&lt;=$W$9+5),0,IF($C$9&gt;$AF$51,ROUND(AI67*#REF!/(DATEVALUE(CONCATENATE("01/01/",YEAR(Z64)+1))-DATEVALUE(CONCATENATE("01/01/",YEAR(Z64))))*(Z64-Z63),2),0))</f>
        <v>#REF!</v>
      </c>
      <c r="AM107" s="34">
        <f t="shared" si="53"/>
        <v>0</v>
      </c>
      <c r="AN107" s="57">
        <f t="shared" si="52"/>
        <v>66185</v>
      </c>
      <c r="AO107" s="130">
        <f t="shared" si="70"/>
        <v>0</v>
      </c>
      <c r="AP107" s="109">
        <f t="shared" si="85"/>
        <v>99</v>
      </c>
      <c r="AQ107" s="110">
        <f t="shared" si="62"/>
        <v>47296</v>
      </c>
      <c r="AR107" s="177">
        <f t="shared" si="54"/>
        <v>0.16900000000000001</v>
      </c>
      <c r="AS107" s="105">
        <f t="shared" si="71"/>
        <v>0</v>
      </c>
      <c r="AT107" s="105">
        <f t="shared" si="79"/>
        <v>0</v>
      </c>
      <c r="AU107" s="105">
        <f t="shared" si="80"/>
        <v>0</v>
      </c>
      <c r="AV107" s="105">
        <f t="shared" si="74"/>
        <v>0</v>
      </c>
      <c r="AW107" s="105">
        <f t="shared" si="63"/>
        <v>0</v>
      </c>
      <c r="AX107" s="105">
        <v>0</v>
      </c>
      <c r="AY107" s="105">
        <f t="shared" si="93"/>
        <v>0</v>
      </c>
      <c r="AZ107" s="105">
        <f t="shared" si="91"/>
        <v>0</v>
      </c>
      <c r="BA107" s="105">
        <f t="shared" si="90"/>
        <v>0</v>
      </c>
      <c r="BB107" s="105"/>
      <c r="BC107" s="105"/>
      <c r="BD107" s="105"/>
      <c r="BE107" s="105"/>
      <c r="BF107" s="105"/>
      <c r="BG107" s="105">
        <f t="shared" si="75"/>
        <v>0</v>
      </c>
      <c r="BH107" s="108">
        <f t="shared" si="86"/>
        <v>0</v>
      </c>
      <c r="BI107" s="108">
        <f t="shared" si="81"/>
        <v>0</v>
      </c>
      <c r="BJ107" s="22">
        <f t="shared" si="82"/>
        <v>47296</v>
      </c>
      <c r="BK107" s="108">
        <f t="shared" si="64"/>
        <v>0</v>
      </c>
      <c r="BL107" s="2" t="e">
        <f>IF(AND(G62&gt;=$W$9,G62&lt;=$W$9+5),0,IF($C$9&gt;$AF$51,ROUND(BG61*IF(#REF!="",0,#REF!)/(DATEVALUE(CONCATENATE("01/01/",YEAR(AQ62)+1))-DATEVALUE(CONCATENATE("01/01/",YEAR(AQ62))))*(AQ62-AQ61),2),0))</f>
        <v>#REF!</v>
      </c>
    </row>
    <row r="108" spans="1:1217" hidden="1" x14ac:dyDescent="0.3">
      <c r="A108" s="178"/>
      <c r="B108" s="178"/>
      <c r="C108" s="184"/>
      <c r="D108" s="184"/>
      <c r="E108" s="184"/>
      <c r="F108" s="184"/>
      <c r="G108" s="114">
        <f t="shared" si="83"/>
        <v>100</v>
      </c>
      <c r="H108" s="111">
        <f t="shared" si="60"/>
        <v>47326</v>
      </c>
      <c r="I108" s="176">
        <f t="shared" si="76"/>
        <v>0.129</v>
      </c>
      <c r="J108" s="24">
        <f t="shared" si="65"/>
        <v>0</v>
      </c>
      <c r="K108" s="24">
        <f t="shared" si="59"/>
        <v>0</v>
      </c>
      <c r="L108" s="24">
        <f t="shared" si="89"/>
        <v>0</v>
      </c>
      <c r="M108" s="24">
        <f t="shared" si="77"/>
        <v>0</v>
      </c>
      <c r="N108" s="24">
        <f t="shared" si="61"/>
        <v>0</v>
      </c>
      <c r="O108" s="24">
        <v>0</v>
      </c>
      <c r="P108" s="24">
        <f t="shared" si="92"/>
        <v>0</v>
      </c>
      <c r="Q108" s="24">
        <f t="shared" si="88"/>
        <v>0</v>
      </c>
      <c r="R108" s="24">
        <f t="shared" si="67"/>
        <v>0</v>
      </c>
      <c r="S108" s="24">
        <f t="shared" si="78"/>
        <v>0</v>
      </c>
      <c r="T108" s="24"/>
      <c r="U108" s="36">
        <f t="shared" si="84"/>
        <v>0</v>
      </c>
      <c r="V108" s="36">
        <f>IF(ISERR(CEILING(FLOOR(NPER($C$11/12,-$AD$55,S107),0.1),1))=TRUE,0,CEILING(FLOOR(NPER($C$11/12,-$AD$55,S107),0.1),1))</f>
        <v>0</v>
      </c>
      <c r="W108" s="2" t="e">
        <f>IF(AND(G73&gt;=$W$9,G73&lt;=$W$9+5),0,IF($C$9&gt;$AF$51,ROUND(S72*#REF!/(DATEVALUE(CONCATENATE("01/01/",YEAR(H73)+1))-DATEVALUE(CONCATENATE("01/01/",YEAR(H73))))*(H73-H72),2),0))</f>
        <v>#REF!</v>
      </c>
      <c r="X108" s="34">
        <f t="shared" si="51"/>
        <v>0</v>
      </c>
      <c r="Y108" s="57">
        <f t="shared" si="47"/>
        <v>68010</v>
      </c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2" t="e">
        <f>IF(AND(Y65&gt;=$W$9,Y65&lt;=$W$9+5),0,IF($C$9&gt;$AF$51,ROUND(AI68*#REF!/(DATEVALUE(CONCATENATE("01/01/",YEAR(Z65)+1))-DATEVALUE(CONCATENATE("01/01/",YEAR(Z65))))*(Z65-Z64),2),0))</f>
        <v>#REF!</v>
      </c>
      <c r="AM108" s="34">
        <f t="shared" si="53"/>
        <v>0</v>
      </c>
      <c r="AN108" s="57">
        <f t="shared" si="52"/>
        <v>66550</v>
      </c>
      <c r="AO108" s="130">
        <f t="shared" si="70"/>
        <v>0</v>
      </c>
      <c r="AP108" s="109">
        <f t="shared" si="85"/>
        <v>100</v>
      </c>
      <c r="AQ108" s="110">
        <f t="shared" si="62"/>
        <v>47326</v>
      </c>
      <c r="AR108" s="177">
        <f t="shared" si="54"/>
        <v>0.16900000000000001</v>
      </c>
      <c r="AS108" s="105">
        <f t="shared" si="71"/>
        <v>0</v>
      </c>
      <c r="AT108" s="105">
        <f t="shared" si="79"/>
        <v>0</v>
      </c>
      <c r="AU108" s="105">
        <f t="shared" si="80"/>
        <v>0</v>
      </c>
      <c r="AV108" s="105">
        <f t="shared" si="74"/>
        <v>0</v>
      </c>
      <c r="AW108" s="105">
        <f t="shared" si="63"/>
        <v>0</v>
      </c>
      <c r="AX108" s="105">
        <v>0</v>
      </c>
      <c r="AY108" s="105">
        <f t="shared" si="93"/>
        <v>0</v>
      </c>
      <c r="AZ108" s="105">
        <f t="shared" si="91"/>
        <v>0</v>
      </c>
      <c r="BA108" s="105">
        <f t="shared" si="90"/>
        <v>0</v>
      </c>
      <c r="BB108" s="105"/>
      <c r="BC108" s="105"/>
      <c r="BD108" s="105"/>
      <c r="BE108" s="105"/>
      <c r="BF108" s="105"/>
      <c r="BG108" s="105">
        <f t="shared" si="75"/>
        <v>0</v>
      </c>
      <c r="BH108" s="108">
        <f t="shared" si="86"/>
        <v>0</v>
      </c>
      <c r="BI108" s="108">
        <f t="shared" si="81"/>
        <v>0</v>
      </c>
      <c r="BJ108" s="22">
        <f t="shared" si="82"/>
        <v>47326</v>
      </c>
      <c r="BK108" s="108">
        <f t="shared" si="64"/>
        <v>0</v>
      </c>
      <c r="BL108" s="2" t="e">
        <f>IF(AND(G63&gt;=$W$9,G63&lt;=$W$9+5),0,IF($C$9&gt;$AF$51,ROUND(BG62*IF(#REF!="",0,#REF!)/(DATEVALUE(CONCATENATE("01/01/",YEAR(AQ63)+1))-DATEVALUE(CONCATENATE("01/01/",YEAR(AQ63))))*(AQ63-AQ62),2),0))</f>
        <v>#REF!</v>
      </c>
    </row>
    <row r="109" spans="1:1217" x14ac:dyDescent="0.3">
      <c r="A109" s="178"/>
      <c r="B109" s="178"/>
      <c r="C109" s="184"/>
      <c r="D109" s="184"/>
      <c r="E109" s="184"/>
      <c r="F109" s="184"/>
      <c r="G109" s="28"/>
      <c r="H109" s="29" t="s">
        <v>7</v>
      </c>
      <c r="I109" s="29"/>
      <c r="J109" s="30">
        <f>(SUM(J9:J108))</f>
        <v>137265.42000000004</v>
      </c>
      <c r="K109" s="30">
        <f>(SUM(K9:K108)-IF(CODE(C12)=209,AI51,0))</f>
        <v>115665.42000000003</v>
      </c>
      <c r="L109" s="30">
        <f t="shared" ref="L109:R109" si="94">SUM(L9:L108)</f>
        <v>24915.419999999995</v>
      </c>
      <c r="M109" s="30">
        <f t="shared" si="94"/>
        <v>90750.000000000044</v>
      </c>
      <c r="N109" s="31">
        <f t="shared" si="94"/>
        <v>0</v>
      </c>
      <c r="O109" s="31">
        <f t="shared" si="94"/>
        <v>0</v>
      </c>
      <c r="P109" s="31">
        <f t="shared" si="94"/>
        <v>46515.42</v>
      </c>
      <c r="Q109" s="31">
        <f t="shared" si="94"/>
        <v>21600</v>
      </c>
      <c r="R109" s="31">
        <f t="shared" si="94"/>
        <v>0</v>
      </c>
      <c r="S109" s="31"/>
      <c r="T109" s="31"/>
      <c r="U109" s="31"/>
      <c r="V109" s="31"/>
      <c r="W109" s="2" t="e">
        <f>IF(AND(G74&gt;=$W$9,G74&lt;=$W$9+5),0,IF($C$9&gt;$AF$51,ROUND(S73*#REF!/(DATEVALUE(CONCATENATE("01/01/",YEAR(H74)+1))-DATEVALUE(CONCATENATE("01/01/",YEAR(H74))))*(H74-H73),2),0))</f>
        <v>#REF!</v>
      </c>
      <c r="X109" s="34">
        <f t="shared" si="51"/>
        <v>0</v>
      </c>
      <c r="Y109" s="57">
        <f t="shared" ref="Y109:Y143" si="95">Y108+365</f>
        <v>68375</v>
      </c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2" t="e">
        <f>IF(AND(Y66&gt;=$W$9,Y66&lt;=$W$9+5),0,IF($C$9&gt;$AF$51,ROUND(AI69*#REF!/(DATEVALUE(CONCATENATE("01/01/",YEAR(Z66)+1))-DATEVALUE(CONCATENATE("01/01/",YEAR(Z66))))*(Z66-Z65),2),0))</f>
        <v>#REF!</v>
      </c>
      <c r="AM109" s="34">
        <f t="shared" si="53"/>
        <v>0</v>
      </c>
      <c r="AN109" s="57">
        <f t="shared" si="52"/>
        <v>66915</v>
      </c>
      <c r="AO109" s="130"/>
      <c r="AP109" s="28"/>
      <c r="AQ109" s="29" t="s">
        <v>7</v>
      </c>
      <c r="AR109" s="29"/>
      <c r="AS109" s="30">
        <f>SUM(AS9:AS108)</f>
        <v>125250.31000000001</v>
      </c>
      <c r="AT109" s="30">
        <f>(SUM(AT9:AT108)-IF(CODE(C12)=209,BX57,0))</f>
        <v>125250.31000000001</v>
      </c>
      <c r="AU109" s="30">
        <f>SUM(AU9:AU108)</f>
        <v>34500.30999999999</v>
      </c>
      <c r="AV109" s="30">
        <f>SUM(AV9:AV108)</f>
        <v>90750.000000000029</v>
      </c>
      <c r="AW109" s="30">
        <f>SUM(AW9:AW108)</f>
        <v>0</v>
      </c>
      <c r="AX109" s="31"/>
      <c r="AY109" s="31"/>
      <c r="AZ109" s="30">
        <f>SUM(AZ9:AZ108)</f>
        <v>0</v>
      </c>
      <c r="BA109" s="31"/>
      <c r="BB109" s="31"/>
      <c r="BC109" s="31"/>
      <c r="BD109" s="31"/>
      <c r="BE109" s="31"/>
      <c r="BF109" s="31"/>
      <c r="BG109" s="31"/>
      <c r="BH109" s="108">
        <f t="shared" si="86"/>
        <v>0</v>
      </c>
      <c r="BI109" s="108">
        <f t="shared" si="81"/>
        <v>0</v>
      </c>
      <c r="BJ109" s="22" t="str">
        <f t="shared" si="82"/>
        <v>Итого</v>
      </c>
      <c r="BK109" s="108">
        <f t="shared" si="64"/>
        <v>115665.42000000003</v>
      </c>
      <c r="BL109" s="2" t="e">
        <f>IF(AND(G64&gt;=$W$9,G64&lt;=$W$9+5),0,IF($C$9&gt;$AF$51,ROUND(BG63*IF(#REF!="",0,#REF!)/(DATEVALUE(CONCATENATE("01/01/",YEAR(AQ64)+1))-DATEVALUE(CONCATENATE("01/01/",YEAR(AQ64))))*(AQ64-AQ63),2),0))</f>
        <v>#REF!</v>
      </c>
    </row>
    <row r="110" spans="1:1217" ht="13.8" x14ac:dyDescent="0.3">
      <c r="A110" s="178"/>
      <c r="B110" s="178"/>
      <c r="C110" s="184"/>
      <c r="D110" s="184"/>
      <c r="E110" s="184"/>
      <c r="W110" s="2" t="e">
        <f>IF(AND(G75&gt;=$W$9,G75&lt;=$W$9+5),0,IF($C$9&gt;$AF$51,ROUND(S74*#REF!/(DATEVALUE(CONCATENATE("01/01/",YEAR(H75)+1))-DATEVALUE(CONCATENATE("01/01/",YEAR(H75))))*(H75-H74),2),0))</f>
        <v>#REF!</v>
      </c>
      <c r="X110" s="34">
        <f t="shared" ref="X110:X142" si="96">IF(K75 &gt; 0, K75, 0)</f>
        <v>0</v>
      </c>
      <c r="Y110" s="57">
        <f t="shared" si="95"/>
        <v>68740</v>
      </c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2" t="e">
        <f>IF(AND(Y67&gt;=$W$9,Y67&lt;=$W$9+5),0,IF($C$9&gt;$AF$51,ROUND(AI70*#REF!/(DATEVALUE(CONCATENATE("01/01/",YEAR(Z67)+1))-DATEVALUE(CONCATENATE("01/01/",YEAR(Z67))))*(Z67-Z66),2),0))</f>
        <v>#VALUE!</v>
      </c>
      <c r="AM110" s="34">
        <f t="shared" si="53"/>
        <v>0</v>
      </c>
      <c r="AN110" s="57">
        <f t="shared" si="52"/>
        <v>67280</v>
      </c>
      <c r="AO110" s="130"/>
      <c r="BH110" s="108">
        <f t="shared" si="86"/>
        <v>0</v>
      </c>
      <c r="BI110" s="108">
        <f t="shared" si="81"/>
        <v>0</v>
      </c>
      <c r="BJ110" s="22">
        <f t="shared" si="82"/>
        <v>0</v>
      </c>
      <c r="BK110" s="108">
        <f t="shared" si="64"/>
        <v>0</v>
      </c>
      <c r="BL110" s="2" t="e">
        <f>IF(AND(G65&gt;=$W$9,G65&lt;=$W$9+5),0,IF($C$9&gt;$AF$51,ROUND(BG64*IF(#REF!="",0,#REF!)/(DATEVALUE(CONCATENATE("01/01/",YEAR(AQ65)+1))-DATEVALUE(CONCATENATE("01/01/",YEAR(AQ65))))*(AQ65-AQ64),2),0))</f>
        <v>#REF!</v>
      </c>
    </row>
    <row r="111" spans="1:1217" ht="13.8" x14ac:dyDescent="0.3">
      <c r="A111" s="178"/>
      <c r="B111" s="178"/>
      <c r="C111" s="184"/>
      <c r="D111" s="184"/>
      <c r="E111" s="184"/>
      <c r="W111" s="2" t="e">
        <f>IF(AND(G76&gt;=$W$9,G76&lt;=$W$9+5),0,IF($C$9&gt;$AF$51,ROUND(S75*#REF!/(DATEVALUE(CONCATENATE("01/01/",YEAR(H76)+1))-DATEVALUE(CONCATENATE("01/01/",YEAR(H76))))*(H76-H75),2),0))</f>
        <v>#REF!</v>
      </c>
      <c r="X111" s="34">
        <f t="shared" si="96"/>
        <v>0</v>
      </c>
      <c r="Y111" s="57">
        <f t="shared" si="95"/>
        <v>69105</v>
      </c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2" t="e">
        <f>IF(AND(Y68&gt;=$W$9,Y68&lt;=$W$9+5),0,IF($C$9&gt;$AF$51,ROUND(AI71*#REF!/(DATEVALUE(CONCATENATE("01/01/",YEAR(Z68)+1))-DATEVALUE(CONCATENATE("01/01/",YEAR(Z68))))*(Z68-Z67),2),0))</f>
        <v>#REF!</v>
      </c>
      <c r="AM111" s="34">
        <f t="shared" si="53"/>
        <v>0</v>
      </c>
      <c r="AN111" s="57">
        <f t="shared" si="52"/>
        <v>67645</v>
      </c>
      <c r="AO111" s="130"/>
      <c r="BH111" s="108">
        <f t="shared" si="86"/>
        <v>0</v>
      </c>
      <c r="BI111" s="108">
        <f t="shared" si="81"/>
        <v>0</v>
      </c>
      <c r="BJ111" s="22">
        <f t="shared" si="82"/>
        <v>0</v>
      </c>
      <c r="BK111" s="108">
        <f t="shared" si="64"/>
        <v>0</v>
      </c>
      <c r="BL111" s="2" t="e">
        <f>IF(AND(G66&gt;=$W$9,G66&lt;=$W$9+5),0,IF($C$9&gt;$AF$51,ROUND(BG65*IF(#REF!="",0,#REF!)/(DATEVALUE(CONCATENATE("01/01/",YEAR(AQ66)+1))-DATEVALUE(CONCATENATE("01/01/",YEAR(AQ66))))*(AQ66-AQ65),2),0))</f>
        <v>#REF!</v>
      </c>
    </row>
    <row r="112" spans="1:1217" ht="13.8" x14ac:dyDescent="0.3">
      <c r="A112" s="178"/>
      <c r="B112" s="178"/>
      <c r="C112" s="184"/>
      <c r="D112" s="184"/>
      <c r="E112" s="184"/>
      <c r="W112" s="2" t="e">
        <f>IF(AND(G77&gt;=$W$9,G77&lt;=$W$9+5),0,IF($C$9&gt;$AF$51,ROUND(S76*#REF!/(DATEVALUE(CONCATENATE("01/01/",YEAR(H77)+1))-DATEVALUE(CONCATENATE("01/01/",YEAR(H77))))*(H77-H76),2),0))</f>
        <v>#REF!</v>
      </c>
      <c r="X112" s="34">
        <f t="shared" si="96"/>
        <v>0</v>
      </c>
      <c r="Y112" s="57">
        <f t="shared" si="95"/>
        <v>69470</v>
      </c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2" t="e">
        <f>IF(AND(Y69&gt;=$W$9,Y69&lt;=$W$9+5),0,IF($C$9&gt;$AF$51,ROUND(AI72*#REF!/(DATEVALUE(CONCATENATE("01/01/",YEAR(Z69)+1))-DATEVALUE(CONCATENATE("01/01/",YEAR(Z69))))*(Z69-Z68),2),0))</f>
        <v>#REF!</v>
      </c>
      <c r="AM112" s="34">
        <f t="shared" si="53"/>
        <v>0</v>
      </c>
      <c r="AN112" s="57">
        <f t="shared" si="52"/>
        <v>68010</v>
      </c>
      <c r="AO112" s="130"/>
      <c r="BH112" s="108">
        <f t="shared" si="86"/>
        <v>0</v>
      </c>
      <c r="BI112" s="108">
        <f t="shared" si="81"/>
        <v>0</v>
      </c>
      <c r="BJ112" s="22">
        <f t="shared" si="82"/>
        <v>0</v>
      </c>
      <c r="BK112" s="108">
        <f t="shared" si="64"/>
        <v>0</v>
      </c>
      <c r="BL112" s="2" t="e">
        <f>IF(AND(G67&gt;=$W$9,G67&lt;=$W$9+5),0,IF($C$9&gt;$AF$51,ROUND(BG66*IF(#REF!="",0,#REF!)/(DATEVALUE(CONCATENATE("01/01/",YEAR(AQ67)+1))-DATEVALUE(CONCATENATE("01/01/",YEAR(AQ67))))*(AQ67-AQ66),2),0))</f>
        <v>#REF!</v>
      </c>
    </row>
    <row r="113" spans="1:64" ht="13.8" x14ac:dyDescent="0.3">
      <c r="A113" s="178"/>
      <c r="B113" s="178"/>
      <c r="C113" s="184"/>
      <c r="D113" s="184"/>
      <c r="E113" s="184"/>
      <c r="W113" s="2" t="e">
        <f>IF(AND(G78&gt;=$W$9,G78&lt;=$W$9+5),0,IF($C$9&gt;$AF$51,ROUND(S77*#REF!/(DATEVALUE(CONCATENATE("01/01/",YEAR(H78)+1))-DATEVALUE(CONCATENATE("01/01/",YEAR(H78))))*(H78-H77),2),0))</f>
        <v>#REF!</v>
      </c>
      <c r="X113" s="34">
        <f t="shared" si="96"/>
        <v>0</v>
      </c>
      <c r="Y113" s="57">
        <f t="shared" si="95"/>
        <v>69835</v>
      </c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2" t="e">
        <f>IF(AND(Y70&gt;=$W$9,Y70&lt;=$W$9+5),0,IF($C$9&gt;$AF$51,ROUND(AI73*#REF!/(DATEVALUE(CONCATENATE("01/01/",YEAR(Z70)+1))-DATEVALUE(CONCATENATE("01/01/",YEAR(Z70))))*(Z70-Z69),2),0))</f>
        <v>#REF!</v>
      </c>
      <c r="AM113" s="34">
        <f t="shared" si="53"/>
        <v>0</v>
      </c>
      <c r="AN113" s="57">
        <f t="shared" ref="AN113:AN147" si="97">AN112+365</f>
        <v>68375</v>
      </c>
      <c r="AO113" s="130"/>
      <c r="BH113" s="108">
        <f t="shared" si="86"/>
        <v>0</v>
      </c>
      <c r="BI113" s="108">
        <f t="shared" si="81"/>
        <v>0</v>
      </c>
      <c r="BJ113" s="22">
        <f t="shared" si="82"/>
        <v>0</v>
      </c>
      <c r="BK113" s="108">
        <f t="shared" si="64"/>
        <v>0</v>
      </c>
      <c r="BL113" s="2" t="e">
        <f>IF(AND(G68&gt;=$W$9,G68&lt;=$W$9+5),0,IF($C$9&gt;$AF$51,ROUND(BG67*IF(#REF!="",0,#REF!)/(DATEVALUE(CONCATENATE("01/01/",YEAR(AQ68)+1))-DATEVALUE(CONCATENATE("01/01/",YEAR(AQ68))))*(AQ68-AQ67),2),0))</f>
        <v>#REF!</v>
      </c>
    </row>
    <row r="114" spans="1:64" ht="13.8" x14ac:dyDescent="0.3">
      <c r="A114" s="178"/>
      <c r="B114" s="178"/>
      <c r="C114" s="184"/>
      <c r="D114" s="184"/>
      <c r="E114" s="184"/>
      <c r="W114" s="2" t="e">
        <f>IF(AND(G79&gt;=$W$9,G79&lt;=$W$9+5),0,IF($C$9&gt;$AF$51,ROUND(S78*#REF!/(DATEVALUE(CONCATENATE("01/01/",YEAR(H79)+1))-DATEVALUE(CONCATENATE("01/01/",YEAR(H79))))*(H79-H78),2),0))</f>
        <v>#REF!</v>
      </c>
      <c r="X114" s="34">
        <f t="shared" si="96"/>
        <v>0</v>
      </c>
      <c r="Y114" s="57">
        <f>Y83+365</f>
        <v>59250</v>
      </c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2" t="e">
        <f>IF(AND(Y71&gt;=$W$9,Y71&lt;=$W$9+5),0,IF($C$9&gt;$AF$51,ROUND(AI74*#REF!/(DATEVALUE(CONCATENATE("01/01/",YEAR(Z71)+1))-DATEVALUE(CONCATENATE("01/01/",YEAR(Z71))))*(Z71-Z70),2),0))</f>
        <v>#REF!</v>
      </c>
      <c r="AM114" s="34">
        <f t="shared" ref="AM114:AM147" si="98">AT75</f>
        <v>0</v>
      </c>
      <c r="AN114" s="57">
        <f t="shared" si="97"/>
        <v>68740</v>
      </c>
      <c r="AO114" s="130"/>
      <c r="BH114" s="108">
        <f t="shared" si="86"/>
        <v>0</v>
      </c>
      <c r="BI114" s="108">
        <f t="shared" si="81"/>
        <v>0</v>
      </c>
      <c r="BJ114" s="22">
        <f t="shared" si="82"/>
        <v>0</v>
      </c>
      <c r="BK114" s="108">
        <f t="shared" si="64"/>
        <v>0</v>
      </c>
      <c r="BL114" s="2" t="e">
        <f>IF(AND(G69&gt;=$W$9,G69&lt;=$W$9+5),0,IF($C$9&gt;$AF$51,ROUND(BG68*IF(#REF!="",0,#REF!)/(DATEVALUE(CONCATENATE("01/01/",YEAR(AQ69)+1))-DATEVALUE(CONCATENATE("01/01/",YEAR(AQ69))))*(AQ69-AQ68),2),0))</f>
        <v>#REF!</v>
      </c>
    </row>
    <row r="115" spans="1:64" ht="13.8" x14ac:dyDescent="0.3">
      <c r="A115" s="178"/>
      <c r="B115" s="178"/>
      <c r="C115" s="184"/>
      <c r="D115" s="184"/>
      <c r="E115" s="184"/>
      <c r="W115" s="2" t="e">
        <f>IF(AND(G80&gt;=$W$9,G80&lt;=$W$9+5),0,IF($C$9&gt;$AF$51,ROUND(S79*#REF!/(DATEVALUE(CONCATENATE("01/01/",YEAR(H80)+1))-DATEVALUE(CONCATENATE("01/01/",YEAR(H80))))*(H80-H79),2),0))</f>
        <v>#REF!</v>
      </c>
      <c r="X115" s="34">
        <f t="shared" si="96"/>
        <v>0</v>
      </c>
      <c r="Y115" s="57">
        <f t="shared" si="95"/>
        <v>59615</v>
      </c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2" t="e">
        <f>IF(AND(Y72&gt;=$W$9,Y72&lt;=$W$9+5),0,IF($C$9&gt;$AF$51,ROUND(AI75*#REF!/(DATEVALUE(CONCATENATE("01/01/",YEAR(Z72)+1))-DATEVALUE(CONCATENATE("01/01/",YEAR(Z72))))*(Z72-Z71),2),0))</f>
        <v>#REF!</v>
      </c>
      <c r="AM115" s="34">
        <f t="shared" si="98"/>
        <v>0</v>
      </c>
      <c r="AN115" s="57">
        <f t="shared" si="97"/>
        <v>69105</v>
      </c>
      <c r="AO115" s="130"/>
      <c r="BH115" s="31"/>
      <c r="BI115" s="51"/>
      <c r="BJ115" s="29" t="s">
        <v>67</v>
      </c>
      <c r="BK115" s="152" t="e">
        <f>XIRR(BK7:BK114,BJ7:BJ114)</f>
        <v>#VALUE!</v>
      </c>
      <c r="BL115" s="2" t="e">
        <f>IF(AND(G70&gt;=$W$9,G70&lt;=$W$9+5),0,IF($C$9&gt;$AF$51,ROUND(BG69*IF(#REF!="",0,#REF!)/(DATEVALUE(CONCATENATE("01/01/",YEAR(AQ70)+1))-DATEVALUE(CONCATENATE("01/01/",YEAR(AQ70))))*(AQ70-AQ69),2),0))</f>
        <v>#REF!</v>
      </c>
    </row>
    <row r="116" spans="1:64" ht="13.8" x14ac:dyDescent="0.3">
      <c r="A116" s="178"/>
      <c r="B116" s="178"/>
      <c r="C116" s="184"/>
      <c r="D116" s="184"/>
      <c r="E116" s="184"/>
      <c r="W116" s="2" t="e">
        <f>IF(AND(G81&gt;=$W$9,G81&lt;=$W$9+5),0,IF($C$9&gt;$AF$51,ROUND(S80*#REF!/(DATEVALUE(CONCATENATE("01/01/",YEAR(H81)+1))-DATEVALUE(CONCATENATE("01/01/",YEAR(H81))))*(H81-H80),2),0))</f>
        <v>#REF!</v>
      </c>
      <c r="X116" s="34">
        <f t="shared" si="96"/>
        <v>0</v>
      </c>
      <c r="Y116" s="57">
        <f t="shared" si="95"/>
        <v>59980</v>
      </c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2" t="e">
        <f>IF(AND(Y73&gt;=$W$9,Y73&lt;=$W$9+5),0,IF($C$9&gt;$AF$51,ROUND(AI76*#REF!/(DATEVALUE(CONCATENATE("01/01/",YEAR(Z73)+1))-DATEVALUE(CONCATENATE("01/01/",YEAR(Z73))))*(Z73-Z72),2),0))</f>
        <v>#REF!</v>
      </c>
      <c r="AM116" s="34">
        <f t="shared" si="98"/>
        <v>0</v>
      </c>
      <c r="AN116" s="57">
        <f t="shared" si="97"/>
        <v>69470</v>
      </c>
      <c r="AO116" s="130"/>
      <c r="BL116" s="2" t="e">
        <f>IF(AND(G71&gt;=$W$9,G71&lt;=$W$9+5),0,IF($C$9&gt;$AF$51,ROUND(BG70*IF(#REF!="",0,#REF!)/(DATEVALUE(CONCATENATE("01/01/",YEAR(AQ71)+1))-DATEVALUE(CONCATENATE("01/01/",YEAR(AQ71))))*(AQ71-AQ70),2),0))</f>
        <v>#REF!</v>
      </c>
    </row>
    <row r="117" spans="1:64" ht="13.8" x14ac:dyDescent="0.3">
      <c r="A117" s="178"/>
      <c r="B117" s="178"/>
      <c r="C117" s="184"/>
      <c r="D117" s="184"/>
      <c r="E117" s="184"/>
      <c r="W117" s="2" t="e">
        <f>IF(AND(G82&gt;=$W$9,G82&lt;=$W$9+5),0,IF($C$9&gt;$AF$51,ROUND(S81*#REF!/(DATEVALUE(CONCATENATE("01/01/",YEAR(H82)+1))-DATEVALUE(CONCATENATE("01/01/",YEAR(H82))))*(H82-H81),2),0))</f>
        <v>#REF!</v>
      </c>
      <c r="X117" s="34">
        <f t="shared" si="96"/>
        <v>0</v>
      </c>
      <c r="Y117" s="57">
        <f t="shared" si="95"/>
        <v>60345</v>
      </c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2" t="e">
        <f>IF(AND(Y74&gt;=$W$9,Y74&lt;=$W$9+5),0,IF($C$9&gt;$AF$51,ROUND(AI77*#REF!/(DATEVALUE(CONCATENATE("01/01/",YEAR(Z74)+1))-DATEVALUE(CONCATENATE("01/01/",YEAR(Z74))))*(Z74-Z73),2),0))</f>
        <v>#REF!</v>
      </c>
      <c r="AM117" s="34">
        <f t="shared" si="98"/>
        <v>0</v>
      </c>
      <c r="AN117" s="57">
        <f t="shared" si="97"/>
        <v>69835</v>
      </c>
      <c r="AO117" s="130"/>
      <c r="BL117" s="2" t="e">
        <f>IF(AND(G72&gt;=$W$9,G72&lt;=$W$9+5),0,IF($C$9&gt;$AF$51,ROUND(BG71*IF(#REF!="",0,#REF!)/(DATEVALUE(CONCATENATE("01/01/",YEAR(AQ72)+1))-DATEVALUE(CONCATENATE("01/01/",YEAR(AQ72))))*(AQ72-AQ71),2),0))</f>
        <v>#REF!</v>
      </c>
    </row>
    <row r="118" spans="1:64" ht="13.8" x14ac:dyDescent="0.3">
      <c r="A118" s="178"/>
      <c r="B118" s="178"/>
      <c r="C118" s="184"/>
      <c r="D118" s="184"/>
      <c r="E118" s="184"/>
      <c r="W118" s="2" t="e">
        <f>IF(AND(G83&gt;=$W$9,G83&lt;=$W$9+5),0,IF($C$9&gt;$AF$51,ROUND(S82*#REF!/(DATEVALUE(CONCATENATE("01/01/",YEAR(H83)+1))-DATEVALUE(CONCATENATE("01/01/",YEAR(H83))))*(H83-H82),2),0))</f>
        <v>#REF!</v>
      </c>
      <c r="X118" s="34">
        <f t="shared" si="96"/>
        <v>0</v>
      </c>
      <c r="Y118" s="57">
        <f t="shared" si="95"/>
        <v>60710</v>
      </c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2" t="e">
        <f>IF(AND(Y75&gt;=$W$9,Y75&lt;=$W$9+5),0,IF($C$9&gt;$AF$51,ROUND(AI78*#REF!/(DATEVALUE(CONCATENATE("01/01/",YEAR(Z75)+1))-DATEVALUE(CONCATENATE("01/01/",YEAR(Z75))))*(Z75-Z74),2),0))</f>
        <v>#VALUE!</v>
      </c>
      <c r="AM118" s="34">
        <f t="shared" si="98"/>
        <v>0</v>
      </c>
      <c r="AN118" s="57">
        <f>AN87+365</f>
        <v>59250</v>
      </c>
      <c r="AO118" s="130"/>
      <c r="BL118" s="2" t="e">
        <f>IF(AND(G73&gt;=$W$9,G73&lt;=$W$9+5),0,IF($C$9&gt;$AF$51,ROUND(BG72*IF(#REF!="",0,#REF!)/(DATEVALUE(CONCATENATE("01/01/",YEAR(AQ73)+1))-DATEVALUE(CONCATENATE("01/01/",YEAR(AQ73))))*(AQ73-AQ72),2),0))</f>
        <v>#REF!</v>
      </c>
    </row>
    <row r="119" spans="1:64" ht="13.8" x14ac:dyDescent="0.3">
      <c r="A119" s="178"/>
      <c r="B119" s="178"/>
      <c r="C119" s="184"/>
      <c r="D119" s="184"/>
      <c r="E119" s="184"/>
      <c r="W119" s="2" t="e">
        <f>IF(AND(G84&gt;=$W$9,G84&lt;=$W$9+5),0,IF($C$9&gt;$AF$51,ROUND(S83*#REF!/(DATEVALUE(CONCATENATE("01/01/",YEAR(H84)+1))-DATEVALUE(CONCATENATE("01/01/",YEAR(H84))))*(H84-H83),2),0))</f>
        <v>#REF!</v>
      </c>
      <c r="X119" s="34">
        <f t="shared" si="96"/>
        <v>0</v>
      </c>
      <c r="Y119" s="57">
        <f t="shared" si="95"/>
        <v>61075</v>
      </c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2" t="e">
        <f>IF(AND(Y76&gt;=$W$9,Y76&lt;=$W$9+5),0,IF($C$9&gt;$AF$51,ROUND(AI79*#REF!/(DATEVALUE(CONCATENATE("01/01/",YEAR(Z76)+1))-DATEVALUE(CONCATENATE("01/01/",YEAR(Z76))))*(Z76-Z75),2),0))</f>
        <v>#REF!</v>
      </c>
      <c r="AM119" s="34">
        <f t="shared" si="98"/>
        <v>0</v>
      </c>
      <c r="AN119" s="57">
        <f t="shared" si="97"/>
        <v>59615</v>
      </c>
      <c r="AO119" s="130"/>
      <c r="BL119" s="2" t="e">
        <f>IF(AND(G74&gt;=$W$9,G74&lt;=$W$9+5),0,IF($C$9&gt;$AF$51,ROUND(BG73*IF(#REF!="",0,#REF!)/(DATEVALUE(CONCATENATE("01/01/",YEAR(AQ74)+1))-DATEVALUE(CONCATENATE("01/01/",YEAR(AQ74))))*(AQ74-AQ73),2),0))</f>
        <v>#REF!</v>
      </c>
    </row>
    <row r="120" spans="1:64" ht="13.8" x14ac:dyDescent="0.3">
      <c r="A120" s="178"/>
      <c r="B120" s="178"/>
      <c r="C120" s="184"/>
      <c r="D120" s="184"/>
      <c r="E120" s="184"/>
      <c r="W120" s="2" t="e">
        <f>IF(AND(G85&gt;=$W$9,G85&lt;=$W$9+5),0,IF($C$9&gt;$AF$51,ROUND(S84*#REF!/(DATEVALUE(CONCATENATE("01/01/",YEAR(H85)+1))-DATEVALUE(CONCATENATE("01/01/",YEAR(H85))))*(H85-H84),2),0))</f>
        <v>#REF!</v>
      </c>
      <c r="X120" s="34">
        <f t="shared" si="96"/>
        <v>0</v>
      </c>
      <c r="Y120" s="57">
        <f t="shared" si="95"/>
        <v>61440</v>
      </c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2" t="e">
        <f>IF(AND(Y77&gt;=$W$9,Y77&lt;=$W$9+5),0,IF($C$9&gt;$AF$51,ROUND(AI80*#REF!/(DATEVALUE(CONCATENATE("01/01/",YEAR(Z77)+1))-DATEVALUE(CONCATENATE("01/01/",YEAR(Z77))))*(Z77-Z76),2),0))</f>
        <v>#REF!</v>
      </c>
      <c r="AM120" s="34">
        <f t="shared" si="98"/>
        <v>0</v>
      </c>
      <c r="AN120" s="57">
        <f t="shared" si="97"/>
        <v>59980</v>
      </c>
      <c r="AO120" s="130"/>
      <c r="BL120" s="2" t="e">
        <f>IF(AND(G75&gt;=$W$9,G75&lt;=$W$9+5),0,IF($C$9&gt;$AF$51,ROUND(BG74*IF(#REF!="",0,#REF!)/(DATEVALUE(CONCATENATE("01/01/",YEAR(AQ75)+1))-DATEVALUE(CONCATENATE("01/01/",YEAR(AQ75))))*(AQ75-AQ74),2),0))</f>
        <v>#REF!</v>
      </c>
    </row>
    <row r="121" spans="1:64" ht="13.8" x14ac:dyDescent="0.3">
      <c r="A121" s="178"/>
      <c r="B121" s="178"/>
      <c r="C121" s="184"/>
      <c r="D121" s="184"/>
      <c r="E121" s="184"/>
      <c r="W121" s="2" t="e">
        <f>IF(AND(G86&gt;=$W$9,G86&lt;=$W$9+5),0,IF($C$9&gt;$AF$51,ROUND(S85*#REF!/(DATEVALUE(CONCATENATE("01/01/",YEAR(H86)+1))-DATEVALUE(CONCATENATE("01/01/",YEAR(H86))))*(H86-H85),2),0))</f>
        <v>#REF!</v>
      </c>
      <c r="X121" s="34">
        <f t="shared" si="96"/>
        <v>0</v>
      </c>
      <c r="Y121" s="57">
        <f t="shared" si="95"/>
        <v>61805</v>
      </c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2" t="e">
        <f>IF(AND(Y78&gt;=$W$9,Y78&lt;=$W$9+5),0,IF($C$9&gt;$AF$51,ROUND(AI81*#REF!/(DATEVALUE(CONCATENATE("01/01/",YEAR(Z78)+1))-DATEVALUE(CONCATENATE("01/01/",YEAR(Z78))))*(Z78-Z77),2),0))</f>
        <v>#REF!</v>
      </c>
      <c r="AM121" s="34">
        <f t="shared" si="98"/>
        <v>0</v>
      </c>
      <c r="AN121" s="57">
        <f t="shared" si="97"/>
        <v>60345</v>
      </c>
      <c r="AO121" s="130"/>
      <c r="BL121" s="2" t="e">
        <f>IF(AND(G76&gt;=$W$9,G76&lt;=$W$9+5),0,IF($C$9&gt;$AF$51,ROUND(BG75*IF(#REF!="",0,#REF!)/(DATEVALUE(CONCATENATE("01/01/",YEAR(AQ76)+1))-DATEVALUE(CONCATENATE("01/01/",YEAR(AQ76))))*(AQ76-AQ75),2),0))</f>
        <v>#REF!</v>
      </c>
    </row>
    <row r="122" spans="1:64" ht="13.8" x14ac:dyDescent="0.3">
      <c r="A122" s="178"/>
      <c r="B122" s="178"/>
      <c r="C122" s="184"/>
      <c r="D122" s="184"/>
      <c r="E122" s="184"/>
      <c r="W122" s="2" t="e">
        <f>IF(AND(G87&gt;=$W$9,G87&lt;=$W$9+5),0,IF($C$9&gt;$AF$51,ROUND(S86*#REF!/(DATEVALUE(CONCATENATE("01/01/",YEAR(H87)+1))-DATEVALUE(CONCATENATE("01/01/",YEAR(H87))))*(H87-H86),2),0))</f>
        <v>#REF!</v>
      </c>
      <c r="X122" s="34">
        <f t="shared" si="96"/>
        <v>0</v>
      </c>
      <c r="Y122" s="57">
        <f t="shared" si="95"/>
        <v>62170</v>
      </c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2" t="e">
        <f>IF(AND(Y79&gt;=$W$9,Y79&lt;=$W$9+5),0,IF($C$9&gt;$AF$51,ROUND(AI82*#REF!/(DATEVALUE(CONCATENATE("01/01/",YEAR(Z79)+1))-DATEVALUE(CONCATENATE("01/01/",YEAR(Z79))))*(Z79-Z78),2),0))</f>
        <v>#REF!</v>
      </c>
      <c r="AM122" s="34">
        <f t="shared" si="98"/>
        <v>0</v>
      </c>
      <c r="AN122" s="57">
        <f t="shared" si="97"/>
        <v>60710</v>
      </c>
      <c r="AO122" s="130"/>
      <c r="BL122" s="2" t="e">
        <f>IF(AND(G77&gt;=$W$9,G77&lt;=$W$9+5),0,IF($C$9&gt;$AF$51,ROUND(BG76*IF(#REF!="",0,#REF!)/(DATEVALUE(CONCATENATE("01/01/",YEAR(AQ77)+1))-DATEVALUE(CONCATENATE("01/01/",YEAR(AQ77))))*(AQ77-AQ76),2),0))</f>
        <v>#REF!</v>
      </c>
    </row>
    <row r="123" spans="1:64" ht="13.8" x14ac:dyDescent="0.3">
      <c r="A123" s="178"/>
      <c r="B123" s="178"/>
      <c r="C123" s="184"/>
      <c r="D123" s="184"/>
      <c r="E123" s="184"/>
      <c r="W123" s="2" t="e">
        <f>IF(AND(G88&gt;=$W$9,G88&lt;=$W$9+5),0,IF($C$9&gt;$AF$51,ROUND(S87*#REF!/(DATEVALUE(CONCATENATE("01/01/",YEAR(H88)+1))-DATEVALUE(CONCATENATE("01/01/",YEAR(H88))))*(H88-H87),2),0))</f>
        <v>#REF!</v>
      </c>
      <c r="X123" s="34">
        <f t="shared" si="96"/>
        <v>0</v>
      </c>
      <c r="Y123" s="57">
        <f t="shared" si="95"/>
        <v>62535</v>
      </c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2" t="e">
        <f>IF(AND(Y80&gt;=$W$9,Y80&lt;=$W$9+5),0,IF($C$9&gt;$AF$51,ROUND(AI83*#REF!/(DATEVALUE(CONCATENATE("01/01/",YEAR(Z80)+1))-DATEVALUE(CONCATENATE("01/01/",YEAR(Z80))))*(Z80-Z79),2),0))</f>
        <v>#REF!</v>
      </c>
      <c r="AM123" s="34">
        <f t="shared" si="98"/>
        <v>0</v>
      </c>
      <c r="AN123" s="57">
        <f t="shared" si="97"/>
        <v>61075</v>
      </c>
      <c r="AO123" s="130"/>
      <c r="BL123" s="2" t="e">
        <f>IF(AND(G78&gt;=$W$9,G78&lt;=$W$9+5),0,IF($C$9&gt;$AF$51,ROUND(BG77*IF(#REF!="",0,#REF!)/(DATEVALUE(CONCATENATE("01/01/",YEAR(AQ78)+1))-DATEVALUE(CONCATENATE("01/01/",YEAR(AQ78))))*(AQ78-AQ77),2),0))</f>
        <v>#REF!</v>
      </c>
    </row>
    <row r="124" spans="1:64" ht="13.8" x14ac:dyDescent="0.3">
      <c r="A124" s="178"/>
      <c r="B124" s="178"/>
      <c r="C124" s="184"/>
      <c r="D124" s="184"/>
      <c r="E124" s="184"/>
      <c r="W124" s="2" t="e">
        <f>IF(AND(G89&gt;=$W$9,G89&lt;=$W$9+5),0,IF($C$9&gt;$AF$51,ROUND(S88*#REF!/(DATEVALUE(CONCATENATE("01/01/",YEAR(H89)+1))-DATEVALUE(CONCATENATE("01/01/",YEAR(H89))))*(H89-H88),2),0))</f>
        <v>#REF!</v>
      </c>
      <c r="X124" s="34">
        <f t="shared" si="96"/>
        <v>0</v>
      </c>
      <c r="Y124" s="57">
        <f t="shared" si="95"/>
        <v>62900</v>
      </c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2" t="e">
        <f>IF(AND(Y81&gt;=$W$9,Y81&lt;=$W$9+5),0,IF($C$9&gt;$AF$51,ROUND(AI84*#REF!/(DATEVALUE(CONCATENATE("01/01/",YEAR(Z81)+1))-DATEVALUE(CONCATENATE("01/01/",YEAR(Z81))))*(Z81-Z80),2),0))</f>
        <v>#REF!</v>
      </c>
      <c r="AM124" s="34">
        <f t="shared" si="98"/>
        <v>0</v>
      </c>
      <c r="AN124" s="57">
        <f t="shared" si="97"/>
        <v>61440</v>
      </c>
      <c r="AO124" s="130"/>
      <c r="BL124" s="2" t="e">
        <f>IF(AND(G79&gt;=$W$9,G79&lt;=$W$9+5),0,IF($C$9&gt;$AF$51,ROUND(BG78*IF(#REF!="",0,#REF!)/(DATEVALUE(CONCATENATE("01/01/",YEAR(AQ79)+1))-DATEVALUE(CONCATENATE("01/01/",YEAR(AQ79))))*(AQ79-AQ78),2),0))</f>
        <v>#REF!</v>
      </c>
    </row>
    <row r="125" spans="1:64" ht="13.8" x14ac:dyDescent="0.3">
      <c r="A125" s="178"/>
      <c r="B125" s="178"/>
      <c r="C125" s="184"/>
      <c r="D125" s="184"/>
      <c r="E125" s="184"/>
      <c r="W125" s="2" t="e">
        <f>IF(AND(G90&gt;=$W$9,G90&lt;=$W$9+5),0,IF($C$9&gt;$AF$51,ROUND(S89*#REF!/(DATEVALUE(CONCATENATE("01/01/",YEAR(H90)+1))-DATEVALUE(CONCATENATE("01/01/",YEAR(H90))))*(H90-H89),2),0))</f>
        <v>#REF!</v>
      </c>
      <c r="X125" s="34">
        <f t="shared" si="96"/>
        <v>0</v>
      </c>
      <c r="Y125" s="57">
        <f t="shared" si="95"/>
        <v>63265</v>
      </c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2" t="e">
        <f>IF(AND(Y82&gt;=$W$9,Y82&lt;=$W$9+5),0,IF($C$9&gt;$AF$51,ROUND(AI85*#REF!/(DATEVALUE(CONCATENATE("01/01/",YEAR(Z82)+1))-DATEVALUE(CONCATENATE("01/01/",YEAR(Z82))))*(Z82-Z81),2),0))</f>
        <v>#REF!</v>
      </c>
      <c r="AM125" s="34">
        <f t="shared" si="98"/>
        <v>0</v>
      </c>
      <c r="AN125" s="57">
        <f t="shared" si="97"/>
        <v>61805</v>
      </c>
      <c r="AO125" s="130"/>
      <c r="BL125" s="2" t="e">
        <f>IF(AND(G80&gt;=$W$9,G80&lt;=$W$9+5),0,IF($C$9&gt;$AF$51,ROUND(BG79*IF(#REF!="",0,#REF!)/(DATEVALUE(CONCATENATE("01/01/",YEAR(AQ80)+1))-DATEVALUE(CONCATENATE("01/01/",YEAR(AQ80))))*(AQ80-AQ79),2),0))</f>
        <v>#REF!</v>
      </c>
    </row>
    <row r="126" spans="1:64" ht="13.8" x14ac:dyDescent="0.3">
      <c r="A126" s="178"/>
      <c r="B126" s="178"/>
      <c r="C126" s="184"/>
      <c r="D126" s="184"/>
      <c r="E126" s="184"/>
      <c r="W126" s="2" t="e">
        <f>IF(AND(G91&gt;=$W$9,G91&lt;=$W$9+5),0,IF($C$9&gt;$AF$51,ROUND(S90*#REF!/(DATEVALUE(CONCATENATE("01/01/",YEAR(H91)+1))-DATEVALUE(CONCATENATE("01/01/",YEAR(H91))))*(H91-H90),2),0))</f>
        <v>#REF!</v>
      </c>
      <c r="X126" s="34">
        <f t="shared" si="96"/>
        <v>0</v>
      </c>
      <c r="Y126" s="57">
        <f t="shared" si="95"/>
        <v>63630</v>
      </c>
      <c r="AC126" s="16"/>
      <c r="AD126" s="16"/>
      <c r="AE126" s="16"/>
      <c r="AF126" s="16"/>
      <c r="AG126" s="16"/>
      <c r="AH126" s="16"/>
      <c r="AI126" s="16"/>
      <c r="AJ126" s="16"/>
      <c r="AK126" s="16"/>
      <c r="AL126" s="2" t="e">
        <f>IF(AND(Y83&gt;=$W$9,Y83&lt;=$W$9+5),0,IF($C$9&gt;$AF$51,ROUND(AI86*#REF!/(DATEVALUE(CONCATENATE("01/01/",YEAR(Z83)+1))-DATEVALUE(CONCATENATE("01/01/",YEAR(Z83))))*(Z83-Z82),2),0))</f>
        <v>#REF!</v>
      </c>
      <c r="AM126" s="34">
        <f t="shared" si="98"/>
        <v>0</v>
      </c>
      <c r="AN126" s="57">
        <f t="shared" si="97"/>
        <v>62170</v>
      </c>
      <c r="AO126" s="130"/>
      <c r="BL126" s="2" t="e">
        <f>IF(AND(G81&gt;=$W$9,G81&lt;=$W$9+5),0,IF($C$9&gt;$AF$51,ROUND(BG80*IF(#REF!="",0,#REF!)/(DATEVALUE(CONCATENATE("01/01/",YEAR(AQ81)+1))-DATEVALUE(CONCATENATE("01/01/",YEAR(AQ81))))*(AQ81-AQ80),2),0))</f>
        <v>#REF!</v>
      </c>
    </row>
    <row r="127" spans="1:64" ht="13.8" x14ac:dyDescent="0.3">
      <c r="A127" s="178"/>
      <c r="B127" s="178"/>
      <c r="C127" s="184"/>
      <c r="D127" s="184"/>
      <c r="E127" s="184"/>
      <c r="W127" s="2" t="e">
        <f>IF(AND(G92&gt;=$W$9,G92&lt;=$W$9+5),0,IF($C$9&gt;$AF$51,ROUND(S91*#REF!/(DATEVALUE(CONCATENATE("01/01/",YEAR(H92)+1))-DATEVALUE(CONCATENATE("01/01/",YEAR(H92))))*(H92-H91),2),0))</f>
        <v>#REF!</v>
      </c>
      <c r="X127" s="34">
        <f t="shared" si="96"/>
        <v>0</v>
      </c>
      <c r="Y127" s="57">
        <f t="shared" si="95"/>
        <v>63995</v>
      </c>
      <c r="AC127" s="16"/>
      <c r="AD127" s="16"/>
      <c r="AE127" s="16"/>
      <c r="AF127" s="16"/>
      <c r="AG127" s="16"/>
      <c r="AH127" s="16"/>
      <c r="AI127" s="16"/>
      <c r="AJ127" s="16"/>
      <c r="AK127" s="16"/>
      <c r="AL127" s="2" t="e">
        <f>IF(AND(Y84&gt;=$W$9,Y84&lt;=$W$9+5),0,IF($C$9&gt;$AF$51,ROUND(AI87*#REF!/(DATEVALUE(CONCATENATE("01/01/",YEAR(Z84)+1))-DATEVALUE(CONCATENATE("01/01/",YEAR(Z84))))*(Z84-Z83),2),0))</f>
        <v>#REF!</v>
      </c>
      <c r="AM127" s="34">
        <f t="shared" si="98"/>
        <v>0</v>
      </c>
      <c r="AN127" s="57">
        <f t="shared" si="97"/>
        <v>62535</v>
      </c>
      <c r="BL127" s="2" t="e">
        <f>IF(AND(G82&gt;=$W$9,G82&lt;=$W$9+5),0,IF($C$9&gt;$AF$51,ROUND(BG81*IF(#REF!="",0,#REF!)/(DATEVALUE(CONCATENATE("01/01/",YEAR(AQ82)+1))-DATEVALUE(CONCATENATE("01/01/",YEAR(AQ82))))*(AQ82-AQ81),2),0))</f>
        <v>#REF!</v>
      </c>
    </row>
    <row r="128" spans="1:64" x14ac:dyDescent="0.25">
      <c r="W128" s="2" t="e">
        <f>IF(AND(G93&gt;=$W$9,G93&lt;=$W$9+5),0,IF($C$9&gt;$AF$51,ROUND(S92*#REF!/(DATEVALUE(CONCATENATE("01/01/",YEAR(H93)+1))-DATEVALUE(CONCATENATE("01/01/",YEAR(H93))))*(H93-H92),2),0))</f>
        <v>#REF!</v>
      </c>
      <c r="X128" s="34">
        <f t="shared" si="96"/>
        <v>0</v>
      </c>
      <c r="Y128" s="57">
        <f t="shared" si="95"/>
        <v>64360</v>
      </c>
      <c r="AC128" s="16"/>
      <c r="AD128" s="16"/>
      <c r="AE128" s="16"/>
      <c r="AF128" s="16"/>
      <c r="AG128" s="16"/>
      <c r="AH128" s="16"/>
      <c r="AI128" s="16"/>
      <c r="AJ128" s="16"/>
      <c r="AK128" s="60"/>
      <c r="AL128" s="2" t="e">
        <f>IF(AND(Y85&gt;=$W$9,Y85&lt;=$W$9+5),0,IF($C$9&gt;$AF$51,ROUND(AI88*#REF!/(DATEVALUE(CONCATENATE("01/01/",YEAR(Z85)+1))-DATEVALUE(CONCATENATE("01/01/",YEAR(Z85))))*(Z85-Z84),2),0))</f>
        <v>#REF!</v>
      </c>
      <c r="AM128" s="34">
        <f t="shared" si="98"/>
        <v>0</v>
      </c>
      <c r="AN128" s="57">
        <f t="shared" si="97"/>
        <v>62900</v>
      </c>
      <c r="BL128" s="2" t="e">
        <f>IF(AND(G83&gt;=$W$9,G83&lt;=$W$9+5),0,IF($C$9&gt;$AF$51,ROUND(BG82*IF(#REF!="",0,#REF!)/(DATEVALUE(CONCATENATE("01/01/",YEAR(AQ83)+1))-DATEVALUE(CONCATENATE("01/01/",YEAR(AQ83))))*(AQ83-AQ82),2),0))</f>
        <v>#REF!</v>
      </c>
    </row>
    <row r="129" spans="23:64" x14ac:dyDescent="0.25">
      <c r="W129" s="2" t="e">
        <f>IF(AND(G94&gt;=$W$9,G94&lt;=$W$9+5),0,IF($C$9&gt;$AF$51,ROUND(S93*#REF!/(DATEVALUE(CONCATENATE("01/01/",YEAR(H94)+1))-DATEVALUE(CONCATENATE("01/01/",YEAR(H94))))*(H94-H93),2),0))</f>
        <v>#REF!</v>
      </c>
      <c r="X129" s="34">
        <f t="shared" si="96"/>
        <v>0</v>
      </c>
      <c r="Y129" s="57">
        <f t="shared" si="95"/>
        <v>64725</v>
      </c>
      <c r="AC129" s="16"/>
      <c r="AD129" s="16"/>
      <c r="AE129" s="33"/>
      <c r="AF129" s="33"/>
      <c r="AG129" s="33"/>
      <c r="AH129" s="33"/>
      <c r="AI129" s="16"/>
      <c r="AL129" s="2" t="e">
        <f>IF(AND(Y86&gt;=$W$9,Y86&lt;=$W$9+5),0,IF($C$9&gt;$AF$51,ROUND(AI89*#REF!/(DATEVALUE(CONCATENATE("01/01/",YEAR(Z86)+1))-DATEVALUE(CONCATENATE("01/01/",YEAR(Z86))))*(Z86-Z85),2),0))</f>
        <v>#REF!</v>
      </c>
      <c r="AM129" s="34">
        <f t="shared" si="98"/>
        <v>0</v>
      </c>
      <c r="AN129" s="57">
        <f t="shared" si="97"/>
        <v>63265</v>
      </c>
      <c r="BL129" s="2" t="e">
        <f>IF(AND(G84&gt;=$W$9,G84&lt;=$W$9+5),0,IF($C$9&gt;$AF$51,ROUND(BG83*IF(#REF!="",0,#REF!)/(DATEVALUE(CONCATENATE("01/01/",YEAR(AQ84)+1))-DATEVALUE(CONCATENATE("01/01/",YEAR(AQ84))))*(AQ84-AQ83),2),0))</f>
        <v>#REF!</v>
      </c>
    </row>
    <row r="130" spans="23:64" x14ac:dyDescent="0.25">
      <c r="W130" s="2" t="e">
        <f>IF(AND(G95&gt;=$W$9,G95&lt;=$W$9+5),0,IF($C$9&gt;$AF$51,ROUND(S94*#REF!/(DATEVALUE(CONCATENATE("01/01/",YEAR(H95)+1))-DATEVALUE(CONCATENATE("01/01/",YEAR(H95))))*(H95-H94),2),0))</f>
        <v>#REF!</v>
      </c>
      <c r="X130" s="34">
        <f t="shared" si="96"/>
        <v>0</v>
      </c>
      <c r="Y130" s="57">
        <f t="shared" si="95"/>
        <v>65090</v>
      </c>
      <c r="AL130" s="2" t="e">
        <f>IF(AND(Y87&gt;=$W$9,Y87&lt;=$W$9+5),0,IF($C$9&gt;$AF$51,ROUND(AI90*#REF!/(DATEVALUE(CONCATENATE("01/01/",YEAR(Z87)+1))-DATEVALUE(CONCATENATE("01/01/",YEAR(Z87))))*(Z87-Z86),2),0))</f>
        <v>#REF!</v>
      </c>
      <c r="AM130" s="34">
        <f t="shared" si="98"/>
        <v>0</v>
      </c>
      <c r="AN130" s="57">
        <f t="shared" si="97"/>
        <v>63630</v>
      </c>
      <c r="BL130" s="2" t="e">
        <f>IF(AND(G85&gt;=$W$9,G85&lt;=$W$9+5),0,IF($C$9&gt;$AF$51,ROUND(BG84*IF(#REF!="",0,#REF!)/(DATEVALUE(CONCATENATE("01/01/",YEAR(AQ85)+1))-DATEVALUE(CONCATENATE("01/01/",YEAR(AQ85))))*(AQ85-AQ84),2),0))</f>
        <v>#REF!</v>
      </c>
    </row>
    <row r="131" spans="23:64" x14ac:dyDescent="0.25">
      <c r="W131" s="2" t="e">
        <f>IF(AND(G96&gt;=$W$9,G96&lt;=$W$9+5),0,IF($C$9&gt;$AF$51,ROUND(S95*#REF!/(DATEVALUE(CONCATENATE("01/01/",YEAR(H96)+1))-DATEVALUE(CONCATENATE("01/01/",YEAR(H96))))*(H96-H95),2),0))</f>
        <v>#REF!</v>
      </c>
      <c r="X131" s="34">
        <f t="shared" si="96"/>
        <v>0</v>
      </c>
      <c r="Y131" s="57">
        <f t="shared" si="95"/>
        <v>65455</v>
      </c>
      <c r="AL131" s="2" t="e">
        <f>IF(AND(Y88&gt;=$W$9,Y88&lt;=$W$9+5),0,IF($C$9&gt;$AF$51,ROUND(AI91*#REF!/(DATEVALUE(CONCATENATE("01/01/",YEAR(Z88)+1))-DATEVALUE(CONCATENATE("01/01/",YEAR(Z88))))*(Z88-Z87),2),0))</f>
        <v>#REF!</v>
      </c>
      <c r="AM131" s="34">
        <f t="shared" si="98"/>
        <v>0</v>
      </c>
      <c r="AN131" s="57">
        <f t="shared" si="97"/>
        <v>63995</v>
      </c>
      <c r="BL131" s="2" t="e">
        <f>IF(AND(G86&gt;=$W$9,G86&lt;=$W$9+5),0,IF($C$9&gt;$AF$51,ROUND(BG85*IF(#REF!="",0,#REF!)/(DATEVALUE(CONCATENATE("01/01/",YEAR(AQ86)+1))-DATEVALUE(CONCATENATE("01/01/",YEAR(AQ86))))*(AQ86-AQ85),2),0))</f>
        <v>#REF!</v>
      </c>
    </row>
    <row r="132" spans="23:64" x14ac:dyDescent="0.25">
      <c r="W132" s="2" t="e">
        <f>IF(AND(G97&gt;=$W$9,G97&lt;=$W$9+5),0,IF($C$9&gt;$AF$51,ROUND(S96*#REF!/(DATEVALUE(CONCATENATE("01/01/",YEAR(H97)+1))-DATEVALUE(CONCATENATE("01/01/",YEAR(H97))))*(H97-H96),2),0))</f>
        <v>#REF!</v>
      </c>
      <c r="X132" s="34">
        <f t="shared" si="96"/>
        <v>0</v>
      </c>
      <c r="Y132" s="57">
        <f t="shared" si="95"/>
        <v>65820</v>
      </c>
      <c r="AL132" s="2" t="e">
        <f>IF(AND(Y89&gt;=$W$9,Y89&lt;=$W$9+5),0,IF($C$9&gt;$AF$51,ROUND(AI92*#REF!/(DATEVALUE(CONCATENATE("01/01/",YEAR(Z89)+1))-DATEVALUE(CONCATENATE("01/01/",YEAR(Z89))))*(Z89-Z88),2),0))</f>
        <v>#REF!</v>
      </c>
      <c r="AM132" s="34">
        <f t="shared" si="98"/>
        <v>0</v>
      </c>
      <c r="AN132" s="57">
        <f t="shared" si="97"/>
        <v>64360</v>
      </c>
      <c r="BL132" s="2" t="e">
        <f>IF(AND(G87&gt;=$W$9,G87&lt;=$W$9+5),0,IF($C$9&gt;$AF$51,ROUND(BG86*IF(#REF!="",0,#REF!)/(DATEVALUE(CONCATENATE("01/01/",YEAR(AQ87)+1))-DATEVALUE(CONCATENATE("01/01/",YEAR(AQ87))))*(AQ87-AQ86),2),0))</f>
        <v>#REF!</v>
      </c>
    </row>
    <row r="133" spans="23:64" x14ac:dyDescent="0.25">
      <c r="W133" s="2" t="e">
        <f>IF(AND(G98&gt;=$W$9,G98&lt;=$W$9+5),0,IF($C$9&gt;$AF$51,ROUND(S97*#REF!/(DATEVALUE(CONCATENATE("01/01/",YEAR(H98)+1))-DATEVALUE(CONCATENATE("01/01/",YEAR(H98))))*(H98-H97),2),0))</f>
        <v>#REF!</v>
      </c>
      <c r="X133" s="34">
        <f t="shared" si="96"/>
        <v>0</v>
      </c>
      <c r="Y133" s="57">
        <f t="shared" si="95"/>
        <v>66185</v>
      </c>
      <c r="AL133" s="2" t="e">
        <f>IF(AND(Y90&gt;=$W$9,Y90&lt;=$W$9+5),0,IF($C$9&gt;$AF$51,ROUND(AI93*#REF!/(DATEVALUE(CONCATENATE("01/01/",YEAR(Z90)+1))-DATEVALUE(CONCATENATE("01/01/",YEAR(Z90))))*(Z90-Z89),2),0))</f>
        <v>#REF!</v>
      </c>
      <c r="AM133" s="34">
        <f t="shared" si="98"/>
        <v>0</v>
      </c>
      <c r="AN133" s="57">
        <f t="shared" si="97"/>
        <v>64725</v>
      </c>
      <c r="BL133" s="2" t="e">
        <f>IF(AND(G88&gt;=$W$9,G88&lt;=$W$9+5),0,IF($C$9&gt;$AF$51,ROUND(BG87*IF(#REF!="",0,#REF!)/(DATEVALUE(CONCATENATE("01/01/",YEAR(AQ88)+1))-DATEVALUE(CONCATENATE("01/01/",YEAR(AQ88))))*(AQ88-AQ87),2),0))</f>
        <v>#REF!</v>
      </c>
    </row>
    <row r="134" spans="23:64" x14ac:dyDescent="0.25">
      <c r="W134" s="2" t="e">
        <f>IF(AND(G99&gt;=$W$9,G99&lt;=$W$9+5),0,IF($C$9&gt;$AF$51,ROUND(S98*#REF!/(DATEVALUE(CONCATENATE("01/01/",YEAR(H99)+1))-DATEVALUE(CONCATENATE("01/01/",YEAR(H99))))*(H99-H98),2),0))</f>
        <v>#REF!</v>
      </c>
      <c r="X134" s="34">
        <f t="shared" si="96"/>
        <v>0</v>
      </c>
      <c r="Y134" s="57">
        <f t="shared" si="95"/>
        <v>66550</v>
      </c>
      <c r="AL134" s="2" t="e">
        <f>IF(AND(Y91&gt;=$W$9,Y91&lt;=$W$9+5),0,IF($C$9&gt;$AF$51,ROUND(AI94*#REF!/(DATEVALUE(CONCATENATE("01/01/",YEAR(Z91)+1))-DATEVALUE(CONCATENATE("01/01/",YEAR(Z91))))*(Z91-Z90),2),0))</f>
        <v>#REF!</v>
      </c>
      <c r="AM134" s="34">
        <f t="shared" si="98"/>
        <v>0</v>
      </c>
      <c r="AN134" s="57">
        <f t="shared" si="97"/>
        <v>65090</v>
      </c>
      <c r="BL134" s="2" t="e">
        <f>IF(AND(G89&gt;=$W$9,G89&lt;=$W$9+5),0,IF($C$9&gt;$AF$51,ROUND(BG88*IF(#REF!="",0,#REF!)/(DATEVALUE(CONCATENATE("01/01/",YEAR(AQ89)+1))-DATEVALUE(CONCATENATE("01/01/",YEAR(AQ89))))*(AQ89-AQ88),2),0))</f>
        <v>#REF!</v>
      </c>
    </row>
    <row r="135" spans="23:64" x14ac:dyDescent="0.25">
      <c r="W135" s="2" t="e">
        <f>IF(AND(G100&gt;=$W$9,G100&lt;=$W$9+5),0,IF($C$9&gt;$AF$51,ROUND(S99*#REF!/(DATEVALUE(CONCATENATE("01/01/",YEAR(H100)+1))-DATEVALUE(CONCATENATE("01/01/",YEAR(H100))))*(H100-H99),2),0))</f>
        <v>#REF!</v>
      </c>
      <c r="X135" s="34">
        <f t="shared" si="96"/>
        <v>0</v>
      </c>
      <c r="Y135" s="57">
        <f t="shared" si="95"/>
        <v>66915</v>
      </c>
      <c r="AL135" s="2" t="e">
        <f>IF(AND(Y92&gt;=$W$9,Y92&lt;=$W$9+5),0,IF($C$9&gt;$AF$51,ROUND(AI95*#REF!/(DATEVALUE(CONCATENATE("01/01/",YEAR(Z92)+1))-DATEVALUE(CONCATENATE("01/01/",YEAR(Z92))))*(Z92-Z91),2),0))</f>
        <v>#REF!</v>
      </c>
      <c r="AM135" s="34">
        <f t="shared" si="98"/>
        <v>0</v>
      </c>
      <c r="AN135" s="57">
        <f t="shared" si="97"/>
        <v>65455</v>
      </c>
      <c r="BL135" s="2" t="e">
        <f>IF(AND(G90&gt;=$W$9,G90&lt;=$W$9+5),0,IF($C$9&gt;$AF$51,ROUND(BG89*IF(#REF!="",0,#REF!)/(DATEVALUE(CONCATENATE("01/01/",YEAR(AQ90)+1))-DATEVALUE(CONCATENATE("01/01/",YEAR(AQ90))))*(AQ90-AQ89),2),0))</f>
        <v>#REF!</v>
      </c>
    </row>
    <row r="136" spans="23:64" x14ac:dyDescent="0.25">
      <c r="W136" s="2" t="e">
        <f>IF(AND(G101&gt;=$W$9,G101&lt;=$W$9+5),0,IF($C$9&gt;$AF$51,ROUND(S100*#REF!/(DATEVALUE(CONCATENATE("01/01/",YEAR(H101)+1))-DATEVALUE(CONCATENATE("01/01/",YEAR(H101))))*(H101-H100),2),0))</f>
        <v>#REF!</v>
      </c>
      <c r="X136" s="34">
        <f t="shared" si="96"/>
        <v>0</v>
      </c>
      <c r="Y136" s="57">
        <f t="shared" si="95"/>
        <v>67280</v>
      </c>
      <c r="AL136" s="2" t="e">
        <f>IF(AND(Y93&gt;=$W$9,Y93&lt;=$W$9+5),0,IF($C$9&gt;$AF$51,ROUND(AI96*#REF!/(DATEVALUE(CONCATENATE("01/01/",YEAR(Z93)+1))-DATEVALUE(CONCATENATE("01/01/",YEAR(Z93))))*(Z93-Z92),2),0))</f>
        <v>#REF!</v>
      </c>
      <c r="AM136" s="34">
        <f t="shared" si="98"/>
        <v>0</v>
      </c>
      <c r="AN136" s="57">
        <f t="shared" si="97"/>
        <v>65820</v>
      </c>
      <c r="BL136" s="2" t="e">
        <f>IF(AND(G91&gt;=$W$9,G91&lt;=$W$9+5),0,IF($C$9&gt;$AF$51,ROUND(BG90*IF(#REF!="",0,#REF!)/(DATEVALUE(CONCATENATE("01/01/",YEAR(AQ91)+1))-DATEVALUE(CONCATENATE("01/01/",YEAR(AQ91))))*(AQ91-AQ90),2),0))</f>
        <v>#REF!</v>
      </c>
    </row>
    <row r="137" spans="23:64" x14ac:dyDescent="0.25">
      <c r="W137" s="2" t="e">
        <f>IF(AND(G102&gt;=$W$9,G102&lt;=$W$9+5),0,IF($C$9&gt;$AF$51,ROUND(S101*#REF!/(DATEVALUE(CONCATENATE("01/01/",YEAR(H102)+1))-DATEVALUE(CONCATENATE("01/01/",YEAR(H102))))*(H102-H101),2),0))</f>
        <v>#REF!</v>
      </c>
      <c r="X137" s="34">
        <f t="shared" si="96"/>
        <v>0</v>
      </c>
      <c r="Y137" s="57">
        <f t="shared" si="95"/>
        <v>67645</v>
      </c>
      <c r="AL137" s="2" t="e">
        <f>IF(AND(Y94&gt;=$W$9,Y94&lt;=$W$9+5),0,IF($C$9&gt;$AF$51,ROUND(AI97*#REF!/(DATEVALUE(CONCATENATE("01/01/",YEAR(Z94)+1))-DATEVALUE(CONCATENATE("01/01/",YEAR(Z94))))*(Z94-Z93),2),0))</f>
        <v>#REF!</v>
      </c>
      <c r="AM137" s="34">
        <f t="shared" si="98"/>
        <v>0</v>
      </c>
      <c r="AN137" s="57">
        <f t="shared" si="97"/>
        <v>66185</v>
      </c>
      <c r="BL137" s="2" t="e">
        <f>IF(AND(G92&gt;=$W$9,G92&lt;=$W$9+5),0,IF($C$9&gt;$AF$51,ROUND(BG91*IF(#REF!="",0,#REF!)/(DATEVALUE(CONCATENATE("01/01/",YEAR(AQ92)+1))-DATEVALUE(CONCATENATE("01/01/",YEAR(AQ92))))*(AQ92-AQ91),2),0))</f>
        <v>#REF!</v>
      </c>
    </row>
    <row r="138" spans="23:64" x14ac:dyDescent="0.25">
      <c r="W138" s="2" t="e">
        <f>IF(AND(G103&gt;=$W$9,G103&lt;=$W$9+5),0,IF($C$9&gt;$AF$51,ROUND(S102*#REF!/(DATEVALUE(CONCATENATE("01/01/",YEAR(H103)+1))-DATEVALUE(CONCATENATE("01/01/",YEAR(H103))))*(H103-H102),2),0))</f>
        <v>#REF!</v>
      </c>
      <c r="X138" s="34">
        <f t="shared" si="96"/>
        <v>0</v>
      </c>
      <c r="Y138" s="57">
        <f t="shared" si="95"/>
        <v>68010</v>
      </c>
      <c r="AL138" s="2" t="e">
        <f>IF(AND(Y95&gt;=$W$9,Y95&lt;=$W$9+5),0,IF($C$9&gt;$AF$51,ROUND(AI98*#REF!/(DATEVALUE(CONCATENATE("01/01/",YEAR(Z95)+1))-DATEVALUE(CONCATENATE("01/01/",YEAR(Z95))))*(Z95-Z94),2),0))</f>
        <v>#REF!</v>
      </c>
      <c r="AM138" s="34">
        <f t="shared" si="98"/>
        <v>0</v>
      </c>
      <c r="AN138" s="57">
        <f t="shared" si="97"/>
        <v>66550</v>
      </c>
      <c r="BL138" s="2" t="e">
        <f>IF(AND(G93&gt;=$W$9,G93&lt;=$W$9+5),0,IF($C$9&gt;$AF$51,ROUND(BG92*IF(#REF!="",0,#REF!)/(DATEVALUE(CONCATENATE("01/01/",YEAR(AQ93)+1))-DATEVALUE(CONCATENATE("01/01/",YEAR(AQ93))))*(AQ93-AQ92),2),0))</f>
        <v>#REF!</v>
      </c>
    </row>
    <row r="139" spans="23:64" x14ac:dyDescent="0.25">
      <c r="W139" s="2" t="e">
        <f>IF(AND(G104&gt;=$W$9,G104&lt;=$W$9+5),0,IF($C$9&gt;$AF$51,ROUND(S103*#REF!/(DATEVALUE(CONCATENATE("01/01/",YEAR(H104)+1))-DATEVALUE(CONCATENATE("01/01/",YEAR(H104))))*(H104-H103),2),0))</f>
        <v>#REF!</v>
      </c>
      <c r="X139" s="34">
        <f t="shared" si="96"/>
        <v>0</v>
      </c>
      <c r="Y139" s="57">
        <f t="shared" si="95"/>
        <v>68375</v>
      </c>
      <c r="AL139" s="2" t="e">
        <f>IF(AND(Y96&gt;=$W$9,Y96&lt;=$W$9+5),0,IF($C$9&gt;$AF$51,ROUND(AI99*#REF!/(DATEVALUE(CONCATENATE("01/01/",YEAR(Z96)+1))-DATEVALUE(CONCATENATE("01/01/",YEAR(Z96))))*(Z96-Z95),2),0))</f>
        <v>#REF!</v>
      </c>
      <c r="AM139" s="34">
        <f t="shared" si="98"/>
        <v>0</v>
      </c>
      <c r="AN139" s="57">
        <f t="shared" si="97"/>
        <v>66915</v>
      </c>
      <c r="BL139" s="2" t="e">
        <f>IF(AND(G94&gt;=$W$9,G94&lt;=$W$9+5),0,IF($C$9&gt;$AF$51,ROUND(BG93*IF(#REF!="",0,#REF!)/(DATEVALUE(CONCATENATE("01/01/",YEAR(AQ94)+1))-DATEVALUE(CONCATENATE("01/01/",YEAR(AQ94))))*(AQ94-AQ93),2),0))</f>
        <v>#REF!</v>
      </c>
    </row>
    <row r="140" spans="23:64" x14ac:dyDescent="0.25">
      <c r="W140" s="2" t="e">
        <f>IF(AND(G105&gt;=$W$9,G105&lt;=$W$9+5),0,IF($C$9&gt;$AF$51,ROUND(S104*#REF!/(DATEVALUE(CONCATENATE("01/01/",YEAR(H105)+1))-DATEVALUE(CONCATENATE("01/01/",YEAR(H105))))*(H105-H104),2),0))</f>
        <v>#REF!</v>
      </c>
      <c r="X140" s="34">
        <f t="shared" si="96"/>
        <v>0</v>
      </c>
      <c r="Y140" s="57">
        <f t="shared" si="95"/>
        <v>68740</v>
      </c>
      <c r="AL140" s="2" t="e">
        <f>IF(AND(Y97&gt;=$W$9,Y97&lt;=$W$9+5),0,IF($C$9&gt;$AF$51,ROUND(AI100*#REF!/(DATEVALUE(CONCATENATE("01/01/",YEAR(Z97)+1))-DATEVALUE(CONCATENATE("01/01/",YEAR(Z97))))*(Z97-Z96),2),0))</f>
        <v>#REF!</v>
      </c>
      <c r="AM140" s="34">
        <f t="shared" si="98"/>
        <v>0</v>
      </c>
      <c r="AN140" s="57">
        <f t="shared" si="97"/>
        <v>67280</v>
      </c>
      <c r="BL140" s="2" t="e">
        <f>IF(AND(G95&gt;=$W$9,G95&lt;=$W$9+5),0,IF($C$9&gt;$AF$51,ROUND(BG94*IF(#REF!="",0,#REF!)/(DATEVALUE(CONCATENATE("01/01/",YEAR(AQ95)+1))-DATEVALUE(CONCATENATE("01/01/",YEAR(AQ95))))*(AQ95-AQ94),2),0))</f>
        <v>#REF!</v>
      </c>
    </row>
    <row r="141" spans="23:64" x14ac:dyDescent="0.25">
      <c r="W141" s="2" t="e">
        <f>IF(AND(G106&gt;=$W$9,G106&lt;=$W$9+5),0,IF($C$9&gt;$AF$51,ROUND(S105*#REF!/(DATEVALUE(CONCATENATE("01/01/",YEAR(H106)+1))-DATEVALUE(CONCATENATE("01/01/",YEAR(H106))))*(H106-H105),2),0))</f>
        <v>#REF!</v>
      </c>
      <c r="X141" s="34">
        <f t="shared" si="96"/>
        <v>0</v>
      </c>
      <c r="Y141" s="57">
        <f t="shared" si="95"/>
        <v>69105</v>
      </c>
      <c r="AL141" s="2" t="e">
        <f>IF(AND(Y98&gt;=$W$9,Y98&lt;=$W$9+5),0,IF($C$9&gt;$AF$51,ROUND(AI101*#REF!/(DATEVALUE(CONCATENATE("01/01/",YEAR(Z98)+1))-DATEVALUE(CONCATENATE("01/01/",YEAR(Z98))))*(Z98-Z97),2),0))</f>
        <v>#REF!</v>
      </c>
      <c r="AM141" s="34">
        <f t="shared" si="98"/>
        <v>0</v>
      </c>
      <c r="AN141" s="57">
        <f t="shared" si="97"/>
        <v>67645</v>
      </c>
      <c r="BL141" s="2" t="e">
        <f>IF(AND(G96&gt;=$W$9,G96&lt;=$W$9+5),0,IF($C$9&gt;$AF$51,ROUND(BG95*IF(#REF!="",0,#REF!)/(DATEVALUE(CONCATENATE("01/01/",YEAR(AQ96)+1))-DATEVALUE(CONCATENATE("01/01/",YEAR(AQ96))))*(AQ96-AQ95),2),0))</f>
        <v>#REF!</v>
      </c>
    </row>
    <row r="142" spans="23:64" x14ac:dyDescent="0.25">
      <c r="W142" s="2" t="e">
        <f>IF(AND(G107&gt;=$W$9,G107&lt;=$W$9+5),0,IF($C$9&gt;$AF$51,ROUND(S106*#REF!/(DATEVALUE(CONCATENATE("01/01/",YEAR(H107)+1))-DATEVALUE(CONCATENATE("01/01/",YEAR(H107))))*(H107-H106),2),0))</f>
        <v>#REF!</v>
      </c>
      <c r="X142" s="34">
        <f t="shared" si="96"/>
        <v>0</v>
      </c>
      <c r="Y142" s="57">
        <f t="shared" si="95"/>
        <v>69470</v>
      </c>
      <c r="AL142" s="2" t="e">
        <f>IF(AND(Y99&gt;=$W$9,Y99&lt;=$W$9+5),0,IF($C$9&gt;$AF$51,ROUND(AI102*#REF!/(DATEVALUE(CONCATENATE("01/01/",YEAR(Z99)+1))-DATEVALUE(CONCATENATE("01/01/",YEAR(Z99))))*(Z99-Z98),2),0))</f>
        <v>#REF!</v>
      </c>
      <c r="AM142" s="34">
        <f t="shared" si="98"/>
        <v>0</v>
      </c>
      <c r="AN142" s="57">
        <f t="shared" si="97"/>
        <v>68010</v>
      </c>
      <c r="BL142" s="2" t="e">
        <f>IF(AND(G97&gt;=$W$9,G97&lt;=$W$9+5),0,IF($C$9&gt;$AF$51,ROUND(BG96*IF(#REF!="",0,#REF!)/(DATEVALUE(CONCATENATE("01/01/",YEAR(AQ97)+1))-DATEVALUE(CONCATENATE("01/01/",YEAR(AQ97))))*(AQ97-AQ96),2),0))</f>
        <v>#REF!</v>
      </c>
    </row>
    <row r="143" spans="23:64" x14ac:dyDescent="0.25">
      <c r="W143" s="2" t="e">
        <f>IF(AND(G108&gt;=$W$9,G108&lt;=$W$9+5),0,IF($C$9&gt;$AF$51,ROUND(S107*#REF!/(DATEVALUE(CONCATENATE("01/01/",YEAR(H108)+1))-DATEVALUE(CONCATENATE("01/01/",YEAR(H108))))*(H108-H107),2),0))</f>
        <v>#REF!</v>
      </c>
      <c r="X143" s="34">
        <f>IF(K108 &gt; 0, $K$9, 0)</f>
        <v>0</v>
      </c>
      <c r="Y143" s="57">
        <f t="shared" si="95"/>
        <v>69835</v>
      </c>
      <c r="AL143" s="2" t="e">
        <f>IF(AND(Y100&gt;=$W$9,Y100&lt;=$W$9+5),0,IF($C$9&gt;$AF$51,ROUND(AI103*#REF!/(DATEVALUE(CONCATENATE("01/01/",YEAR(Z100)+1))-DATEVALUE(CONCATENATE("01/01/",YEAR(Z100))))*(Z100-Z99),2),0))</f>
        <v>#REF!</v>
      </c>
      <c r="AM143" s="34">
        <f t="shared" si="98"/>
        <v>0</v>
      </c>
      <c r="AN143" s="57">
        <f t="shared" si="97"/>
        <v>68375</v>
      </c>
      <c r="BL143" s="2" t="e">
        <f>IF(AND(G98&gt;=$W$9,G98&lt;=$W$9+5),0,IF($C$9&gt;$AF$51,ROUND(BG97*IF(#REF!="",0,#REF!)/(DATEVALUE(CONCATENATE("01/01/",YEAR(AQ98)+1))-DATEVALUE(CONCATENATE("01/01/",YEAR(AQ98))))*(AQ98-AQ97),2),0))</f>
        <v>#REF!</v>
      </c>
    </row>
    <row r="144" spans="23:64" x14ac:dyDescent="0.25">
      <c r="W144" s="35" t="e">
        <f>SUM(W44:W143)</f>
        <v>#REF!</v>
      </c>
      <c r="X144" s="35">
        <f>SUM(X44:X143)</f>
        <v>115665.42000000003</v>
      </c>
      <c r="Y144" s="154">
        <f>XIRR(X42:X143,Y42:Y143)*12</f>
        <v>0.10113712549209596</v>
      </c>
      <c r="AL144" s="2" t="e">
        <f>IF(AND(Y101&gt;=$W$9,Y101&lt;=$W$9+5),0,IF($C$9&gt;$AF$51,ROUND(AI104*#REF!/(DATEVALUE(CONCATENATE("01/01/",YEAR(Z101)+1))-DATEVALUE(CONCATENATE("01/01/",YEAR(Z101))))*(Z101-Z100),2),0))</f>
        <v>#REF!</v>
      </c>
      <c r="AM144" s="34">
        <f t="shared" si="98"/>
        <v>0</v>
      </c>
      <c r="AN144" s="57">
        <f t="shared" si="97"/>
        <v>68740</v>
      </c>
      <c r="BL144" s="2" t="e">
        <f>IF(AND(G99&gt;=$W$9,G99&lt;=$W$9+5),0,IF($C$9&gt;$AF$51,ROUND(BG98*IF(#REF!="",0,#REF!)/(DATEVALUE(CONCATENATE("01/01/",YEAR(AQ99)+1))-DATEVALUE(CONCATENATE("01/01/",YEAR(AQ99))))*(AQ99-AQ98),2),0))</f>
        <v>#REF!</v>
      </c>
    </row>
    <row r="145" spans="24:64" x14ac:dyDescent="0.25">
      <c r="X145" s="34"/>
      <c r="Y145" s="57"/>
      <c r="AL145" s="2" t="e">
        <f>IF(AND(Y102&gt;=$W$9,Y102&lt;=$W$9+5),0,IF($C$9&gt;$AF$51,ROUND(AI105*#REF!/(DATEVALUE(CONCATENATE("01/01/",YEAR(Z102)+1))-DATEVALUE(CONCATENATE("01/01/",YEAR(Z102))))*(Z102-Z101),2),0))</f>
        <v>#REF!</v>
      </c>
      <c r="AM145" s="34">
        <f t="shared" si="98"/>
        <v>0</v>
      </c>
      <c r="AN145" s="57">
        <f t="shared" si="97"/>
        <v>69105</v>
      </c>
      <c r="BL145" s="2" t="e">
        <f>IF(AND(G100&gt;=$W$9,G100&lt;=$W$9+5),0,IF($C$9&gt;$AF$51,ROUND(BG99*IF(#REF!="",0,#REF!)/(DATEVALUE(CONCATENATE("01/01/",YEAR(AQ100)+1))-DATEVALUE(CONCATENATE("01/01/",YEAR(AQ100))))*(AQ100-AQ99),2),0))</f>
        <v>#REF!</v>
      </c>
    </row>
    <row r="146" spans="24:64" x14ac:dyDescent="0.25">
      <c r="X146" s="34"/>
      <c r="Y146" s="57"/>
      <c r="AL146" s="2" t="e">
        <f>IF(AND(Y103&gt;=$W$9,Y103&lt;=$W$9+5),0,IF($C$9&gt;$AF$51,ROUND(AI106*#REF!/(DATEVALUE(CONCATENATE("01/01/",YEAR(Z103)+1))-DATEVALUE(CONCATENATE("01/01/",YEAR(Z103))))*(Z103-Z102),2),0))</f>
        <v>#REF!</v>
      </c>
      <c r="AM146" s="34">
        <f t="shared" si="98"/>
        <v>0</v>
      </c>
      <c r="AN146" s="57">
        <f t="shared" si="97"/>
        <v>69470</v>
      </c>
      <c r="BL146" s="2" t="e">
        <f>IF(AND(G101&gt;=$W$9,G101&lt;=$W$9+5),0,IF($C$9&gt;$AF$51,ROUND(BG100*IF(#REF!="",0,#REF!)/(DATEVALUE(CONCATENATE("01/01/",YEAR(AQ101)+1))-DATEVALUE(CONCATENATE("01/01/",YEAR(AQ101))))*(AQ101-AQ100),2),0))</f>
        <v>#REF!</v>
      </c>
    </row>
    <row r="147" spans="24:64" x14ac:dyDescent="0.25">
      <c r="X147" s="34"/>
      <c r="Y147" s="57"/>
      <c r="AL147" s="2" t="e">
        <f>IF(AND(Y104&gt;=$W$9,Y104&lt;=$W$9+5),0,IF($C$9&gt;$AF$51,ROUND(AI107*#REF!/(DATEVALUE(CONCATENATE("01/01/",YEAR(Z104)+1))-DATEVALUE(CONCATENATE("01/01/",YEAR(Z104))))*(Z104-Z103),2),0))</f>
        <v>#REF!</v>
      </c>
      <c r="AM147" s="34">
        <f t="shared" si="98"/>
        <v>0</v>
      </c>
      <c r="AN147" s="57">
        <f t="shared" si="97"/>
        <v>69835</v>
      </c>
      <c r="BL147" s="2" t="e">
        <f>IF(AND(G102&gt;=$W$9,G102&lt;=$W$9+5),0,IF($C$9&gt;$AF$51,ROUND(BG101*IF(#REF!="",0,#REF!)/(DATEVALUE(CONCATENATE("01/01/",YEAR(AQ102)+1))-DATEVALUE(CONCATENATE("01/01/",YEAR(AQ102))))*(AQ102-AQ101),2),0))</f>
        <v>#REF!</v>
      </c>
    </row>
    <row r="148" spans="24:64" x14ac:dyDescent="0.25">
      <c r="X148" s="34"/>
      <c r="Y148" s="57"/>
      <c r="AL148" s="35" t="e">
        <f>SUM(AL48:AL147)</f>
        <v>#REF!</v>
      </c>
      <c r="AM148" s="35">
        <f>SUM(AM48:AM147)</f>
        <v>125250.31000000001</v>
      </c>
      <c r="AN148" s="154">
        <f>XIRR(AM46:AM147,AN46:AN147)*12</f>
        <v>0.168511426448822</v>
      </c>
      <c r="BL148" s="2" t="e">
        <f>IF(AND(G103&gt;=$W$9,G103&lt;=$W$9+5),0,IF($C$9&gt;$AF$51,ROUND(BG102*IF(#REF!="",0,#REF!)/(DATEVALUE(CONCATENATE("01/01/",YEAR(AQ103)+1))-DATEVALUE(CONCATENATE("01/01/",YEAR(AQ103))))*(AQ103-AQ102),2),0))</f>
        <v>#REF!</v>
      </c>
    </row>
    <row r="149" spans="24:64" x14ac:dyDescent="0.25">
      <c r="BL149" s="2" t="e">
        <f>IF(AND(G104&gt;=$W$9,G104&lt;=$W$9+5),0,IF($C$9&gt;$AF$51,ROUND(BG103*IF(#REF!="",0,#REF!)/(DATEVALUE(CONCATENATE("01/01/",YEAR(AQ104)+1))-DATEVALUE(CONCATENATE("01/01/",YEAR(AQ104))))*(AQ104-AQ103),2),0))</f>
        <v>#REF!</v>
      </c>
    </row>
    <row r="150" spans="24:64" x14ac:dyDescent="0.25">
      <c r="BL150" s="2" t="e">
        <f>IF(AND(G105&gt;=$W$9,G105&lt;=$W$9+5),0,IF($C$9&gt;$AF$51,ROUND(BG104*IF(#REF!="",0,#REF!)/(DATEVALUE(CONCATENATE("01/01/",YEAR(AQ105)+1))-DATEVALUE(CONCATENATE("01/01/",YEAR(AQ105))))*(AQ105-AQ104),2),0))</f>
        <v>#REF!</v>
      </c>
    </row>
    <row r="151" spans="24:64" x14ac:dyDescent="0.25">
      <c r="BL151" s="2" t="e">
        <f>IF(AND(G106&gt;=$W$9,G106&lt;=$W$9+5),0,IF($C$9&gt;$AF$51,ROUND(BG105*IF(#REF!="",0,#REF!)/(DATEVALUE(CONCATENATE("01/01/",YEAR(AQ106)+1))-DATEVALUE(CONCATENATE("01/01/",YEAR(AQ106))))*(AQ106-AQ105),2),0))</f>
        <v>#REF!</v>
      </c>
    </row>
    <row r="152" spans="24:64" x14ac:dyDescent="0.25">
      <c r="BL152" s="2" t="e">
        <f>IF(AND(G107&gt;=$W$9,G107&lt;=$W$9+5),0,IF($C$9&gt;$AF$51,ROUND(BG106*IF(#REF!="",0,#REF!)/(DATEVALUE(CONCATENATE("01/01/",YEAR(AQ107)+1))-DATEVALUE(CONCATENATE("01/01/",YEAR(AQ107))))*(AQ107-AQ106),2),0))</f>
        <v>#REF!</v>
      </c>
    </row>
    <row r="153" spans="24:64" x14ac:dyDescent="0.25">
      <c r="BL153" s="2" t="e">
        <f>IF(AND(G108&gt;=$W$9,G108&lt;=$W$9+5),0,IF($C$9&gt;$AF$51,ROUND(BG107*IF(#REF!="",0,#REF!)/(DATEVALUE(CONCATENATE("01/01/",YEAR(AQ108)+1))-DATEVALUE(CONCATENATE("01/01/",YEAR(AQ108))))*(AQ108-AQ107),2),0))</f>
        <v>#REF!</v>
      </c>
    </row>
    <row r="154" spans="24:64" x14ac:dyDescent="0.25">
      <c r="BL154" s="35" t="e">
        <f>SUM(BL54:BL153)</f>
        <v>#REF!</v>
      </c>
    </row>
  </sheetData>
  <sheetProtection sheet="1" selectLockedCells="1"/>
  <dataConsolidate/>
  <mergeCells count="83">
    <mergeCell ref="BN3:BT3"/>
    <mergeCell ref="A5:E5"/>
    <mergeCell ref="J6:J7"/>
    <mergeCell ref="A1:E2"/>
    <mergeCell ref="A3:E3"/>
    <mergeCell ref="G3:U4"/>
    <mergeCell ref="AP3:BH4"/>
    <mergeCell ref="A6:B6"/>
    <mergeCell ref="C6:D6"/>
    <mergeCell ref="G6:G7"/>
    <mergeCell ref="H6:H7"/>
    <mergeCell ref="I6:I7"/>
    <mergeCell ref="AT6:AT7"/>
    <mergeCell ref="AU6:AU7"/>
    <mergeCell ref="AV6:AV7"/>
    <mergeCell ref="K6:K7"/>
    <mergeCell ref="AR6:AR7"/>
    <mergeCell ref="L6:L7"/>
    <mergeCell ref="M6:M7"/>
    <mergeCell ref="Q6:Q7"/>
    <mergeCell ref="S6:S7"/>
    <mergeCell ref="T6:T7"/>
    <mergeCell ref="A13:B13"/>
    <mergeCell ref="BN10:BN11"/>
    <mergeCell ref="BO10:BO11"/>
    <mergeCell ref="A11:B11"/>
    <mergeCell ref="BG6:BG7"/>
    <mergeCell ref="BN6:BT6"/>
    <mergeCell ref="A7:B7"/>
    <mergeCell ref="C7:D7"/>
    <mergeCell ref="BN7:BN8"/>
    <mergeCell ref="BO7:BO8"/>
    <mergeCell ref="BR7:BR8"/>
    <mergeCell ref="BS7:BS8"/>
    <mergeCell ref="BT7:BT8"/>
    <mergeCell ref="A8:B8"/>
    <mergeCell ref="AP6:AP7"/>
    <mergeCell ref="AQ6:AQ7"/>
    <mergeCell ref="A9:B9"/>
    <mergeCell ref="C9:D9"/>
    <mergeCell ref="A10:B10"/>
    <mergeCell ref="C10:D10"/>
    <mergeCell ref="A12:B12"/>
    <mergeCell ref="BN13:BN14"/>
    <mergeCell ref="BO13:BO14"/>
    <mergeCell ref="A14:A15"/>
    <mergeCell ref="A30:B30"/>
    <mergeCell ref="A19:E19"/>
    <mergeCell ref="A20:E20"/>
    <mergeCell ref="A21:B21"/>
    <mergeCell ref="A22:E22"/>
    <mergeCell ref="A23:B23"/>
    <mergeCell ref="A24:B24"/>
    <mergeCell ref="A25:B25"/>
    <mergeCell ref="A26:B26"/>
    <mergeCell ref="A27:B27"/>
    <mergeCell ref="A28:B28"/>
    <mergeCell ref="A29:B29"/>
    <mergeCell ref="A16:A18"/>
    <mergeCell ref="A31:B31"/>
    <mergeCell ref="A32:B32"/>
    <mergeCell ref="A33:B33"/>
    <mergeCell ref="BN33:BN35"/>
    <mergeCell ref="A34:B34"/>
    <mergeCell ref="C34:E34"/>
    <mergeCell ref="A35:E35"/>
    <mergeCell ref="A36:B36"/>
    <mergeCell ref="D36:E36"/>
    <mergeCell ref="A37:B37"/>
    <mergeCell ref="A38:A41"/>
    <mergeCell ref="A42:B42"/>
    <mergeCell ref="C42:E42"/>
    <mergeCell ref="D37:E37"/>
    <mergeCell ref="A50:E50"/>
    <mergeCell ref="A51:A52"/>
    <mergeCell ref="A53:B53"/>
    <mergeCell ref="A54:B54"/>
    <mergeCell ref="A43:A46"/>
    <mergeCell ref="A47:B47"/>
    <mergeCell ref="C47:E47"/>
    <mergeCell ref="A48:E48"/>
    <mergeCell ref="A49:B49"/>
    <mergeCell ref="C49:E49"/>
  </mergeCells>
  <conditionalFormatting sqref="D17">
    <cfRule type="cellIs" dxfId="6" priority="1" operator="notEqual">
      <formula>""</formula>
    </cfRule>
  </conditionalFormatting>
  <dataValidations count="5">
    <dataValidation type="list" allowBlank="1" showInputMessage="1" showErrorMessage="1" sqref="C37" xr:uid="{00000000-0002-0000-0F00-000000000000}">
      <formula1>"Да,Нет"</formula1>
    </dataValidation>
    <dataValidation type="list" allowBlank="1" showInputMessage="1" showErrorMessage="1" sqref="C8" xr:uid="{00000000-0002-0000-0F00-000001000000}">
      <formula1>$AC$59:$AG$59</formula1>
    </dataValidation>
    <dataValidation type="list" allowBlank="1" showInputMessage="1" showErrorMessage="1" sqref="C11" xr:uid="{00000000-0002-0000-0F00-000002000000}">
      <formula1>$Y$39:$AB$39</formula1>
    </dataValidation>
    <dataValidation type="list" allowBlank="1" showInputMessage="1" showErrorMessage="1" sqref="C14" xr:uid="{00000000-0002-0000-0F00-000003000000}">
      <formula1>$Y$28:$Z$28</formula1>
    </dataValidation>
    <dataValidation type="list" allowBlank="1" showInputMessage="1" showErrorMessage="1" sqref="C12" xr:uid="{00000000-0002-0000-0F00-000004000000}">
      <formula1>$W$3:$AA$3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1" fitToWidth="2" orientation="portrait" r:id="rId1"/>
  <colBreaks count="1" manualBreakCount="1">
    <brk id="5" max="108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5000000}">
          <x14:formula1>
            <xm:f>'Для Перспективы'!$B$1:$D$1</xm:f>
          </x14:formula1>
          <xm:sqref>C10:D10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23"/>
  <sheetViews>
    <sheetView workbookViewId="0">
      <selection activeCell="L6" sqref="L6"/>
    </sheetView>
  </sheetViews>
  <sheetFormatPr defaultColWidth="8.6640625" defaultRowHeight="13.2" x14ac:dyDescent="0.25"/>
  <sheetData>
    <row r="1" spans="1:12" x14ac:dyDescent="0.25">
      <c r="B1">
        <v>36</v>
      </c>
      <c r="C1">
        <v>48</v>
      </c>
      <c r="D1">
        <v>60</v>
      </c>
      <c r="E1">
        <v>72</v>
      </c>
      <c r="F1">
        <v>84</v>
      </c>
    </row>
    <row r="2" spans="1:12" x14ac:dyDescent="0.25">
      <c r="A2" s="174">
        <v>9.9000000000000005E-2</v>
      </c>
      <c r="B2" s="16">
        <v>3000</v>
      </c>
      <c r="C2">
        <v>3000</v>
      </c>
      <c r="D2">
        <v>4000</v>
      </c>
      <c r="E2">
        <v>4000</v>
      </c>
      <c r="F2">
        <v>4000</v>
      </c>
      <c r="L2" t="s">
        <v>360</v>
      </c>
    </row>
    <row r="3" spans="1:12" x14ac:dyDescent="0.25">
      <c r="B3" s="16">
        <v>194000</v>
      </c>
      <c r="C3" s="16">
        <v>152000</v>
      </c>
      <c r="D3" s="16">
        <v>128000</v>
      </c>
      <c r="E3" s="16">
        <v>111000</v>
      </c>
      <c r="F3" s="16">
        <v>128000</v>
      </c>
      <c r="L3" t="s">
        <v>111</v>
      </c>
    </row>
    <row r="4" spans="1:12" x14ac:dyDescent="0.25">
      <c r="A4" s="174">
        <v>0.109</v>
      </c>
      <c r="B4" s="16">
        <f>ROUND(B$6+(B$22-B$6)/($A$22-$A$6)*($A$8-$A$6),0)</f>
        <v>4313</v>
      </c>
      <c r="C4">
        <f>ROUND(C$6+(C$22-C$6)/($A$22-$A$6)*(A4-$A$6),-2)</f>
        <v>3300</v>
      </c>
      <c r="D4">
        <f>ROUND(D$6+(D$22-D$6)/($A$22-$A$6)*(A4-$A$6),-2)</f>
        <v>4800</v>
      </c>
      <c r="E4">
        <v>5400</v>
      </c>
      <c r="F4">
        <v>5400</v>
      </c>
      <c r="L4" t="s">
        <v>114</v>
      </c>
    </row>
    <row r="5" spans="1:12" x14ac:dyDescent="0.25">
      <c r="B5" s="16">
        <f>ROUND(B$9+(B$23-B$9)/($A$22-$A$6)*(A4-$A$6),-1)</f>
        <v>199390</v>
      </c>
      <c r="C5" s="16">
        <f>ROUND(C$9+(C$23-C$9)/($A$22-$A$6)*(A4-$A$6),-1)</f>
        <v>158090</v>
      </c>
      <c r="D5" s="16">
        <f>ROUND(D$9+(D$23-D$9)/($A$22-$A$6)*(A$4-$A$6),-1)</f>
        <v>133500</v>
      </c>
      <c r="E5" s="16">
        <v>114000</v>
      </c>
      <c r="F5" s="16">
        <v>133460</v>
      </c>
      <c r="L5" t="s">
        <v>361</v>
      </c>
    </row>
    <row r="6" spans="1:12" x14ac:dyDescent="0.25">
      <c r="A6" s="174">
        <v>0.11899999999999999</v>
      </c>
      <c r="B6">
        <v>4000</v>
      </c>
      <c r="C6">
        <v>4000</v>
      </c>
      <c r="D6" s="16">
        <v>5500</v>
      </c>
      <c r="E6" s="16">
        <v>5800</v>
      </c>
      <c r="F6" s="16">
        <v>5500</v>
      </c>
      <c r="L6" t="s">
        <v>380</v>
      </c>
    </row>
    <row r="7" spans="1:12" x14ac:dyDescent="0.25">
      <c r="B7">
        <v>200000</v>
      </c>
      <c r="C7">
        <v>158000</v>
      </c>
      <c r="D7" s="16">
        <v>134000</v>
      </c>
      <c r="E7" s="16">
        <v>117100</v>
      </c>
      <c r="F7" s="16">
        <v>118000</v>
      </c>
      <c r="L7" t="s">
        <v>29</v>
      </c>
    </row>
    <row r="8" spans="1:12" x14ac:dyDescent="0.25">
      <c r="A8" s="174">
        <v>0.129</v>
      </c>
      <c r="B8" s="497">
        <v>7000</v>
      </c>
      <c r="C8" s="497">
        <v>9000</v>
      </c>
      <c r="D8" s="497">
        <v>10000</v>
      </c>
      <c r="E8" s="497">
        <v>11000</v>
      </c>
      <c r="F8" s="497">
        <v>11500</v>
      </c>
    </row>
    <row r="9" spans="1:12" x14ac:dyDescent="0.25">
      <c r="B9" s="498">
        <v>202000</v>
      </c>
      <c r="C9" s="498">
        <v>160800</v>
      </c>
      <c r="D9" s="498">
        <v>136300</v>
      </c>
      <c r="E9" s="498">
        <v>120200</v>
      </c>
      <c r="F9" s="498">
        <v>108900</v>
      </c>
    </row>
    <row r="10" spans="1:12" x14ac:dyDescent="0.25">
      <c r="A10" s="174">
        <v>0.13900000000000001</v>
      </c>
      <c r="B10" s="497">
        <v>7000</v>
      </c>
      <c r="C10" s="497">
        <v>9000</v>
      </c>
      <c r="D10" s="497">
        <v>10000</v>
      </c>
      <c r="E10" s="497">
        <v>11000</v>
      </c>
      <c r="F10" s="497">
        <v>12000</v>
      </c>
    </row>
    <row r="11" spans="1:12" x14ac:dyDescent="0.25">
      <c r="B11" s="498">
        <v>204900</v>
      </c>
      <c r="C11" s="498">
        <v>163800</v>
      </c>
      <c r="D11" s="498">
        <v>139400</v>
      </c>
      <c r="E11" s="498">
        <v>123400</v>
      </c>
      <c r="F11" s="498">
        <v>112200</v>
      </c>
    </row>
    <row r="12" spans="1:12" x14ac:dyDescent="0.25">
      <c r="A12" s="174">
        <v>0.14899999999999999</v>
      </c>
      <c r="B12" s="497">
        <v>7000</v>
      </c>
      <c r="C12" s="497">
        <v>9000</v>
      </c>
      <c r="D12" s="497">
        <v>10000</v>
      </c>
      <c r="E12" s="497">
        <v>11000</v>
      </c>
      <c r="F12" s="497">
        <v>12000</v>
      </c>
    </row>
    <row r="13" spans="1:12" x14ac:dyDescent="0.25">
      <c r="B13" s="498">
        <v>207900</v>
      </c>
      <c r="C13" s="498">
        <v>166900</v>
      </c>
      <c r="D13" s="498">
        <v>142500</v>
      </c>
      <c r="E13" s="498">
        <v>126600</v>
      </c>
      <c r="F13" s="498">
        <v>115500</v>
      </c>
    </row>
    <row r="14" spans="1:12" x14ac:dyDescent="0.25">
      <c r="A14" s="174">
        <v>0.159</v>
      </c>
      <c r="B14" s="497">
        <v>7000</v>
      </c>
      <c r="C14" s="497">
        <v>9000</v>
      </c>
      <c r="D14" s="497">
        <v>11000</v>
      </c>
      <c r="E14" s="497">
        <v>11500</v>
      </c>
      <c r="F14" s="497">
        <v>12500</v>
      </c>
    </row>
    <row r="15" spans="1:12" x14ac:dyDescent="0.25">
      <c r="B15" s="498">
        <v>211000</v>
      </c>
      <c r="C15" s="498">
        <v>170200</v>
      </c>
      <c r="D15" s="498">
        <v>145800</v>
      </c>
      <c r="E15" s="498">
        <v>129900</v>
      </c>
      <c r="F15" s="498">
        <v>118900</v>
      </c>
    </row>
    <row r="16" spans="1:12" x14ac:dyDescent="0.25">
      <c r="A16" s="174">
        <v>0.16900000000000001</v>
      </c>
      <c r="B16" s="497">
        <v>6500</v>
      </c>
      <c r="C16" s="497">
        <v>9500</v>
      </c>
      <c r="D16" s="497">
        <v>11000</v>
      </c>
      <c r="E16">
        <v>7500</v>
      </c>
      <c r="F16">
        <v>7500</v>
      </c>
    </row>
    <row r="17" spans="1:6" x14ac:dyDescent="0.25">
      <c r="B17" s="498">
        <v>213800</v>
      </c>
      <c r="C17" s="498">
        <v>173000</v>
      </c>
      <c r="D17" s="498">
        <v>148900</v>
      </c>
      <c r="E17" s="16">
        <v>149850</v>
      </c>
      <c r="F17" s="16">
        <v>149850</v>
      </c>
    </row>
    <row r="18" spans="1:6" x14ac:dyDescent="0.25">
      <c r="A18" s="174">
        <v>0.17499999999999999</v>
      </c>
      <c r="B18">
        <v>6100</v>
      </c>
      <c r="C18">
        <v>7400</v>
      </c>
      <c r="D18">
        <v>8000</v>
      </c>
      <c r="E18">
        <v>8000</v>
      </c>
      <c r="F18">
        <v>8000</v>
      </c>
    </row>
    <row r="19" spans="1:6" x14ac:dyDescent="0.25">
      <c r="B19" s="16">
        <f>ROUND(B$7+(B$23-B$7)/($A$22-$A$6)*($A$18-$A$6),-1)</f>
        <v>216030</v>
      </c>
      <c r="C19" s="16">
        <f>ROUND(C$7+(C$23-C$7)/($A$22-$A$6)*($A$18-$A$6),-1)</f>
        <v>175150</v>
      </c>
      <c r="D19" s="16">
        <f>ROUND(D$9+(D$23-D$9)/($A$22-$A$6)*($A$18-$A$6),-1)</f>
        <v>151980</v>
      </c>
      <c r="E19" s="16">
        <v>151960</v>
      </c>
      <c r="F19" s="16">
        <v>151960</v>
      </c>
    </row>
    <row r="20" spans="1:6" x14ac:dyDescent="0.25">
      <c r="A20" s="174">
        <v>0.17899999999999999</v>
      </c>
      <c r="B20" s="497">
        <v>7000</v>
      </c>
      <c r="C20" s="497">
        <v>9500</v>
      </c>
      <c r="D20" s="497">
        <v>11000</v>
      </c>
      <c r="E20">
        <v>11000</v>
      </c>
      <c r="F20">
        <v>12000</v>
      </c>
    </row>
    <row r="21" spans="1:6" x14ac:dyDescent="0.25">
      <c r="B21" s="498">
        <v>216800</v>
      </c>
      <c r="C21" s="498">
        <v>176100</v>
      </c>
      <c r="D21" s="498">
        <v>152200</v>
      </c>
      <c r="E21" s="16">
        <v>153080</v>
      </c>
      <c r="F21" s="16">
        <v>153080</v>
      </c>
    </row>
    <row r="22" spans="1:6" x14ac:dyDescent="0.25">
      <c r="A22" s="174">
        <v>0.19900000000000001</v>
      </c>
      <c r="B22" s="497">
        <v>6500</v>
      </c>
      <c r="C22" s="497">
        <v>9500</v>
      </c>
      <c r="D22" s="497">
        <v>11000</v>
      </c>
      <c r="E22" s="16">
        <v>11000</v>
      </c>
      <c r="F22" s="16">
        <v>12000</v>
      </c>
    </row>
    <row r="23" spans="1:6" x14ac:dyDescent="0.25">
      <c r="B23" s="499">
        <v>222900</v>
      </c>
      <c r="C23" s="499">
        <v>182500</v>
      </c>
      <c r="D23" s="498">
        <v>158700</v>
      </c>
      <c r="E23" s="16">
        <v>158690</v>
      </c>
      <c r="F23" s="16">
        <v>158690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3"/>
  <sheetViews>
    <sheetView zoomScale="130" zoomScaleNormal="130" workbookViewId="0">
      <selection activeCell="K9" sqref="K9"/>
    </sheetView>
  </sheetViews>
  <sheetFormatPr defaultColWidth="8.6640625" defaultRowHeight="13.2" x14ac:dyDescent="0.25"/>
  <cols>
    <col min="2" max="2" width="11.33203125" bestFit="1" customWidth="1"/>
    <col min="3" max="3" width="10.33203125" bestFit="1" customWidth="1"/>
    <col min="4" max="4" width="11.6640625" bestFit="1" customWidth="1"/>
  </cols>
  <sheetData>
    <row r="1" spans="1:9" x14ac:dyDescent="0.25">
      <c r="B1">
        <v>36</v>
      </c>
      <c r="C1">
        <v>48</v>
      </c>
      <c r="D1">
        <v>60</v>
      </c>
      <c r="G1">
        <v>36</v>
      </c>
      <c r="H1">
        <v>48</v>
      </c>
      <c r="I1">
        <v>60</v>
      </c>
    </row>
    <row r="2" spans="1:9" x14ac:dyDescent="0.25">
      <c r="A2" s="174">
        <v>0.11899999999999999</v>
      </c>
      <c r="B2" s="16">
        <f>ROUND(B$4+(B$20-B$4)/($A$20-$A$4)*($A$2-$A$4),0)</f>
        <v>3571</v>
      </c>
      <c r="C2" s="16">
        <f t="shared" ref="C2:D2" si="0">ROUND(C$4+(C$20-C$4)/($A$20-$A$4)*($A$2-$A$4),0)</f>
        <v>5143</v>
      </c>
      <c r="D2" s="16">
        <f t="shared" si="0"/>
        <v>4571</v>
      </c>
      <c r="F2" s="174">
        <v>0.11899999999999999</v>
      </c>
      <c r="G2" s="16">
        <f>ROUND(G$12+(G$20-G$12)/($F$20-$F$12)*($F$2-$F$12),0)</f>
        <v>4000</v>
      </c>
      <c r="H2" s="16">
        <f t="shared" ref="H2:I2" si="1">ROUND(H$12+(H$20-H$12)/($F$20-$F$12)*($F$2-$F$12),0)</f>
        <v>5800</v>
      </c>
      <c r="I2" s="16">
        <f t="shared" si="1"/>
        <v>7633</v>
      </c>
    </row>
    <row r="3" spans="1:9" x14ac:dyDescent="0.25">
      <c r="B3" s="16">
        <f>ROUNDUP(PMT($A2/12,B$1,-6000000),-2)</f>
        <v>199000</v>
      </c>
      <c r="C3" s="16">
        <f t="shared" ref="C3" si="2">ROUNDUP(PMT($A2/12,C$1,-6000000),-2)</f>
        <v>157800</v>
      </c>
      <c r="D3" s="16">
        <f t="shared" ref="D3" si="3">ROUNDUP(PMT($A2/12,D$1,-6000000),-2)</f>
        <v>133200</v>
      </c>
      <c r="G3" s="16">
        <f>ROUNDUP(PMT($A2/12,G$1,-6000000),-2)</f>
        <v>199000</v>
      </c>
      <c r="H3" s="16">
        <f t="shared" ref="H3" si="4">ROUNDUP(PMT($A2/12,H$1,-6000000),-2)</f>
        <v>157800</v>
      </c>
      <c r="I3" s="16">
        <f t="shared" ref="I3" si="5">ROUNDUP(PMT($A2/12,I$1,-6000000),-2)</f>
        <v>133200</v>
      </c>
    </row>
    <row r="4" spans="1:9" x14ac:dyDescent="0.25">
      <c r="A4" s="174">
        <v>0.129</v>
      </c>
      <c r="B4" s="16">
        <v>4000</v>
      </c>
      <c r="C4" s="16">
        <v>5500</v>
      </c>
      <c r="D4" s="16">
        <v>5000</v>
      </c>
      <c r="F4" s="174">
        <v>0.129</v>
      </c>
      <c r="G4" s="485">
        <f>ROUND(G$8+(G$24-G$8)/($A$24-$A$8)*($A$10-$A$8),0)</f>
        <v>0</v>
      </c>
      <c r="H4" s="485">
        <v>4400</v>
      </c>
      <c r="I4" s="485">
        <v>4600</v>
      </c>
    </row>
    <row r="5" spans="1:9" x14ac:dyDescent="0.25">
      <c r="B5" s="16">
        <f>ROUNDUP(PMT($A4/12,B$1,-6000000),-2)</f>
        <v>201900</v>
      </c>
      <c r="C5" s="16">
        <f t="shared" ref="C5" si="6">ROUNDUP(PMT($A4/12,C$1,-6000000),-2)</f>
        <v>160700</v>
      </c>
      <c r="D5" s="16">
        <f t="shared" ref="D5" si="7">ROUNDUP(PMT($A4/12,D$1,-6000000),-2)</f>
        <v>136300</v>
      </c>
      <c r="G5" s="16">
        <v>202080</v>
      </c>
      <c r="H5" s="16">
        <v>160900</v>
      </c>
      <c r="I5" s="16">
        <v>136300</v>
      </c>
    </row>
    <row r="6" spans="1:9" x14ac:dyDescent="0.25">
      <c r="A6" s="174">
        <v>0.13900000000000001</v>
      </c>
      <c r="B6" s="16">
        <f>ROUND(B$4+(B$20-B$4)/($A$20-$A$4)*($A$6-$A$4),0)</f>
        <v>4429</v>
      </c>
      <c r="C6" s="16">
        <f t="shared" ref="C6:D6" si="8">ROUND(C$4+(C$20-C$4)/($A$20-$A$4)*($A$6-$A$4),0)</f>
        <v>5857</v>
      </c>
      <c r="D6" s="16">
        <f t="shared" si="8"/>
        <v>5429</v>
      </c>
      <c r="F6" s="174">
        <v>0.13900000000000001</v>
      </c>
      <c r="G6" s="16">
        <f>ROUND(G$12+(G$20-G$12)/($F$20-$F$12)*($F$6-$F$12),0)</f>
        <v>4750</v>
      </c>
      <c r="H6" s="16">
        <f t="shared" ref="H6" si="9">ROUND(H$12+(H$20-H$12)/($F$20-$F$12)*($F$6-$F$12),0)</f>
        <v>6200</v>
      </c>
      <c r="I6" s="16">
        <f>ROUND(I$12+(I$20-I$12)/($F$20-$F$12)*($F$6-$F$12),0)</f>
        <v>7700</v>
      </c>
    </row>
    <row r="7" spans="1:9" x14ac:dyDescent="0.25">
      <c r="B7" s="16">
        <f>ROUNDUP(PMT($A6/12,B$1,-6000000),-2)</f>
        <v>204800</v>
      </c>
      <c r="C7" s="16">
        <f t="shared" ref="C7" si="10">ROUNDUP(PMT($A6/12,C$1,-6000000),-2)</f>
        <v>163700</v>
      </c>
      <c r="D7" s="16">
        <f t="shared" ref="D7" si="11">ROUNDUP(PMT($A6/12,D$1,-6000000),-2)</f>
        <v>139300</v>
      </c>
      <c r="G7" s="16">
        <f>ROUNDUP(PMT($A6/12,G$1,-6000000),-2)</f>
        <v>204800</v>
      </c>
      <c r="H7" s="16">
        <f t="shared" ref="H7" si="12">ROUNDUP(PMT($A6/12,H$1,-6000000),-2)</f>
        <v>163700</v>
      </c>
      <c r="I7" s="16">
        <f t="shared" ref="I7" si="13">ROUNDUP(PMT($A6/12,I$1,-6000000),-2)</f>
        <v>139300</v>
      </c>
    </row>
    <row r="8" spans="1:9" x14ac:dyDescent="0.25">
      <c r="A8" s="174">
        <v>0.14899999999999999</v>
      </c>
      <c r="B8" s="16">
        <v>4000</v>
      </c>
      <c r="C8" s="16">
        <v>5600</v>
      </c>
      <c r="D8" s="16">
        <v>7000</v>
      </c>
      <c r="F8" s="174">
        <v>0.14899999999999999</v>
      </c>
      <c r="G8" s="493"/>
      <c r="H8" s="493">
        <v>5600</v>
      </c>
      <c r="I8" s="493">
        <v>5500</v>
      </c>
    </row>
    <row r="9" spans="1:9" x14ac:dyDescent="0.25">
      <c r="B9" s="16">
        <f>ROUNDUP(PMT($A8/12,B$1,-6000000),-2)</f>
        <v>207700</v>
      </c>
      <c r="C9" s="16">
        <f t="shared" ref="C9" si="14">ROUNDUP(PMT($A8/12,C$1,-6000000),-2)</f>
        <v>166700</v>
      </c>
      <c r="D9" s="16">
        <f t="shared" ref="D9" si="15">ROUNDUP(PMT($A8/12,D$1,-6000000),-2)</f>
        <v>142500</v>
      </c>
      <c r="G9" s="16">
        <v>208020</v>
      </c>
      <c r="H9" s="16">
        <v>167060</v>
      </c>
      <c r="I9" s="16">
        <v>143000</v>
      </c>
    </row>
    <row r="10" spans="1:9" x14ac:dyDescent="0.25">
      <c r="A10" s="174">
        <v>0.159</v>
      </c>
      <c r="B10" s="16">
        <f>ROUND(B$4+(B$20-B$4)/($A$20-$A$4)*($A$10-$A$4),0)</f>
        <v>5286</v>
      </c>
      <c r="C10" s="16">
        <f t="shared" ref="C10:D10" si="16">ROUND(C$4+(C$20-C$4)/($A$20-$A$4)*($A$10-$A$4),0)</f>
        <v>6571</v>
      </c>
      <c r="D10" s="16">
        <f t="shared" si="16"/>
        <v>6286</v>
      </c>
      <c r="F10" s="174">
        <v>0.159</v>
      </c>
      <c r="G10" s="16">
        <f>ROUND(G$12+(G$20-G$12)/($F$20-$F$12)*($F$10-$F$12),0)</f>
        <v>5500</v>
      </c>
      <c r="H10" s="16">
        <f t="shared" ref="H10:I10" si="17">ROUND(H$12+(H$20-H$12)/($F$20-$F$12)*($F$10-$F$12),0)</f>
        <v>6600</v>
      </c>
      <c r="I10" s="16">
        <f t="shared" si="17"/>
        <v>7767</v>
      </c>
    </row>
    <row r="11" spans="1:9" x14ac:dyDescent="0.25">
      <c r="B11" s="16">
        <f>ROUNDUP(PMT($A10/12,B$1,-6000000),-2)</f>
        <v>210700</v>
      </c>
      <c r="C11" s="16">
        <f t="shared" ref="C11" si="18">ROUNDUP(PMT($A10/12,C$1,-6000000),-2)</f>
        <v>169800</v>
      </c>
      <c r="D11" s="16">
        <f t="shared" ref="D11" si="19">ROUNDUP(PMT($A10/12,D$1,-6000000),-2)</f>
        <v>145600</v>
      </c>
      <c r="G11" s="16">
        <f>ROUNDUP(PMT($A10/12,G$1,-6000000),-2)</f>
        <v>210700</v>
      </c>
      <c r="H11" s="16">
        <f t="shared" ref="H11" si="20">ROUNDUP(PMT($A10/12,H$1,-6000000),-2)</f>
        <v>169800</v>
      </c>
      <c r="I11" s="16">
        <f t="shared" ref="I11" si="21">ROUNDUP(PMT($A10/12,I$1,-6000000),-2)</f>
        <v>145600</v>
      </c>
    </row>
    <row r="12" spans="1:9" x14ac:dyDescent="0.25">
      <c r="A12" s="174">
        <v>0.16900000000000001</v>
      </c>
      <c r="B12" s="16">
        <f>ROUND(B$4+(B$20-B$4)/($A$20-$A$4)*($A$12-$A$4),0)</f>
        <v>5714</v>
      </c>
      <c r="C12" s="16">
        <f t="shared" ref="C12:D12" si="22">ROUND(C$4+(C$20-C$4)/($A$20-$A$4)*($A$12-$A$4),0)</f>
        <v>6929</v>
      </c>
      <c r="D12" s="16">
        <f t="shared" si="22"/>
        <v>6714</v>
      </c>
      <c r="F12" s="174">
        <v>0.16900000000000001</v>
      </c>
      <c r="G12" s="493">
        <v>5875</v>
      </c>
      <c r="H12" s="493">
        <v>6800</v>
      </c>
      <c r="I12" s="485">
        <v>7800</v>
      </c>
    </row>
    <row r="13" spans="1:9" x14ac:dyDescent="0.25">
      <c r="B13" s="16">
        <f>ROUNDUP(PMT($A12/12,B$1,-6000000),-2)</f>
        <v>213700</v>
      </c>
      <c r="C13" s="16">
        <f t="shared" ref="C13" si="23">ROUNDUP(PMT($A12/12,C$1,-6000000),-2)</f>
        <v>172900</v>
      </c>
      <c r="D13" s="16">
        <f t="shared" ref="D13" si="24">ROUNDUP(PMT($A12/12,D$1,-6000000),-2)</f>
        <v>148800</v>
      </c>
      <c r="G13" s="16">
        <v>213960</v>
      </c>
      <c r="H13" s="16">
        <v>173220</v>
      </c>
      <c r="I13" s="16">
        <v>149000</v>
      </c>
    </row>
    <row r="14" spans="1:9" x14ac:dyDescent="0.25">
      <c r="A14" s="174">
        <v>0.17499999999999999</v>
      </c>
      <c r="B14" s="16">
        <f>ROUND(B$4+(B$20-B$4)/($A$20-$A$4)*($A$14-$A$4),0)</f>
        <v>5971</v>
      </c>
      <c r="C14" s="16">
        <f t="shared" ref="C14:D14" si="25">ROUND(C$4+(C$20-C$4)/($A$20-$A$4)*($A$14-$A$4),0)</f>
        <v>7143</v>
      </c>
      <c r="D14" s="16">
        <f t="shared" si="25"/>
        <v>6971</v>
      </c>
      <c r="F14" s="174">
        <v>0.17499999999999999</v>
      </c>
      <c r="G14" s="16">
        <f>ROUND(G$12+(G$20-G$12)/($F$20-$F$12)*($F$14-$F$12),0)</f>
        <v>6100</v>
      </c>
      <c r="H14" s="16">
        <f>ROUND(H$12+(H$20-H$12)/($F$20-$F$12)*($F$14-$F$12),0)</f>
        <v>6920</v>
      </c>
      <c r="I14" s="16">
        <f t="shared" ref="I14" si="26">ROUND(I$12+(I$20-I$12)/($F$20-$F$12)*($F$14-$F$12),0)</f>
        <v>7820</v>
      </c>
    </row>
    <row r="15" spans="1:9" x14ac:dyDescent="0.25">
      <c r="B15" s="16">
        <f>ROUNDUP(PMT($A14/12,B$1,-6000000),-2)</f>
        <v>215500</v>
      </c>
      <c r="C15" s="16">
        <f t="shared" ref="C15" si="27">ROUNDUP(PMT($A14/12,C$1,-6000000),-2)</f>
        <v>174700</v>
      </c>
      <c r="D15" s="16">
        <f t="shared" ref="D15" si="28">ROUNDUP(PMT($A14/12,D$1,-6000000),-2)</f>
        <v>150800</v>
      </c>
      <c r="G15" s="16">
        <f>ROUNDUP(PMT($A14/12,G$1,-6000000),-2)</f>
        <v>215500</v>
      </c>
      <c r="H15" s="16">
        <f t="shared" ref="H15" si="29">ROUNDUP(PMT($A14/12,H$1,-6000000),-2)</f>
        <v>174700</v>
      </c>
      <c r="I15" s="16">
        <f t="shared" ref="I15" si="30">ROUNDUP(PMT($A14/12,I$1,-6000000),-2)</f>
        <v>150800</v>
      </c>
    </row>
    <row r="16" spans="1:9" x14ac:dyDescent="0.25">
      <c r="A16" s="174">
        <v>0.17899999999999999</v>
      </c>
      <c r="B16" s="16">
        <f>ROUND(B$4+(B$20-B$4)/($A$20-$A$4)*($A$16-$A$4),0)</f>
        <v>6143</v>
      </c>
      <c r="C16" s="16">
        <f t="shared" ref="C16:D16" si="31">ROUND(C$4+(C$20-C$4)/($A$20-$A$4)*($A$16-$A$4),0)</f>
        <v>7286</v>
      </c>
      <c r="D16" s="16">
        <f t="shared" si="31"/>
        <v>7143</v>
      </c>
      <c r="F16" s="174">
        <v>0.17899999999999999</v>
      </c>
      <c r="G16" s="493">
        <v>6250</v>
      </c>
      <c r="H16" s="493">
        <v>7500</v>
      </c>
      <c r="I16" s="485">
        <v>8700</v>
      </c>
    </row>
    <row r="17" spans="1:9" x14ac:dyDescent="0.25">
      <c r="B17" s="16">
        <f>ROUNDUP(PMT($A16/12,B$1,-6000000),-2)</f>
        <v>216700</v>
      </c>
      <c r="C17" s="16">
        <f t="shared" ref="C17" si="32">ROUNDUP(PMT($A16/12,C$1,-6000000),-2)</f>
        <v>176000</v>
      </c>
      <c r="D17" s="16">
        <f t="shared" ref="D17" si="33">ROUNDUP(PMT($A16/12,D$1,-6000000),-2)</f>
        <v>152100</v>
      </c>
      <c r="G17" s="16">
        <v>216930</v>
      </c>
      <c r="H17" s="16">
        <v>176300</v>
      </c>
      <c r="I17" s="16">
        <v>153000</v>
      </c>
    </row>
    <row r="18" spans="1:9" x14ac:dyDescent="0.25">
      <c r="A18" s="174">
        <v>0.189</v>
      </c>
      <c r="B18" s="16">
        <f>ROUND(B$4+(B$20-B$4)/($A$20-$A$4)*($A$18-$A$4),0)</f>
        <v>6571</v>
      </c>
      <c r="C18" s="16">
        <f t="shared" ref="C18:D18" si="34">ROUND(C$4+(C$20-C$4)/($A$20-$A$4)*($A$18-$A$4),0)</f>
        <v>7643</v>
      </c>
      <c r="D18" s="16">
        <f t="shared" si="34"/>
        <v>7571</v>
      </c>
      <c r="F18" s="174">
        <v>0.189</v>
      </c>
      <c r="G18" s="16">
        <f>ROUND(G$16+(G$20-G$16)/($F$20-$F$16)*($F$18-$F$16),0)</f>
        <v>6625</v>
      </c>
      <c r="H18" s="16">
        <f>ROUND(H$16+(H$20-H$16)/($F$20-$F$16)*($F$18-$F$16),0)</f>
        <v>7450</v>
      </c>
      <c r="I18" s="16">
        <f>ROUND(I$16+(I$20-I$16)/($F$20-$F$16)*($F$18-$F$16),0)</f>
        <v>8300</v>
      </c>
    </row>
    <row r="19" spans="1:9" x14ac:dyDescent="0.25">
      <c r="B19" s="16">
        <f>ROUNDUP(PMT($A18/12,B$1,-6000000),-2)</f>
        <v>219700</v>
      </c>
      <c r="C19" s="16">
        <f t="shared" ref="C19:D19" si="35">ROUNDUP(PMT($A18/12,C$1,-6000000),-2)</f>
        <v>179100</v>
      </c>
      <c r="D19" s="16">
        <f t="shared" si="35"/>
        <v>155400</v>
      </c>
      <c r="G19" s="16">
        <f>ROUNDUP(PMT($A18/12,G$1,-6000000),-2)</f>
        <v>219700</v>
      </c>
      <c r="H19" s="16">
        <f t="shared" ref="H19" si="36">ROUNDUP(PMT($A18/12,H$1,-6000000),-2)</f>
        <v>179100</v>
      </c>
      <c r="I19" s="16">
        <f t="shared" ref="I19" si="37">ROUNDUP(PMT($A18/12,I$1,-6000000),-2)</f>
        <v>155400</v>
      </c>
    </row>
    <row r="20" spans="1:9" x14ac:dyDescent="0.25">
      <c r="A20" s="174">
        <v>0.19900000000000001</v>
      </c>
      <c r="B20" s="16">
        <v>7000</v>
      </c>
      <c r="C20" s="16">
        <v>8000</v>
      </c>
      <c r="D20" s="16">
        <v>8000</v>
      </c>
      <c r="F20" s="174">
        <v>0.19900000000000001</v>
      </c>
      <c r="G20" s="493">
        <v>7000</v>
      </c>
      <c r="H20" s="493">
        <v>7400</v>
      </c>
      <c r="I20" s="485">
        <v>7900</v>
      </c>
    </row>
    <row r="21" spans="1:9" x14ac:dyDescent="0.25">
      <c r="B21" s="16">
        <f t="shared" ref="B21:C21" si="38">ROUNDUP(PMT($A20/12,B$1,-6000000),-2)</f>
        <v>222700</v>
      </c>
      <c r="C21" s="16">
        <f t="shared" si="38"/>
        <v>182300</v>
      </c>
      <c r="D21" s="16">
        <f>ROUNDUP(PMT($A20/12,D$1,-6000000),-2)</f>
        <v>158700</v>
      </c>
      <c r="G21" s="492">
        <v>222860</v>
      </c>
      <c r="H21" s="492">
        <v>183000</v>
      </c>
      <c r="I21" s="16">
        <v>159000</v>
      </c>
    </row>
    <row r="23" spans="1:9" x14ac:dyDescent="0.25">
      <c r="B23" s="1017" t="s">
        <v>291</v>
      </c>
      <c r="C23" s="1017"/>
      <c r="D23" s="1017"/>
      <c r="G23" s="1017" t="s">
        <v>292</v>
      </c>
      <c r="H23" s="1017"/>
      <c r="I23" s="1017"/>
    </row>
  </sheetData>
  <mergeCells count="2">
    <mergeCell ref="B23:D23"/>
    <mergeCell ref="G23:I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TU154"/>
  <sheetViews>
    <sheetView showGridLines="0" view="pageBreakPreview" topLeftCell="A2" zoomScale="70" zoomScaleNormal="90" zoomScaleSheetLayoutView="70" workbookViewId="0">
      <selection activeCell="C10" sqref="C10"/>
    </sheetView>
  </sheetViews>
  <sheetFormatPr defaultColWidth="8.6640625" defaultRowHeight="13.2" x14ac:dyDescent="0.25"/>
  <cols>
    <col min="1" max="1" width="38" style="2" customWidth="1"/>
    <col min="2" max="2" width="36.6640625" style="2" customWidth="1"/>
    <col min="3" max="3" width="19.6640625" style="1" customWidth="1"/>
    <col min="4" max="4" width="13.33203125" style="1" customWidth="1"/>
    <col min="5" max="5" width="25" style="1" customWidth="1"/>
    <col min="6" max="6" width="5.44140625" style="1" customWidth="1"/>
    <col min="7" max="7" width="7.6640625" style="1" customWidth="1"/>
    <col min="8" max="9" width="10.6640625" style="1" customWidth="1"/>
    <col min="10" max="10" width="16.33203125" style="1" customWidth="1"/>
    <col min="11" max="11" width="15.44140625" style="1" customWidth="1"/>
    <col min="12" max="12" width="14" style="2" customWidth="1"/>
    <col min="13" max="13" width="14.109375" style="1" customWidth="1"/>
    <col min="14" max="16" width="15" style="3" hidden="1" customWidth="1"/>
    <col min="17" max="17" width="17.109375" style="3" customWidth="1"/>
    <col min="18" max="18" width="15" style="3" hidden="1" customWidth="1"/>
    <col min="19" max="20" width="14" style="2" customWidth="1"/>
    <col min="21" max="21" width="11.109375" style="2" hidden="1" customWidth="1"/>
    <col min="22" max="22" width="11.44140625" style="44" hidden="1" customWidth="1"/>
    <col min="23" max="23" width="17.6640625" style="2" hidden="1" customWidth="1"/>
    <col min="24" max="24" width="18.33203125" style="2" hidden="1" customWidth="1"/>
    <col min="25" max="25" width="13.109375" style="2" hidden="1" customWidth="1"/>
    <col min="26" max="26" width="20" style="2" hidden="1" customWidth="1"/>
    <col min="27" max="27" width="19.6640625" style="2" hidden="1" customWidth="1"/>
    <col min="28" max="28" width="17.44140625" style="2" hidden="1" customWidth="1"/>
    <col min="29" max="29" width="33.6640625" style="2" hidden="1" customWidth="1"/>
    <col min="30" max="30" width="19" style="2" hidden="1" customWidth="1"/>
    <col min="31" max="31" width="32.44140625" style="3" hidden="1" customWidth="1"/>
    <col min="32" max="32" width="31.109375" style="3" hidden="1" customWidth="1"/>
    <col min="33" max="33" width="14.44140625" style="3" hidden="1" customWidth="1"/>
    <col min="34" max="34" width="17" style="3" hidden="1" customWidth="1"/>
    <col min="35" max="35" width="13.44140625" style="2" hidden="1" customWidth="1"/>
    <col min="36" max="36" width="14.44140625" style="2" hidden="1" customWidth="1"/>
    <col min="37" max="37" width="14.44140625" style="57" hidden="1" customWidth="1"/>
    <col min="38" max="41" width="14.44140625" style="2" hidden="1" customWidth="1"/>
    <col min="42" max="42" width="7.6640625" style="2" customWidth="1"/>
    <col min="43" max="46" width="14.44140625" style="2" customWidth="1"/>
    <col min="47" max="47" width="13.6640625" style="2" customWidth="1"/>
    <col min="48" max="48" width="15.6640625" style="2" customWidth="1"/>
    <col min="49" max="49" width="12" style="2" hidden="1" customWidth="1"/>
    <col min="50" max="51" width="13.6640625" style="2" hidden="1" customWidth="1"/>
    <col min="52" max="52" width="10.6640625" style="2" hidden="1" customWidth="1"/>
    <col min="53" max="58" width="8.6640625" style="2" hidden="1" customWidth="1"/>
    <col min="59" max="59" width="14" style="2" customWidth="1"/>
    <col min="60" max="60" width="8.6640625" style="2" hidden="1" customWidth="1"/>
    <col min="61" max="61" width="11.44140625" style="2" hidden="1" customWidth="1"/>
    <col min="62" max="62" width="1.33203125" style="1" customWidth="1"/>
    <col min="63" max="64" width="1.109375" style="2" customWidth="1"/>
    <col min="65" max="65" width="3.6640625" style="2" customWidth="1"/>
    <col min="66" max="66" width="24.109375" style="2" customWidth="1"/>
    <col min="67" max="67" width="3.6640625" style="2" customWidth="1"/>
    <col min="68" max="68" width="41.44140625" style="2" customWidth="1"/>
    <col min="69" max="69" width="4.44140625" style="2" customWidth="1"/>
    <col min="70" max="70" width="18" style="2" customWidth="1"/>
    <col min="71" max="71" width="4.6640625" style="2" customWidth="1"/>
    <col min="72" max="72" width="7.6640625" style="2" customWidth="1"/>
    <col min="73" max="84" width="8.6640625" style="2" customWidth="1"/>
    <col min="85" max="16384" width="8.6640625" style="2"/>
  </cols>
  <sheetData>
    <row r="1" spans="1:72" ht="12.75" customHeight="1" x14ac:dyDescent="0.4">
      <c r="A1" s="946" t="s">
        <v>349</v>
      </c>
      <c r="B1" s="947"/>
      <c r="C1" s="947"/>
      <c r="D1" s="947"/>
      <c r="E1" s="948"/>
      <c r="F1" s="227"/>
      <c r="G1" s="2"/>
      <c r="H1" s="2"/>
      <c r="I1" s="2"/>
      <c r="J1" s="2"/>
      <c r="K1" s="2"/>
      <c r="M1" s="2"/>
      <c r="N1" s="2"/>
      <c r="O1" s="2"/>
      <c r="P1" s="2"/>
      <c r="Q1" s="2"/>
      <c r="R1" s="2"/>
      <c r="V1" s="2"/>
      <c r="AE1" s="2"/>
      <c r="AF1" s="2"/>
      <c r="AG1" s="2"/>
      <c r="AH1" s="2"/>
      <c r="AK1" s="62" t="s">
        <v>52</v>
      </c>
      <c r="AL1" s="86" t="str">
        <f>IF($C$12=$AG$3,$AG$4,IF($C$12=$AH$3,$AH$4,IF($C$12=$AI$3,$AI$4,IF($C$12=$AJ$3,$AJ$4,IF($C$12=$AK$3,$AK$4,IF($C$12=$AL$3,$AL$4,""))))))</f>
        <v/>
      </c>
      <c r="AN1" s="65"/>
      <c r="BJ1" s="2"/>
    </row>
    <row r="2" spans="1:72" ht="34.950000000000003" customHeight="1" x14ac:dyDescent="0.4">
      <c r="A2" s="949"/>
      <c r="B2" s="950"/>
      <c r="C2" s="950"/>
      <c r="D2" s="950"/>
      <c r="E2" s="951"/>
      <c r="F2" s="227"/>
      <c r="G2" s="2"/>
      <c r="H2" s="2"/>
      <c r="I2" s="2"/>
      <c r="J2" s="2"/>
      <c r="K2" s="2"/>
      <c r="M2" s="2"/>
      <c r="N2" s="2"/>
      <c r="O2" s="2"/>
      <c r="P2" s="2"/>
      <c r="Q2" s="2"/>
      <c r="R2" s="2"/>
      <c r="V2" s="2"/>
      <c r="AE2" s="2" t="s">
        <v>47</v>
      </c>
      <c r="AF2" s="2"/>
      <c r="AG2" s="2"/>
      <c r="AH2" s="2"/>
      <c r="BJ2" s="2"/>
    </row>
    <row r="3" spans="1:72" ht="25.95" customHeight="1" x14ac:dyDescent="0.3">
      <c r="A3" s="864" t="s">
        <v>196</v>
      </c>
      <c r="B3" s="865"/>
      <c r="C3" s="865"/>
      <c r="D3" s="865"/>
      <c r="E3" s="866"/>
      <c r="F3" s="310"/>
      <c r="G3" s="943" t="str">
        <f>CONCATENATE("ГРАФИК ПЛАТЕЖЕЙ - ТАРИФ ПРАЙМ",IF(C16="Да"," + ПАКЕТ ПОЧЕТНЫЙ КЛИЕНТ",""))</f>
        <v>ГРАФИК ПЛАТЕЖЕЙ - ТАРИФ ПРАЙМ + ПАКЕТ ПОЧЕТНЫЙ КЛИЕНТ</v>
      </c>
      <c r="H3" s="943"/>
      <c r="I3" s="943"/>
      <c r="J3" s="943"/>
      <c r="K3" s="943"/>
      <c r="L3" s="943"/>
      <c r="M3" s="943"/>
      <c r="N3" s="943"/>
      <c r="O3" s="943"/>
      <c r="P3" s="943"/>
      <c r="Q3" s="943"/>
      <c r="R3" s="943"/>
      <c r="S3" s="943"/>
      <c r="T3" s="943"/>
      <c r="U3" s="943"/>
      <c r="V3" s="146"/>
      <c r="W3" s="63" t="s">
        <v>33</v>
      </c>
      <c r="X3" s="63" t="s">
        <v>159</v>
      </c>
      <c r="Y3" s="63" t="s">
        <v>72</v>
      </c>
      <c r="Z3" s="63" t="s">
        <v>73</v>
      </c>
      <c r="AA3" s="63" t="s">
        <v>74</v>
      </c>
      <c r="AB3" s="63"/>
      <c r="AC3" s="63" t="s">
        <v>159</v>
      </c>
      <c r="AD3" s="63"/>
      <c r="AE3" s="63"/>
      <c r="AF3" s="63"/>
      <c r="AG3" s="87"/>
      <c r="AH3" s="87"/>
      <c r="AI3" s="87"/>
      <c r="AJ3" s="87"/>
      <c r="AK3" s="87"/>
      <c r="AL3" s="87"/>
      <c r="AM3" s="63"/>
      <c r="AN3" s="63"/>
      <c r="AO3" s="63"/>
      <c r="AP3" s="875" t="str">
        <f>CONCATENATE("ГРАФИК ПЛАТЕЖЕЙ - ТАРИФ ПРАЙМ БЕЗ ПАКЕТА ПОЧЕТНЫЙ КЛИЕНТ",IF(D16="Да"," + пакет Почетный Клиент",""))</f>
        <v>ГРАФИК ПЛАТЕЖЕЙ - ТАРИФ ПРАЙМ БЕЗ ПАКЕТА ПОЧЕТНЫЙ КЛИЕНТ</v>
      </c>
      <c r="AQ3" s="875"/>
      <c r="AR3" s="875"/>
      <c r="AS3" s="875"/>
      <c r="AT3" s="875"/>
      <c r="AU3" s="875"/>
      <c r="AV3" s="875"/>
      <c r="AW3" s="875"/>
      <c r="AX3" s="875"/>
      <c r="AY3" s="875"/>
      <c r="AZ3" s="875"/>
      <c r="BA3" s="875"/>
      <c r="BB3" s="875"/>
      <c r="BC3" s="875"/>
      <c r="BD3" s="875"/>
      <c r="BE3" s="875"/>
      <c r="BF3" s="875"/>
      <c r="BG3" s="875"/>
      <c r="BH3" s="875"/>
      <c r="BI3" s="102"/>
      <c r="BJ3" s="102"/>
      <c r="BK3" s="102"/>
      <c r="BN3" s="826" t="s">
        <v>94</v>
      </c>
      <c r="BO3" s="826"/>
      <c r="BP3" s="826"/>
      <c r="BQ3" s="826"/>
      <c r="BR3" s="826"/>
      <c r="BS3" s="826"/>
      <c r="BT3" s="826"/>
    </row>
    <row r="4" spans="1:72" ht="13.5" hidden="1" customHeight="1" x14ac:dyDescent="0.2">
      <c r="A4" s="187"/>
      <c r="B4" s="185"/>
      <c r="C4" s="521"/>
      <c r="D4" s="185"/>
      <c r="E4" s="188"/>
      <c r="F4" s="228"/>
      <c r="G4" s="943"/>
      <c r="H4" s="943"/>
      <c r="I4" s="943"/>
      <c r="J4" s="943"/>
      <c r="K4" s="943"/>
      <c r="L4" s="943"/>
      <c r="M4" s="943"/>
      <c r="N4" s="943"/>
      <c r="O4" s="943"/>
      <c r="P4" s="943"/>
      <c r="Q4" s="943"/>
      <c r="R4" s="943"/>
      <c r="S4" s="943"/>
      <c r="T4" s="943"/>
      <c r="U4" s="943"/>
      <c r="V4" s="146"/>
      <c r="W4" s="15">
        <v>0.159</v>
      </c>
      <c r="X4" s="15">
        <f t="shared" ref="X4:AA7" si="0">$W4-2%</f>
        <v>0.13900000000000001</v>
      </c>
      <c r="Y4" s="15">
        <f t="shared" si="0"/>
        <v>0.13900000000000001</v>
      </c>
      <c r="Z4" s="15">
        <f t="shared" si="0"/>
        <v>0.13900000000000001</v>
      </c>
      <c r="AA4" s="15">
        <f t="shared" si="0"/>
        <v>0.13900000000000001</v>
      </c>
      <c r="AB4" s="15"/>
      <c r="AC4" s="63" t="s">
        <v>72</v>
      </c>
      <c r="AD4" s="147"/>
      <c r="AE4" s="147"/>
      <c r="AF4" s="147"/>
      <c r="AG4" s="148"/>
      <c r="AH4" s="148"/>
      <c r="AI4" s="148"/>
      <c r="AJ4" s="148"/>
      <c r="AK4" s="148"/>
      <c r="AL4" s="148"/>
      <c r="AM4" s="147"/>
      <c r="AN4" s="147"/>
      <c r="AO4" s="147"/>
      <c r="AP4" s="875"/>
      <c r="AQ4" s="875"/>
      <c r="AR4" s="875"/>
      <c r="AS4" s="875"/>
      <c r="AT4" s="875"/>
      <c r="AU4" s="875"/>
      <c r="AV4" s="875"/>
      <c r="AW4" s="875"/>
      <c r="AX4" s="875"/>
      <c r="AY4" s="875"/>
      <c r="AZ4" s="875"/>
      <c r="BA4" s="875"/>
      <c r="BB4" s="875"/>
      <c r="BC4" s="875"/>
      <c r="BD4" s="875"/>
      <c r="BE4" s="875"/>
      <c r="BF4" s="875"/>
      <c r="BG4" s="875"/>
      <c r="BH4" s="875"/>
      <c r="BI4" s="102"/>
      <c r="BJ4" s="102"/>
      <c r="BK4" s="102"/>
      <c r="BL4" s="57"/>
    </row>
    <row r="5" spans="1:72" ht="13.5" hidden="1" customHeight="1" thickBot="1" x14ac:dyDescent="0.25">
      <c r="A5" s="869"/>
      <c r="B5" s="870"/>
      <c r="C5" s="870"/>
      <c r="D5" s="870"/>
      <c r="E5" s="871"/>
      <c r="F5" s="229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49"/>
      <c r="W5" s="15">
        <v>0.17499999999999999</v>
      </c>
      <c r="X5" s="15">
        <f t="shared" si="0"/>
        <v>0.155</v>
      </c>
      <c r="Y5" s="15">
        <f t="shared" si="0"/>
        <v>0.155</v>
      </c>
      <c r="Z5" s="15">
        <f t="shared" si="0"/>
        <v>0.155</v>
      </c>
      <c r="AA5" s="15">
        <f t="shared" si="0"/>
        <v>0.155</v>
      </c>
      <c r="AB5" s="15"/>
      <c r="AC5" s="63" t="s">
        <v>73</v>
      </c>
      <c r="AD5" s="147"/>
      <c r="AE5" s="147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2"/>
      <c r="BJ5" s="117"/>
      <c r="BK5" s="102"/>
      <c r="BL5" s="57"/>
    </row>
    <row r="6" spans="1:72" ht="25.95" customHeight="1" thickBot="1" x14ac:dyDescent="0.3">
      <c r="A6" s="839" t="s">
        <v>164</v>
      </c>
      <c r="B6" s="839"/>
      <c r="C6" s="839" t="s">
        <v>165</v>
      </c>
      <c r="D6" s="839"/>
      <c r="E6" s="189" t="s">
        <v>166</v>
      </c>
      <c r="F6" s="230"/>
      <c r="G6" s="825" t="s">
        <v>148</v>
      </c>
      <c r="H6" s="825" t="s">
        <v>187</v>
      </c>
      <c r="I6" s="825" t="s">
        <v>188</v>
      </c>
      <c r="J6" s="825" t="s">
        <v>189</v>
      </c>
      <c r="K6" s="825" t="s">
        <v>190</v>
      </c>
      <c r="L6" s="825" t="s">
        <v>191</v>
      </c>
      <c r="M6" s="825" t="s">
        <v>192</v>
      </c>
      <c r="N6" s="238"/>
      <c r="O6" s="238"/>
      <c r="P6" s="238"/>
      <c r="Q6" s="825" t="s">
        <v>195</v>
      </c>
      <c r="R6" s="238"/>
      <c r="S6" s="825" t="s">
        <v>193</v>
      </c>
      <c r="T6" s="825" t="s">
        <v>289</v>
      </c>
      <c r="U6" s="195"/>
      <c r="V6" s="49"/>
      <c r="W6" s="15">
        <v>0.17899999999999999</v>
      </c>
      <c r="X6" s="15">
        <f t="shared" si="0"/>
        <v>0.159</v>
      </c>
      <c r="Y6" s="15">
        <f t="shared" si="0"/>
        <v>0.159</v>
      </c>
      <c r="Z6" s="15">
        <f t="shared" si="0"/>
        <v>0.159</v>
      </c>
      <c r="AA6" s="15">
        <f t="shared" si="0"/>
        <v>0.159</v>
      </c>
      <c r="AB6" s="15"/>
      <c r="AC6" s="63" t="s">
        <v>74</v>
      </c>
      <c r="AD6" s="147"/>
      <c r="AE6" s="147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878" t="s">
        <v>148</v>
      </c>
      <c r="AQ6" s="878" t="s">
        <v>187</v>
      </c>
      <c r="AR6" s="878" t="s">
        <v>188</v>
      </c>
      <c r="AS6" s="543"/>
      <c r="AT6" s="878" t="s">
        <v>194</v>
      </c>
      <c r="AU6" s="878" t="s">
        <v>191</v>
      </c>
      <c r="AV6" s="878" t="s">
        <v>192</v>
      </c>
      <c r="AW6" s="528"/>
      <c r="AX6" s="528"/>
      <c r="AY6" s="528"/>
      <c r="AZ6" s="528"/>
      <c r="BA6" s="528"/>
      <c r="BB6" s="528"/>
      <c r="BC6" s="528"/>
      <c r="BD6" s="528"/>
      <c r="BE6" s="528"/>
      <c r="BF6" s="528"/>
      <c r="BG6" s="878" t="s">
        <v>193</v>
      </c>
      <c r="BH6" s="103"/>
      <c r="BI6" s="102"/>
      <c r="BJ6" s="117"/>
      <c r="BK6" s="102"/>
      <c r="BL6" s="57"/>
      <c r="BN6" s="827" t="s">
        <v>95</v>
      </c>
      <c r="BO6" s="827"/>
      <c r="BP6" s="827"/>
      <c r="BQ6" s="827"/>
      <c r="BR6" s="827"/>
      <c r="BS6" s="827"/>
      <c r="BT6" s="827"/>
    </row>
    <row r="7" spans="1:72" ht="28.95" customHeight="1" x14ac:dyDescent="0.6">
      <c r="A7" s="841" t="s">
        <v>200</v>
      </c>
      <c r="B7" s="841"/>
      <c r="C7" s="522">
        <v>300000</v>
      </c>
      <c r="D7" s="509"/>
      <c r="E7" s="510"/>
      <c r="F7" s="231"/>
      <c r="G7" s="825"/>
      <c r="H7" s="825"/>
      <c r="I7" s="825"/>
      <c r="J7" s="825"/>
      <c r="K7" s="825"/>
      <c r="L7" s="825"/>
      <c r="M7" s="825"/>
      <c r="N7" s="237" t="s">
        <v>36</v>
      </c>
      <c r="O7" s="237" t="s">
        <v>39</v>
      </c>
      <c r="P7" s="237" t="s">
        <v>38</v>
      </c>
      <c r="Q7" s="825"/>
      <c r="R7" s="326" t="s">
        <v>40</v>
      </c>
      <c r="S7" s="825"/>
      <c r="T7" s="825"/>
      <c r="U7" s="196" t="s">
        <v>32</v>
      </c>
      <c r="V7" s="150" t="s">
        <v>31</v>
      </c>
      <c r="W7" s="15">
        <v>0.19900000000000001</v>
      </c>
      <c r="X7" s="15">
        <f t="shared" si="0"/>
        <v>0.17900000000000002</v>
      </c>
      <c r="Y7" s="15">
        <f t="shared" si="0"/>
        <v>0.17900000000000002</v>
      </c>
      <c r="Z7" s="15">
        <f t="shared" si="0"/>
        <v>0.17900000000000002</v>
      </c>
      <c r="AA7" s="15">
        <f t="shared" si="0"/>
        <v>0.17900000000000002</v>
      </c>
      <c r="AB7" s="15"/>
      <c r="AC7" s="101"/>
      <c r="AD7" s="147"/>
      <c r="AE7" s="147"/>
      <c r="AF7" s="101"/>
      <c r="AG7" s="101"/>
      <c r="AH7" s="101"/>
      <c r="AI7" s="101"/>
      <c r="AJ7" s="101"/>
      <c r="AK7" s="101"/>
      <c r="AL7" s="101"/>
      <c r="AM7" s="101"/>
      <c r="AN7" s="101"/>
      <c r="AO7" s="151">
        <f>SUM(AO9:AO108)</f>
        <v>36</v>
      </c>
      <c r="AP7" s="878"/>
      <c r="AQ7" s="878"/>
      <c r="AR7" s="878"/>
      <c r="AS7" s="544" t="s">
        <v>156</v>
      </c>
      <c r="AT7" s="878"/>
      <c r="AU7" s="878"/>
      <c r="AV7" s="878"/>
      <c r="AW7" s="527" t="s">
        <v>36</v>
      </c>
      <c r="AX7" s="527" t="s">
        <v>39</v>
      </c>
      <c r="AY7" s="527" t="s">
        <v>38</v>
      </c>
      <c r="AZ7" s="527" t="s">
        <v>158</v>
      </c>
      <c r="BA7" s="527" t="s">
        <v>40</v>
      </c>
      <c r="BB7" s="527"/>
      <c r="BC7" s="527"/>
      <c r="BD7" s="527"/>
      <c r="BE7" s="527"/>
      <c r="BF7" s="527"/>
      <c r="BG7" s="878"/>
      <c r="BH7" s="163" t="s">
        <v>32</v>
      </c>
      <c r="BI7" s="104" t="s">
        <v>31</v>
      </c>
      <c r="BJ7" s="153">
        <f>BJ8</f>
        <v>44441</v>
      </c>
      <c r="BK7" s="108">
        <f>K8</f>
        <v>-335640</v>
      </c>
      <c r="BL7" s="61"/>
      <c r="BN7" s="830" t="s">
        <v>84</v>
      </c>
      <c r="BO7" s="828" t="s">
        <v>85</v>
      </c>
      <c r="BP7" s="127" t="s">
        <v>86</v>
      </c>
      <c r="BQ7" s="124" t="s">
        <v>88</v>
      </c>
      <c r="BR7" s="834" t="s">
        <v>9</v>
      </c>
      <c r="BS7" s="836" t="s">
        <v>89</v>
      </c>
      <c r="BT7" s="832">
        <v>1</v>
      </c>
    </row>
    <row r="8" spans="1:72" ht="18" customHeight="1" thickBot="1" x14ac:dyDescent="0.65">
      <c r="A8" s="841" t="s">
        <v>276</v>
      </c>
      <c r="B8" s="841"/>
      <c r="C8" s="502" t="s">
        <v>111</v>
      </c>
      <c r="D8" s="511" t="str">
        <f>C8</f>
        <v>Максимум</v>
      </c>
      <c r="E8" s="510"/>
      <c r="F8" s="231"/>
      <c r="G8" s="253"/>
      <c r="H8" s="240">
        <f>C9</f>
        <v>44441</v>
      </c>
      <c r="I8" s="240"/>
      <c r="J8" s="240"/>
      <c r="K8" s="241">
        <f>-C22</f>
        <v>-335640</v>
      </c>
      <c r="L8" s="242"/>
      <c r="M8" s="243"/>
      <c r="N8" s="243"/>
      <c r="O8" s="243"/>
      <c r="P8" s="243"/>
      <c r="Q8" s="243"/>
      <c r="R8" s="243"/>
      <c r="S8" s="239">
        <f>C22</f>
        <v>335640</v>
      </c>
      <c r="T8" s="466"/>
      <c r="U8" s="197"/>
      <c r="V8" s="36"/>
      <c r="W8" s="15"/>
      <c r="X8" s="15"/>
      <c r="Y8" s="15"/>
      <c r="Z8" s="15"/>
      <c r="AA8" s="15"/>
      <c r="AB8" s="15"/>
      <c r="AC8" s="15"/>
      <c r="AD8" s="147">
        <f>IF(OR($C$8="Гарантия стандарт",$C$8="Гарантия пакет"),AB4,W4)</f>
        <v>0.159</v>
      </c>
      <c r="AE8" s="147">
        <f>IF(OR($D$8="Гарантия стандарт",$D$8="Гарантия пакет"),AB4,W4)</f>
        <v>0.159</v>
      </c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255"/>
      <c r="AQ8" s="256">
        <f>C9</f>
        <v>44441</v>
      </c>
      <c r="AR8" s="256"/>
      <c r="AS8" s="256"/>
      <c r="AT8" s="257">
        <f>-D22</f>
        <v>-335640</v>
      </c>
      <c r="AU8" s="258"/>
      <c r="AV8" s="259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60">
        <f>D22</f>
        <v>335640</v>
      </c>
      <c r="BH8" s="106"/>
      <c r="BI8" s="108"/>
      <c r="BJ8" s="22">
        <f>H8</f>
        <v>44441</v>
      </c>
      <c r="BK8" s="104">
        <f>$C$24</f>
        <v>35640</v>
      </c>
      <c r="BN8" s="831"/>
      <c r="BO8" s="829"/>
      <c r="BP8" s="125" t="s">
        <v>87</v>
      </c>
      <c r="BQ8" s="126" t="s">
        <v>88</v>
      </c>
      <c r="BR8" s="835"/>
      <c r="BS8" s="837"/>
      <c r="BT8" s="833"/>
    </row>
    <row r="9" spans="1:72" ht="16.95" customHeight="1" thickBot="1" x14ac:dyDescent="0.3">
      <c r="A9" s="841" t="s">
        <v>199</v>
      </c>
      <c r="B9" s="841"/>
      <c r="C9" s="523">
        <v>44441</v>
      </c>
      <c r="D9" s="512"/>
      <c r="E9" s="510"/>
      <c r="F9" s="231"/>
      <c r="G9" s="244">
        <f>1</f>
        <v>1</v>
      </c>
      <c r="H9" s="245">
        <f t="shared" ref="H9:H72" si="1">IF((OR(DAY($AD$54)=29,DAY($AD$54)=30,DAY($AD$54)=31)),(EDATE($C$9-3,G9)),(IF((OR(DAY($AD$54)=1,DAY($AD$54)=2,DAY($AD$54)=3)),(EDATE($C$9,G9)+3),EDATE($C$9,G9))))</f>
        <v>44474</v>
      </c>
      <c r="I9" s="246">
        <f>IF(AND($W$9=1,G9&gt;=$W$9,G9&lt;=$W$9+5),0%,$C$13)</f>
        <v>0</v>
      </c>
      <c r="J9" s="247">
        <f>K9+Q9</f>
        <v>7000</v>
      </c>
      <c r="K9" s="242">
        <f t="shared" ref="K9:K14" si="2">IF(AND($W$9=1,G9&gt;=$W$9,G9&lt;=$W$9+5),$W$10,IF(AND(S8+N9+L9&gt;K8,K8&lt;&gt;0),$C$23,IF(S8=0,0,S8+N9+L9+L10)))</f>
        <v>0</v>
      </c>
      <c r="L9" s="242">
        <f>IF(AND($W$9=1,G9&gt;=$W$9,G9&lt;=$W$9+5),0,IF($C$9&gt;$AF$51,ROUND(S8*I9*((H9-DATE(YEAR(H9),MONTH(H9),1)+1)/(DATE(YEAR(H9)+1,1,1)-DATE(YEAR(H9),1,1))+(EOMONTH(H8,0)-H8)/(DATE(YEAR(H8)+1,1,1)-DATE(YEAR(H8),1,1))),2),0))</f>
        <v>0</v>
      </c>
      <c r="M9" s="242">
        <f>IF(S8=0,0,IF(S8+N9+L9&gt;K8,K9-L9-N9,S8))</f>
        <v>0</v>
      </c>
      <c r="N9" s="242">
        <f t="shared" ref="N9:N72" si="3">IF(P9-Q9&gt;$C$23,$C$23-L9,IF(V9=0,0,R9)+$AI$51)</f>
        <v>0</v>
      </c>
      <c r="O9" s="242">
        <v>0</v>
      </c>
      <c r="P9" s="242">
        <f>L9+Q9</f>
        <v>7000</v>
      </c>
      <c r="Q9" s="242">
        <f>IF(OR($C$8="Нет",$C$16="Нет"),0,IF($C$17="Серебряный",3600,IF($C$17="Золотой",5000,IF($C$17="Платиновый",7000,""))))</f>
        <v>7000</v>
      </c>
      <c r="R9" s="242">
        <f>IF(V9=0,0,0)</f>
        <v>0</v>
      </c>
      <c r="S9" s="242">
        <f>S8-M9-T9</f>
        <v>335640</v>
      </c>
      <c r="T9" s="467"/>
      <c r="U9" s="198">
        <f>C10</f>
        <v>36</v>
      </c>
      <c r="V9" s="36">
        <f>U9</f>
        <v>36</v>
      </c>
      <c r="W9" s="130">
        <f>IF($C$8="Нет",0,1)</f>
        <v>1</v>
      </c>
      <c r="X9" s="15"/>
      <c r="Y9" s="15"/>
      <c r="Z9" s="15"/>
      <c r="AA9" s="15"/>
      <c r="AB9" s="15"/>
      <c r="AC9" s="132"/>
      <c r="AD9" s="147">
        <f>IF(OR($C$8="Гарантия стандарт",$C$8="Гарантия пакет"),AB5,W5)</f>
        <v>0.17499999999999999</v>
      </c>
      <c r="AE9" s="147">
        <f>IF(OR($D$8="Гарантия стандарт",$D$8="Гарантия пакет"),AB5,W5)</f>
        <v>0.17499999999999999</v>
      </c>
      <c r="AF9" s="15"/>
      <c r="AG9" s="15"/>
      <c r="AH9" s="15"/>
      <c r="AI9" s="15"/>
      <c r="AJ9" s="15"/>
      <c r="AK9" s="15"/>
      <c r="AL9" s="15"/>
      <c r="AM9" s="15"/>
      <c r="AN9" s="15"/>
      <c r="AO9" s="130">
        <f>IF(OR(AT9="",AT9=0),0,1)</f>
        <v>1</v>
      </c>
      <c r="AP9" s="261">
        <f>1</f>
        <v>1</v>
      </c>
      <c r="AQ9" s="262">
        <f t="shared" ref="AQ9:AQ72" si="4">IF((OR(DAY($AD$54)=29,DAY($AD$54)=30,DAY($AD$54)=31)),(EDATE($C$9-3,AP9)),(IF((OR(DAY($AD$54)=1,DAY($AD$54)=2,DAY($AD$54)=3)),(EDATE($C$9,AP9)+3),EDATE($C$9,AP9))))</f>
        <v>44474</v>
      </c>
      <c r="AR9" s="263">
        <f t="shared" ref="AR9:AR14" si="5">$D$13</f>
        <v>0.14899999999999999</v>
      </c>
      <c r="AS9" s="258">
        <f>AT9+AZ9</f>
        <v>11630</v>
      </c>
      <c r="AT9" s="258">
        <f t="shared" ref="AT9:AT72" si="6">IF(AND(BG8+AW9+AU9&gt;AT8,AT8&lt;&gt;0),IF($D$16="Да",$AL$36,$D$23),IF(BG8=0,0,BG8+AW9+AU9+AU10))</f>
        <v>11630</v>
      </c>
      <c r="AU9" s="258">
        <f>IF($C$9&gt;$AF$51,ROUND(BG8*AR9*((AQ9-DATE(YEAR(AQ9),MONTH(AQ9),1)+1)/(DATE(YEAR(AQ9)+1,1,1)-DATE(YEAR(AQ9),1,1))+(EOMONTH(AQ8,0)-AQ8)/(DATE(YEAR(AQ8)+1,1,1)-DATE(YEAR(AQ8),1,1))),2),0)</f>
        <v>4521.4799999999996</v>
      </c>
      <c r="AV9" s="258">
        <f>IF(BI9=0,0,IF(BI9=1,BG8,IF(BG8+AW9+AU9&gt;AT8,AT9-AU9-AW9,BG8)))</f>
        <v>7108.52</v>
      </c>
      <c r="AW9" s="258">
        <f t="shared" ref="AW9:AW72" si="7">IF(AY9-AZ9&gt;$D$23,$D$23-AU9,IF(BI9=0,0,BA9)+BX57)</f>
        <v>0</v>
      </c>
      <c r="AX9" s="258"/>
      <c r="AY9" s="258">
        <f>AU9+AZ9</f>
        <v>4521.4799999999996</v>
      </c>
      <c r="AZ9" s="258">
        <f t="shared" ref="AZ9:AZ20" si="8">IF($D$16="Нет",0,IF($D$17="Серебряный",1800,IF($D$17="Золотой",2500,IF($D$17="Платиновый",3500,""))))</f>
        <v>0</v>
      </c>
      <c r="BA9" s="258">
        <f>IF(BI9=0,0,0)</f>
        <v>0</v>
      </c>
      <c r="BB9" s="258"/>
      <c r="BC9" s="258"/>
      <c r="BD9" s="258"/>
      <c r="BE9" s="258"/>
      <c r="BF9" s="258"/>
      <c r="BG9" s="258">
        <f>IF(OR(BI9=1,BG8=0),0,BG8-AV9)</f>
        <v>328531.48</v>
      </c>
      <c r="BH9" s="108">
        <f>C10</f>
        <v>36</v>
      </c>
      <c r="BI9" s="108">
        <f>BH9</f>
        <v>36</v>
      </c>
      <c r="BJ9" s="22">
        <f>H9</f>
        <v>44474</v>
      </c>
      <c r="BK9" s="108">
        <f t="shared" ref="BK9:BK72" si="9">K9</f>
        <v>0</v>
      </c>
    </row>
    <row r="10" spans="1:72" ht="18" customHeight="1" x14ac:dyDescent="0.25">
      <c r="A10" s="846" t="s">
        <v>198</v>
      </c>
      <c r="B10" s="846"/>
      <c r="C10" s="359">
        <v>36</v>
      </c>
      <c r="D10" s="513"/>
      <c r="E10" s="510"/>
      <c r="F10" s="231"/>
      <c r="G10" s="244">
        <f>G9+1</f>
        <v>2</v>
      </c>
      <c r="H10" s="245">
        <f t="shared" si="1"/>
        <v>44505</v>
      </c>
      <c r="I10" s="246">
        <f t="shared" ref="I10:I14" si="10">IF(AND($W$9=1,G10&gt;=$W$9,G10&lt;=$W$9+5),0%,$C$13)</f>
        <v>0</v>
      </c>
      <c r="J10" s="247">
        <f t="shared" ref="J10:J73" si="11">K10+Q10</f>
        <v>7000</v>
      </c>
      <c r="K10" s="242">
        <f t="shared" si="2"/>
        <v>0</v>
      </c>
      <c r="L10" s="242">
        <f t="shared" ref="L10:L14" si="12">IF(AND($W$9=1,G10&gt;=$W$9,G10&lt;=$W$9+5),0,IF($C$9&gt;$AF$51,ROUND(S9*I10*((H10-DATE(YEAR(H10),MONTH(H10),1)+1)/(DATE(YEAR(H10)+1,1,1)-DATE(YEAR(H10),1,1))+(EOMONTH(H9,0)-H9)/(DATE(YEAR(H9)+1,1,1)-DATE(YEAR(H9),1,1))),2),0))</f>
        <v>0</v>
      </c>
      <c r="M10" s="242">
        <f t="shared" ref="M10:M73" si="13">IF(S9=0,0,IF(S9+N10+L10&gt;K9,K10-L10-N10,S9))</f>
        <v>0</v>
      </c>
      <c r="N10" s="242">
        <f t="shared" si="3"/>
        <v>0</v>
      </c>
      <c r="O10" s="242">
        <v>0</v>
      </c>
      <c r="P10" s="242">
        <f>L10+Q10</f>
        <v>7000</v>
      </c>
      <c r="Q10" s="242">
        <f t="shared" ref="Q10:Q14" si="14">IF(OR($C$8="Нет",$C$16="Нет"),0,IF($C$17="Серебряный",3600,IF($C$17="Золотой",5000,IF($C$17="Платиновый",7000,""))))</f>
        <v>7000</v>
      </c>
      <c r="R10" s="242">
        <f t="shared" ref="R10:R73" si="15">IF(V10=0,0,0)</f>
        <v>0</v>
      </c>
      <c r="S10" s="242">
        <f t="shared" ref="S10:S73" si="16">S9-M10-T10</f>
        <v>335640</v>
      </c>
      <c r="T10" s="467"/>
      <c r="U10" s="198">
        <f>IF((U9-1)&lt;0,0,U9-1)</f>
        <v>35</v>
      </c>
      <c r="V10" s="36">
        <f t="shared" ref="V10:V73" si="17">U10</f>
        <v>35</v>
      </c>
      <c r="W10" s="54">
        <f>ROUND(S8*0%,-2)</f>
        <v>0</v>
      </c>
      <c r="X10" s="54">
        <f>ROUND(S8*0.5%,0)</f>
        <v>1678</v>
      </c>
      <c r="Y10" s="15"/>
      <c r="Z10" s="15"/>
      <c r="AA10" s="15"/>
      <c r="AB10" s="15"/>
      <c r="AC10" s="15"/>
      <c r="AD10" s="147">
        <f>IF(OR($C$8="Гарантия стандарт",$C$8="Гарантия пакет"),AB6,W6)</f>
        <v>0.17899999999999999</v>
      </c>
      <c r="AE10" s="147">
        <f>IF(OR($D$8="Гарантия стандарт",$D$8="Гарантия пакет"),AB6,W6)</f>
        <v>0.17899999999999999</v>
      </c>
      <c r="AF10" s="15"/>
      <c r="AG10" s="15"/>
      <c r="AH10" s="15"/>
      <c r="AI10" s="15"/>
      <c r="AJ10" s="15"/>
      <c r="AK10" s="15"/>
      <c r="AL10" s="15"/>
      <c r="AM10" s="15"/>
      <c r="AN10" s="15"/>
      <c r="AO10" s="130">
        <f t="shared" ref="AO10:AO73" si="18">IF(OR(AT10="",AT10=0),0,1)</f>
        <v>1</v>
      </c>
      <c r="AP10" s="261">
        <f>AP9+1</f>
        <v>2</v>
      </c>
      <c r="AQ10" s="262">
        <f t="shared" si="4"/>
        <v>44505</v>
      </c>
      <c r="AR10" s="263">
        <f t="shared" si="5"/>
        <v>0.14899999999999999</v>
      </c>
      <c r="AS10" s="258">
        <f t="shared" ref="AS10:AS73" si="19">AT10+AZ10</f>
        <v>11630</v>
      </c>
      <c r="AT10" s="258">
        <f t="shared" si="6"/>
        <v>11630</v>
      </c>
      <c r="AU10" s="258">
        <f t="shared" ref="AU10:AU73" si="20">IF($C$9&gt;$AF$51,ROUND(BG9*AR10*((AQ10-DATE(YEAR(AQ10),MONTH(AQ10),1)+1)/(DATE(YEAR(AQ10)+1,1,1)-DATE(YEAR(AQ10),1,1))+(EOMONTH(AQ9,0)-AQ9)/(DATE(YEAR(AQ9)+1,1,1)-DATE(YEAR(AQ9),1,1))),2),0)</f>
        <v>4157.5</v>
      </c>
      <c r="AV10" s="258">
        <f t="shared" ref="AV10:AV73" si="21">IF(BI10=0,0,IF(BI10=1,BG9,IF(BG9+AW10+AU10&gt;AT9,AT10-AU10-AW10,BG9)))</f>
        <v>7472.5</v>
      </c>
      <c r="AW10" s="258">
        <f t="shared" si="7"/>
        <v>0</v>
      </c>
      <c r="AX10" s="258">
        <v>0</v>
      </c>
      <c r="AY10" s="258">
        <f t="shared" ref="AY10:AY85" si="22">AU10+AZ10</f>
        <v>4157.5</v>
      </c>
      <c r="AZ10" s="258">
        <f t="shared" si="8"/>
        <v>0</v>
      </c>
      <c r="BA10" s="258">
        <f t="shared" ref="BA10:BA18" si="23">IF(BI10=0,0,0)</f>
        <v>0</v>
      </c>
      <c r="BB10" s="258"/>
      <c r="BC10" s="258"/>
      <c r="BD10" s="258"/>
      <c r="BE10" s="258"/>
      <c r="BF10" s="258"/>
      <c r="BG10" s="258">
        <f t="shared" ref="BG10:BG73" si="24">IF(OR(BI10=1,BG9=0),0,BG9-AV10)</f>
        <v>321058.98</v>
      </c>
      <c r="BH10" s="108">
        <f>IF((BH9-1)&lt;0,0,BH9-1)</f>
        <v>35</v>
      </c>
      <c r="BI10" s="108">
        <f>BH10</f>
        <v>35</v>
      </c>
      <c r="BJ10" s="22">
        <f>H10</f>
        <v>44505</v>
      </c>
      <c r="BK10" s="108">
        <f t="shared" si="9"/>
        <v>0</v>
      </c>
      <c r="BN10" s="830" t="s">
        <v>90</v>
      </c>
      <c r="BO10" s="828" t="s">
        <v>85</v>
      </c>
      <c r="BP10" s="129" t="s">
        <v>84</v>
      </c>
    </row>
    <row r="11" spans="1:72" ht="18" customHeight="1" thickBot="1" x14ac:dyDescent="0.3">
      <c r="A11" s="882" t="s">
        <v>172</v>
      </c>
      <c r="B11" s="882"/>
      <c r="C11" s="503">
        <v>0.14899999999999999</v>
      </c>
      <c r="D11" s="271">
        <f>C11</f>
        <v>0.14899999999999999</v>
      </c>
      <c r="E11" s="514"/>
      <c r="F11" s="232"/>
      <c r="G11" s="244">
        <f>G10+1</f>
        <v>3</v>
      </c>
      <c r="H11" s="245">
        <f t="shared" si="1"/>
        <v>44535</v>
      </c>
      <c r="I11" s="246">
        <f t="shared" si="10"/>
        <v>0</v>
      </c>
      <c r="J11" s="247">
        <f t="shared" si="11"/>
        <v>7000</v>
      </c>
      <c r="K11" s="242">
        <f t="shared" si="2"/>
        <v>0</v>
      </c>
      <c r="L11" s="242">
        <f t="shared" si="12"/>
        <v>0</v>
      </c>
      <c r="M11" s="242">
        <f t="shared" si="13"/>
        <v>0</v>
      </c>
      <c r="N11" s="242">
        <f t="shared" si="3"/>
        <v>0</v>
      </c>
      <c r="O11" s="242">
        <v>0</v>
      </c>
      <c r="P11" s="242">
        <f t="shared" ref="P11:P85" si="25">L11+Q11</f>
        <v>7000</v>
      </c>
      <c r="Q11" s="242">
        <f t="shared" si="14"/>
        <v>7000</v>
      </c>
      <c r="R11" s="242">
        <f t="shared" si="15"/>
        <v>0</v>
      </c>
      <c r="S11" s="242">
        <f t="shared" si="16"/>
        <v>335640</v>
      </c>
      <c r="T11" s="467"/>
      <c r="U11" s="198">
        <f>IF((U10-1)&lt;0,0,U10-1)</f>
        <v>34</v>
      </c>
      <c r="V11" s="36">
        <f t="shared" si="17"/>
        <v>34</v>
      </c>
      <c r="W11" s="15"/>
      <c r="X11" s="15"/>
      <c r="Y11" s="15"/>
      <c r="Z11" s="15"/>
      <c r="AA11" s="15"/>
      <c r="AB11" s="15"/>
      <c r="AC11" s="15"/>
      <c r="AD11" s="147"/>
      <c r="AE11" s="147"/>
      <c r="AF11" s="15"/>
      <c r="AG11" s="15"/>
      <c r="AH11" s="15"/>
      <c r="AI11" s="15"/>
      <c r="AJ11" s="15"/>
      <c r="AK11" s="15"/>
      <c r="AL11" s="15"/>
      <c r="AM11" s="3"/>
      <c r="AN11" s="175"/>
      <c r="AO11" s="130">
        <f t="shared" si="18"/>
        <v>1</v>
      </c>
      <c r="AP11" s="261">
        <f>AP10+1</f>
        <v>3</v>
      </c>
      <c r="AQ11" s="262">
        <f t="shared" si="4"/>
        <v>44535</v>
      </c>
      <c r="AR11" s="263">
        <f t="shared" si="5"/>
        <v>0.14899999999999999</v>
      </c>
      <c r="AS11" s="258">
        <f t="shared" si="19"/>
        <v>11630</v>
      </c>
      <c r="AT11" s="258">
        <f t="shared" si="6"/>
        <v>11630</v>
      </c>
      <c r="AU11" s="258">
        <f t="shared" si="20"/>
        <v>3931.87</v>
      </c>
      <c r="AV11" s="258">
        <f>IF(BI11=0,0,IF(BI11=1,BG10,IF(BG10+AW11+AU11&gt;AT10,AT11-AU11-AW11,BG10)))</f>
        <v>7698.13</v>
      </c>
      <c r="AW11" s="258">
        <f t="shared" si="7"/>
        <v>0</v>
      </c>
      <c r="AX11" s="258">
        <v>0</v>
      </c>
      <c r="AY11" s="258">
        <f t="shared" si="22"/>
        <v>3931.87</v>
      </c>
      <c r="AZ11" s="258">
        <f t="shared" si="8"/>
        <v>0</v>
      </c>
      <c r="BA11" s="258">
        <f t="shared" si="23"/>
        <v>0</v>
      </c>
      <c r="BB11" s="258"/>
      <c r="BC11" s="258"/>
      <c r="BD11" s="258"/>
      <c r="BE11" s="258"/>
      <c r="BF11" s="258"/>
      <c r="BG11" s="258">
        <f>IF(OR(BI11=1,BG10=0),0,BG10-AV11)</f>
        <v>313360.84999999998</v>
      </c>
      <c r="BH11" s="108">
        <f>IF((BH10-1)&lt;0,0,BH10-1)</f>
        <v>34</v>
      </c>
      <c r="BI11" s="108">
        <f t="shared" ref="BI11:BI74" si="26">BH11</f>
        <v>34</v>
      </c>
      <c r="BJ11" s="22">
        <f t="shared" ref="BJ11:BJ74" si="27">H11</f>
        <v>44535</v>
      </c>
      <c r="BK11" s="108">
        <f t="shared" si="9"/>
        <v>0</v>
      </c>
      <c r="BN11" s="831"/>
      <c r="BO11" s="829"/>
      <c r="BP11" s="128" t="s">
        <v>91</v>
      </c>
    </row>
    <row r="12" spans="1:72" ht="18" customHeight="1" thickBot="1" x14ac:dyDescent="0.3">
      <c r="A12" s="882" t="s">
        <v>173</v>
      </c>
      <c r="B12" s="882"/>
      <c r="C12" s="504" t="s">
        <v>33</v>
      </c>
      <c r="D12" s="473" t="str">
        <f>C12</f>
        <v>Базовый</v>
      </c>
      <c r="E12" s="514"/>
      <c r="F12" s="232"/>
      <c r="G12" s="244">
        <f t="shared" ref="G12:G75" si="28">G11+1</f>
        <v>4</v>
      </c>
      <c r="H12" s="245">
        <f t="shared" si="1"/>
        <v>44566</v>
      </c>
      <c r="I12" s="246">
        <f t="shared" si="10"/>
        <v>0</v>
      </c>
      <c r="J12" s="247">
        <f t="shared" si="11"/>
        <v>7000</v>
      </c>
      <c r="K12" s="242">
        <f t="shared" si="2"/>
        <v>0</v>
      </c>
      <c r="L12" s="242">
        <f t="shared" si="12"/>
        <v>0</v>
      </c>
      <c r="M12" s="242">
        <f t="shared" si="13"/>
        <v>0</v>
      </c>
      <c r="N12" s="242">
        <f t="shared" si="3"/>
        <v>0</v>
      </c>
      <c r="O12" s="242">
        <v>0</v>
      </c>
      <c r="P12" s="242">
        <f t="shared" si="25"/>
        <v>7000</v>
      </c>
      <c r="Q12" s="242">
        <f t="shared" si="14"/>
        <v>7000</v>
      </c>
      <c r="R12" s="242">
        <f t="shared" si="15"/>
        <v>0</v>
      </c>
      <c r="S12" s="242">
        <f t="shared" si="16"/>
        <v>335640</v>
      </c>
      <c r="T12" s="467"/>
      <c r="U12" s="198">
        <f t="shared" ref="U12:U75" si="29">IF((U11-1)&lt;0,0,U11-1)</f>
        <v>33</v>
      </c>
      <c r="V12" s="36">
        <f t="shared" si="17"/>
        <v>33</v>
      </c>
      <c r="W12" s="15"/>
      <c r="X12" s="15"/>
      <c r="Y12" s="15"/>
      <c r="Z12" s="15"/>
      <c r="AA12" s="15"/>
      <c r="AB12" s="15"/>
      <c r="AC12" s="15"/>
      <c r="AD12" s="147">
        <f>IF(OR($C$8="Гарантия стандарт",$C$8="Гарантия пакет"),AB8,W7)</f>
        <v>0.19900000000000001</v>
      </c>
      <c r="AE12" s="147">
        <f>IF(OR($D$8="Гарантия стандарт",$D$8="Гарантия пакет"),AB8,W7)</f>
        <v>0.19900000000000001</v>
      </c>
      <c r="AF12" s="15"/>
      <c r="AG12" s="15"/>
      <c r="AH12" s="15"/>
      <c r="AI12" s="15"/>
      <c r="AJ12" s="15"/>
      <c r="AK12" s="15"/>
      <c r="AL12" s="15"/>
      <c r="AN12" s="57"/>
      <c r="AO12" s="130">
        <f t="shared" si="18"/>
        <v>1</v>
      </c>
      <c r="AP12" s="261">
        <f t="shared" ref="AP12:AP75" si="30">AP11+1</f>
        <v>4</v>
      </c>
      <c r="AQ12" s="262">
        <f t="shared" si="4"/>
        <v>44566</v>
      </c>
      <c r="AR12" s="263">
        <f t="shared" si="5"/>
        <v>0.14899999999999999</v>
      </c>
      <c r="AS12" s="258">
        <f t="shared" si="19"/>
        <v>11630</v>
      </c>
      <c r="AT12" s="258">
        <f t="shared" si="6"/>
        <v>11630</v>
      </c>
      <c r="AU12" s="258">
        <f t="shared" si="20"/>
        <v>3965.52</v>
      </c>
      <c r="AV12" s="258">
        <f t="shared" si="21"/>
        <v>7664.48</v>
      </c>
      <c r="AW12" s="258">
        <f t="shared" si="7"/>
        <v>0</v>
      </c>
      <c r="AX12" s="258">
        <v>0</v>
      </c>
      <c r="AY12" s="258">
        <f t="shared" si="22"/>
        <v>3965.52</v>
      </c>
      <c r="AZ12" s="258">
        <f t="shared" si="8"/>
        <v>0</v>
      </c>
      <c r="BA12" s="258">
        <f t="shared" si="23"/>
        <v>0</v>
      </c>
      <c r="BB12" s="258"/>
      <c r="BC12" s="258"/>
      <c r="BD12" s="258"/>
      <c r="BE12" s="258"/>
      <c r="BF12" s="258"/>
      <c r="BG12" s="258">
        <f t="shared" si="24"/>
        <v>305696.37</v>
      </c>
      <c r="BH12" s="108">
        <f t="shared" ref="BH12:BH75" si="31">IF((BH11-1)&lt;0,0,BH11-1)</f>
        <v>33</v>
      </c>
      <c r="BI12" s="108">
        <f t="shared" si="26"/>
        <v>33</v>
      </c>
      <c r="BJ12" s="22">
        <f t="shared" si="27"/>
        <v>44566</v>
      </c>
      <c r="BK12" s="108">
        <f t="shared" si="9"/>
        <v>0</v>
      </c>
    </row>
    <row r="13" spans="1:72" ht="18" customHeight="1" x14ac:dyDescent="0.25">
      <c r="A13" s="882" t="s">
        <v>171</v>
      </c>
      <c r="B13" s="882"/>
      <c r="C13" s="360">
        <f>IF(OR(C8="Гарантия стандарт",C8="Гарантия пакет",C12="Базовый"),C11,C11-2%)</f>
        <v>0.14899999999999999</v>
      </c>
      <c r="D13" s="271">
        <f>IF(OR(D8="Гарантия стандарт",D8="Гарантия пакет",D12="Базовый"),D11,D11-2%)</f>
        <v>0.14899999999999999</v>
      </c>
      <c r="E13" s="514"/>
      <c r="F13" s="232"/>
      <c r="G13" s="244">
        <f t="shared" si="28"/>
        <v>5</v>
      </c>
      <c r="H13" s="245">
        <f t="shared" si="1"/>
        <v>44597</v>
      </c>
      <c r="I13" s="246">
        <f t="shared" si="10"/>
        <v>0</v>
      </c>
      <c r="J13" s="247">
        <f t="shared" si="11"/>
        <v>7000</v>
      </c>
      <c r="K13" s="242">
        <f t="shared" si="2"/>
        <v>0</v>
      </c>
      <c r="L13" s="242">
        <f t="shared" si="12"/>
        <v>0</v>
      </c>
      <c r="M13" s="242">
        <f t="shared" si="13"/>
        <v>0</v>
      </c>
      <c r="N13" s="242">
        <f t="shared" si="3"/>
        <v>0</v>
      </c>
      <c r="O13" s="242">
        <v>0</v>
      </c>
      <c r="P13" s="242">
        <f t="shared" si="25"/>
        <v>7000</v>
      </c>
      <c r="Q13" s="242">
        <f t="shared" si="14"/>
        <v>7000</v>
      </c>
      <c r="R13" s="242">
        <f t="shared" si="15"/>
        <v>0</v>
      </c>
      <c r="S13" s="242">
        <f t="shared" si="16"/>
        <v>335640</v>
      </c>
      <c r="T13" s="467"/>
      <c r="U13" s="198">
        <f>IF((U12-1)&lt;0,0,U12-1)</f>
        <v>32</v>
      </c>
      <c r="V13" s="36">
        <f>U13</f>
        <v>32</v>
      </c>
      <c r="W13" s="15"/>
      <c r="X13" s="15"/>
      <c r="Y13" s="15"/>
      <c r="Z13" s="15"/>
      <c r="AA13" s="15"/>
      <c r="AB13" s="15"/>
      <c r="AC13" s="15"/>
      <c r="AD13" s="62" t="e">
        <f>INDEX(AD4:AD12,MATCH(C11,$W$4:$W$7,0))</f>
        <v>#N/A</v>
      </c>
      <c r="AE13" s="62" t="e">
        <f>INDEX(AE4:AE12,MATCH(D13,$W$4:$W$7,0))</f>
        <v>#N/A</v>
      </c>
      <c r="AF13" s="15"/>
      <c r="AG13" s="15"/>
      <c r="AH13" s="15"/>
      <c r="AI13" s="15"/>
      <c r="AJ13" s="15"/>
      <c r="AK13" s="15"/>
      <c r="AL13" s="15"/>
      <c r="AO13" s="130">
        <f t="shared" si="18"/>
        <v>1</v>
      </c>
      <c r="AP13" s="264">
        <f>AP12+1</f>
        <v>5</v>
      </c>
      <c r="AQ13" s="265">
        <f t="shared" si="4"/>
        <v>44597</v>
      </c>
      <c r="AR13" s="263">
        <f t="shared" si="5"/>
        <v>0.14899999999999999</v>
      </c>
      <c r="AS13" s="258">
        <f t="shared" si="19"/>
        <v>11630</v>
      </c>
      <c r="AT13" s="258">
        <f t="shared" si="6"/>
        <v>11630</v>
      </c>
      <c r="AU13" s="258">
        <f t="shared" si="20"/>
        <v>3868.52</v>
      </c>
      <c r="AV13" s="258">
        <f t="shared" si="21"/>
        <v>7761.48</v>
      </c>
      <c r="AW13" s="258">
        <f t="shared" si="7"/>
        <v>0</v>
      </c>
      <c r="AX13" s="258">
        <v>0</v>
      </c>
      <c r="AY13" s="258">
        <f t="shared" si="22"/>
        <v>3868.52</v>
      </c>
      <c r="AZ13" s="258">
        <f t="shared" si="8"/>
        <v>0</v>
      </c>
      <c r="BA13" s="258">
        <f t="shared" si="23"/>
        <v>0</v>
      </c>
      <c r="BB13" s="258"/>
      <c r="BC13" s="258"/>
      <c r="BD13" s="258"/>
      <c r="BE13" s="258"/>
      <c r="BF13" s="258"/>
      <c r="BG13" s="258">
        <f t="shared" si="24"/>
        <v>297934.89</v>
      </c>
      <c r="BH13" s="108">
        <f t="shared" si="31"/>
        <v>32</v>
      </c>
      <c r="BI13" s="108">
        <f t="shared" si="26"/>
        <v>32</v>
      </c>
      <c r="BJ13" s="22">
        <f t="shared" si="27"/>
        <v>44597</v>
      </c>
      <c r="BK13" s="108">
        <f t="shared" si="9"/>
        <v>0</v>
      </c>
      <c r="BN13" s="830" t="s">
        <v>92</v>
      </c>
      <c r="BO13" s="828" t="s">
        <v>85</v>
      </c>
      <c r="BP13" s="129" t="s">
        <v>90</v>
      </c>
    </row>
    <row r="14" spans="1:72" ht="19.5" customHeight="1" thickBot="1" x14ac:dyDescent="0.3">
      <c r="A14" s="879" t="s">
        <v>168</v>
      </c>
      <c r="B14" s="419" t="s">
        <v>102</v>
      </c>
      <c r="C14" s="359" t="s">
        <v>29</v>
      </c>
      <c r="D14" s="515" t="str">
        <f>C14</f>
        <v>нет</v>
      </c>
      <c r="E14" s="510"/>
      <c r="F14" s="231"/>
      <c r="G14" s="248">
        <f t="shared" si="28"/>
        <v>6</v>
      </c>
      <c r="H14" s="249">
        <f t="shared" si="1"/>
        <v>44625</v>
      </c>
      <c r="I14" s="250">
        <f t="shared" si="10"/>
        <v>0</v>
      </c>
      <c r="J14" s="251">
        <f t="shared" si="11"/>
        <v>7000</v>
      </c>
      <c r="K14" s="252">
        <f t="shared" si="2"/>
        <v>0</v>
      </c>
      <c r="L14" s="252">
        <f t="shared" si="12"/>
        <v>0</v>
      </c>
      <c r="M14" s="252">
        <f t="shared" si="13"/>
        <v>0</v>
      </c>
      <c r="N14" s="252">
        <f t="shared" si="3"/>
        <v>0</v>
      </c>
      <c r="O14" s="252">
        <v>0</v>
      </c>
      <c r="P14" s="252">
        <f t="shared" si="25"/>
        <v>7000</v>
      </c>
      <c r="Q14" s="252">
        <f t="shared" si="14"/>
        <v>7000</v>
      </c>
      <c r="R14" s="252">
        <f t="shared" si="15"/>
        <v>0</v>
      </c>
      <c r="S14" s="252">
        <f t="shared" si="16"/>
        <v>335640</v>
      </c>
      <c r="T14" s="468"/>
      <c r="U14" s="198">
        <f>IF((U13-1)&lt;0,0,U13-1)</f>
        <v>31</v>
      </c>
      <c r="V14" s="36">
        <f t="shared" si="17"/>
        <v>31</v>
      </c>
      <c r="W14" s="84">
        <v>9.9000000000000005E-2</v>
      </c>
      <c r="X14" s="84">
        <v>7.9000000000000001E-2</v>
      </c>
      <c r="Y14" s="84">
        <v>7.9000000000000001E-2</v>
      </c>
      <c r="Z14" s="84">
        <v>7.9000000000000001E-2</v>
      </c>
      <c r="AA14" s="84">
        <v>7.9000000000000001E-2</v>
      </c>
      <c r="AB14" s="15"/>
      <c r="AC14" s="15"/>
      <c r="AE14" s="15">
        <f>IF(OR(D$8="Гарантия стандарт",D$8="Гарантия пакет"),AE13,D13)</f>
        <v>0.14899999999999999</v>
      </c>
      <c r="AF14" s="15"/>
      <c r="AG14" s="15"/>
      <c r="AH14" s="15"/>
      <c r="AI14" s="15"/>
      <c r="AJ14" s="15"/>
      <c r="AK14" s="15"/>
      <c r="AL14" s="15"/>
      <c r="AN14" s="57"/>
      <c r="AO14" s="130">
        <f t="shared" si="18"/>
        <v>1</v>
      </c>
      <c r="AP14" s="261">
        <f>AP13+1</f>
        <v>6</v>
      </c>
      <c r="AQ14" s="262">
        <f t="shared" si="4"/>
        <v>44625</v>
      </c>
      <c r="AR14" s="263">
        <f t="shared" si="5"/>
        <v>0.14899999999999999</v>
      </c>
      <c r="AS14" s="258">
        <f t="shared" si="19"/>
        <v>11630</v>
      </c>
      <c r="AT14" s="258">
        <f t="shared" si="6"/>
        <v>11630</v>
      </c>
      <c r="AU14" s="258">
        <f t="shared" si="20"/>
        <v>3405.44</v>
      </c>
      <c r="AV14" s="258">
        <f t="shared" si="21"/>
        <v>8224.56</v>
      </c>
      <c r="AW14" s="258">
        <f t="shared" si="7"/>
        <v>0</v>
      </c>
      <c r="AX14" s="258">
        <v>0</v>
      </c>
      <c r="AY14" s="258">
        <f t="shared" si="22"/>
        <v>3405.44</v>
      </c>
      <c r="AZ14" s="258">
        <f t="shared" si="8"/>
        <v>0</v>
      </c>
      <c r="BA14" s="258">
        <f t="shared" si="23"/>
        <v>0</v>
      </c>
      <c r="BB14" s="258"/>
      <c r="BC14" s="258"/>
      <c r="BD14" s="258"/>
      <c r="BE14" s="258"/>
      <c r="BF14" s="258"/>
      <c r="BG14" s="258">
        <f t="shared" si="24"/>
        <v>289710.33</v>
      </c>
      <c r="BH14" s="108">
        <f t="shared" si="31"/>
        <v>31</v>
      </c>
      <c r="BI14" s="108">
        <f t="shared" si="26"/>
        <v>31</v>
      </c>
      <c r="BJ14" s="22">
        <f t="shared" si="27"/>
        <v>44625</v>
      </c>
      <c r="BK14" s="108">
        <f t="shared" si="9"/>
        <v>0</v>
      </c>
      <c r="BN14" s="831"/>
      <c r="BO14" s="829"/>
      <c r="BP14" s="128" t="s">
        <v>93</v>
      </c>
    </row>
    <row r="15" spans="1:72" ht="20.25" customHeight="1" x14ac:dyDescent="0.25">
      <c r="A15" s="880"/>
      <c r="B15" s="418" t="s">
        <v>182</v>
      </c>
      <c r="C15" s="505" t="str">
        <f>IF(C14="нет","",IF(OR(C8="Гарантия стандарт",C8="Гарантия плюс",C8="Гарантия пакет"),$AG$37,$AB$34))</f>
        <v/>
      </c>
      <c r="D15" s="515" t="str">
        <f>IF(D14="нет","",IF(OR(D8="Гарантия стандарт",D8="Гарантия плюс",D8="Гарантия пакет"),$AG$37,$AB$34))</f>
        <v/>
      </c>
      <c r="E15" s="510"/>
      <c r="F15" s="231"/>
      <c r="G15" s="244">
        <f t="shared" si="28"/>
        <v>7</v>
      </c>
      <c r="H15" s="245">
        <f t="shared" si="1"/>
        <v>44656</v>
      </c>
      <c r="I15" s="246">
        <f t="shared" ref="I15:I20" si="32">IF(AND($C$16="Да",$C$8&lt;&gt;"Нет"),$AG$37,$C$13)</f>
        <v>0.10899999999999999</v>
      </c>
      <c r="J15" s="242">
        <f t="shared" si="11"/>
        <v>11280</v>
      </c>
      <c r="K15" s="242">
        <f>IF(AND(G15&gt;=$W$9,G15&lt;=$W$9+5),$W$10,IF(S14+N15+L15&gt;K14,IF(AND($C$16="Да",$C$8&lt;&gt;"Нет"),$AF$37,$C$23),IF(S14=0,0,S14+N15+L15+L16)))</f>
        <v>11280</v>
      </c>
      <c r="L15" s="242">
        <f>IF(AND(G15&gt;=$W$9,G15&lt;=$W$9+5),0,IF($C$9&gt;$AF$51,ROUND(S14*I15*((H15-DATE(YEAR(H15),MONTH(H15),1)+1)/(DATE(YEAR(H15)+1,1,1)-DATE(YEAR(H15),1,1))+(EOMONTH(H14,0)-H14)/(DATE(YEAR(H14)+1,1,1)-DATE(YEAR(H14),1,1))),2),0))</f>
        <v>3107.2</v>
      </c>
      <c r="M15" s="242">
        <f t="shared" si="13"/>
        <v>8172.8</v>
      </c>
      <c r="N15" s="242">
        <f t="shared" si="3"/>
        <v>0</v>
      </c>
      <c r="O15" s="242">
        <v>0</v>
      </c>
      <c r="P15" s="242">
        <f t="shared" si="25"/>
        <v>3107.2</v>
      </c>
      <c r="Q15" s="242">
        <f t="shared" ref="Q15:Q78" si="33">IF(V15=0,0,0)</f>
        <v>0</v>
      </c>
      <c r="R15" s="242">
        <f t="shared" si="15"/>
        <v>0</v>
      </c>
      <c r="S15" s="242">
        <f t="shared" si="16"/>
        <v>327467.2</v>
      </c>
      <c r="T15" s="467"/>
      <c r="U15" s="198">
        <f t="shared" si="29"/>
        <v>30</v>
      </c>
      <c r="V15" s="36">
        <f t="shared" si="17"/>
        <v>30</v>
      </c>
      <c r="W15" s="112">
        <v>0</v>
      </c>
      <c r="X15" s="112">
        <v>7.9000000000000001E-2</v>
      </c>
      <c r="Y15" s="112">
        <v>7.9000000000000001E-2</v>
      </c>
      <c r="Z15" s="112">
        <v>7.9000000000000001E-2</v>
      </c>
      <c r="AA15" s="112">
        <v>7.9000000000000001E-2</v>
      </c>
      <c r="AB15" s="15"/>
      <c r="AC15" s="15"/>
      <c r="AD15" s="15" t="str">
        <f>IF(OR(C8="Гарантия стандарт",C8="Гарантия плюс",C8="Гарантия пакет"),AD13,"")</f>
        <v/>
      </c>
      <c r="AE15" s="15" t="str">
        <f>IF(OR(D8="Гарантия стандарт",D8="Гарантия плюс",D8="Гарантия пакет"),AE13,"")</f>
        <v/>
      </c>
      <c r="AF15" s="15"/>
      <c r="AG15" s="15"/>
      <c r="AH15" s="15"/>
      <c r="AI15" s="15"/>
      <c r="AJ15" s="15"/>
      <c r="AK15" s="15"/>
      <c r="AL15" s="15"/>
      <c r="AO15" s="130">
        <f t="shared" si="18"/>
        <v>1</v>
      </c>
      <c r="AP15" s="261">
        <f t="shared" si="30"/>
        <v>7</v>
      </c>
      <c r="AQ15" s="262">
        <f t="shared" si="4"/>
        <v>44656</v>
      </c>
      <c r="AR15" s="263">
        <f t="shared" ref="AR15:AR32" si="34">IF($D$16="Да",$AM$37,$D$13)</f>
        <v>0.14899999999999999</v>
      </c>
      <c r="AS15" s="258">
        <f t="shared" si="19"/>
        <v>11630</v>
      </c>
      <c r="AT15" s="258">
        <f t="shared" si="6"/>
        <v>11630</v>
      </c>
      <c r="AU15" s="258">
        <f t="shared" si="20"/>
        <v>3666.22</v>
      </c>
      <c r="AV15" s="258">
        <f t="shared" si="21"/>
        <v>7963.7800000000007</v>
      </c>
      <c r="AW15" s="258">
        <f t="shared" si="7"/>
        <v>0</v>
      </c>
      <c r="AX15" s="258">
        <v>0</v>
      </c>
      <c r="AY15" s="258">
        <f t="shared" si="22"/>
        <v>3666.22</v>
      </c>
      <c r="AZ15" s="258">
        <f t="shared" si="8"/>
        <v>0</v>
      </c>
      <c r="BA15" s="258">
        <f t="shared" si="23"/>
        <v>0</v>
      </c>
      <c r="BB15" s="258"/>
      <c r="BC15" s="258"/>
      <c r="BD15" s="258"/>
      <c r="BE15" s="258"/>
      <c r="BF15" s="258"/>
      <c r="BG15" s="258">
        <f t="shared" si="24"/>
        <v>281746.55</v>
      </c>
      <c r="BH15" s="108">
        <f t="shared" si="31"/>
        <v>30</v>
      </c>
      <c r="BI15" s="108">
        <f t="shared" si="26"/>
        <v>30</v>
      </c>
      <c r="BJ15" s="22">
        <f t="shared" si="27"/>
        <v>44656</v>
      </c>
      <c r="BK15" s="108">
        <f t="shared" si="9"/>
        <v>11280</v>
      </c>
    </row>
    <row r="16" spans="1:72" ht="19.2" customHeight="1" x14ac:dyDescent="0.25">
      <c r="A16" s="881" t="s">
        <v>169</v>
      </c>
      <c r="B16" s="186" t="s">
        <v>170</v>
      </c>
      <c r="C16" s="506" t="s">
        <v>179</v>
      </c>
      <c r="D16" s="473" t="s">
        <v>178</v>
      </c>
      <c r="E16" s="514"/>
      <c r="F16" s="232"/>
      <c r="G16" s="244">
        <f t="shared" si="28"/>
        <v>8</v>
      </c>
      <c r="H16" s="245">
        <f t="shared" si="1"/>
        <v>44686</v>
      </c>
      <c r="I16" s="246">
        <f t="shared" si="32"/>
        <v>0.10899999999999999</v>
      </c>
      <c r="J16" s="242">
        <f t="shared" si="11"/>
        <v>11280</v>
      </c>
      <c r="K16" s="242">
        <f t="shared" ref="K16:K32" si="35">IF(AND(G16&gt;=$W$9,G16&lt;=$W$9+5),$W$10,IF(AND(S15+N16+L16&gt;K15,K15&lt;&gt;0),IF(AND($C$16="Да",$C$8&lt;&gt;"Нет"),$AF$37,$C$23),IF(S15=0,0,S15+N16+L16+L17)))</f>
        <v>11280</v>
      </c>
      <c r="L16" s="242">
        <f t="shared" ref="L16:L79" si="36">IF(AND(G16&gt;=$W$9,G16&lt;=$W$9+5),0,IF($C$9&gt;$AF$51,ROUND(S15*I16*((H16-DATE(YEAR(H16),MONTH(H16),1)+1)/(DATE(YEAR(H16)+1,1,1)-DATE(YEAR(H16),1,1))+(EOMONTH(H15,0)-H15)/(DATE(YEAR(H15)+1,1,1)-DATE(YEAR(H15),1,1))),2),0))</f>
        <v>2933.75</v>
      </c>
      <c r="M16" s="242">
        <f>IF(S15=0,0,IF(S15+N16+L16&gt;K15,K16-L16-N16,S15))</f>
        <v>8346.25</v>
      </c>
      <c r="N16" s="242">
        <f t="shared" si="3"/>
        <v>0</v>
      </c>
      <c r="O16" s="242">
        <v>0</v>
      </c>
      <c r="P16" s="242">
        <f t="shared" si="25"/>
        <v>2933.75</v>
      </c>
      <c r="Q16" s="242">
        <f t="shared" si="33"/>
        <v>0</v>
      </c>
      <c r="R16" s="242">
        <f t="shared" si="15"/>
        <v>0</v>
      </c>
      <c r="S16" s="242">
        <f t="shared" si="16"/>
        <v>319120.95</v>
      </c>
      <c r="T16" s="467"/>
      <c r="U16" s="198">
        <f t="shared" si="29"/>
        <v>29</v>
      </c>
      <c r="V16" s="36">
        <f t="shared" si="17"/>
        <v>29</v>
      </c>
      <c r="W16" s="101"/>
      <c r="X16" s="101"/>
      <c r="Y16" s="101"/>
      <c r="Z16" s="101"/>
      <c r="AA16" s="101"/>
      <c r="AB16" s="112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O16" s="130">
        <f t="shared" si="18"/>
        <v>1</v>
      </c>
      <c r="AP16" s="261">
        <f t="shared" si="30"/>
        <v>8</v>
      </c>
      <c r="AQ16" s="262">
        <f t="shared" si="4"/>
        <v>44686</v>
      </c>
      <c r="AR16" s="263">
        <f t="shared" si="34"/>
        <v>0.14899999999999999</v>
      </c>
      <c r="AS16" s="258">
        <f t="shared" si="19"/>
        <v>11630</v>
      </c>
      <c r="AT16" s="258">
        <f t="shared" si="6"/>
        <v>11630</v>
      </c>
      <c r="AU16" s="258">
        <f t="shared" si="20"/>
        <v>3450.43</v>
      </c>
      <c r="AV16" s="258">
        <f t="shared" si="21"/>
        <v>8179.57</v>
      </c>
      <c r="AW16" s="258">
        <f t="shared" si="7"/>
        <v>0</v>
      </c>
      <c r="AX16" s="258">
        <v>0</v>
      </c>
      <c r="AY16" s="258">
        <f t="shared" si="22"/>
        <v>3450.43</v>
      </c>
      <c r="AZ16" s="258">
        <f t="shared" si="8"/>
        <v>0</v>
      </c>
      <c r="BA16" s="258">
        <f t="shared" si="23"/>
        <v>0</v>
      </c>
      <c r="BB16" s="258"/>
      <c r="BC16" s="258"/>
      <c r="BD16" s="258"/>
      <c r="BE16" s="258"/>
      <c r="BF16" s="258"/>
      <c r="BG16" s="258">
        <f t="shared" si="24"/>
        <v>273566.98</v>
      </c>
      <c r="BH16" s="108">
        <f t="shared" si="31"/>
        <v>29</v>
      </c>
      <c r="BI16" s="108">
        <f t="shared" si="26"/>
        <v>29</v>
      </c>
      <c r="BJ16" s="22">
        <f t="shared" si="27"/>
        <v>44686</v>
      </c>
      <c r="BK16" s="108">
        <f t="shared" si="9"/>
        <v>11280</v>
      </c>
    </row>
    <row r="17" spans="1:393" ht="19.95" customHeight="1" x14ac:dyDescent="0.25">
      <c r="A17" s="881"/>
      <c r="B17" s="186" t="s">
        <v>183</v>
      </c>
      <c r="C17" s="507" t="str">
        <f>IF(C16="Да",IF(AND($C$22&gt;=100000,$C$22&lt;200000),"Серебряный",IF(AND($C$22&gt;=200000,$C$22&lt;300000),"Золотой",IF(AND($C$22&gt;=300000,$C$7&lt;=6000000),"Платиновый",""))),"")</f>
        <v>Платиновый</v>
      </c>
      <c r="D17" s="473" t="str">
        <f>IF(D16="Да",IF(AND($D$22&gt;=100000,$D$22&lt;200000),"Серебряный",IF(AND($D$22&gt;=200000,$D$22&lt;300000),"Золотой",IF(AND($D$22&gt;=300000,$C$7&lt;=500000),"Платиновый",""))),"")</f>
        <v/>
      </c>
      <c r="E17" s="514"/>
      <c r="F17" s="232"/>
      <c r="G17" s="244">
        <f t="shared" si="28"/>
        <v>9</v>
      </c>
      <c r="H17" s="245">
        <f t="shared" si="1"/>
        <v>44717</v>
      </c>
      <c r="I17" s="246">
        <f t="shared" si="32"/>
        <v>0.10899999999999999</v>
      </c>
      <c r="J17" s="242">
        <f t="shared" si="11"/>
        <v>11280</v>
      </c>
      <c r="K17" s="242">
        <f t="shared" si="35"/>
        <v>11280</v>
      </c>
      <c r="L17" s="242">
        <f t="shared" si="36"/>
        <v>2954.27</v>
      </c>
      <c r="M17" s="242">
        <f t="shared" si="13"/>
        <v>8325.73</v>
      </c>
      <c r="N17" s="242">
        <f t="shared" si="3"/>
        <v>0</v>
      </c>
      <c r="O17" s="242">
        <v>0</v>
      </c>
      <c r="P17" s="242">
        <f t="shared" si="25"/>
        <v>2954.27</v>
      </c>
      <c r="Q17" s="242">
        <f t="shared" si="33"/>
        <v>0</v>
      </c>
      <c r="R17" s="242">
        <f t="shared" si="15"/>
        <v>0</v>
      </c>
      <c r="S17" s="242">
        <f t="shared" si="16"/>
        <v>310795.22000000003</v>
      </c>
      <c r="T17" s="467"/>
      <c r="U17" s="198">
        <f t="shared" si="29"/>
        <v>28</v>
      </c>
      <c r="V17" s="36">
        <f t="shared" si="17"/>
        <v>28</v>
      </c>
      <c r="W17" s="101"/>
      <c r="X17" s="101"/>
      <c r="Y17" s="101"/>
      <c r="Z17" s="101"/>
      <c r="AA17" s="101"/>
      <c r="AB17" s="84">
        <v>0.129</v>
      </c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O17" s="130">
        <f t="shared" si="18"/>
        <v>1</v>
      </c>
      <c r="AP17" s="261">
        <f t="shared" si="30"/>
        <v>9</v>
      </c>
      <c r="AQ17" s="262">
        <f t="shared" si="4"/>
        <v>44717</v>
      </c>
      <c r="AR17" s="263">
        <f t="shared" si="34"/>
        <v>0.14899999999999999</v>
      </c>
      <c r="AS17" s="258">
        <f t="shared" si="19"/>
        <v>11630</v>
      </c>
      <c r="AT17" s="258">
        <f t="shared" si="6"/>
        <v>11630</v>
      </c>
      <c r="AU17" s="258">
        <f t="shared" si="20"/>
        <v>3461.93</v>
      </c>
      <c r="AV17" s="258">
        <f t="shared" si="21"/>
        <v>8168.07</v>
      </c>
      <c r="AW17" s="258">
        <f t="shared" si="7"/>
        <v>0</v>
      </c>
      <c r="AX17" s="258">
        <v>0</v>
      </c>
      <c r="AY17" s="258">
        <f t="shared" si="22"/>
        <v>3461.93</v>
      </c>
      <c r="AZ17" s="258">
        <f t="shared" si="8"/>
        <v>0</v>
      </c>
      <c r="BA17" s="258">
        <f t="shared" si="23"/>
        <v>0</v>
      </c>
      <c r="BB17" s="258"/>
      <c r="BC17" s="258"/>
      <c r="BD17" s="258"/>
      <c r="BE17" s="258"/>
      <c r="BF17" s="258"/>
      <c r="BG17" s="258">
        <f t="shared" si="24"/>
        <v>265398.90999999997</v>
      </c>
      <c r="BH17" s="108">
        <f t="shared" si="31"/>
        <v>28</v>
      </c>
      <c r="BI17" s="108">
        <f t="shared" si="26"/>
        <v>28</v>
      </c>
      <c r="BJ17" s="22">
        <f t="shared" si="27"/>
        <v>44717</v>
      </c>
      <c r="BK17" s="108">
        <f t="shared" si="9"/>
        <v>11280</v>
      </c>
    </row>
    <row r="18" spans="1:393" ht="19.95" customHeight="1" x14ac:dyDescent="0.25">
      <c r="A18" s="881"/>
      <c r="B18" s="186" t="s">
        <v>184</v>
      </c>
      <c r="C18" s="508">
        <f>IF($C$17="Серебряный",3600,IF($C$17="Золотой",5000,IF($C$17="Платиновый",7000,"")))</f>
        <v>7000</v>
      </c>
      <c r="D18" s="473" t="str">
        <f>IF($D$17="Серебряный",1800,IF($D$17="Золотой",2500,IF($D$17="Платиновый",3500,"")))</f>
        <v/>
      </c>
      <c r="E18" s="514"/>
      <c r="F18" s="232"/>
      <c r="G18" s="244">
        <f t="shared" si="28"/>
        <v>10</v>
      </c>
      <c r="H18" s="245">
        <f t="shared" si="1"/>
        <v>44747</v>
      </c>
      <c r="I18" s="246">
        <f t="shared" si="32"/>
        <v>0.10899999999999999</v>
      </c>
      <c r="J18" s="242">
        <f t="shared" si="11"/>
        <v>11280</v>
      </c>
      <c r="K18" s="242">
        <f t="shared" si="35"/>
        <v>11280</v>
      </c>
      <c r="L18" s="242">
        <f t="shared" si="36"/>
        <v>2784.38</v>
      </c>
      <c r="M18" s="242">
        <f t="shared" si="13"/>
        <v>8495.619999999999</v>
      </c>
      <c r="N18" s="242">
        <f t="shared" si="3"/>
        <v>0</v>
      </c>
      <c r="O18" s="242">
        <v>0</v>
      </c>
      <c r="P18" s="242">
        <f t="shared" si="25"/>
        <v>2784.38</v>
      </c>
      <c r="Q18" s="242">
        <f t="shared" si="33"/>
        <v>0</v>
      </c>
      <c r="R18" s="242">
        <f t="shared" si="15"/>
        <v>0</v>
      </c>
      <c r="S18" s="242">
        <f t="shared" si="16"/>
        <v>302299.60000000003</v>
      </c>
      <c r="T18" s="467"/>
      <c r="U18" s="198">
        <f t="shared" si="29"/>
        <v>27</v>
      </c>
      <c r="V18" s="36">
        <f t="shared" si="17"/>
        <v>27</v>
      </c>
      <c r="W18" s="84">
        <v>8.9999999999999993E-3</v>
      </c>
      <c r="X18" s="84">
        <v>8.9999999999999993E-3</v>
      </c>
      <c r="Y18" s="84">
        <v>8.9999999999999993E-3</v>
      </c>
      <c r="Z18" s="84">
        <v>8.9999999999999993E-3</v>
      </c>
      <c r="AA18" s="84">
        <v>8.9999999999999993E-3</v>
      </c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O18" s="130">
        <f t="shared" si="18"/>
        <v>1</v>
      </c>
      <c r="AP18" s="261">
        <f t="shared" si="30"/>
        <v>10</v>
      </c>
      <c r="AQ18" s="262">
        <f t="shared" si="4"/>
        <v>44747</v>
      </c>
      <c r="AR18" s="263">
        <f t="shared" si="34"/>
        <v>0.14899999999999999</v>
      </c>
      <c r="AS18" s="258">
        <f t="shared" si="19"/>
        <v>11630</v>
      </c>
      <c r="AT18" s="258">
        <f t="shared" si="6"/>
        <v>11630</v>
      </c>
      <c r="AU18" s="258">
        <f t="shared" si="20"/>
        <v>3250.23</v>
      </c>
      <c r="AV18" s="258">
        <f t="shared" si="21"/>
        <v>8379.77</v>
      </c>
      <c r="AW18" s="258">
        <f t="shared" si="7"/>
        <v>0</v>
      </c>
      <c r="AX18" s="258">
        <v>0</v>
      </c>
      <c r="AY18" s="258">
        <f t="shared" si="22"/>
        <v>3250.23</v>
      </c>
      <c r="AZ18" s="258">
        <f t="shared" si="8"/>
        <v>0</v>
      </c>
      <c r="BA18" s="258">
        <f t="shared" si="23"/>
        <v>0</v>
      </c>
      <c r="BB18" s="258"/>
      <c r="BC18" s="258"/>
      <c r="BD18" s="258"/>
      <c r="BE18" s="258"/>
      <c r="BF18" s="258"/>
      <c r="BG18" s="258">
        <f t="shared" si="24"/>
        <v>257019.13999999998</v>
      </c>
      <c r="BH18" s="108">
        <f t="shared" si="31"/>
        <v>27</v>
      </c>
      <c r="BI18" s="108">
        <f t="shared" si="26"/>
        <v>27</v>
      </c>
      <c r="BJ18" s="22">
        <f t="shared" si="27"/>
        <v>44747</v>
      </c>
      <c r="BK18" s="108">
        <f t="shared" si="9"/>
        <v>11280</v>
      </c>
    </row>
    <row r="19" spans="1:393" ht="28.2" customHeight="1" x14ac:dyDescent="0.25">
      <c r="A19" s="893" t="s">
        <v>303</v>
      </c>
      <c r="B19" s="893"/>
      <c r="C19" s="893"/>
      <c r="D19" s="893"/>
      <c r="E19" s="893"/>
      <c r="F19" s="233"/>
      <c r="G19" s="244">
        <f t="shared" si="28"/>
        <v>11</v>
      </c>
      <c r="H19" s="245">
        <f t="shared" si="1"/>
        <v>44778</v>
      </c>
      <c r="I19" s="246">
        <f t="shared" si="32"/>
        <v>0.10899999999999999</v>
      </c>
      <c r="J19" s="242">
        <f t="shared" si="11"/>
        <v>11280</v>
      </c>
      <c r="K19" s="242">
        <f t="shared" si="35"/>
        <v>11280</v>
      </c>
      <c r="L19" s="242">
        <f t="shared" si="36"/>
        <v>2798.55</v>
      </c>
      <c r="M19" s="242">
        <f t="shared" si="13"/>
        <v>8481.4500000000007</v>
      </c>
      <c r="N19" s="242">
        <f t="shared" si="3"/>
        <v>0</v>
      </c>
      <c r="O19" s="242">
        <v>0</v>
      </c>
      <c r="P19" s="242">
        <f t="shared" si="25"/>
        <v>2798.55</v>
      </c>
      <c r="Q19" s="242">
        <f t="shared" si="33"/>
        <v>0</v>
      </c>
      <c r="R19" s="242">
        <f t="shared" si="15"/>
        <v>0</v>
      </c>
      <c r="S19" s="242">
        <f t="shared" si="16"/>
        <v>293818.15000000002</v>
      </c>
      <c r="T19" s="467"/>
      <c r="U19" s="198">
        <f>IF((U18-1)&lt;0,0,U18-1)</f>
        <v>26</v>
      </c>
      <c r="V19" s="36">
        <f t="shared" si="17"/>
        <v>26</v>
      </c>
      <c r="W19" s="84">
        <v>1.9E-2</v>
      </c>
      <c r="X19" s="84">
        <v>1.9E-2</v>
      </c>
      <c r="Y19" s="84">
        <v>1.9E-2</v>
      </c>
      <c r="Z19" s="84">
        <v>1.9E-2</v>
      </c>
      <c r="AA19" s="84">
        <v>1.9E-2</v>
      </c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O19" s="130">
        <f t="shared" si="18"/>
        <v>1</v>
      </c>
      <c r="AP19" s="261">
        <f>AP18+1</f>
        <v>11</v>
      </c>
      <c r="AQ19" s="262">
        <f t="shared" si="4"/>
        <v>44778</v>
      </c>
      <c r="AR19" s="263">
        <f t="shared" si="34"/>
        <v>0.14899999999999999</v>
      </c>
      <c r="AS19" s="258">
        <f t="shared" si="19"/>
        <v>11630</v>
      </c>
      <c r="AT19" s="258">
        <f t="shared" si="6"/>
        <v>11630</v>
      </c>
      <c r="AU19" s="258">
        <f t="shared" si="20"/>
        <v>3252.52</v>
      </c>
      <c r="AV19" s="258">
        <f t="shared" si="21"/>
        <v>8377.48</v>
      </c>
      <c r="AW19" s="258">
        <f t="shared" si="7"/>
        <v>0</v>
      </c>
      <c r="AX19" s="258">
        <v>0</v>
      </c>
      <c r="AY19" s="258">
        <f t="shared" si="22"/>
        <v>3252.52</v>
      </c>
      <c r="AZ19" s="258">
        <f t="shared" si="8"/>
        <v>0</v>
      </c>
      <c r="BA19" s="258">
        <f>IF(BI25=0,0,0)</f>
        <v>0</v>
      </c>
      <c r="BB19" s="258"/>
      <c r="BC19" s="258"/>
      <c r="BD19" s="258"/>
      <c r="BE19" s="258"/>
      <c r="BF19" s="258"/>
      <c r="BG19" s="258">
        <f t="shared" si="24"/>
        <v>248641.65999999997</v>
      </c>
      <c r="BH19" s="108">
        <f t="shared" si="31"/>
        <v>26</v>
      </c>
      <c r="BI19" s="108">
        <f t="shared" si="26"/>
        <v>26</v>
      </c>
      <c r="BJ19" s="22">
        <f t="shared" si="27"/>
        <v>44778</v>
      </c>
      <c r="BK19" s="108">
        <f t="shared" si="9"/>
        <v>11280</v>
      </c>
    </row>
    <row r="20" spans="1:393" ht="16.95" customHeight="1" thickBot="1" x14ac:dyDescent="0.3">
      <c r="A20" s="888" t="s">
        <v>309</v>
      </c>
      <c r="B20" s="888"/>
      <c r="C20" s="888"/>
      <c r="D20" s="888"/>
      <c r="E20" s="888"/>
      <c r="F20" s="224"/>
      <c r="G20" s="248">
        <f t="shared" si="28"/>
        <v>12</v>
      </c>
      <c r="H20" s="249">
        <f t="shared" si="1"/>
        <v>44809</v>
      </c>
      <c r="I20" s="246">
        <f t="shared" si="32"/>
        <v>0.10899999999999999</v>
      </c>
      <c r="J20" s="252">
        <f t="shared" si="11"/>
        <v>11280</v>
      </c>
      <c r="K20" s="252">
        <f t="shared" si="35"/>
        <v>11280</v>
      </c>
      <c r="L20" s="252">
        <f t="shared" si="36"/>
        <v>2720.03</v>
      </c>
      <c r="M20" s="252">
        <f t="shared" si="13"/>
        <v>8559.9699999999993</v>
      </c>
      <c r="N20" s="252">
        <f t="shared" si="3"/>
        <v>0</v>
      </c>
      <c r="O20" s="252">
        <v>0</v>
      </c>
      <c r="P20" s="252">
        <f t="shared" si="25"/>
        <v>2720.03</v>
      </c>
      <c r="Q20" s="252">
        <f t="shared" si="33"/>
        <v>0</v>
      </c>
      <c r="R20" s="252">
        <f t="shared" si="15"/>
        <v>0</v>
      </c>
      <c r="S20" s="252">
        <f t="shared" si="16"/>
        <v>285258.18000000005</v>
      </c>
      <c r="T20" s="468"/>
      <c r="U20" s="198">
        <f>IF((U19-1)&lt;0,0,U19-1)</f>
        <v>25</v>
      </c>
      <c r="V20" s="36">
        <f t="shared" si="17"/>
        <v>25</v>
      </c>
      <c r="W20" s="122">
        <v>2.9000000000000001E-2</v>
      </c>
      <c r="X20" s="122">
        <v>2.9000000000000001E-2</v>
      </c>
      <c r="Y20" s="122">
        <v>2.9000000000000001E-2</v>
      </c>
      <c r="Z20" s="122">
        <v>2.9000000000000001E-2</v>
      </c>
      <c r="AA20" s="122">
        <v>2.9000000000000001E-2</v>
      </c>
      <c r="AB20" s="15">
        <v>4.9000000000000002E-2</v>
      </c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3"/>
      <c r="AN20" s="113"/>
      <c r="AO20" s="130">
        <f t="shared" si="18"/>
        <v>1</v>
      </c>
      <c r="AP20" s="264">
        <f>AP19+1</f>
        <v>12</v>
      </c>
      <c r="AQ20" s="265">
        <f t="shared" si="4"/>
        <v>44809</v>
      </c>
      <c r="AR20" s="263">
        <f t="shared" si="34"/>
        <v>0.14899999999999999</v>
      </c>
      <c r="AS20" s="258">
        <f t="shared" si="19"/>
        <v>11630</v>
      </c>
      <c r="AT20" s="258">
        <f t="shared" si="6"/>
        <v>11630</v>
      </c>
      <c r="AU20" s="258">
        <f t="shared" si="20"/>
        <v>3146.51</v>
      </c>
      <c r="AV20" s="258">
        <f t="shared" si="21"/>
        <v>8483.49</v>
      </c>
      <c r="AW20" s="258">
        <f t="shared" si="7"/>
        <v>0</v>
      </c>
      <c r="AX20" s="258">
        <v>0</v>
      </c>
      <c r="AY20" s="258">
        <f t="shared" si="22"/>
        <v>3146.51</v>
      </c>
      <c r="AZ20" s="258">
        <f t="shared" si="8"/>
        <v>0</v>
      </c>
      <c r="BA20" s="258">
        <f t="shared" ref="BA20:BA83" si="37">IF(BI26=0,0,0)</f>
        <v>0</v>
      </c>
      <c r="BB20" s="258"/>
      <c r="BC20" s="258"/>
      <c r="BD20" s="258"/>
      <c r="BE20" s="258"/>
      <c r="BF20" s="258"/>
      <c r="BG20" s="258">
        <f t="shared" si="24"/>
        <v>240158.16999999998</v>
      </c>
      <c r="BH20" s="108">
        <f t="shared" si="31"/>
        <v>25</v>
      </c>
      <c r="BI20" s="108">
        <f t="shared" si="26"/>
        <v>25</v>
      </c>
      <c r="BJ20" s="22">
        <f t="shared" si="27"/>
        <v>44809</v>
      </c>
      <c r="BK20" s="108">
        <f t="shared" si="9"/>
        <v>11280</v>
      </c>
    </row>
    <row r="21" spans="1:393" ht="38.25" customHeight="1" x14ac:dyDescent="0.25">
      <c r="A21" s="944" t="s">
        <v>174</v>
      </c>
      <c r="B21" s="944"/>
      <c r="C21" s="945"/>
      <c r="D21" s="496"/>
      <c r="E21" s="496"/>
      <c r="F21" s="224"/>
      <c r="G21" s="244">
        <f t="shared" si="28"/>
        <v>13</v>
      </c>
      <c r="H21" s="245">
        <f t="shared" si="1"/>
        <v>44839</v>
      </c>
      <c r="I21" s="246">
        <f>IF(AND($C$16="Да",$C$8&lt;&gt;"Нет"),$AG$37,$C$13)</f>
        <v>0.10899999999999999</v>
      </c>
      <c r="J21" s="242">
        <f>K21+Q21</f>
        <v>11280</v>
      </c>
      <c r="K21" s="242">
        <f t="shared" si="35"/>
        <v>11280</v>
      </c>
      <c r="L21" s="242">
        <f t="shared" si="36"/>
        <v>2555.6</v>
      </c>
      <c r="M21" s="242">
        <f t="shared" si="13"/>
        <v>8724.4</v>
      </c>
      <c r="N21" s="242">
        <f t="shared" si="3"/>
        <v>0</v>
      </c>
      <c r="O21" s="242">
        <v>0</v>
      </c>
      <c r="P21" s="242">
        <f t="shared" si="25"/>
        <v>2555.6</v>
      </c>
      <c r="Q21" s="242">
        <f t="shared" si="33"/>
        <v>0</v>
      </c>
      <c r="R21" s="242">
        <f t="shared" si="15"/>
        <v>0</v>
      </c>
      <c r="S21" s="242">
        <f t="shared" si="16"/>
        <v>276533.78000000003</v>
      </c>
      <c r="T21" s="467"/>
      <c r="U21" s="198">
        <f>IF((U20-1)&lt;0,0,U20-1)</f>
        <v>24</v>
      </c>
      <c r="V21" s="36">
        <f t="shared" si="17"/>
        <v>24</v>
      </c>
      <c r="W21" s="84">
        <v>4.9000000000000002E-2</v>
      </c>
      <c r="X21" s="84">
        <v>4.9000000000000002E-2</v>
      </c>
      <c r="Y21" s="84">
        <v>4.9000000000000002E-2</v>
      </c>
      <c r="Z21" s="84">
        <v>4.9000000000000002E-2</v>
      </c>
      <c r="AA21" s="84">
        <v>4.9000000000000002E-2</v>
      </c>
      <c r="AB21" s="115"/>
      <c r="AC21" s="84">
        <v>0.129</v>
      </c>
      <c r="AD21" s="84">
        <v>0.129</v>
      </c>
      <c r="AE21" s="84">
        <v>0.129</v>
      </c>
      <c r="AF21" s="84">
        <v>0.129</v>
      </c>
      <c r="AG21" s="84">
        <v>0.129</v>
      </c>
      <c r="AH21" s="84">
        <v>0.129</v>
      </c>
      <c r="AI21" s="84">
        <v>0.129</v>
      </c>
      <c r="AJ21" s="84">
        <v>0.129</v>
      </c>
      <c r="AK21" s="84">
        <v>0.129</v>
      </c>
      <c r="AL21" s="84">
        <v>0.129</v>
      </c>
      <c r="AM21" s="3"/>
      <c r="AN21" s="3"/>
      <c r="AO21" s="130">
        <f t="shared" si="18"/>
        <v>1</v>
      </c>
      <c r="AP21" s="261">
        <f>AP20+1</f>
        <v>13</v>
      </c>
      <c r="AQ21" s="262">
        <f t="shared" si="4"/>
        <v>44839</v>
      </c>
      <c r="AR21" s="263">
        <f t="shared" si="34"/>
        <v>0.14899999999999999</v>
      </c>
      <c r="AS21" s="258">
        <f t="shared" si="19"/>
        <v>11630</v>
      </c>
      <c r="AT21" s="258">
        <f t="shared" si="6"/>
        <v>11630</v>
      </c>
      <c r="AU21" s="258">
        <f t="shared" si="20"/>
        <v>2941.12</v>
      </c>
      <c r="AV21" s="258">
        <f t="shared" si="21"/>
        <v>8688.880000000001</v>
      </c>
      <c r="AW21" s="258">
        <f t="shared" si="7"/>
        <v>0</v>
      </c>
      <c r="AX21" s="258">
        <v>0</v>
      </c>
      <c r="AY21" s="258">
        <f t="shared" si="22"/>
        <v>2941.12</v>
      </c>
      <c r="AZ21" s="258">
        <f t="shared" ref="AZ21:AZ84" si="38">IF(BI27=0,0,0)</f>
        <v>0</v>
      </c>
      <c r="BA21" s="258">
        <f t="shared" si="37"/>
        <v>0</v>
      </c>
      <c r="BB21" s="258"/>
      <c r="BC21" s="258"/>
      <c r="BD21" s="258"/>
      <c r="BE21" s="258"/>
      <c r="BF21" s="258"/>
      <c r="BG21" s="258">
        <f t="shared" si="24"/>
        <v>231469.28999999998</v>
      </c>
      <c r="BH21" s="108">
        <f t="shared" si="31"/>
        <v>24</v>
      </c>
      <c r="BI21" s="108">
        <f t="shared" si="26"/>
        <v>24</v>
      </c>
      <c r="BJ21" s="22">
        <f t="shared" si="27"/>
        <v>44839</v>
      </c>
      <c r="BK21" s="108">
        <f t="shared" si="9"/>
        <v>11280</v>
      </c>
    </row>
    <row r="22" spans="1:393" ht="34.200000000000003" customHeight="1" x14ac:dyDescent="0.25">
      <c r="A22" s="896" t="str">
        <f>IF(AND($C$8&lt;&gt;"Нет",$D$8&lt;&gt;"Нет",$C$14&lt;&gt;"Нет"),"Сумма кредита с ФЗ + Почетный Клиент + Всё под контролем, руб.",IF(AND($C$8&lt;&gt;"Нет",$D$8&lt;&gt;"Нет",$C$14&lt;&gt;"Да"),"Сумма кредита с учетом Финансовой защиты, руб.",IF(AND($D$8&lt;&gt;"Нет",$C$14&lt;&gt;"Нет"),"Сумма кредита с учетом пакета услуг Всё под контролем, руб.","Сумма кредита, руб.")))</f>
        <v>Сумма кредита с учетом Финансовой защиты, руб.</v>
      </c>
      <c r="B22" s="896"/>
      <c r="C22" s="516">
        <f>$C$7+(IF($C$8="Нет",0,IF($C$24&lt;&gt;"",$C$24,0))+IF(C14="Нет",0,IF(C14="Да",C15,0)))</f>
        <v>335640</v>
      </c>
      <c r="D22" s="473">
        <f>$C$7+(IF($D$8="Нет",0,IF($D$24&lt;&gt;"",$D$24,0))+IF(D14="Нет",0,IF(D14="Да",D15,0)))</f>
        <v>335640</v>
      </c>
      <c r="E22" s="224">
        <f>C22-D22</f>
        <v>0</v>
      </c>
      <c r="F22" s="225"/>
      <c r="G22" s="244">
        <f t="shared" si="28"/>
        <v>14</v>
      </c>
      <c r="H22" s="245">
        <f t="shared" si="1"/>
        <v>44870</v>
      </c>
      <c r="I22" s="246">
        <f t="shared" ref="I22:I32" si="39">IF(AND($C$16="Да",$C$8&lt;&gt;"Нет"),$AG$37,$C$13)</f>
        <v>0.10899999999999999</v>
      </c>
      <c r="J22" s="242">
        <f t="shared" si="11"/>
        <v>11280</v>
      </c>
      <c r="K22" s="242">
        <f t="shared" si="35"/>
        <v>11280</v>
      </c>
      <c r="L22" s="242">
        <f t="shared" si="36"/>
        <v>2560.02</v>
      </c>
      <c r="M22" s="242">
        <f t="shared" si="13"/>
        <v>8719.98</v>
      </c>
      <c r="N22" s="242">
        <f t="shared" si="3"/>
        <v>0</v>
      </c>
      <c r="O22" s="242">
        <v>0</v>
      </c>
      <c r="P22" s="242">
        <f t="shared" si="25"/>
        <v>2560.02</v>
      </c>
      <c r="Q22" s="242">
        <f t="shared" si="33"/>
        <v>0</v>
      </c>
      <c r="R22" s="242">
        <f t="shared" si="15"/>
        <v>0</v>
      </c>
      <c r="S22" s="242">
        <f t="shared" si="16"/>
        <v>267813.80000000005</v>
      </c>
      <c r="T22" s="467"/>
      <c r="U22" s="198">
        <f t="shared" si="29"/>
        <v>23</v>
      </c>
      <c r="V22" s="36">
        <f t="shared" si="17"/>
        <v>23</v>
      </c>
      <c r="W22" s="84">
        <v>6.9000000000000006E-2</v>
      </c>
      <c r="X22" s="84">
        <v>6.9000000000000006E-2</v>
      </c>
      <c r="Y22" s="84">
        <v>6.9000000000000006E-2</v>
      </c>
      <c r="Z22" s="84">
        <v>6.9000000000000006E-2</v>
      </c>
      <c r="AA22" s="84">
        <v>6.9000000000000006E-2</v>
      </c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O22" s="130">
        <f t="shared" si="18"/>
        <v>1</v>
      </c>
      <c r="AP22" s="261">
        <f t="shared" si="30"/>
        <v>14</v>
      </c>
      <c r="AQ22" s="262">
        <f t="shared" si="4"/>
        <v>44870</v>
      </c>
      <c r="AR22" s="263">
        <f t="shared" si="34"/>
        <v>0.14899999999999999</v>
      </c>
      <c r="AS22" s="258">
        <f t="shared" si="19"/>
        <v>11630</v>
      </c>
      <c r="AT22" s="258">
        <f t="shared" si="6"/>
        <v>11630</v>
      </c>
      <c r="AU22" s="258">
        <f t="shared" si="20"/>
        <v>2929.2</v>
      </c>
      <c r="AV22" s="258">
        <f t="shared" si="21"/>
        <v>8700.7999999999993</v>
      </c>
      <c r="AW22" s="258">
        <f t="shared" si="7"/>
        <v>0</v>
      </c>
      <c r="AX22" s="258">
        <v>0</v>
      </c>
      <c r="AY22" s="258">
        <f t="shared" si="22"/>
        <v>2929.2</v>
      </c>
      <c r="AZ22" s="258">
        <f t="shared" si="38"/>
        <v>0</v>
      </c>
      <c r="BA22" s="258">
        <f t="shared" si="37"/>
        <v>0</v>
      </c>
      <c r="BB22" s="258"/>
      <c r="BC22" s="258"/>
      <c r="BD22" s="258"/>
      <c r="BE22" s="258"/>
      <c r="BF22" s="258"/>
      <c r="BG22" s="258">
        <f t="shared" si="24"/>
        <v>222768.49</v>
      </c>
      <c r="BH22" s="108">
        <f t="shared" si="31"/>
        <v>23</v>
      </c>
      <c r="BI22" s="108">
        <f t="shared" si="26"/>
        <v>23</v>
      </c>
      <c r="BJ22" s="22">
        <f t="shared" si="27"/>
        <v>44870</v>
      </c>
      <c r="BK22" s="108">
        <f t="shared" si="9"/>
        <v>11280</v>
      </c>
    </row>
    <row r="23" spans="1:393" ht="19.2" customHeight="1" x14ac:dyDescent="0.25">
      <c r="A23" s="852" t="str">
        <f>IF(AND($C$8&lt;&gt;"Нет",$D$8&lt;&gt;"Нет",$C$14&lt;&gt;"Нет"),"Платеж с учетом Финансовой защиты + пакета услуг Всё под контролем, руб.",IF(AND($C$8&lt;&gt;"Нет",$D$8&lt;&gt;"Нет",$C$14&lt;&gt;"Да"),"Платеж с учетом Финансовой защиты, руб.",IF(AND($D$8&lt;&gt;"Нет",$C$14&lt;&gt;"Нет"),"Платеж с учетом пакета услуг Всё под контролем, руб.","Платеж, руб.")))</f>
        <v>Платеж с учетом Финансовой защиты, руб.</v>
      </c>
      <c r="B23" s="852"/>
      <c r="C23" s="516">
        <f>ROUNDUP(AH36/AH33*C22/AG47,0)*AG47</f>
        <v>11630</v>
      </c>
      <c r="D23" s="473">
        <f>ROUNDUP(AI36/AH33*D22/AG47,0)*AG47</f>
        <v>11630</v>
      </c>
      <c r="E23" s="224">
        <f>C23-D23</f>
        <v>0</v>
      </c>
      <c r="F23" s="226"/>
      <c r="G23" s="244">
        <f t="shared" si="28"/>
        <v>15</v>
      </c>
      <c r="H23" s="245">
        <f t="shared" si="1"/>
        <v>44900</v>
      </c>
      <c r="I23" s="246">
        <f t="shared" si="39"/>
        <v>0.10899999999999999</v>
      </c>
      <c r="J23" s="242">
        <f t="shared" si="11"/>
        <v>11280</v>
      </c>
      <c r="K23" s="242">
        <f t="shared" si="35"/>
        <v>11280</v>
      </c>
      <c r="L23" s="242">
        <f t="shared" si="36"/>
        <v>2399.3200000000002</v>
      </c>
      <c r="M23" s="242">
        <f t="shared" si="13"/>
        <v>8880.68</v>
      </c>
      <c r="N23" s="242">
        <f t="shared" si="3"/>
        <v>0</v>
      </c>
      <c r="O23" s="242">
        <v>0</v>
      </c>
      <c r="P23" s="242">
        <f t="shared" si="25"/>
        <v>2399.3200000000002</v>
      </c>
      <c r="Q23" s="242">
        <f t="shared" si="33"/>
        <v>0</v>
      </c>
      <c r="R23" s="242">
        <f t="shared" si="15"/>
        <v>0</v>
      </c>
      <c r="S23" s="242">
        <f t="shared" si="16"/>
        <v>258933.12000000005</v>
      </c>
      <c r="T23" s="467"/>
      <c r="U23" s="198">
        <f t="shared" si="29"/>
        <v>22</v>
      </c>
      <c r="V23" s="36">
        <f t="shared" si="17"/>
        <v>22</v>
      </c>
      <c r="W23" s="2">
        <v>1</v>
      </c>
      <c r="X23" s="2">
        <v>1</v>
      </c>
      <c r="Y23" s="3">
        <v>1</v>
      </c>
      <c r="Z23" s="2">
        <v>1</v>
      </c>
      <c r="AA23" s="3">
        <v>1</v>
      </c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O23" s="130">
        <f t="shared" si="18"/>
        <v>1</v>
      </c>
      <c r="AP23" s="261">
        <f t="shared" si="30"/>
        <v>15</v>
      </c>
      <c r="AQ23" s="262">
        <f t="shared" si="4"/>
        <v>44900</v>
      </c>
      <c r="AR23" s="263">
        <f t="shared" si="34"/>
        <v>0.14899999999999999</v>
      </c>
      <c r="AS23" s="258">
        <f t="shared" si="19"/>
        <v>11630</v>
      </c>
      <c r="AT23" s="258">
        <f t="shared" si="6"/>
        <v>11630</v>
      </c>
      <c r="AU23" s="258">
        <f t="shared" si="20"/>
        <v>2728.15</v>
      </c>
      <c r="AV23" s="258">
        <f t="shared" si="21"/>
        <v>8901.85</v>
      </c>
      <c r="AW23" s="258">
        <f t="shared" si="7"/>
        <v>0</v>
      </c>
      <c r="AX23" s="258">
        <v>0</v>
      </c>
      <c r="AY23" s="258">
        <f t="shared" si="22"/>
        <v>2728.15</v>
      </c>
      <c r="AZ23" s="258">
        <f t="shared" si="38"/>
        <v>0</v>
      </c>
      <c r="BA23" s="258">
        <f t="shared" si="37"/>
        <v>0</v>
      </c>
      <c r="BB23" s="258"/>
      <c r="BC23" s="258"/>
      <c r="BD23" s="258"/>
      <c r="BE23" s="258"/>
      <c r="BF23" s="258"/>
      <c r="BG23" s="258">
        <f t="shared" si="24"/>
        <v>213866.63999999998</v>
      </c>
      <c r="BH23" s="108">
        <f t="shared" si="31"/>
        <v>22</v>
      </c>
      <c r="BI23" s="108">
        <f t="shared" si="26"/>
        <v>22</v>
      </c>
      <c r="BJ23" s="22">
        <f t="shared" si="27"/>
        <v>44900</v>
      </c>
      <c r="BK23" s="108">
        <f t="shared" si="9"/>
        <v>11280</v>
      </c>
    </row>
    <row r="24" spans="1:393" ht="18" customHeight="1" x14ac:dyDescent="0.25">
      <c r="A24" s="846" t="s">
        <v>285</v>
      </c>
      <c r="B24" s="846"/>
      <c r="C24" s="508">
        <f>IF(C8="Гарантия пакет",(AH65*AH79+AI65*AI79),INDEX($AC$79:$AI$79,MATCH(C$8,$AC$59:$AJ$59,0))*C25)*$C$10</f>
        <v>35640</v>
      </c>
      <c r="D24" s="473">
        <f>IF(D8="Гарантия пакет",(AH65*AH79+AI65*AI79),INDEX($AC$79:$AI$79,MATCH(D$8,$AC$59:$AJ$59,0))*D25)*$C$10</f>
        <v>35640</v>
      </c>
      <c r="E24" s="226">
        <f>C24-D24</f>
        <v>0</v>
      </c>
      <c r="F24" s="226"/>
      <c r="G24" s="244">
        <f t="shared" si="28"/>
        <v>16</v>
      </c>
      <c r="H24" s="245">
        <f t="shared" si="1"/>
        <v>44931</v>
      </c>
      <c r="I24" s="246">
        <f t="shared" si="39"/>
        <v>0.10899999999999999</v>
      </c>
      <c r="J24" s="242">
        <f t="shared" si="11"/>
        <v>11280</v>
      </c>
      <c r="K24" s="242">
        <f t="shared" si="35"/>
        <v>11280</v>
      </c>
      <c r="L24" s="242">
        <f t="shared" si="36"/>
        <v>2397.08</v>
      </c>
      <c r="M24" s="242">
        <f t="shared" si="13"/>
        <v>8882.92</v>
      </c>
      <c r="N24" s="242">
        <f t="shared" si="3"/>
        <v>0</v>
      </c>
      <c r="O24" s="242">
        <v>0</v>
      </c>
      <c r="P24" s="242">
        <f t="shared" si="25"/>
        <v>2397.08</v>
      </c>
      <c r="Q24" s="242">
        <f t="shared" si="33"/>
        <v>0</v>
      </c>
      <c r="R24" s="242">
        <f t="shared" si="15"/>
        <v>0</v>
      </c>
      <c r="S24" s="242">
        <f t="shared" si="16"/>
        <v>250050.20000000004</v>
      </c>
      <c r="T24" s="467"/>
      <c r="U24" s="198">
        <f t="shared" si="29"/>
        <v>21</v>
      </c>
      <c r="V24" s="36">
        <f t="shared" si="17"/>
        <v>21</v>
      </c>
      <c r="AB24" s="3">
        <v>1</v>
      </c>
      <c r="AC24" s="15">
        <v>4.9000000000000002E-2</v>
      </c>
      <c r="AD24" s="15">
        <v>4.9000000000000002E-2</v>
      </c>
      <c r="AE24" s="15">
        <v>4.9000000000000002E-2</v>
      </c>
      <c r="AF24" s="80">
        <v>6.9000000000000006E-2</v>
      </c>
      <c r="AG24" s="80">
        <v>6.9000000000000006E-2</v>
      </c>
      <c r="AH24" s="80">
        <v>6.9000000000000006E-2</v>
      </c>
      <c r="AI24" s="80">
        <v>6.9000000000000006E-2</v>
      </c>
      <c r="AJ24" s="80">
        <v>6.9000000000000006E-2</v>
      </c>
      <c r="AK24" s="80">
        <v>6.9000000000000006E-2</v>
      </c>
      <c r="AL24" s="80">
        <v>6.9000000000000006E-2</v>
      </c>
      <c r="AO24" s="130">
        <f t="shared" si="18"/>
        <v>1</v>
      </c>
      <c r="AP24" s="261">
        <f t="shared" si="30"/>
        <v>16</v>
      </c>
      <c r="AQ24" s="262">
        <f t="shared" si="4"/>
        <v>44931</v>
      </c>
      <c r="AR24" s="263">
        <f t="shared" si="34"/>
        <v>0.14899999999999999</v>
      </c>
      <c r="AS24" s="258">
        <f t="shared" si="19"/>
        <v>11630</v>
      </c>
      <c r="AT24" s="258">
        <f t="shared" si="6"/>
        <v>11630</v>
      </c>
      <c r="AU24" s="258">
        <f t="shared" si="20"/>
        <v>2706.44</v>
      </c>
      <c r="AV24" s="258">
        <f t="shared" si="21"/>
        <v>8923.56</v>
      </c>
      <c r="AW24" s="258">
        <f t="shared" si="7"/>
        <v>0</v>
      </c>
      <c r="AX24" s="258">
        <v>0</v>
      </c>
      <c r="AY24" s="258">
        <f t="shared" si="22"/>
        <v>2706.44</v>
      </c>
      <c r="AZ24" s="258">
        <f t="shared" si="38"/>
        <v>0</v>
      </c>
      <c r="BA24" s="258">
        <f t="shared" si="37"/>
        <v>0</v>
      </c>
      <c r="BB24" s="258"/>
      <c r="BC24" s="258"/>
      <c r="BD24" s="258"/>
      <c r="BE24" s="258"/>
      <c r="BF24" s="258"/>
      <c r="BG24" s="258">
        <f t="shared" si="24"/>
        <v>204943.08</v>
      </c>
      <c r="BH24" s="108">
        <f t="shared" si="31"/>
        <v>21</v>
      </c>
      <c r="BI24" s="108">
        <f t="shared" si="26"/>
        <v>21</v>
      </c>
      <c r="BJ24" s="22">
        <f t="shared" si="27"/>
        <v>44931</v>
      </c>
      <c r="BK24" s="108">
        <f t="shared" si="9"/>
        <v>11280</v>
      </c>
    </row>
    <row r="25" spans="1:393" ht="18" customHeight="1" x14ac:dyDescent="0.25">
      <c r="A25" s="846" t="s">
        <v>100</v>
      </c>
      <c r="B25" s="891"/>
      <c r="C25" s="517">
        <f>IF(C8="Нет",0,IF(C8=AC59,AC65,IF(C8=AD59,AD65,IF(C8=AF59,AF65,IF(C8=AG59,AG65,IF(C8=AE59,AE65,IF(C8=AH59,AH65,IF(C8=AI59,AI65,IF(C8=AJ59,AJ65,Y23)))))))))</f>
        <v>3.0000000000000001E-3</v>
      </c>
      <c r="D25" s="473">
        <f>IF(D8=AC59,AC65,IF(D8=AD59,AD65,IF(D8=AF59,AF65,IF(D8=AG59,AG65,IF(D8=AE59,AE65,IF(D8=AH59,AH65,IF(D8=AI59,AI65,IF(D8=AJ59,AJ65,Y23))))))))</f>
        <v>3.0000000000000001E-3</v>
      </c>
      <c r="E25" s="225"/>
      <c r="F25" s="226"/>
      <c r="G25" s="244">
        <f t="shared" si="28"/>
        <v>17</v>
      </c>
      <c r="H25" s="245">
        <f t="shared" si="1"/>
        <v>44962</v>
      </c>
      <c r="I25" s="246">
        <f t="shared" si="39"/>
        <v>0.10899999999999999</v>
      </c>
      <c r="J25" s="242">
        <f t="shared" si="11"/>
        <v>11280</v>
      </c>
      <c r="K25" s="242">
        <f t="shared" si="35"/>
        <v>11280</v>
      </c>
      <c r="L25" s="242">
        <f t="shared" si="36"/>
        <v>2314.85</v>
      </c>
      <c r="M25" s="242">
        <f t="shared" si="13"/>
        <v>8965.15</v>
      </c>
      <c r="N25" s="242">
        <f t="shared" si="3"/>
        <v>0</v>
      </c>
      <c r="O25" s="242">
        <v>0</v>
      </c>
      <c r="P25" s="242">
        <f t="shared" si="25"/>
        <v>2314.85</v>
      </c>
      <c r="Q25" s="242">
        <f t="shared" si="33"/>
        <v>0</v>
      </c>
      <c r="R25" s="242">
        <f t="shared" si="15"/>
        <v>0</v>
      </c>
      <c r="S25" s="242">
        <f t="shared" si="16"/>
        <v>241085.05000000005</v>
      </c>
      <c r="T25" s="467"/>
      <c r="U25" s="198">
        <f t="shared" si="29"/>
        <v>20</v>
      </c>
      <c r="V25" s="36">
        <f t="shared" si="17"/>
        <v>20</v>
      </c>
      <c r="W25" s="2">
        <v>0</v>
      </c>
      <c r="X25" s="2">
        <v>1</v>
      </c>
      <c r="Y25" s="2">
        <v>2</v>
      </c>
      <c r="Z25" s="2">
        <v>3</v>
      </c>
      <c r="AA25" s="2">
        <v>4</v>
      </c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6"/>
      <c r="AN25" s="116"/>
      <c r="AO25" s="130">
        <f t="shared" si="18"/>
        <v>1</v>
      </c>
      <c r="AP25" s="266">
        <f t="shared" si="30"/>
        <v>17</v>
      </c>
      <c r="AQ25" s="265">
        <f t="shared" si="4"/>
        <v>44962</v>
      </c>
      <c r="AR25" s="263">
        <f t="shared" si="34"/>
        <v>0.14899999999999999</v>
      </c>
      <c r="AS25" s="258">
        <f t="shared" si="19"/>
        <v>11630</v>
      </c>
      <c r="AT25" s="258">
        <f t="shared" si="6"/>
        <v>11630</v>
      </c>
      <c r="AU25" s="258">
        <f t="shared" si="20"/>
        <v>2593.5100000000002</v>
      </c>
      <c r="AV25" s="258">
        <f t="shared" si="21"/>
        <v>9036.49</v>
      </c>
      <c r="AW25" s="258">
        <f t="shared" si="7"/>
        <v>0</v>
      </c>
      <c r="AX25" s="258">
        <v>0</v>
      </c>
      <c r="AY25" s="258">
        <f t="shared" si="22"/>
        <v>2593.5100000000002</v>
      </c>
      <c r="AZ25" s="258">
        <f t="shared" si="38"/>
        <v>0</v>
      </c>
      <c r="BA25" s="258">
        <f t="shared" si="37"/>
        <v>0</v>
      </c>
      <c r="BB25" s="258"/>
      <c r="BC25" s="258"/>
      <c r="BD25" s="258"/>
      <c r="BE25" s="258"/>
      <c r="BF25" s="258"/>
      <c r="BG25" s="258">
        <f t="shared" si="24"/>
        <v>195906.59</v>
      </c>
      <c r="BH25" s="108">
        <f t="shared" si="31"/>
        <v>20</v>
      </c>
      <c r="BI25" s="108">
        <f t="shared" si="26"/>
        <v>20</v>
      </c>
      <c r="BJ25" s="22">
        <f t="shared" si="27"/>
        <v>44962</v>
      </c>
      <c r="BK25" s="108">
        <f t="shared" si="9"/>
        <v>11280</v>
      </c>
    </row>
    <row r="26" spans="1:393" ht="18" customHeight="1" x14ac:dyDescent="0.25">
      <c r="A26" s="846" t="s">
        <v>325</v>
      </c>
      <c r="B26" s="846"/>
      <c r="C26" s="508">
        <f>IF(C8="Гарантия пакет",(AH65*AH79+AI65*AI79),INDEX($AC$79:$AI$79,MATCH(C$8,$AC$59:$AJ$59,0)))</f>
        <v>330000</v>
      </c>
      <c r="D26" s="473">
        <f>IF(D8="Гарантия пакет",(AH65*AH79+AI65*AI79),INDEX($AC$79:$AI$79,MATCH(D$8,$AC$59:$AJ$59,0)))</f>
        <v>330000</v>
      </c>
      <c r="E26" s="226">
        <f t="shared" ref="E26:E32" si="40">C26-D26</f>
        <v>0</v>
      </c>
      <c r="F26" s="192"/>
      <c r="G26" s="244">
        <f t="shared" si="28"/>
        <v>18</v>
      </c>
      <c r="H26" s="245">
        <f t="shared" si="1"/>
        <v>44990</v>
      </c>
      <c r="I26" s="246">
        <f t="shared" si="39"/>
        <v>0.10899999999999999</v>
      </c>
      <c r="J26" s="242">
        <f t="shared" si="11"/>
        <v>11280</v>
      </c>
      <c r="K26" s="242">
        <f t="shared" si="35"/>
        <v>11280</v>
      </c>
      <c r="L26" s="242">
        <f t="shared" si="36"/>
        <v>2015.87</v>
      </c>
      <c r="M26" s="242">
        <f t="shared" si="13"/>
        <v>9264.130000000001</v>
      </c>
      <c r="N26" s="242">
        <f t="shared" si="3"/>
        <v>0</v>
      </c>
      <c r="O26" s="242">
        <v>0</v>
      </c>
      <c r="P26" s="242">
        <f t="shared" si="25"/>
        <v>2015.87</v>
      </c>
      <c r="Q26" s="242">
        <f t="shared" si="33"/>
        <v>0</v>
      </c>
      <c r="R26" s="242">
        <f t="shared" si="15"/>
        <v>0</v>
      </c>
      <c r="S26" s="242">
        <f t="shared" si="16"/>
        <v>231820.92000000004</v>
      </c>
      <c r="T26" s="467"/>
      <c r="U26" s="198">
        <f t="shared" si="29"/>
        <v>19</v>
      </c>
      <c r="V26" s="36">
        <f t="shared" si="17"/>
        <v>19</v>
      </c>
      <c r="AB26" s="13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O26" s="130">
        <f t="shared" si="18"/>
        <v>1</v>
      </c>
      <c r="AP26" s="261">
        <f t="shared" si="30"/>
        <v>18</v>
      </c>
      <c r="AQ26" s="262">
        <f t="shared" si="4"/>
        <v>44990</v>
      </c>
      <c r="AR26" s="263">
        <f t="shared" si="34"/>
        <v>0.14899999999999999</v>
      </c>
      <c r="AS26" s="258">
        <f t="shared" si="19"/>
        <v>11630</v>
      </c>
      <c r="AT26" s="258">
        <f t="shared" si="6"/>
        <v>11630</v>
      </c>
      <c r="AU26" s="258">
        <f t="shared" si="20"/>
        <v>2239.2399999999998</v>
      </c>
      <c r="AV26" s="258">
        <f t="shared" si="21"/>
        <v>9390.76</v>
      </c>
      <c r="AW26" s="258">
        <f t="shared" si="7"/>
        <v>0</v>
      </c>
      <c r="AX26" s="258">
        <v>0</v>
      </c>
      <c r="AY26" s="258">
        <f t="shared" si="22"/>
        <v>2239.2399999999998</v>
      </c>
      <c r="AZ26" s="258">
        <f t="shared" si="38"/>
        <v>0</v>
      </c>
      <c r="BA26" s="258">
        <f t="shared" si="37"/>
        <v>0</v>
      </c>
      <c r="BB26" s="258"/>
      <c r="BC26" s="258"/>
      <c r="BD26" s="258"/>
      <c r="BE26" s="258"/>
      <c r="BF26" s="258"/>
      <c r="BG26" s="258">
        <f t="shared" si="24"/>
        <v>186515.83</v>
      </c>
      <c r="BH26" s="108">
        <f t="shared" si="31"/>
        <v>19</v>
      </c>
      <c r="BI26" s="108">
        <f t="shared" si="26"/>
        <v>19</v>
      </c>
      <c r="BJ26" s="22">
        <f t="shared" si="27"/>
        <v>44990</v>
      </c>
      <c r="BK26" s="108">
        <f t="shared" si="9"/>
        <v>11280</v>
      </c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97"/>
      <c r="DW26" s="97"/>
      <c r="DX26" s="97"/>
      <c r="DY26" s="97"/>
      <c r="DZ26" s="97"/>
      <c r="EA26" s="97"/>
      <c r="EB26" s="97"/>
      <c r="EC26" s="97"/>
      <c r="ED26" s="97"/>
      <c r="EE26" s="97"/>
      <c r="EF26" s="97"/>
      <c r="EG26" s="97"/>
      <c r="EH26" s="97"/>
      <c r="EI26" s="97"/>
      <c r="EJ26" s="97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97"/>
      <c r="FC26" s="97"/>
      <c r="FD26" s="97"/>
      <c r="FE26" s="97"/>
      <c r="FF26" s="97"/>
      <c r="FG26" s="97"/>
      <c r="FH26" s="97"/>
      <c r="FI26" s="97"/>
      <c r="FJ26" s="97"/>
      <c r="FK26" s="97"/>
      <c r="FL26" s="97"/>
      <c r="FM26" s="97"/>
      <c r="FN26" s="97"/>
      <c r="FO26" s="97"/>
      <c r="FP26" s="97"/>
      <c r="FQ26" s="97"/>
      <c r="FR26" s="97"/>
      <c r="FS26" s="97"/>
      <c r="FT26" s="97"/>
      <c r="FU26" s="97"/>
      <c r="FV26" s="97"/>
      <c r="FW26" s="97"/>
      <c r="FX26" s="97"/>
      <c r="FY26" s="97"/>
      <c r="FZ26" s="97"/>
      <c r="GA26" s="97"/>
      <c r="GB26" s="97"/>
      <c r="GC26" s="97"/>
      <c r="GD26" s="97"/>
      <c r="GE26" s="97"/>
      <c r="GF26" s="97"/>
      <c r="GG26" s="97"/>
      <c r="GH26" s="97"/>
      <c r="GI26" s="97"/>
      <c r="GJ26" s="97"/>
      <c r="GK26" s="97"/>
      <c r="GL26" s="97"/>
      <c r="GM26" s="97"/>
      <c r="GN26" s="97"/>
      <c r="GO26" s="97"/>
      <c r="GP26" s="97"/>
      <c r="GQ26" s="97"/>
      <c r="GR26" s="97"/>
      <c r="GS26" s="97"/>
      <c r="GT26" s="97"/>
      <c r="GU26" s="97"/>
      <c r="GV26" s="97"/>
      <c r="GW26" s="97"/>
      <c r="GX26" s="97"/>
      <c r="GY26" s="97"/>
      <c r="GZ26" s="97"/>
      <c r="HA26" s="97"/>
      <c r="HB26" s="97"/>
      <c r="HC26" s="97"/>
      <c r="HD26" s="97"/>
      <c r="HE26" s="97"/>
      <c r="HF26" s="97"/>
      <c r="HG26" s="97"/>
      <c r="HH26" s="97"/>
      <c r="HI26" s="97"/>
      <c r="HJ26" s="97"/>
      <c r="HK26" s="97"/>
      <c r="HL26" s="97"/>
      <c r="HM26" s="97"/>
      <c r="HN26" s="97"/>
      <c r="HO26" s="97"/>
      <c r="HP26" s="97"/>
      <c r="HQ26" s="97"/>
      <c r="HR26" s="97"/>
      <c r="HS26" s="97"/>
      <c r="HT26" s="97"/>
      <c r="HU26" s="97"/>
      <c r="HV26" s="97"/>
      <c r="HW26" s="97"/>
      <c r="HX26" s="97"/>
      <c r="HY26" s="97"/>
      <c r="HZ26" s="97"/>
      <c r="IA26" s="97"/>
      <c r="IB26" s="97"/>
      <c r="IC26" s="97"/>
      <c r="ID26" s="97"/>
      <c r="IE26" s="97"/>
      <c r="IF26" s="97"/>
      <c r="IG26" s="97"/>
      <c r="IH26" s="97"/>
      <c r="II26" s="97"/>
      <c r="IJ26" s="97"/>
      <c r="IK26" s="97"/>
      <c r="IL26" s="97"/>
      <c r="IM26" s="97"/>
      <c r="IN26" s="97"/>
      <c r="IO26" s="97"/>
      <c r="IP26" s="97"/>
      <c r="IQ26" s="97"/>
      <c r="IR26" s="97"/>
      <c r="IS26" s="97"/>
      <c r="IT26" s="97"/>
      <c r="IU26" s="97"/>
      <c r="IV26" s="97"/>
      <c r="IW26" s="97"/>
      <c r="IX26" s="97"/>
      <c r="IY26" s="97"/>
      <c r="IZ26" s="97"/>
      <c r="JA26" s="97"/>
      <c r="JB26" s="97"/>
      <c r="JC26" s="97"/>
      <c r="JD26" s="97"/>
      <c r="JE26" s="97"/>
      <c r="JF26" s="97"/>
      <c r="JG26" s="97"/>
      <c r="JH26" s="97"/>
      <c r="JI26" s="97"/>
      <c r="JJ26" s="97"/>
      <c r="JK26" s="97"/>
      <c r="JL26" s="97"/>
      <c r="JM26" s="97"/>
      <c r="JN26" s="97"/>
      <c r="JO26" s="97"/>
      <c r="JP26" s="97"/>
      <c r="JQ26" s="97"/>
      <c r="JR26" s="97"/>
      <c r="JS26" s="97"/>
      <c r="JT26" s="97"/>
      <c r="JU26" s="97"/>
      <c r="JV26" s="97"/>
      <c r="JW26" s="97"/>
      <c r="JX26" s="97"/>
      <c r="JY26" s="97"/>
      <c r="JZ26" s="97"/>
      <c r="KA26" s="97"/>
      <c r="KB26" s="97"/>
      <c r="KC26" s="97"/>
      <c r="KD26" s="97"/>
      <c r="KE26" s="97"/>
      <c r="KF26" s="97"/>
      <c r="KG26" s="97"/>
      <c r="KH26" s="97"/>
      <c r="KI26" s="97"/>
      <c r="KJ26" s="97"/>
      <c r="KK26" s="97"/>
      <c r="KL26" s="97"/>
      <c r="KM26" s="97"/>
      <c r="KN26" s="97"/>
      <c r="KO26" s="97"/>
      <c r="KP26" s="97"/>
      <c r="KQ26" s="97"/>
      <c r="KR26" s="97"/>
      <c r="KS26" s="97"/>
      <c r="KT26" s="97"/>
      <c r="KU26" s="97"/>
      <c r="KV26" s="97"/>
      <c r="KW26" s="97"/>
      <c r="KX26" s="97"/>
      <c r="KY26" s="97"/>
      <c r="KZ26" s="97"/>
      <c r="LA26" s="97"/>
      <c r="LB26" s="97"/>
      <c r="LC26" s="97"/>
      <c r="LD26" s="97"/>
      <c r="LE26" s="97"/>
      <c r="LF26" s="97"/>
      <c r="LG26" s="97"/>
      <c r="LH26" s="97"/>
      <c r="LI26" s="97"/>
      <c r="LJ26" s="97"/>
      <c r="LK26" s="97"/>
      <c r="LL26" s="97"/>
      <c r="LM26" s="97"/>
      <c r="LN26" s="97"/>
      <c r="LO26" s="97"/>
      <c r="LP26" s="97"/>
      <c r="LQ26" s="97"/>
      <c r="LR26" s="97"/>
      <c r="LS26" s="97"/>
      <c r="LT26" s="97"/>
      <c r="LU26" s="97"/>
      <c r="LV26" s="97"/>
      <c r="LW26" s="97"/>
      <c r="LX26" s="97"/>
      <c r="LY26" s="97"/>
      <c r="LZ26" s="97"/>
      <c r="MA26" s="97"/>
      <c r="MB26" s="97"/>
      <c r="MC26" s="97"/>
      <c r="MD26" s="97"/>
      <c r="ME26" s="97"/>
      <c r="MF26" s="97"/>
      <c r="MG26" s="97"/>
      <c r="MH26" s="97"/>
      <c r="MI26" s="97"/>
      <c r="MJ26" s="97"/>
      <c r="MK26" s="97"/>
      <c r="ML26" s="97"/>
      <c r="MM26" s="97"/>
      <c r="MN26" s="97"/>
      <c r="MO26" s="97"/>
      <c r="MP26" s="97"/>
      <c r="MQ26" s="97"/>
      <c r="MR26" s="97"/>
      <c r="MS26" s="97"/>
      <c r="MT26" s="97"/>
      <c r="MU26" s="97"/>
      <c r="MV26" s="97"/>
      <c r="MW26" s="97"/>
      <c r="MX26" s="97"/>
      <c r="MY26" s="97"/>
      <c r="MZ26" s="97"/>
      <c r="NA26" s="97"/>
      <c r="NB26" s="97"/>
      <c r="NC26" s="97"/>
      <c r="ND26" s="97"/>
      <c r="NE26" s="97"/>
      <c r="NF26" s="97"/>
      <c r="NG26" s="97"/>
      <c r="NH26" s="97"/>
      <c r="NI26" s="97"/>
      <c r="NJ26" s="97"/>
      <c r="NK26" s="97"/>
      <c r="NL26" s="97"/>
      <c r="NM26" s="97"/>
      <c r="NN26" s="97"/>
      <c r="NO26" s="97"/>
      <c r="NP26" s="97"/>
      <c r="NQ26" s="97"/>
      <c r="NR26" s="97"/>
      <c r="NS26" s="97"/>
      <c r="NT26" s="97"/>
      <c r="NU26" s="97"/>
      <c r="NV26" s="97"/>
      <c r="NW26" s="97"/>
      <c r="NX26" s="97"/>
      <c r="NY26" s="97"/>
      <c r="NZ26" s="97"/>
      <c r="OA26" s="97"/>
      <c r="OB26" s="97"/>
      <c r="OC26" s="97"/>
    </row>
    <row r="27" spans="1:393" ht="16.95" customHeight="1" x14ac:dyDescent="0.25">
      <c r="A27" s="846" t="s">
        <v>310</v>
      </c>
      <c r="B27" s="846"/>
      <c r="C27" s="508">
        <f>C24/$C$10</f>
        <v>990</v>
      </c>
      <c r="D27" s="473">
        <f>D24/$C$10</f>
        <v>990</v>
      </c>
      <c r="E27" s="226">
        <f t="shared" si="40"/>
        <v>0</v>
      </c>
      <c r="F27" s="192"/>
      <c r="G27" s="244">
        <f t="shared" si="28"/>
        <v>19</v>
      </c>
      <c r="H27" s="245">
        <f t="shared" si="1"/>
        <v>45021</v>
      </c>
      <c r="I27" s="246">
        <f t="shared" si="39"/>
        <v>0.10899999999999999</v>
      </c>
      <c r="J27" s="242">
        <f t="shared" si="11"/>
        <v>11280</v>
      </c>
      <c r="K27" s="242">
        <f t="shared" si="35"/>
        <v>11280</v>
      </c>
      <c r="L27" s="242">
        <f t="shared" si="36"/>
        <v>2146.09</v>
      </c>
      <c r="M27" s="242">
        <f t="shared" si="13"/>
        <v>9133.91</v>
      </c>
      <c r="N27" s="242">
        <f t="shared" si="3"/>
        <v>0</v>
      </c>
      <c r="O27" s="242">
        <v>0</v>
      </c>
      <c r="P27" s="242">
        <f t="shared" si="25"/>
        <v>2146.09</v>
      </c>
      <c r="Q27" s="242">
        <f t="shared" si="33"/>
        <v>0</v>
      </c>
      <c r="R27" s="242">
        <f t="shared" si="15"/>
        <v>0</v>
      </c>
      <c r="S27" s="242">
        <f t="shared" si="16"/>
        <v>222687.01000000004</v>
      </c>
      <c r="T27" s="467"/>
      <c r="U27" s="198">
        <f t="shared" si="29"/>
        <v>18</v>
      </c>
      <c r="V27" s="36">
        <f t="shared" si="17"/>
        <v>18</v>
      </c>
      <c r="W27" s="16"/>
      <c r="X27" s="16"/>
      <c r="Y27" s="57"/>
      <c r="AB27" s="13" t="s">
        <v>79</v>
      </c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O27" s="130">
        <f t="shared" si="18"/>
        <v>1</v>
      </c>
      <c r="AP27" s="261">
        <f t="shared" si="30"/>
        <v>19</v>
      </c>
      <c r="AQ27" s="262">
        <f t="shared" si="4"/>
        <v>45021</v>
      </c>
      <c r="AR27" s="263">
        <f t="shared" si="34"/>
        <v>0.14899999999999999</v>
      </c>
      <c r="AS27" s="258">
        <f t="shared" si="19"/>
        <v>11630</v>
      </c>
      <c r="AT27" s="258">
        <f t="shared" si="6"/>
        <v>11630</v>
      </c>
      <c r="AU27" s="258">
        <f t="shared" si="20"/>
        <v>2360.3200000000002</v>
      </c>
      <c r="AV27" s="258">
        <f t="shared" si="21"/>
        <v>9269.68</v>
      </c>
      <c r="AW27" s="258">
        <f t="shared" si="7"/>
        <v>0</v>
      </c>
      <c r="AX27" s="258">
        <v>0</v>
      </c>
      <c r="AY27" s="258">
        <f t="shared" si="22"/>
        <v>2360.3200000000002</v>
      </c>
      <c r="AZ27" s="258">
        <f t="shared" si="38"/>
        <v>0</v>
      </c>
      <c r="BA27" s="258">
        <f t="shared" si="37"/>
        <v>0</v>
      </c>
      <c r="BB27" s="258"/>
      <c r="BC27" s="258"/>
      <c r="BD27" s="258"/>
      <c r="BE27" s="258"/>
      <c r="BF27" s="258"/>
      <c r="BG27" s="258">
        <f t="shared" si="24"/>
        <v>177246.15</v>
      </c>
      <c r="BH27" s="108">
        <f t="shared" si="31"/>
        <v>18</v>
      </c>
      <c r="BI27" s="108">
        <f t="shared" si="26"/>
        <v>18</v>
      </c>
      <c r="BJ27" s="22">
        <f t="shared" si="27"/>
        <v>45021</v>
      </c>
      <c r="BK27" s="108">
        <f t="shared" si="9"/>
        <v>11280</v>
      </c>
    </row>
    <row r="28" spans="1:393" ht="22.5" customHeight="1" x14ac:dyDescent="0.25">
      <c r="A28" s="846" t="s">
        <v>311</v>
      </c>
      <c r="B28" s="846"/>
      <c r="C28" s="354">
        <f>ROUND($C$27/30.4,2)</f>
        <v>32.57</v>
      </c>
      <c r="D28" s="473">
        <f>ROUND($D$27/30.4,2)</f>
        <v>32.57</v>
      </c>
      <c r="E28" s="226">
        <f t="shared" si="40"/>
        <v>0</v>
      </c>
      <c r="F28" s="190"/>
      <c r="G28" s="244">
        <f t="shared" si="28"/>
        <v>20</v>
      </c>
      <c r="H28" s="245">
        <f t="shared" si="1"/>
        <v>45051</v>
      </c>
      <c r="I28" s="246">
        <f t="shared" si="39"/>
        <v>0.10899999999999999</v>
      </c>
      <c r="J28" s="242">
        <f t="shared" si="11"/>
        <v>11280</v>
      </c>
      <c r="K28" s="242">
        <f t="shared" si="35"/>
        <v>11280</v>
      </c>
      <c r="L28" s="242">
        <f t="shared" si="36"/>
        <v>1995.03</v>
      </c>
      <c r="M28" s="242">
        <f t="shared" si="13"/>
        <v>9284.9699999999993</v>
      </c>
      <c r="N28" s="242">
        <f t="shared" si="3"/>
        <v>0</v>
      </c>
      <c r="O28" s="242">
        <v>0</v>
      </c>
      <c r="P28" s="242">
        <f t="shared" si="25"/>
        <v>1995.03</v>
      </c>
      <c r="Q28" s="242">
        <f t="shared" si="33"/>
        <v>0</v>
      </c>
      <c r="R28" s="242">
        <f t="shared" si="15"/>
        <v>0</v>
      </c>
      <c r="S28" s="242">
        <f t="shared" si="16"/>
        <v>213402.04000000004</v>
      </c>
      <c r="T28" s="467"/>
      <c r="U28" s="198">
        <f t="shared" si="29"/>
        <v>17</v>
      </c>
      <c r="V28" s="36">
        <f t="shared" si="17"/>
        <v>17</v>
      </c>
      <c r="W28" s="138" t="s">
        <v>104</v>
      </c>
      <c r="X28" s="139"/>
      <c r="Y28" s="139" t="s">
        <v>20</v>
      </c>
      <c r="Z28" s="139" t="s">
        <v>29</v>
      </c>
      <c r="AA28" s="139"/>
      <c r="AB28" s="13" t="s">
        <v>80</v>
      </c>
      <c r="AC28" s="3">
        <v>1</v>
      </c>
      <c r="AD28" s="3">
        <v>1</v>
      </c>
      <c r="AE28" s="3">
        <v>1</v>
      </c>
      <c r="AF28" s="81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O28" s="130">
        <f t="shared" si="18"/>
        <v>1</v>
      </c>
      <c r="AP28" s="261">
        <f t="shared" si="30"/>
        <v>20</v>
      </c>
      <c r="AQ28" s="262">
        <f t="shared" si="4"/>
        <v>45051</v>
      </c>
      <c r="AR28" s="263">
        <f t="shared" si="34"/>
        <v>0.14899999999999999</v>
      </c>
      <c r="AS28" s="258">
        <f t="shared" si="19"/>
        <v>11630</v>
      </c>
      <c r="AT28" s="258">
        <f t="shared" si="6"/>
        <v>11630</v>
      </c>
      <c r="AU28" s="258">
        <f t="shared" si="20"/>
        <v>2170.66</v>
      </c>
      <c r="AV28" s="258">
        <f t="shared" si="21"/>
        <v>9459.34</v>
      </c>
      <c r="AW28" s="258">
        <f t="shared" si="7"/>
        <v>0</v>
      </c>
      <c r="AX28" s="258">
        <v>0</v>
      </c>
      <c r="AY28" s="258">
        <f t="shared" si="22"/>
        <v>2170.66</v>
      </c>
      <c r="AZ28" s="258">
        <f t="shared" si="38"/>
        <v>0</v>
      </c>
      <c r="BA28" s="258">
        <f t="shared" si="37"/>
        <v>0</v>
      </c>
      <c r="BB28" s="258"/>
      <c r="BC28" s="258"/>
      <c r="BD28" s="258"/>
      <c r="BE28" s="258"/>
      <c r="BF28" s="258"/>
      <c r="BG28" s="258">
        <f t="shared" si="24"/>
        <v>167786.81</v>
      </c>
      <c r="BH28" s="108">
        <f t="shared" si="31"/>
        <v>17</v>
      </c>
      <c r="BI28" s="108">
        <f t="shared" si="26"/>
        <v>17</v>
      </c>
      <c r="BJ28" s="22">
        <f t="shared" si="27"/>
        <v>45051</v>
      </c>
      <c r="BK28" s="108">
        <f t="shared" si="9"/>
        <v>11280</v>
      </c>
    </row>
    <row r="29" spans="1:393" ht="19.5" customHeight="1" x14ac:dyDescent="0.3">
      <c r="A29" s="846" t="s">
        <v>75</v>
      </c>
      <c r="B29" s="846"/>
      <c r="C29" s="194">
        <f>L109</f>
        <v>57590.689999999988</v>
      </c>
      <c r="D29" s="473">
        <f>AU109</f>
        <v>83085.429999999993</v>
      </c>
      <c r="E29" s="274">
        <f t="shared" si="40"/>
        <v>-25494.740000000005</v>
      </c>
      <c r="F29" s="234"/>
      <c r="G29" s="244">
        <f t="shared" si="28"/>
        <v>21</v>
      </c>
      <c r="H29" s="245">
        <f t="shared" si="1"/>
        <v>45082</v>
      </c>
      <c r="I29" s="246">
        <f t="shared" si="39"/>
        <v>0.10899999999999999</v>
      </c>
      <c r="J29" s="242">
        <f t="shared" si="11"/>
        <v>11280</v>
      </c>
      <c r="K29" s="242">
        <f t="shared" si="35"/>
        <v>11280</v>
      </c>
      <c r="L29" s="242">
        <f t="shared" si="36"/>
        <v>1975.58</v>
      </c>
      <c r="M29" s="242">
        <f t="shared" si="13"/>
        <v>9304.42</v>
      </c>
      <c r="N29" s="242">
        <f t="shared" si="3"/>
        <v>0</v>
      </c>
      <c r="O29" s="242">
        <v>0</v>
      </c>
      <c r="P29" s="242">
        <f t="shared" si="25"/>
        <v>1975.58</v>
      </c>
      <c r="Q29" s="242">
        <f t="shared" si="33"/>
        <v>0</v>
      </c>
      <c r="R29" s="242">
        <f t="shared" si="15"/>
        <v>0</v>
      </c>
      <c r="S29" s="242">
        <f t="shared" si="16"/>
        <v>204097.62000000002</v>
      </c>
      <c r="T29" s="467"/>
      <c r="U29" s="198">
        <f t="shared" si="29"/>
        <v>16</v>
      </c>
      <c r="V29" s="36">
        <f t="shared" si="17"/>
        <v>16</v>
      </c>
      <c r="W29" s="140" t="s">
        <v>106</v>
      </c>
      <c r="X29" s="140" t="s">
        <v>107</v>
      </c>
      <c r="Y29" s="140" t="s">
        <v>108</v>
      </c>
      <c r="Z29" s="140" t="s">
        <v>109</v>
      </c>
      <c r="AA29" s="140" t="s">
        <v>110</v>
      </c>
      <c r="AE29" s="82"/>
      <c r="AF29" s="2"/>
      <c r="AG29" s="2"/>
      <c r="AH29" s="2"/>
      <c r="AI29" s="3"/>
      <c r="AJ29" s="3"/>
      <c r="AK29" s="3"/>
      <c r="AL29" s="3"/>
      <c r="AO29" s="130">
        <f t="shared" si="18"/>
        <v>1</v>
      </c>
      <c r="AP29" s="261">
        <f t="shared" si="30"/>
        <v>21</v>
      </c>
      <c r="AQ29" s="262">
        <f t="shared" si="4"/>
        <v>45082</v>
      </c>
      <c r="AR29" s="263">
        <f t="shared" si="34"/>
        <v>0.14899999999999999</v>
      </c>
      <c r="AS29" s="258">
        <f t="shared" si="19"/>
        <v>11630</v>
      </c>
      <c r="AT29" s="258">
        <f t="shared" si="6"/>
        <v>11630</v>
      </c>
      <c r="AU29" s="258">
        <f t="shared" si="20"/>
        <v>2123.31</v>
      </c>
      <c r="AV29" s="258">
        <f t="shared" si="21"/>
        <v>9506.69</v>
      </c>
      <c r="AW29" s="258">
        <f t="shared" si="7"/>
        <v>0</v>
      </c>
      <c r="AX29" s="258">
        <v>0</v>
      </c>
      <c r="AY29" s="258">
        <f t="shared" si="22"/>
        <v>2123.31</v>
      </c>
      <c r="AZ29" s="258">
        <f t="shared" si="38"/>
        <v>0</v>
      </c>
      <c r="BA29" s="258">
        <f t="shared" si="37"/>
        <v>0</v>
      </c>
      <c r="BB29" s="258"/>
      <c r="BC29" s="258"/>
      <c r="BD29" s="258"/>
      <c r="BE29" s="258"/>
      <c r="BF29" s="258"/>
      <c r="BG29" s="258">
        <f t="shared" si="24"/>
        <v>158280.12</v>
      </c>
      <c r="BH29" s="108">
        <f t="shared" si="31"/>
        <v>16</v>
      </c>
      <c r="BI29" s="108">
        <f t="shared" si="26"/>
        <v>16</v>
      </c>
      <c r="BJ29" s="22">
        <f t="shared" si="27"/>
        <v>45082</v>
      </c>
      <c r="BK29" s="108">
        <f t="shared" si="9"/>
        <v>11280</v>
      </c>
    </row>
    <row r="30" spans="1:393" ht="17.25" customHeight="1" x14ac:dyDescent="0.3">
      <c r="A30" s="846" t="s">
        <v>290</v>
      </c>
      <c r="B30" s="846"/>
      <c r="C30" s="194">
        <f>IF(C18="",0,C18*6)</f>
        <v>42000</v>
      </c>
      <c r="D30" s="473">
        <f>IF(D18="",0,D18*12)</f>
        <v>0</v>
      </c>
      <c r="E30" s="274">
        <f t="shared" si="40"/>
        <v>42000</v>
      </c>
      <c r="F30" s="235"/>
      <c r="G30" s="244">
        <f>G29+1</f>
        <v>22</v>
      </c>
      <c r="H30" s="245">
        <f t="shared" si="1"/>
        <v>45112</v>
      </c>
      <c r="I30" s="246">
        <f t="shared" si="39"/>
        <v>0.10899999999999999</v>
      </c>
      <c r="J30" s="242">
        <f t="shared" si="11"/>
        <v>11280</v>
      </c>
      <c r="K30" s="242">
        <f t="shared" si="35"/>
        <v>11280</v>
      </c>
      <c r="L30" s="242">
        <f t="shared" si="36"/>
        <v>1828.49</v>
      </c>
      <c r="M30" s="242">
        <f t="shared" si="13"/>
        <v>9451.51</v>
      </c>
      <c r="N30" s="242">
        <f t="shared" si="3"/>
        <v>0</v>
      </c>
      <c r="O30" s="242">
        <v>0</v>
      </c>
      <c r="P30" s="242">
        <f t="shared" si="25"/>
        <v>1828.49</v>
      </c>
      <c r="Q30" s="242">
        <f t="shared" si="33"/>
        <v>0</v>
      </c>
      <c r="R30" s="242">
        <f t="shared" si="15"/>
        <v>0</v>
      </c>
      <c r="S30" s="242">
        <f t="shared" si="16"/>
        <v>194646.11000000002</v>
      </c>
      <c r="T30" s="467"/>
      <c r="U30" s="198">
        <f>IF((U29-1)&lt;0,0,U29-1)</f>
        <v>15</v>
      </c>
      <c r="V30" s="36">
        <f t="shared" si="17"/>
        <v>15</v>
      </c>
      <c r="W30" s="141">
        <v>13</v>
      </c>
      <c r="X30" s="142">
        <v>19</v>
      </c>
      <c r="Y30" s="142">
        <v>31</v>
      </c>
      <c r="Z30" s="141">
        <v>43</v>
      </c>
      <c r="AA30" s="141">
        <v>55</v>
      </c>
      <c r="AC30" s="13" t="s">
        <v>47</v>
      </c>
      <c r="AD30" s="2" t="s">
        <v>35</v>
      </c>
      <c r="AE30" s="82" t="s">
        <v>35</v>
      </c>
      <c r="AF30" s="2" t="s">
        <v>35</v>
      </c>
      <c r="AG30" s="2" t="s">
        <v>35</v>
      </c>
      <c r="AH30" s="2" t="s">
        <v>35</v>
      </c>
      <c r="AK30" s="2"/>
      <c r="AO30" s="130">
        <f t="shared" si="18"/>
        <v>1</v>
      </c>
      <c r="AP30" s="261">
        <f>AP29+1</f>
        <v>22</v>
      </c>
      <c r="AQ30" s="262">
        <f t="shared" si="4"/>
        <v>45112</v>
      </c>
      <c r="AR30" s="263">
        <f t="shared" si="34"/>
        <v>0.14899999999999999</v>
      </c>
      <c r="AS30" s="258">
        <f t="shared" si="19"/>
        <v>11630</v>
      </c>
      <c r="AT30" s="258">
        <f t="shared" si="6"/>
        <v>11630</v>
      </c>
      <c r="AU30" s="258">
        <f t="shared" si="20"/>
        <v>1938.39</v>
      </c>
      <c r="AV30" s="258">
        <f>IF(BI30=0,0,IF(BI30=1,BG29,IF(BG29+AW30+AU30&gt;AT29,AT30-AU30-AW30,BG29)))</f>
        <v>9691.61</v>
      </c>
      <c r="AW30" s="258">
        <f t="shared" si="7"/>
        <v>0</v>
      </c>
      <c r="AX30" s="258">
        <v>0</v>
      </c>
      <c r="AY30" s="258">
        <f t="shared" si="22"/>
        <v>1938.39</v>
      </c>
      <c r="AZ30" s="258">
        <f t="shared" si="38"/>
        <v>0</v>
      </c>
      <c r="BA30" s="258">
        <f t="shared" si="37"/>
        <v>0</v>
      </c>
      <c r="BB30" s="258"/>
      <c r="BC30" s="258"/>
      <c r="BD30" s="258"/>
      <c r="BE30" s="258"/>
      <c r="BF30" s="258"/>
      <c r="BG30" s="258">
        <f>IF(OR(BI30=1,BG29=0),0,BG29-AV30)</f>
        <v>148588.51</v>
      </c>
      <c r="BH30" s="108">
        <f>IF((BH29-1)&lt;0,0,BH29-1)</f>
        <v>15</v>
      </c>
      <c r="BI30" s="108">
        <f t="shared" si="26"/>
        <v>15</v>
      </c>
      <c r="BJ30" s="22">
        <f t="shared" si="27"/>
        <v>45112</v>
      </c>
      <c r="BK30" s="108">
        <f t="shared" si="9"/>
        <v>11280</v>
      </c>
    </row>
    <row r="31" spans="1:393" ht="16.5" customHeight="1" x14ac:dyDescent="0.25">
      <c r="A31" s="846" t="s">
        <v>157</v>
      </c>
      <c r="B31" s="846"/>
      <c r="C31" s="199">
        <f>J109</f>
        <v>435230.69000000006</v>
      </c>
      <c r="D31" s="473">
        <f>AT109</f>
        <v>418680</v>
      </c>
      <c r="E31" s="473">
        <f t="shared" si="40"/>
        <v>16550.690000000061</v>
      </c>
      <c r="F31" s="236"/>
      <c r="G31" s="244">
        <f t="shared" si="28"/>
        <v>23</v>
      </c>
      <c r="H31" s="245">
        <f t="shared" si="1"/>
        <v>45143</v>
      </c>
      <c r="I31" s="246">
        <f t="shared" si="39"/>
        <v>0.10899999999999999</v>
      </c>
      <c r="J31" s="242">
        <f t="shared" si="11"/>
        <v>11280</v>
      </c>
      <c r="K31" s="242">
        <f t="shared" si="35"/>
        <v>11280</v>
      </c>
      <c r="L31" s="242">
        <f t="shared" si="36"/>
        <v>1801.94</v>
      </c>
      <c r="M31" s="242">
        <f t="shared" si="13"/>
        <v>9478.06</v>
      </c>
      <c r="N31" s="242">
        <f t="shared" si="3"/>
        <v>0</v>
      </c>
      <c r="O31" s="242">
        <v>0</v>
      </c>
      <c r="P31" s="242">
        <f t="shared" si="25"/>
        <v>1801.94</v>
      </c>
      <c r="Q31" s="242">
        <f t="shared" si="33"/>
        <v>0</v>
      </c>
      <c r="R31" s="242">
        <f t="shared" si="15"/>
        <v>0</v>
      </c>
      <c r="S31" s="242">
        <f t="shared" si="16"/>
        <v>185168.05000000002</v>
      </c>
      <c r="T31" s="467"/>
      <c r="U31" s="198">
        <f t="shared" si="29"/>
        <v>14</v>
      </c>
      <c r="V31" s="36">
        <f t="shared" si="17"/>
        <v>14</v>
      </c>
      <c r="W31" s="142">
        <v>18</v>
      </c>
      <c r="X31" s="142">
        <v>30</v>
      </c>
      <c r="Y31" s="142">
        <v>42</v>
      </c>
      <c r="Z31" s="142">
        <v>54</v>
      </c>
      <c r="AA31" s="142">
        <v>60</v>
      </c>
      <c r="AC31" s="15">
        <f>IF(C12=W3,W17,IF(C12=Y3,Y17,IF(C12=Z3,Z17,IF(C12=AA3,AA17,IF(C12=X3,X17,)))))</f>
        <v>0</v>
      </c>
      <c r="AD31" s="15">
        <v>0</v>
      </c>
      <c r="AE31" s="2">
        <v>0</v>
      </c>
      <c r="AF31" s="2">
        <v>0</v>
      </c>
      <c r="AG31" s="2">
        <v>0</v>
      </c>
      <c r="AH31" s="2"/>
      <c r="AK31" s="2"/>
      <c r="AO31" s="130">
        <f t="shared" si="18"/>
        <v>1</v>
      </c>
      <c r="AP31" s="261">
        <f t="shared" si="30"/>
        <v>23</v>
      </c>
      <c r="AQ31" s="262">
        <f t="shared" si="4"/>
        <v>45143</v>
      </c>
      <c r="AR31" s="263">
        <f t="shared" si="34"/>
        <v>0.14899999999999999</v>
      </c>
      <c r="AS31" s="258">
        <f t="shared" si="19"/>
        <v>11630</v>
      </c>
      <c r="AT31" s="258">
        <f t="shared" si="6"/>
        <v>11630</v>
      </c>
      <c r="AU31" s="258">
        <f t="shared" si="20"/>
        <v>1880.36</v>
      </c>
      <c r="AV31" s="258">
        <f t="shared" si="21"/>
        <v>9749.64</v>
      </c>
      <c r="AW31" s="258">
        <f t="shared" si="7"/>
        <v>0</v>
      </c>
      <c r="AX31" s="258">
        <v>0</v>
      </c>
      <c r="AY31" s="258">
        <f t="shared" si="22"/>
        <v>1880.36</v>
      </c>
      <c r="AZ31" s="258">
        <f t="shared" si="38"/>
        <v>0</v>
      </c>
      <c r="BA31" s="258">
        <f t="shared" si="37"/>
        <v>0</v>
      </c>
      <c r="BB31" s="258"/>
      <c r="BC31" s="258"/>
      <c r="BD31" s="258"/>
      <c r="BE31" s="258"/>
      <c r="BF31" s="258"/>
      <c r="BG31" s="258">
        <f t="shared" si="24"/>
        <v>138838.87</v>
      </c>
      <c r="BH31" s="108">
        <f t="shared" si="31"/>
        <v>14</v>
      </c>
      <c r="BI31" s="108">
        <f t="shared" si="26"/>
        <v>14</v>
      </c>
      <c r="BJ31" s="22">
        <f t="shared" si="27"/>
        <v>45143</v>
      </c>
      <c r="BK31" s="108">
        <f t="shared" si="9"/>
        <v>11280</v>
      </c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116"/>
      <c r="FX31" s="116"/>
      <c r="FY31" s="116"/>
      <c r="FZ31" s="116"/>
      <c r="GA31" s="116"/>
      <c r="GB31" s="116"/>
      <c r="GC31" s="116"/>
      <c r="GD31" s="116"/>
      <c r="GE31" s="116"/>
      <c r="GF31" s="116"/>
      <c r="GG31" s="116"/>
      <c r="GH31" s="116"/>
      <c r="GI31" s="116"/>
      <c r="GJ31" s="116"/>
      <c r="GK31" s="116"/>
      <c r="GL31" s="116"/>
      <c r="GM31" s="116"/>
      <c r="GN31" s="116"/>
      <c r="GO31" s="116"/>
      <c r="GP31" s="116"/>
      <c r="GQ31" s="116"/>
      <c r="GR31" s="116"/>
      <c r="GS31" s="116"/>
      <c r="GT31" s="116"/>
      <c r="GU31" s="116"/>
      <c r="GV31" s="116"/>
      <c r="GW31" s="116"/>
      <c r="GX31" s="116"/>
      <c r="GY31" s="116"/>
      <c r="GZ31" s="116"/>
      <c r="HA31" s="116"/>
      <c r="HB31" s="116"/>
      <c r="HC31" s="116"/>
      <c r="HD31" s="116"/>
      <c r="HE31" s="116"/>
      <c r="HF31" s="116"/>
      <c r="HG31" s="116"/>
      <c r="HH31" s="116"/>
      <c r="HI31" s="116"/>
      <c r="HJ31" s="116"/>
      <c r="HK31" s="116"/>
      <c r="HL31" s="116"/>
      <c r="HM31" s="116"/>
      <c r="HN31" s="116"/>
      <c r="HO31" s="116"/>
      <c r="HP31" s="116"/>
      <c r="HQ31" s="116"/>
      <c r="HR31" s="116"/>
      <c r="HS31" s="116"/>
      <c r="HT31" s="116"/>
      <c r="HU31" s="116"/>
      <c r="HV31" s="116"/>
      <c r="HW31" s="116"/>
      <c r="HX31" s="116"/>
      <c r="HY31" s="116"/>
      <c r="HZ31" s="116"/>
      <c r="IA31" s="116"/>
      <c r="IB31" s="116"/>
      <c r="IC31" s="116"/>
      <c r="ID31" s="116"/>
      <c r="IE31" s="116"/>
      <c r="IF31" s="116"/>
      <c r="IG31" s="116"/>
      <c r="IH31" s="116"/>
      <c r="II31" s="116"/>
      <c r="IJ31" s="116"/>
      <c r="IK31" s="116"/>
      <c r="IL31" s="116"/>
      <c r="IM31" s="116"/>
      <c r="IN31" s="116"/>
      <c r="IO31" s="116"/>
      <c r="IP31" s="116"/>
      <c r="IQ31" s="116"/>
      <c r="IR31" s="116"/>
      <c r="IS31" s="116"/>
      <c r="IT31" s="116"/>
      <c r="IU31" s="116"/>
      <c r="IV31" s="116"/>
      <c r="IW31" s="116"/>
      <c r="IX31" s="116"/>
      <c r="IY31" s="116"/>
      <c r="IZ31" s="116"/>
      <c r="JA31" s="116"/>
      <c r="JB31" s="116"/>
      <c r="JC31" s="116"/>
      <c r="JD31" s="116"/>
      <c r="JE31" s="116"/>
      <c r="JF31" s="116"/>
      <c r="JG31" s="116"/>
      <c r="JH31" s="116"/>
      <c r="JI31" s="116"/>
      <c r="JJ31" s="116"/>
      <c r="JK31" s="116"/>
      <c r="JL31" s="116"/>
      <c r="JM31" s="116"/>
      <c r="JN31" s="116"/>
      <c r="JO31" s="116"/>
      <c r="JP31" s="116"/>
      <c r="JQ31" s="116"/>
      <c r="JR31" s="116"/>
      <c r="JS31" s="116"/>
      <c r="JT31" s="116"/>
      <c r="JU31" s="116"/>
      <c r="JV31" s="116"/>
      <c r="JW31" s="116"/>
      <c r="JX31" s="116"/>
      <c r="JY31" s="116"/>
      <c r="JZ31" s="116"/>
      <c r="KA31" s="116"/>
      <c r="KB31" s="116"/>
      <c r="KC31" s="116"/>
      <c r="KD31" s="116"/>
      <c r="KE31" s="116"/>
      <c r="KF31" s="116"/>
      <c r="KG31" s="116"/>
      <c r="KH31" s="116"/>
      <c r="KI31" s="116"/>
      <c r="KJ31" s="116"/>
      <c r="KK31" s="116"/>
      <c r="KL31" s="116"/>
      <c r="KM31" s="116"/>
      <c r="KN31" s="116"/>
      <c r="KO31" s="116"/>
      <c r="KP31" s="116"/>
      <c r="KQ31" s="116"/>
      <c r="KR31" s="116"/>
      <c r="KS31" s="116"/>
      <c r="KT31" s="116"/>
      <c r="KU31" s="116"/>
      <c r="KV31" s="116"/>
      <c r="KW31" s="116"/>
      <c r="KX31" s="116"/>
      <c r="KY31" s="116"/>
      <c r="KZ31" s="116"/>
      <c r="LA31" s="116"/>
      <c r="LB31" s="116"/>
      <c r="LC31" s="116"/>
      <c r="LD31" s="116"/>
      <c r="LE31" s="116"/>
      <c r="LF31" s="116"/>
      <c r="LG31" s="116"/>
      <c r="LH31" s="116"/>
      <c r="LI31" s="116"/>
      <c r="LJ31" s="116"/>
      <c r="LK31" s="116"/>
      <c r="LL31" s="116"/>
      <c r="LM31" s="116"/>
      <c r="LN31" s="116"/>
      <c r="LO31" s="116"/>
      <c r="LP31" s="116"/>
      <c r="LQ31" s="116"/>
      <c r="LR31" s="116"/>
      <c r="LS31" s="116"/>
      <c r="LT31" s="116"/>
      <c r="LU31" s="116"/>
      <c r="LV31" s="116"/>
      <c r="LW31" s="116"/>
      <c r="LX31" s="116"/>
      <c r="LY31" s="116"/>
      <c r="LZ31" s="116"/>
      <c r="MA31" s="116"/>
      <c r="MB31" s="116"/>
      <c r="MC31" s="116"/>
      <c r="MD31" s="116"/>
      <c r="ME31" s="116"/>
      <c r="MF31" s="116"/>
      <c r="MG31" s="116"/>
      <c r="MH31" s="116"/>
      <c r="MI31" s="116"/>
      <c r="MJ31" s="116"/>
      <c r="MK31" s="116"/>
      <c r="ML31" s="116"/>
      <c r="MM31" s="116"/>
      <c r="MN31" s="116"/>
      <c r="MO31" s="116"/>
      <c r="MP31" s="116"/>
      <c r="MQ31" s="116"/>
      <c r="MR31" s="116"/>
      <c r="MS31" s="116"/>
      <c r="MT31" s="116"/>
      <c r="MU31" s="116"/>
      <c r="MV31" s="116"/>
      <c r="MW31" s="116"/>
      <c r="MX31" s="116"/>
      <c r="MY31" s="116"/>
      <c r="MZ31" s="116"/>
      <c r="NA31" s="116"/>
      <c r="NB31" s="116"/>
      <c r="NC31" s="116"/>
      <c r="ND31" s="116"/>
      <c r="NE31" s="116"/>
      <c r="NF31" s="116"/>
      <c r="NG31" s="116"/>
      <c r="NH31" s="116"/>
      <c r="NI31" s="116"/>
      <c r="NJ31" s="116"/>
      <c r="NK31" s="116"/>
      <c r="NL31" s="116"/>
      <c r="NM31" s="116"/>
      <c r="NN31" s="116"/>
      <c r="NO31" s="116"/>
      <c r="NP31" s="116"/>
      <c r="NQ31" s="116"/>
    </row>
    <row r="32" spans="1:393" ht="37.5" customHeight="1" thickBot="1" x14ac:dyDescent="0.3">
      <c r="A32" s="941" t="s">
        <v>302</v>
      </c>
      <c r="B32" s="941"/>
      <c r="C32" s="518">
        <f>C29+C30</f>
        <v>99590.689999999988</v>
      </c>
      <c r="D32" s="519">
        <f>D29+D30</f>
        <v>83085.429999999993</v>
      </c>
      <c r="E32" s="520">
        <f t="shared" si="40"/>
        <v>16505.259999999995</v>
      </c>
      <c r="F32" s="191"/>
      <c r="G32" s="248">
        <f t="shared" si="28"/>
        <v>24</v>
      </c>
      <c r="H32" s="249">
        <f t="shared" si="1"/>
        <v>45174</v>
      </c>
      <c r="I32" s="250">
        <f t="shared" si="39"/>
        <v>0.10899999999999999</v>
      </c>
      <c r="J32" s="252">
        <f t="shared" si="11"/>
        <v>11280</v>
      </c>
      <c r="K32" s="252">
        <f t="shared" si="35"/>
        <v>11280</v>
      </c>
      <c r="L32" s="252">
        <f t="shared" si="36"/>
        <v>1714.2</v>
      </c>
      <c r="M32" s="252">
        <f t="shared" si="13"/>
        <v>9565.7999999999993</v>
      </c>
      <c r="N32" s="252">
        <f t="shared" si="3"/>
        <v>0</v>
      </c>
      <c r="O32" s="252">
        <v>0</v>
      </c>
      <c r="P32" s="252">
        <f t="shared" si="25"/>
        <v>1714.2</v>
      </c>
      <c r="Q32" s="252">
        <f t="shared" si="33"/>
        <v>0</v>
      </c>
      <c r="R32" s="252">
        <f t="shared" si="15"/>
        <v>0</v>
      </c>
      <c r="S32" s="252">
        <f t="shared" si="16"/>
        <v>175602.25000000003</v>
      </c>
      <c r="T32" s="468"/>
      <c r="U32" s="198">
        <f t="shared" si="29"/>
        <v>13</v>
      </c>
      <c r="V32" s="36">
        <f t="shared" si="17"/>
        <v>13</v>
      </c>
      <c r="W32" s="142">
        <v>2400</v>
      </c>
      <c r="X32" s="142">
        <v>2900</v>
      </c>
      <c r="Y32" s="142">
        <v>3900</v>
      </c>
      <c r="Z32" s="142">
        <v>4900</v>
      </c>
      <c r="AA32" s="142">
        <v>5900</v>
      </c>
      <c r="AC32" s="15" t="e">
        <f>IF(#REF!=W3,W17,IF(#REF!=Y3,Y17,IF(#REF!=Z3,Z17,IF(#REF!=AA3,AA17,IF(#REF!=X3,X17,)))))</f>
        <v>#REF!</v>
      </c>
      <c r="AD32" s="15">
        <v>0</v>
      </c>
      <c r="AE32" s="15"/>
      <c r="AF32" s="2"/>
      <c r="AG32" s="2"/>
      <c r="AH32" s="2"/>
      <c r="AK32" s="2"/>
      <c r="AN32" s="16"/>
      <c r="AO32" s="130">
        <f t="shared" si="18"/>
        <v>1</v>
      </c>
      <c r="AP32" s="261">
        <f t="shared" si="30"/>
        <v>24</v>
      </c>
      <c r="AQ32" s="262">
        <f t="shared" si="4"/>
        <v>45174</v>
      </c>
      <c r="AR32" s="263">
        <f t="shared" si="34"/>
        <v>0.14899999999999999</v>
      </c>
      <c r="AS32" s="258">
        <f t="shared" si="19"/>
        <v>11630</v>
      </c>
      <c r="AT32" s="258">
        <f t="shared" si="6"/>
        <v>11630</v>
      </c>
      <c r="AU32" s="258">
        <f t="shared" si="20"/>
        <v>1756.98</v>
      </c>
      <c r="AV32" s="258">
        <f t="shared" si="21"/>
        <v>9873.02</v>
      </c>
      <c r="AW32" s="258">
        <f t="shared" si="7"/>
        <v>0</v>
      </c>
      <c r="AX32" s="258">
        <v>0</v>
      </c>
      <c r="AY32" s="258">
        <f t="shared" si="22"/>
        <v>1756.98</v>
      </c>
      <c r="AZ32" s="258">
        <f t="shared" si="38"/>
        <v>0</v>
      </c>
      <c r="BA32" s="258">
        <f t="shared" si="37"/>
        <v>0</v>
      </c>
      <c r="BB32" s="258"/>
      <c r="BC32" s="258"/>
      <c r="BD32" s="258"/>
      <c r="BE32" s="258"/>
      <c r="BF32" s="258"/>
      <c r="BG32" s="258">
        <f t="shared" si="24"/>
        <v>128965.84999999999</v>
      </c>
      <c r="BH32" s="108">
        <f t="shared" si="31"/>
        <v>13</v>
      </c>
      <c r="BI32" s="108">
        <f t="shared" si="26"/>
        <v>13</v>
      </c>
      <c r="BJ32" s="22">
        <f t="shared" si="27"/>
        <v>45174</v>
      </c>
      <c r="BK32" s="108">
        <f t="shared" si="9"/>
        <v>11280</v>
      </c>
    </row>
    <row r="33" spans="1:1217" ht="51.75" customHeight="1" x14ac:dyDescent="0.25">
      <c r="A33" s="974" t="s">
        <v>293</v>
      </c>
      <c r="B33" s="974"/>
      <c r="C33" s="994" t="str">
        <f>IF(C8="Нет","Для снижения ставки и активации льготного периода предложи подключить ФЗ",IF(E32&lt;0,CONCATENATE(ROUND(D32-C32,0)," рублей"),"Для экономии по кредиту предложи Клиенту увеличить срок и / или сумму кредита"))</f>
        <v>Для экономии по кредиту предложи Клиенту увеличить срок и / или сумму кредита</v>
      </c>
      <c r="D33" s="994"/>
      <c r="E33" s="994"/>
      <c r="F33" s="191"/>
      <c r="G33" s="244">
        <f t="shared" si="28"/>
        <v>25</v>
      </c>
      <c r="H33" s="245">
        <f t="shared" si="1"/>
        <v>45204</v>
      </c>
      <c r="I33" s="246">
        <f>IF(AND($C$16="Да",$C$8&lt;&gt;"Нет"),$AG$38,$C$13)</f>
        <v>0.10899999999999999</v>
      </c>
      <c r="J33" s="242">
        <f t="shared" si="11"/>
        <v>11280</v>
      </c>
      <c r="K33" s="242">
        <f t="shared" ref="K33:K44" si="41">IF(AND(G33&gt;=$W$9,G33&lt;=$W$9+5),$W$10,IF(AND(S32+N33+L33&gt;K32,K32&lt;&gt;0),IF(AND($C$16="Да",$C$8&lt;&gt;"Нет"),$AF$38,$C$23),IF(S32=0,0,S32+N33+L33+L34)))</f>
        <v>11280</v>
      </c>
      <c r="L33" s="242">
        <f t="shared" si="36"/>
        <v>1573.2</v>
      </c>
      <c r="M33" s="242">
        <f t="shared" si="13"/>
        <v>9706.7999999999993</v>
      </c>
      <c r="N33" s="242">
        <f t="shared" si="3"/>
        <v>0</v>
      </c>
      <c r="O33" s="242">
        <v>0</v>
      </c>
      <c r="P33" s="242">
        <f t="shared" si="25"/>
        <v>1573.2</v>
      </c>
      <c r="Q33" s="242">
        <f t="shared" si="33"/>
        <v>0</v>
      </c>
      <c r="R33" s="242">
        <f t="shared" si="15"/>
        <v>0</v>
      </c>
      <c r="S33" s="242">
        <f t="shared" si="16"/>
        <v>165895.45000000004</v>
      </c>
      <c r="T33" s="467"/>
      <c r="U33" s="198">
        <f t="shared" si="29"/>
        <v>12</v>
      </c>
      <c r="V33" s="36">
        <f t="shared" si="17"/>
        <v>12</v>
      </c>
      <c r="W33" s="158">
        <v>1400</v>
      </c>
      <c r="X33" s="158">
        <v>1900</v>
      </c>
      <c r="Y33" s="158">
        <v>2900</v>
      </c>
      <c r="Z33" s="158">
        <v>3900</v>
      </c>
      <c r="AA33" s="158">
        <v>4900</v>
      </c>
      <c r="AE33" s="15"/>
      <c r="AF33" s="173">
        <f>$C$23-AG33</f>
        <v>-1670</v>
      </c>
      <c r="AG33" s="2">
        <f>ROUNDUP(((S20)*AG37/12*(1+AG37/12)^(U21)/((1+AG37/12)^(U21)-1)+S20/10000*IF(U21&lt;11,20,IF(U21&lt;34,0.7,IF(U21&lt;58,0.3,0.1)))*IF(AG37&lt;0.3,AG37/0.2,AG37/0.1))/AG47,0)*AG47</f>
        <v>13300</v>
      </c>
      <c r="AH33" s="16">
        <v>6000000</v>
      </c>
      <c r="AM33" s="16"/>
      <c r="AN33" s="16"/>
      <c r="AO33" s="130">
        <f t="shared" si="18"/>
        <v>1</v>
      </c>
      <c r="AP33" s="261">
        <f t="shared" si="30"/>
        <v>25</v>
      </c>
      <c r="AQ33" s="262">
        <f t="shared" si="4"/>
        <v>45204</v>
      </c>
      <c r="AR33" s="263">
        <f t="shared" ref="AR33:AR44" si="42">IF($D$16="Да",$AM$38,$D$13)</f>
        <v>0.14899999999999999</v>
      </c>
      <c r="AS33" s="258">
        <f t="shared" si="19"/>
        <v>11630</v>
      </c>
      <c r="AT33" s="258">
        <f t="shared" si="6"/>
        <v>11630</v>
      </c>
      <c r="AU33" s="258">
        <f t="shared" si="20"/>
        <v>1579.39</v>
      </c>
      <c r="AV33" s="258">
        <f t="shared" si="21"/>
        <v>10050.61</v>
      </c>
      <c r="AW33" s="258">
        <f t="shared" si="7"/>
        <v>0</v>
      </c>
      <c r="AX33" s="258">
        <v>0</v>
      </c>
      <c r="AY33" s="258">
        <f t="shared" si="22"/>
        <v>1579.39</v>
      </c>
      <c r="AZ33" s="258">
        <f t="shared" si="38"/>
        <v>0</v>
      </c>
      <c r="BA33" s="258">
        <f t="shared" si="37"/>
        <v>0</v>
      </c>
      <c r="BB33" s="258"/>
      <c r="BC33" s="258"/>
      <c r="BD33" s="258"/>
      <c r="BE33" s="258"/>
      <c r="BF33" s="258"/>
      <c r="BG33" s="258">
        <f t="shared" si="24"/>
        <v>118915.23999999999</v>
      </c>
      <c r="BH33" s="108">
        <f t="shared" si="31"/>
        <v>12</v>
      </c>
      <c r="BI33" s="108">
        <f t="shared" si="26"/>
        <v>12</v>
      </c>
      <c r="BJ33" s="22">
        <f t="shared" si="27"/>
        <v>45204</v>
      </c>
      <c r="BK33" s="108">
        <f t="shared" si="9"/>
        <v>11280</v>
      </c>
      <c r="BN33" s="853"/>
      <c r="BP33" s="131"/>
    </row>
    <row r="34" spans="1:1217" ht="13.5" customHeight="1" thickBot="1" x14ac:dyDescent="0.3">
      <c r="A34" s="977" t="s">
        <v>312</v>
      </c>
      <c r="B34" s="977"/>
      <c r="C34" s="977"/>
      <c r="D34" s="977"/>
      <c r="E34" s="977"/>
      <c r="F34" s="191"/>
      <c r="G34" s="244">
        <f t="shared" si="28"/>
        <v>26</v>
      </c>
      <c r="H34" s="245">
        <f t="shared" si="1"/>
        <v>45235</v>
      </c>
      <c r="I34" s="246">
        <f t="shared" ref="I34:I44" si="43">IF(AND($C$16="Да",$C$8&lt;&gt;"Нет"),$AG$38,$C$13)</f>
        <v>0.10899999999999999</v>
      </c>
      <c r="J34" s="242">
        <f t="shared" si="11"/>
        <v>11280</v>
      </c>
      <c r="K34" s="242">
        <f t="shared" si="41"/>
        <v>11280</v>
      </c>
      <c r="L34" s="242">
        <f t="shared" si="36"/>
        <v>1535.78</v>
      </c>
      <c r="M34" s="242">
        <f t="shared" si="13"/>
        <v>9744.2199999999993</v>
      </c>
      <c r="N34" s="242">
        <f t="shared" si="3"/>
        <v>0</v>
      </c>
      <c r="O34" s="242">
        <v>0</v>
      </c>
      <c r="P34" s="242">
        <f t="shared" si="25"/>
        <v>1535.78</v>
      </c>
      <c r="Q34" s="242">
        <f t="shared" si="33"/>
        <v>0</v>
      </c>
      <c r="R34" s="242">
        <f t="shared" si="15"/>
        <v>0</v>
      </c>
      <c r="S34" s="242">
        <f t="shared" si="16"/>
        <v>156151.23000000004</v>
      </c>
      <c r="T34" s="467"/>
      <c r="U34" s="198">
        <f t="shared" si="29"/>
        <v>11</v>
      </c>
      <c r="V34" s="36">
        <f t="shared" si="17"/>
        <v>11</v>
      </c>
      <c r="AB34" s="2">
        <f>IF(C10 &lt;=W31,W33,IF(C10 &lt;=X31,X33,IF(C10 &lt;=Y31,Y33,IF(C10 &lt;=Z31,Z33,AA33))))</f>
        <v>2900</v>
      </c>
      <c r="AE34" s="2"/>
      <c r="AF34" s="16"/>
      <c r="AG34" s="16"/>
      <c r="AH34" s="16"/>
      <c r="AM34" s="16"/>
      <c r="AN34" s="16"/>
      <c r="AO34" s="130">
        <f t="shared" si="18"/>
        <v>1</v>
      </c>
      <c r="AP34" s="261">
        <f t="shared" si="30"/>
        <v>26</v>
      </c>
      <c r="AQ34" s="262">
        <f t="shared" si="4"/>
        <v>45235</v>
      </c>
      <c r="AR34" s="263">
        <f t="shared" si="42"/>
        <v>0.14899999999999999</v>
      </c>
      <c r="AS34" s="258">
        <f t="shared" si="19"/>
        <v>11630</v>
      </c>
      <c r="AT34" s="258">
        <f t="shared" si="6"/>
        <v>11630</v>
      </c>
      <c r="AU34" s="258">
        <f t="shared" si="20"/>
        <v>1504.85</v>
      </c>
      <c r="AV34" s="258">
        <f t="shared" si="21"/>
        <v>10125.15</v>
      </c>
      <c r="AW34" s="258">
        <f t="shared" si="7"/>
        <v>0</v>
      </c>
      <c r="AX34" s="258">
        <v>0</v>
      </c>
      <c r="AY34" s="258">
        <f t="shared" si="22"/>
        <v>1504.85</v>
      </c>
      <c r="AZ34" s="258">
        <f t="shared" si="38"/>
        <v>0</v>
      </c>
      <c r="BA34" s="258">
        <f t="shared" si="37"/>
        <v>0</v>
      </c>
      <c r="BB34" s="258"/>
      <c r="BC34" s="258"/>
      <c r="BD34" s="258"/>
      <c r="BE34" s="258"/>
      <c r="BF34" s="258"/>
      <c r="BG34" s="258">
        <f t="shared" si="24"/>
        <v>108790.09</v>
      </c>
      <c r="BH34" s="108">
        <f t="shared" si="31"/>
        <v>11</v>
      </c>
      <c r="BI34" s="108">
        <f t="shared" si="26"/>
        <v>11</v>
      </c>
      <c r="BJ34" s="22">
        <f t="shared" si="27"/>
        <v>45235</v>
      </c>
      <c r="BK34" s="108">
        <f t="shared" si="9"/>
        <v>11280</v>
      </c>
      <c r="BN34" s="853"/>
    </row>
    <row r="35" spans="1:1217" ht="18.75" customHeight="1" x14ac:dyDescent="0.25">
      <c r="A35" s="979" t="s">
        <v>294</v>
      </c>
      <c r="B35" s="971"/>
      <c r="C35" s="487" t="s">
        <v>179</v>
      </c>
      <c r="D35" s="991" t="s">
        <v>304</v>
      </c>
      <c r="E35" s="992"/>
      <c r="F35" s="191"/>
      <c r="G35" s="244">
        <f t="shared" si="28"/>
        <v>27</v>
      </c>
      <c r="H35" s="245">
        <f t="shared" si="1"/>
        <v>45265</v>
      </c>
      <c r="I35" s="246">
        <f t="shared" si="43"/>
        <v>0.10899999999999999</v>
      </c>
      <c r="J35" s="242">
        <f t="shared" si="11"/>
        <v>11280</v>
      </c>
      <c r="K35" s="242">
        <f t="shared" si="41"/>
        <v>11280</v>
      </c>
      <c r="L35" s="242">
        <f t="shared" si="36"/>
        <v>1398.94</v>
      </c>
      <c r="M35" s="242">
        <f t="shared" si="13"/>
        <v>9881.06</v>
      </c>
      <c r="N35" s="242">
        <f t="shared" si="3"/>
        <v>0</v>
      </c>
      <c r="O35" s="242">
        <v>0</v>
      </c>
      <c r="P35" s="242">
        <f t="shared" si="25"/>
        <v>1398.94</v>
      </c>
      <c r="Q35" s="242">
        <f t="shared" si="33"/>
        <v>0</v>
      </c>
      <c r="R35" s="242">
        <f t="shared" si="15"/>
        <v>0</v>
      </c>
      <c r="S35" s="242">
        <f t="shared" si="16"/>
        <v>146270.17000000004</v>
      </c>
      <c r="T35" s="467"/>
      <c r="U35" s="198">
        <f t="shared" si="29"/>
        <v>10</v>
      </c>
      <c r="V35" s="36">
        <f t="shared" si="17"/>
        <v>10</v>
      </c>
      <c r="AE35" s="15"/>
      <c r="AF35" s="47">
        <f>ROUNDUP(AH35/AH33*C7/1,0)*1</f>
        <v>350</v>
      </c>
      <c r="AG35" s="169">
        <v>0.04</v>
      </c>
      <c r="AH35" s="16">
        <f>IF(AG35=3%,INDEX(W40:AE40,MATCH($C$11,$W$39:$AE$39,0)),IF(AG35=4%,INDEX(W37:AE37,MATCH($C$11,$W$36:$AE$36,0)),0))</f>
        <v>7000</v>
      </c>
      <c r="AL35" s="47">
        <f>ROUNDUP(AH35/AH33*C7/1,0)*1</f>
        <v>350</v>
      </c>
      <c r="AM35" s="169">
        <v>0.04</v>
      </c>
      <c r="AN35" s="16"/>
      <c r="AO35" s="130">
        <f t="shared" si="18"/>
        <v>1</v>
      </c>
      <c r="AP35" s="261">
        <f t="shared" si="30"/>
        <v>27</v>
      </c>
      <c r="AQ35" s="262">
        <f t="shared" si="4"/>
        <v>45265</v>
      </c>
      <c r="AR35" s="263">
        <f t="shared" si="42"/>
        <v>0.14899999999999999</v>
      </c>
      <c r="AS35" s="258">
        <f t="shared" si="19"/>
        <v>11630</v>
      </c>
      <c r="AT35" s="258">
        <f t="shared" si="6"/>
        <v>11630</v>
      </c>
      <c r="AU35" s="258">
        <f t="shared" si="20"/>
        <v>1332.31</v>
      </c>
      <c r="AV35" s="258">
        <f t="shared" si="21"/>
        <v>10297.69</v>
      </c>
      <c r="AW35" s="258">
        <f t="shared" si="7"/>
        <v>0</v>
      </c>
      <c r="AX35" s="258">
        <v>0</v>
      </c>
      <c r="AY35" s="258">
        <f t="shared" si="22"/>
        <v>1332.31</v>
      </c>
      <c r="AZ35" s="258">
        <f t="shared" si="38"/>
        <v>0</v>
      </c>
      <c r="BA35" s="258">
        <f t="shared" si="37"/>
        <v>0</v>
      </c>
      <c r="BB35" s="258"/>
      <c r="BC35" s="258"/>
      <c r="BD35" s="258"/>
      <c r="BE35" s="258"/>
      <c r="BF35" s="258"/>
      <c r="BG35" s="258">
        <f t="shared" si="24"/>
        <v>98492.4</v>
      </c>
      <c r="BH35" s="108">
        <f t="shared" si="31"/>
        <v>10</v>
      </c>
      <c r="BI35" s="108">
        <f t="shared" si="26"/>
        <v>10</v>
      </c>
      <c r="BJ35" s="22">
        <f t="shared" si="27"/>
        <v>45265</v>
      </c>
      <c r="BK35" s="108">
        <f t="shared" si="9"/>
        <v>11280</v>
      </c>
      <c r="BN35" s="853"/>
    </row>
    <row r="36" spans="1:1217" ht="16.5" customHeight="1" x14ac:dyDescent="0.3">
      <c r="A36" s="979" t="s">
        <v>295</v>
      </c>
      <c r="B36" s="971"/>
      <c r="C36" s="397" t="s">
        <v>47</v>
      </c>
      <c r="D36" s="184"/>
      <c r="E36" s="184"/>
      <c r="F36" s="178"/>
      <c r="G36" s="244">
        <f t="shared" si="28"/>
        <v>28</v>
      </c>
      <c r="H36" s="245">
        <f t="shared" si="1"/>
        <v>45296</v>
      </c>
      <c r="I36" s="246">
        <f t="shared" si="43"/>
        <v>0.10899999999999999</v>
      </c>
      <c r="J36" s="242">
        <f t="shared" si="11"/>
        <v>11280</v>
      </c>
      <c r="K36" s="242">
        <f t="shared" si="41"/>
        <v>11280</v>
      </c>
      <c r="L36" s="242">
        <f t="shared" si="36"/>
        <v>1353.5</v>
      </c>
      <c r="M36" s="242">
        <f t="shared" si="13"/>
        <v>9926.5</v>
      </c>
      <c r="N36" s="242">
        <f t="shared" si="3"/>
        <v>0</v>
      </c>
      <c r="O36" s="242">
        <v>0</v>
      </c>
      <c r="P36" s="242">
        <f t="shared" si="25"/>
        <v>1353.5</v>
      </c>
      <c r="Q36" s="242">
        <f t="shared" si="33"/>
        <v>0</v>
      </c>
      <c r="R36" s="242">
        <f t="shared" si="15"/>
        <v>0</v>
      </c>
      <c r="S36" s="242">
        <f t="shared" si="16"/>
        <v>136343.67000000004</v>
      </c>
      <c r="T36" s="467"/>
      <c r="U36" s="198">
        <f t="shared" si="29"/>
        <v>9</v>
      </c>
      <c r="V36" s="36">
        <f t="shared" si="17"/>
        <v>9</v>
      </c>
      <c r="W36" s="15">
        <v>0.11899999999999999</v>
      </c>
      <c r="X36" s="101">
        <v>0.129</v>
      </c>
      <c r="Y36" s="484">
        <v>0.13900000000000001</v>
      </c>
      <c r="Z36" s="101">
        <v>0.14899999999999999</v>
      </c>
      <c r="AA36" s="484">
        <v>0.17899999999999999</v>
      </c>
      <c r="AB36" s="101">
        <v>0.19900000000000001</v>
      </c>
      <c r="AC36" s="169">
        <v>0.17899999999999999</v>
      </c>
      <c r="AD36" s="15">
        <v>0.189</v>
      </c>
      <c r="AE36" s="15">
        <v>0.19900000000000001</v>
      </c>
      <c r="AF36" s="47">
        <f>C23</f>
        <v>11630</v>
      </c>
      <c r="AG36" s="15">
        <f>IF(OR(C$8="Гарантия стандарт",C$8="Гарантия пакет"),AD13,C11)</f>
        <v>0.14899999999999999</v>
      </c>
      <c r="AH36" s="16">
        <f>IF(AG35=3%,INDEX(W41:AE41,MATCH($C$11,$W$39:$AE$39,0)),IF(AG35=4%,INDEX(W38:AE38,MATCH($C$11,$W$36:$AE$36,0)),0))</f>
        <v>207900</v>
      </c>
      <c r="AI36" s="2">
        <f>INDEX(W41:AE41,MATCH($D$11,$W$39:$AE$39,0))</f>
        <v>207900</v>
      </c>
      <c r="AL36" s="47">
        <f>D23</f>
        <v>11630</v>
      </c>
      <c r="AM36" s="15">
        <f>IF(OR(D$8="Гарантия стандарт",D$8="Гарантия пакет"),AD13,D11)</f>
        <v>0.14899999999999999</v>
      </c>
      <c r="AN36" s="16"/>
      <c r="AO36" s="130">
        <f t="shared" si="18"/>
        <v>1</v>
      </c>
      <c r="AP36" s="261">
        <f t="shared" si="30"/>
        <v>28</v>
      </c>
      <c r="AQ36" s="262">
        <f t="shared" si="4"/>
        <v>45296</v>
      </c>
      <c r="AR36" s="263">
        <f t="shared" si="42"/>
        <v>0.14899999999999999</v>
      </c>
      <c r="AS36" s="258">
        <f t="shared" si="19"/>
        <v>11630</v>
      </c>
      <c r="AT36" s="258">
        <f t="shared" si="6"/>
        <v>11630</v>
      </c>
      <c r="AU36" s="258">
        <f t="shared" si="20"/>
        <v>1245.8499999999999</v>
      </c>
      <c r="AV36" s="258">
        <f t="shared" si="21"/>
        <v>10384.15</v>
      </c>
      <c r="AW36" s="258">
        <f t="shared" si="7"/>
        <v>0</v>
      </c>
      <c r="AX36" s="258">
        <v>0</v>
      </c>
      <c r="AY36" s="258">
        <f t="shared" si="22"/>
        <v>1245.8499999999999</v>
      </c>
      <c r="AZ36" s="258">
        <f t="shared" si="38"/>
        <v>0</v>
      </c>
      <c r="BA36" s="258">
        <f t="shared" si="37"/>
        <v>0</v>
      </c>
      <c r="BB36" s="258"/>
      <c r="BC36" s="258"/>
      <c r="BD36" s="258"/>
      <c r="BE36" s="258"/>
      <c r="BF36" s="258"/>
      <c r="BG36" s="258">
        <f t="shared" si="24"/>
        <v>88108.25</v>
      </c>
      <c r="BH36" s="108">
        <f t="shared" si="31"/>
        <v>9</v>
      </c>
      <c r="BI36" s="108">
        <f t="shared" si="26"/>
        <v>9</v>
      </c>
      <c r="BJ36" s="22">
        <f t="shared" si="27"/>
        <v>45296</v>
      </c>
      <c r="BK36" s="108">
        <f t="shared" si="9"/>
        <v>11280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  <c r="AMK36" s="16"/>
      <c r="AML36" s="16"/>
      <c r="AMM36" s="16"/>
      <c r="AMN36" s="16"/>
      <c r="AMO36" s="16"/>
      <c r="AMP36" s="16"/>
      <c r="AMQ36" s="16"/>
      <c r="AMR36" s="16"/>
      <c r="AMS36" s="16"/>
      <c r="AMT36" s="16"/>
      <c r="AMU36" s="16"/>
      <c r="AMV36" s="16"/>
      <c r="AMW36" s="16"/>
      <c r="AMX36" s="16"/>
      <c r="AMY36" s="16"/>
      <c r="AMZ36" s="16"/>
      <c r="ANA36" s="16"/>
      <c r="ANB36" s="16"/>
      <c r="ANC36" s="16"/>
      <c r="AND36" s="16"/>
      <c r="ANE36" s="16"/>
      <c r="ANF36" s="16"/>
      <c r="ANG36" s="16"/>
      <c r="ANH36" s="16"/>
      <c r="ANI36" s="16"/>
      <c r="ANJ36" s="16"/>
      <c r="ANK36" s="16"/>
      <c r="ANL36" s="16"/>
      <c r="ANM36" s="16"/>
      <c r="ANN36" s="16"/>
      <c r="ANO36" s="16"/>
      <c r="ANP36" s="16"/>
      <c r="ANQ36" s="16"/>
      <c r="ANR36" s="16"/>
      <c r="ANS36" s="16"/>
      <c r="ANT36" s="16"/>
      <c r="ANU36" s="16"/>
      <c r="ANV36" s="16"/>
      <c r="ANW36" s="16"/>
      <c r="ANX36" s="16"/>
      <c r="ANY36" s="16"/>
      <c r="ANZ36" s="16"/>
      <c r="AOA36" s="16"/>
      <c r="AOB36" s="16"/>
      <c r="AOC36" s="16"/>
      <c r="AOD36" s="16"/>
      <c r="AOE36" s="16"/>
      <c r="AOF36" s="16"/>
      <c r="AOG36" s="16"/>
      <c r="AOH36" s="16"/>
      <c r="AOI36" s="16"/>
      <c r="AOJ36" s="16"/>
      <c r="AOK36" s="16"/>
      <c r="AOL36" s="16"/>
      <c r="AOM36" s="16"/>
      <c r="AON36" s="16"/>
      <c r="AOO36" s="16"/>
      <c r="AOP36" s="16"/>
      <c r="AOQ36" s="16"/>
      <c r="AOR36" s="16"/>
      <c r="AOS36" s="16"/>
      <c r="AOT36" s="16"/>
      <c r="AOU36" s="16"/>
      <c r="AOV36" s="16"/>
      <c r="AOW36" s="16"/>
      <c r="AOX36" s="16"/>
      <c r="AOY36" s="16"/>
      <c r="AOZ36" s="16"/>
      <c r="APA36" s="16"/>
      <c r="APB36" s="16"/>
      <c r="APC36" s="16"/>
      <c r="APD36" s="16"/>
      <c r="APE36" s="16"/>
      <c r="APF36" s="16"/>
      <c r="APG36" s="16"/>
      <c r="APH36" s="16"/>
      <c r="API36" s="16"/>
      <c r="APJ36" s="16"/>
      <c r="APK36" s="16"/>
      <c r="APL36" s="16"/>
      <c r="APM36" s="16"/>
      <c r="APN36" s="16"/>
      <c r="APO36" s="16"/>
      <c r="APP36" s="16"/>
      <c r="APQ36" s="16"/>
      <c r="APR36" s="16"/>
      <c r="APS36" s="16"/>
      <c r="APT36" s="16"/>
      <c r="APU36" s="16"/>
      <c r="APV36" s="16"/>
      <c r="APW36" s="16"/>
      <c r="APX36" s="16"/>
      <c r="APY36" s="16"/>
      <c r="APZ36" s="16"/>
      <c r="AQA36" s="16"/>
      <c r="AQB36" s="16"/>
      <c r="AQC36" s="16"/>
      <c r="AQD36" s="16"/>
      <c r="AQE36" s="16"/>
      <c r="AQF36" s="16"/>
      <c r="AQG36" s="16"/>
      <c r="AQH36" s="16"/>
      <c r="AQI36" s="16"/>
      <c r="AQJ36" s="16"/>
      <c r="AQK36" s="16"/>
      <c r="AQL36" s="16"/>
      <c r="AQM36" s="16"/>
      <c r="AQN36" s="16"/>
      <c r="AQO36" s="16"/>
      <c r="AQP36" s="16"/>
      <c r="AQQ36" s="16"/>
      <c r="AQR36" s="16"/>
      <c r="AQS36" s="16"/>
      <c r="AQT36" s="16"/>
      <c r="AQU36" s="16"/>
      <c r="AQV36" s="16"/>
      <c r="AQW36" s="16"/>
      <c r="AQX36" s="16"/>
      <c r="AQY36" s="16"/>
      <c r="AQZ36" s="16"/>
      <c r="ARA36" s="16"/>
      <c r="ARB36" s="16"/>
      <c r="ARC36" s="16"/>
      <c r="ARD36" s="16"/>
      <c r="ARE36" s="16"/>
      <c r="ARF36" s="16"/>
      <c r="ARG36" s="16"/>
      <c r="ARH36" s="16"/>
      <c r="ARI36" s="16"/>
      <c r="ARJ36" s="16"/>
      <c r="ARK36" s="16"/>
      <c r="ARL36" s="16"/>
      <c r="ARM36" s="16"/>
      <c r="ARN36" s="16"/>
      <c r="ARO36" s="16"/>
      <c r="ARP36" s="16"/>
      <c r="ARQ36" s="16"/>
      <c r="ARR36" s="16"/>
      <c r="ARS36" s="16"/>
      <c r="ART36" s="16"/>
      <c r="ARU36" s="16"/>
      <c r="ARV36" s="16"/>
      <c r="ARW36" s="16"/>
      <c r="ARX36" s="16"/>
      <c r="ARY36" s="16"/>
      <c r="ARZ36" s="16"/>
      <c r="ASA36" s="16"/>
      <c r="ASB36" s="16"/>
      <c r="ASC36" s="16"/>
      <c r="ASD36" s="16"/>
      <c r="ASE36" s="16"/>
      <c r="ASF36" s="16"/>
      <c r="ASG36" s="16"/>
      <c r="ASH36" s="16"/>
      <c r="ASI36" s="16"/>
      <c r="ASJ36" s="16"/>
      <c r="ASK36" s="16"/>
      <c r="ASL36" s="16"/>
      <c r="ASM36" s="16"/>
      <c r="ASN36" s="16"/>
      <c r="ASO36" s="16"/>
      <c r="ASP36" s="16"/>
      <c r="ASQ36" s="16"/>
      <c r="ASR36" s="16"/>
      <c r="ASS36" s="16"/>
      <c r="AST36" s="16"/>
      <c r="ASU36" s="16"/>
      <c r="ASV36" s="16"/>
      <c r="ASW36" s="16"/>
      <c r="ASX36" s="16"/>
      <c r="ASY36" s="16"/>
      <c r="ASZ36" s="16"/>
      <c r="ATA36" s="16"/>
      <c r="ATB36" s="16"/>
      <c r="ATC36" s="16"/>
      <c r="ATD36" s="16"/>
      <c r="ATE36" s="16"/>
      <c r="ATF36" s="16"/>
      <c r="ATG36" s="16"/>
      <c r="ATH36" s="16"/>
      <c r="ATI36" s="16"/>
      <c r="ATJ36" s="16"/>
      <c r="ATK36" s="16"/>
      <c r="ATL36" s="16"/>
      <c r="ATM36" s="16"/>
      <c r="ATN36" s="16"/>
      <c r="ATO36" s="16"/>
      <c r="ATP36" s="16"/>
      <c r="ATQ36" s="16"/>
      <c r="ATR36" s="16"/>
      <c r="ATS36" s="16"/>
      <c r="ATT36" s="16"/>
      <c r="ATU36" s="16"/>
    </row>
    <row r="37" spans="1:1217" s="16" customFormat="1" ht="16.5" customHeight="1" x14ac:dyDescent="0.3">
      <c r="A37" s="975" t="s">
        <v>315</v>
      </c>
      <c r="B37" s="347" t="s">
        <v>296</v>
      </c>
      <c r="C37" s="474">
        <v>30000</v>
      </c>
      <c r="D37" s="472">
        <f>IF($C$36="Да",C37*(1%+1%),C37*(1%+0%))</f>
        <v>600</v>
      </c>
      <c r="E37" s="501" t="s">
        <v>300</v>
      </c>
      <c r="F37" s="178"/>
      <c r="G37" s="244">
        <f t="shared" si="28"/>
        <v>29</v>
      </c>
      <c r="H37" s="245">
        <f t="shared" si="1"/>
        <v>45327</v>
      </c>
      <c r="I37" s="246">
        <f t="shared" si="43"/>
        <v>0.10899999999999999</v>
      </c>
      <c r="J37" s="242">
        <f t="shared" si="11"/>
        <v>11280</v>
      </c>
      <c r="K37" s="242">
        <f t="shared" si="41"/>
        <v>11280</v>
      </c>
      <c r="L37" s="242">
        <f t="shared" si="36"/>
        <v>1258.76</v>
      </c>
      <c r="M37" s="242">
        <f t="shared" si="13"/>
        <v>10021.24</v>
      </c>
      <c r="N37" s="242">
        <f t="shared" si="3"/>
        <v>0</v>
      </c>
      <c r="O37" s="242">
        <v>0</v>
      </c>
      <c r="P37" s="242">
        <f t="shared" si="25"/>
        <v>1258.76</v>
      </c>
      <c r="Q37" s="242">
        <f t="shared" si="33"/>
        <v>0</v>
      </c>
      <c r="R37" s="242">
        <f t="shared" si="15"/>
        <v>0</v>
      </c>
      <c r="S37" s="242">
        <f t="shared" si="16"/>
        <v>126322.43000000004</v>
      </c>
      <c r="T37" s="467"/>
      <c r="U37" s="198">
        <f t="shared" si="29"/>
        <v>8</v>
      </c>
      <c r="V37" s="36">
        <f t="shared" si="17"/>
        <v>8</v>
      </c>
      <c r="W37" s="16">
        <f>INDEX('Для Перспективы'!$B$6:$D$6,MATCH($C$10,'Для Перспективы'!$B$1:$D$1,0))</f>
        <v>4000</v>
      </c>
      <c r="X37" s="16">
        <f>INDEX('Для Перспективы'!$B$8:$F$8,MATCH($C$10,'Для Перспективы'!$B$1:$F$1,0))</f>
        <v>7000</v>
      </c>
      <c r="Y37" s="16">
        <f>INDEX('Для Перспективы'!$B$10:$F$10,MATCH($C$10,'Для Перспективы'!$B$1:$F$1,0))</f>
        <v>7000</v>
      </c>
      <c r="Z37" s="16">
        <f>INDEX('Для Перспективы'!$B$12:$D$12,MATCH($C$10,'Для Перспективы'!$B$1:$D$1,0))</f>
        <v>7000</v>
      </c>
      <c r="AA37" s="16">
        <f>INDEX('Для Перспективы'!$B$20:$D$20,MATCH($C$10,'Для Перспективы'!$B$1:$D$1,0))</f>
        <v>7000</v>
      </c>
      <c r="AB37" s="16">
        <f>INDEX('Для Перспективы'!$B$22:$D$22,MATCH($C$10,'Для Перспективы'!$B$1:$D$1,0))</f>
        <v>6500</v>
      </c>
      <c r="AC37" s="16">
        <f>INDEX('Для Перспективы'!$B$20:$F$20,MATCH($C$10,'Для Перспективы'!$B$1:$F$1,0))</f>
        <v>7000</v>
      </c>
      <c r="AD37" s="16">
        <f>INDEX('Для Перспективы'!$B$6:$F$6,MATCH($C$10,'Для Перспективы'!$B$1:$F$1,0))</f>
        <v>4000</v>
      </c>
      <c r="AE37" s="16">
        <f>INDEX('Для Перспективы'!$B$6:$F$6,MATCH($C$10,'Для Перспективы'!$B$1:$F$1,0))</f>
        <v>4000</v>
      </c>
      <c r="AF37" s="47">
        <f>IF(AG37=AG36,AF36,AF36-$AF$35)</f>
        <v>11280</v>
      </c>
      <c r="AG37" s="169">
        <f>AG36-$AG$35</f>
        <v>0.10899999999999999</v>
      </c>
      <c r="AI37" s="2"/>
      <c r="AJ37" s="2"/>
      <c r="AK37" s="57"/>
      <c r="AL37" s="47">
        <f>AL36-$AL$35</f>
        <v>11280</v>
      </c>
      <c r="AM37" s="169">
        <f>AM36-$AM$35</f>
        <v>0.10899999999999999</v>
      </c>
      <c r="AO37" s="130">
        <f t="shared" si="18"/>
        <v>1</v>
      </c>
      <c r="AP37" s="261">
        <f t="shared" si="30"/>
        <v>29</v>
      </c>
      <c r="AQ37" s="262">
        <f t="shared" si="4"/>
        <v>45327</v>
      </c>
      <c r="AR37" s="263">
        <f t="shared" si="42"/>
        <v>0.14899999999999999</v>
      </c>
      <c r="AS37" s="258">
        <f t="shared" si="19"/>
        <v>11630</v>
      </c>
      <c r="AT37" s="258">
        <f t="shared" si="6"/>
        <v>11630</v>
      </c>
      <c r="AU37" s="258">
        <f t="shared" si="20"/>
        <v>1111.95</v>
      </c>
      <c r="AV37" s="258">
        <f t="shared" si="21"/>
        <v>10518.05</v>
      </c>
      <c r="AW37" s="258">
        <f t="shared" si="7"/>
        <v>0</v>
      </c>
      <c r="AX37" s="258">
        <v>0</v>
      </c>
      <c r="AY37" s="258">
        <f t="shared" si="22"/>
        <v>1111.95</v>
      </c>
      <c r="AZ37" s="258">
        <f t="shared" si="38"/>
        <v>0</v>
      </c>
      <c r="BA37" s="258">
        <f t="shared" si="37"/>
        <v>0</v>
      </c>
      <c r="BB37" s="258"/>
      <c r="BC37" s="258"/>
      <c r="BD37" s="258"/>
      <c r="BE37" s="258"/>
      <c r="BF37" s="258"/>
      <c r="BG37" s="258">
        <f t="shared" si="24"/>
        <v>77590.2</v>
      </c>
      <c r="BH37" s="108">
        <f t="shared" si="31"/>
        <v>8</v>
      </c>
      <c r="BI37" s="108">
        <f t="shared" si="26"/>
        <v>8</v>
      </c>
      <c r="BJ37" s="22">
        <f t="shared" si="27"/>
        <v>45327</v>
      </c>
      <c r="BK37" s="108">
        <f t="shared" si="9"/>
        <v>11280</v>
      </c>
    </row>
    <row r="38" spans="1:1217" s="16" customFormat="1" ht="16.5" customHeight="1" x14ac:dyDescent="0.3">
      <c r="A38" s="975"/>
      <c r="B38" s="347" t="s">
        <v>297</v>
      </c>
      <c r="C38" s="474">
        <v>10000</v>
      </c>
      <c r="D38" s="472">
        <f>IF($C$36="Да",C38*(1%+3%),C38*(1%+0%))</f>
        <v>400</v>
      </c>
      <c r="E38" s="501" t="s">
        <v>300</v>
      </c>
      <c r="F38" s="178"/>
      <c r="G38" s="244">
        <f t="shared" si="28"/>
        <v>30</v>
      </c>
      <c r="H38" s="245">
        <f t="shared" si="1"/>
        <v>45356</v>
      </c>
      <c r="I38" s="246">
        <f t="shared" si="43"/>
        <v>0.10899999999999999</v>
      </c>
      <c r="J38" s="242">
        <f t="shared" si="11"/>
        <v>11280</v>
      </c>
      <c r="K38" s="242">
        <f t="shared" si="41"/>
        <v>11280</v>
      </c>
      <c r="L38" s="242">
        <f t="shared" si="36"/>
        <v>1091</v>
      </c>
      <c r="M38" s="242">
        <f t="shared" si="13"/>
        <v>10189</v>
      </c>
      <c r="N38" s="242">
        <f t="shared" si="3"/>
        <v>0</v>
      </c>
      <c r="O38" s="242">
        <v>0</v>
      </c>
      <c r="P38" s="242">
        <f t="shared" si="25"/>
        <v>1091</v>
      </c>
      <c r="Q38" s="242">
        <f t="shared" si="33"/>
        <v>0</v>
      </c>
      <c r="R38" s="242">
        <f t="shared" si="15"/>
        <v>0</v>
      </c>
      <c r="S38" s="242">
        <f t="shared" si="16"/>
        <v>116133.43000000004</v>
      </c>
      <c r="T38" s="467"/>
      <c r="U38" s="198">
        <f t="shared" si="29"/>
        <v>7</v>
      </c>
      <c r="V38" s="36">
        <f t="shared" si="17"/>
        <v>7</v>
      </c>
      <c r="W38" s="16">
        <f>INDEX('Для Перспективы'!B7:D7,MATCH($C$10,'Для Перспективы'!$B$1:$D$1,0))</f>
        <v>200000</v>
      </c>
      <c r="X38" s="16">
        <f>INDEX('Для Перспективы'!$B$9:$F$9,MATCH($C$10,'Для Перспективы'!$B$1:$F$1,0))</f>
        <v>202000</v>
      </c>
      <c r="Y38" s="16">
        <f>INDEX('Для Перспективы'!$B$11:$F$11,MATCH($C$10,'Для Перспективы'!$B$1:$F$1,0))</f>
        <v>204900</v>
      </c>
      <c r="Z38" s="16">
        <f>INDEX('Для Перспективы'!$B$13:$D$13,MATCH($C$10,'Для Перспективы'!$B$1:$D$1,0))</f>
        <v>207900</v>
      </c>
      <c r="AA38" s="16">
        <f>INDEX('Для Перспективы'!$B$21:$D$21,MATCH($C$10,'Для Перспективы'!$B$1:$D$1,0))</f>
        <v>216800</v>
      </c>
      <c r="AB38" s="16">
        <f>INDEX('Для Перспективы'!$B$23:$D$23,MATCH($C$10,'Для Перспективы'!$B$1:$D$1,0))</f>
        <v>222900</v>
      </c>
      <c r="AC38" s="16">
        <f>INDEX('Для Перспективы'!$B$11:$D$11,MATCH($C$10,'Для Перспективы'!$B$1:$D$1,0))</f>
        <v>204900</v>
      </c>
      <c r="AD38" s="16">
        <f>INDEX('Для Перспективы'!$B$11:$D$11,MATCH($C$10,'Для Перспективы'!$B$1:$D$1,0))</f>
        <v>204900</v>
      </c>
      <c r="AE38" s="16" t="e">
        <f>INDEX('Для Перспективы'!$G21:$I21,MATCH($C$10,'Для Перспективы'!$G$1:$I$1,0))</f>
        <v>#N/A</v>
      </c>
      <c r="AF38" s="47">
        <f t="shared" ref="AF38:AF40" si="44">IF(AG38=AG37,AF37,AF37-$AF$35)</f>
        <v>11280</v>
      </c>
      <c r="AG38" s="169">
        <f>AG36-$AG$35</f>
        <v>0.10899999999999999</v>
      </c>
      <c r="AI38" s="2"/>
      <c r="AJ38" s="2"/>
      <c r="AK38" s="57"/>
      <c r="AL38" s="47">
        <f>AL36-$AL$35</f>
        <v>11280</v>
      </c>
      <c r="AM38" s="169">
        <f>AM36-$AM$35</f>
        <v>0.10899999999999999</v>
      </c>
      <c r="AN38" s="63"/>
      <c r="AO38" s="130">
        <f t="shared" si="18"/>
        <v>1</v>
      </c>
      <c r="AP38" s="261">
        <f t="shared" si="30"/>
        <v>30</v>
      </c>
      <c r="AQ38" s="262">
        <f t="shared" si="4"/>
        <v>45356</v>
      </c>
      <c r="AR38" s="263">
        <f t="shared" si="42"/>
        <v>0.14899999999999999</v>
      </c>
      <c r="AS38" s="258">
        <f t="shared" si="19"/>
        <v>11630</v>
      </c>
      <c r="AT38" s="258">
        <f t="shared" si="6"/>
        <v>11630</v>
      </c>
      <c r="AU38" s="258">
        <f t="shared" si="20"/>
        <v>916.03</v>
      </c>
      <c r="AV38" s="258">
        <f t="shared" si="21"/>
        <v>10713.97</v>
      </c>
      <c r="AW38" s="258">
        <f t="shared" si="7"/>
        <v>0</v>
      </c>
      <c r="AX38" s="258">
        <v>0</v>
      </c>
      <c r="AY38" s="258">
        <f t="shared" si="22"/>
        <v>916.03</v>
      </c>
      <c r="AZ38" s="258">
        <f t="shared" si="38"/>
        <v>0</v>
      </c>
      <c r="BA38" s="258">
        <f t="shared" si="37"/>
        <v>0</v>
      </c>
      <c r="BB38" s="258"/>
      <c r="BC38" s="258"/>
      <c r="BD38" s="258"/>
      <c r="BE38" s="258"/>
      <c r="BF38" s="258"/>
      <c r="BG38" s="258">
        <f t="shared" si="24"/>
        <v>66876.23</v>
      </c>
      <c r="BH38" s="108">
        <f t="shared" si="31"/>
        <v>7</v>
      </c>
      <c r="BI38" s="108">
        <f t="shared" si="26"/>
        <v>7</v>
      </c>
      <c r="BJ38" s="22">
        <f t="shared" si="27"/>
        <v>45356</v>
      </c>
      <c r="BK38" s="108">
        <f t="shared" si="9"/>
        <v>11280</v>
      </c>
    </row>
    <row r="39" spans="1:1217" s="16" customFormat="1" ht="12" customHeight="1" x14ac:dyDescent="0.3">
      <c r="A39" s="975"/>
      <c r="B39" s="347" t="s">
        <v>298</v>
      </c>
      <c r="C39" s="474">
        <v>10000</v>
      </c>
      <c r="D39" s="472">
        <f>IF($C$36="Да",C39*(1%+3%),C39*(1%+0%))</f>
        <v>400</v>
      </c>
      <c r="E39" s="501" t="s">
        <v>300</v>
      </c>
      <c r="F39" s="178"/>
      <c r="G39" s="244">
        <f t="shared" si="28"/>
        <v>31</v>
      </c>
      <c r="H39" s="245">
        <f t="shared" si="1"/>
        <v>45387</v>
      </c>
      <c r="I39" s="246">
        <f t="shared" si="43"/>
        <v>0.10899999999999999</v>
      </c>
      <c r="J39" s="242">
        <f t="shared" si="11"/>
        <v>11280</v>
      </c>
      <c r="K39" s="242">
        <f t="shared" si="41"/>
        <v>11280</v>
      </c>
      <c r="L39" s="242">
        <f t="shared" si="36"/>
        <v>1072.17</v>
      </c>
      <c r="M39" s="242">
        <f t="shared" si="13"/>
        <v>10207.83</v>
      </c>
      <c r="N39" s="242">
        <f t="shared" si="3"/>
        <v>0</v>
      </c>
      <c r="O39" s="242">
        <v>0</v>
      </c>
      <c r="P39" s="242">
        <f t="shared" si="25"/>
        <v>1072.17</v>
      </c>
      <c r="Q39" s="242">
        <f t="shared" si="33"/>
        <v>0</v>
      </c>
      <c r="R39" s="242">
        <f t="shared" si="15"/>
        <v>0</v>
      </c>
      <c r="S39" s="242">
        <f t="shared" si="16"/>
        <v>105925.60000000003</v>
      </c>
      <c r="T39" s="467"/>
      <c r="U39" s="198">
        <f t="shared" si="29"/>
        <v>6</v>
      </c>
      <c r="V39" s="36">
        <f t="shared" si="17"/>
        <v>6</v>
      </c>
      <c r="W39" s="15">
        <v>0.11899999999999999</v>
      </c>
      <c r="X39" s="101">
        <v>0.129</v>
      </c>
      <c r="Y39" s="484">
        <v>0.13900000000000001</v>
      </c>
      <c r="Z39" s="101">
        <v>0.14899999999999999</v>
      </c>
      <c r="AA39" s="484">
        <v>0.17899999999999999</v>
      </c>
      <c r="AB39" s="101">
        <v>0.19900000000000001</v>
      </c>
      <c r="AC39" s="169">
        <v>0.17899999999999999</v>
      </c>
      <c r="AD39" s="15">
        <v>0.189</v>
      </c>
      <c r="AE39" s="15">
        <v>0.19900000000000001</v>
      </c>
      <c r="AF39" s="47">
        <f t="shared" si="44"/>
        <v>11280</v>
      </c>
      <c r="AG39" s="169">
        <f>AG36-$AG$35</f>
        <v>0.10899999999999999</v>
      </c>
      <c r="AI39" s="2"/>
      <c r="AJ39" s="2"/>
      <c r="AK39" s="57"/>
      <c r="AL39" s="47">
        <f>AL36-$AL$35</f>
        <v>11280</v>
      </c>
      <c r="AM39" s="169">
        <f>AM36-$AM$35</f>
        <v>0.10899999999999999</v>
      </c>
      <c r="AN39" s="15"/>
      <c r="AO39" s="130">
        <f t="shared" si="18"/>
        <v>1</v>
      </c>
      <c r="AP39" s="261">
        <f t="shared" si="30"/>
        <v>31</v>
      </c>
      <c r="AQ39" s="262">
        <f t="shared" si="4"/>
        <v>45387</v>
      </c>
      <c r="AR39" s="263">
        <f t="shared" si="42"/>
        <v>0.14899999999999999</v>
      </c>
      <c r="AS39" s="258">
        <f t="shared" si="19"/>
        <v>11630</v>
      </c>
      <c r="AT39" s="258">
        <f t="shared" si="6"/>
        <v>11630</v>
      </c>
      <c r="AU39" s="258">
        <f t="shared" si="20"/>
        <v>843.99</v>
      </c>
      <c r="AV39" s="258">
        <f t="shared" si="21"/>
        <v>10786.01</v>
      </c>
      <c r="AW39" s="258">
        <f t="shared" si="7"/>
        <v>0</v>
      </c>
      <c r="AX39" s="258">
        <v>0</v>
      </c>
      <c r="AY39" s="258">
        <f t="shared" si="22"/>
        <v>843.99</v>
      </c>
      <c r="AZ39" s="258">
        <f t="shared" si="38"/>
        <v>0</v>
      </c>
      <c r="BA39" s="258">
        <f t="shared" si="37"/>
        <v>0</v>
      </c>
      <c r="BB39" s="258"/>
      <c r="BC39" s="258"/>
      <c r="BD39" s="258"/>
      <c r="BE39" s="258"/>
      <c r="BF39" s="258"/>
      <c r="BG39" s="258">
        <f t="shared" si="24"/>
        <v>56090.219999999994</v>
      </c>
      <c r="BH39" s="108">
        <f t="shared" si="31"/>
        <v>6</v>
      </c>
      <c r="BI39" s="108">
        <f t="shared" si="26"/>
        <v>6</v>
      </c>
      <c r="BJ39" s="22">
        <f t="shared" si="27"/>
        <v>45387</v>
      </c>
      <c r="BK39" s="108">
        <f t="shared" si="9"/>
        <v>11280</v>
      </c>
    </row>
    <row r="40" spans="1:1217" s="16" customFormat="1" ht="13.95" customHeight="1" x14ac:dyDescent="0.3">
      <c r="A40" s="975"/>
      <c r="B40" s="347" t="s">
        <v>299</v>
      </c>
      <c r="C40" s="474">
        <v>200000</v>
      </c>
      <c r="D40" s="472">
        <f>IF($C$36="Да",C40*(3%+1%),C40*(3%+0%))</f>
        <v>8000</v>
      </c>
      <c r="E40" s="501" t="s">
        <v>300</v>
      </c>
      <c r="F40" s="178"/>
      <c r="G40" s="244">
        <f t="shared" si="28"/>
        <v>32</v>
      </c>
      <c r="H40" s="245">
        <f t="shared" si="1"/>
        <v>45417</v>
      </c>
      <c r="I40" s="246">
        <f t="shared" si="43"/>
        <v>0.10899999999999999</v>
      </c>
      <c r="J40" s="242">
        <f t="shared" si="11"/>
        <v>11280</v>
      </c>
      <c r="K40" s="242">
        <f t="shared" si="41"/>
        <v>11280</v>
      </c>
      <c r="L40" s="242">
        <f t="shared" si="36"/>
        <v>946.38</v>
      </c>
      <c r="M40" s="242">
        <f t="shared" si="13"/>
        <v>10333.620000000001</v>
      </c>
      <c r="N40" s="242">
        <f t="shared" si="3"/>
        <v>0</v>
      </c>
      <c r="O40" s="242">
        <v>0</v>
      </c>
      <c r="P40" s="242">
        <f t="shared" si="25"/>
        <v>946.38</v>
      </c>
      <c r="Q40" s="242">
        <f t="shared" si="33"/>
        <v>0</v>
      </c>
      <c r="R40" s="242">
        <f t="shared" si="15"/>
        <v>0</v>
      </c>
      <c r="S40" s="242">
        <f t="shared" si="16"/>
        <v>95591.98000000004</v>
      </c>
      <c r="T40" s="467"/>
      <c r="U40" s="198">
        <f t="shared" si="29"/>
        <v>5</v>
      </c>
      <c r="V40" s="36">
        <f t="shared" si="17"/>
        <v>5</v>
      </c>
      <c r="W40" s="16">
        <f>INDEX('Для Перспективы'!B2:D2,MATCH($C$10,'Для Перспективы'!$B$1:$D$1,0))</f>
        <v>3000</v>
      </c>
      <c r="X40" s="16">
        <f>INDEX('Для Перспективы'!B8:F8,MATCH($C$10,'Для Перспективы'!$B$1:$F$1,0))</f>
        <v>7000</v>
      </c>
      <c r="Y40" s="16">
        <f>INDEX('Для Перспективы'!B10:F10,MATCH($C$10,'Для Перспективы'!$B$1:$F$1,0))</f>
        <v>7000</v>
      </c>
      <c r="Z40" s="16">
        <f>INDEX('Для Перспективы'!B12:D12,MATCH($C$10,'Для Перспективы'!$B$1:$D$1,0))</f>
        <v>7000</v>
      </c>
      <c r="AA40" s="16">
        <f>INDEX('Для Перспективы'!B20:FD20,MATCH($C$10,'Для Перспективы'!$B$1:$D$1,0))</f>
        <v>7000</v>
      </c>
      <c r="AB40" s="16">
        <f>INDEX('Для Перспективы'!B22:D22,MATCH($C$10,'Для Перспективы'!$B$1:$D$1,0))</f>
        <v>6500</v>
      </c>
      <c r="AC40" s="16">
        <f>INDEX('Для Перспективы'!B16:D16,MATCH($C$10,'Для Перспективы'!$B$1:$D$1,0))</f>
        <v>6500</v>
      </c>
      <c r="AD40" s="16">
        <f>INDEX('Для Перспективы'!B18:D18,MATCH($C$10,'Для Перспективы'!$B$1:$D$1,0))</f>
        <v>6100</v>
      </c>
      <c r="AE40" s="16">
        <f>INDEX('Для Перспективы'!B20:D20,MATCH($C$10,'Для Перспективы'!$B$1:$D$1,0))</f>
        <v>7000</v>
      </c>
      <c r="AF40" s="47">
        <f t="shared" si="44"/>
        <v>11280</v>
      </c>
      <c r="AG40" s="169">
        <f>AG36-$AG$35</f>
        <v>0.10899999999999999</v>
      </c>
      <c r="AI40" s="2"/>
      <c r="AJ40" s="2"/>
      <c r="AK40" s="57"/>
      <c r="AL40" s="47">
        <f>AL36-$AL$35</f>
        <v>11280</v>
      </c>
      <c r="AM40" s="169">
        <f>AM36-$AM$35</f>
        <v>0.10899999999999999</v>
      </c>
      <c r="AN40" s="15"/>
      <c r="AO40" s="130">
        <f t="shared" si="18"/>
        <v>1</v>
      </c>
      <c r="AP40" s="261">
        <f t="shared" si="30"/>
        <v>32</v>
      </c>
      <c r="AQ40" s="262">
        <f t="shared" si="4"/>
        <v>45417</v>
      </c>
      <c r="AR40" s="263">
        <f t="shared" si="42"/>
        <v>0.14899999999999999</v>
      </c>
      <c r="AS40" s="258">
        <f t="shared" si="19"/>
        <v>11630</v>
      </c>
      <c r="AT40" s="258">
        <f t="shared" si="6"/>
        <v>11630</v>
      </c>
      <c r="AU40" s="258">
        <f t="shared" si="20"/>
        <v>685.04</v>
      </c>
      <c r="AV40" s="258">
        <f t="shared" si="21"/>
        <v>10944.96</v>
      </c>
      <c r="AW40" s="258">
        <f t="shared" si="7"/>
        <v>0</v>
      </c>
      <c r="AX40" s="258">
        <v>0</v>
      </c>
      <c r="AY40" s="258">
        <f t="shared" si="22"/>
        <v>685.04</v>
      </c>
      <c r="AZ40" s="258">
        <f t="shared" si="38"/>
        <v>0</v>
      </c>
      <c r="BA40" s="258">
        <f t="shared" si="37"/>
        <v>0</v>
      </c>
      <c r="BB40" s="258"/>
      <c r="BC40" s="258"/>
      <c r="BD40" s="258"/>
      <c r="BE40" s="258"/>
      <c r="BF40" s="258"/>
      <c r="BG40" s="258">
        <f t="shared" si="24"/>
        <v>45145.259999999995</v>
      </c>
      <c r="BH40" s="108">
        <f t="shared" si="31"/>
        <v>5</v>
      </c>
      <c r="BI40" s="108">
        <f t="shared" si="26"/>
        <v>5</v>
      </c>
      <c r="BJ40" s="22">
        <f t="shared" si="27"/>
        <v>45417</v>
      </c>
      <c r="BK40" s="108">
        <f t="shared" si="9"/>
        <v>11280</v>
      </c>
    </row>
    <row r="41" spans="1:1217" s="16" customFormat="1" ht="39" customHeight="1" x14ac:dyDescent="0.3">
      <c r="A41" s="976" t="s">
        <v>313</v>
      </c>
      <c r="B41" s="848"/>
      <c r="C41" s="982" t="str">
        <f>CONCATENATE(MIN((C37*1%+C38*1%+C39*1%+C40*3%),IF($C$17="Серебряный",10000,IF($C$17="Золотой",15000,IF($C$17="Платиновый",20000,""))))+MIN((C37*1%+C38*3%+C39*3%+C40*1%),5000)," рублей")</f>
        <v>9400 рублей</v>
      </c>
      <c r="D41" s="982"/>
      <c r="E41" s="993"/>
      <c r="F41" s="178"/>
      <c r="G41" s="244">
        <f t="shared" si="28"/>
        <v>33</v>
      </c>
      <c r="H41" s="245">
        <f t="shared" si="1"/>
        <v>45448</v>
      </c>
      <c r="I41" s="246">
        <f t="shared" si="43"/>
        <v>0.10899999999999999</v>
      </c>
      <c r="J41" s="242">
        <f t="shared" si="11"/>
        <v>11280</v>
      </c>
      <c r="K41" s="242">
        <f t="shared" si="41"/>
        <v>11280</v>
      </c>
      <c r="L41" s="242">
        <f t="shared" si="36"/>
        <v>882.53</v>
      </c>
      <c r="M41" s="242">
        <f t="shared" si="13"/>
        <v>10397.469999999999</v>
      </c>
      <c r="N41" s="242">
        <f t="shared" si="3"/>
        <v>0</v>
      </c>
      <c r="O41" s="242">
        <v>0</v>
      </c>
      <c r="P41" s="242">
        <f t="shared" si="25"/>
        <v>882.53</v>
      </c>
      <c r="Q41" s="242">
        <f t="shared" si="33"/>
        <v>0</v>
      </c>
      <c r="R41" s="242">
        <f t="shared" si="15"/>
        <v>0</v>
      </c>
      <c r="S41" s="242">
        <f t="shared" si="16"/>
        <v>85194.510000000038</v>
      </c>
      <c r="T41" s="467"/>
      <c r="U41" s="198">
        <f t="shared" si="29"/>
        <v>4</v>
      </c>
      <c r="V41" s="36">
        <f t="shared" si="17"/>
        <v>4</v>
      </c>
      <c r="W41" s="16">
        <f>INDEX('Для Перспективы'!B3:D3,MATCH($C$10,'Для Перспективы'!$B$1:$D$1,0))</f>
        <v>194000</v>
      </c>
      <c r="X41" s="16">
        <f>INDEX('Для Перспективы'!B9:F9,MATCH($C$10,'Для Перспективы'!$B$1:$F$1,0))</f>
        <v>202000</v>
      </c>
      <c r="Y41" s="16">
        <f>INDEX('Для Перспективы'!B11:F11,MATCH($C$10,'Для Перспективы'!$B$1:$F$1,0))</f>
        <v>204900</v>
      </c>
      <c r="Z41" s="16">
        <f>INDEX('Для Перспективы'!B13:D13,MATCH($C$10,'Для Перспективы'!$B$1:$D$1,0))</f>
        <v>207900</v>
      </c>
      <c r="AA41" s="16">
        <f>INDEX('Для Перспективы'!B21:D21,MATCH($C$10,'Для Перспективы'!$B$1:$D$1,0))</f>
        <v>216800</v>
      </c>
      <c r="AB41" s="16">
        <f>INDEX('Для Перспективы'!B23:D23,MATCH($C$10,'Для Перспективы'!$B$1:$D$1,0))</f>
        <v>222900</v>
      </c>
      <c r="AC41" s="16">
        <f>INDEX('Для Перспективы'!B17:D17,MATCH($C$10,'Для Перспективы'!$B$1:$D$1,0))</f>
        <v>213800</v>
      </c>
      <c r="AD41" s="16">
        <f>INDEX('Для Перспективы'!B19:D19,MATCH($C$10,'Для Перспективы'!$B$1:$D$1,0))</f>
        <v>216030</v>
      </c>
      <c r="AE41" s="16">
        <f>INDEX('Для Перспективы'!B21:D21,MATCH($C$10,'Для Перспективы'!$B$1:$D$1,0))</f>
        <v>216800</v>
      </c>
      <c r="AF41" s="3"/>
      <c r="AG41" s="3"/>
      <c r="AH41" s="3"/>
      <c r="AI41" s="2"/>
      <c r="AJ41" s="2"/>
      <c r="AK41" s="57"/>
      <c r="AL41" s="2"/>
      <c r="AM41" s="15"/>
      <c r="AN41" s="15"/>
      <c r="AO41" s="130">
        <f t="shared" si="18"/>
        <v>1</v>
      </c>
      <c r="AP41" s="261">
        <f t="shared" si="30"/>
        <v>33</v>
      </c>
      <c r="AQ41" s="262">
        <f t="shared" si="4"/>
        <v>45448</v>
      </c>
      <c r="AR41" s="263">
        <f t="shared" si="42"/>
        <v>0.14899999999999999</v>
      </c>
      <c r="AS41" s="258">
        <f t="shared" si="19"/>
        <v>11630</v>
      </c>
      <c r="AT41" s="258">
        <f t="shared" si="6"/>
        <v>11630</v>
      </c>
      <c r="AU41" s="258">
        <f t="shared" si="20"/>
        <v>569.74</v>
      </c>
      <c r="AV41" s="258">
        <f t="shared" si="21"/>
        <v>11060.26</v>
      </c>
      <c r="AW41" s="258">
        <f t="shared" si="7"/>
        <v>0</v>
      </c>
      <c r="AX41" s="258">
        <v>0</v>
      </c>
      <c r="AY41" s="258">
        <f t="shared" si="22"/>
        <v>569.74</v>
      </c>
      <c r="AZ41" s="258">
        <f t="shared" si="38"/>
        <v>0</v>
      </c>
      <c r="BA41" s="258">
        <f t="shared" si="37"/>
        <v>0</v>
      </c>
      <c r="BB41" s="258"/>
      <c r="BC41" s="258"/>
      <c r="BD41" s="258"/>
      <c r="BE41" s="258"/>
      <c r="BF41" s="258"/>
      <c r="BG41" s="258">
        <f t="shared" si="24"/>
        <v>34084.999999999993</v>
      </c>
      <c r="BH41" s="108">
        <f t="shared" si="31"/>
        <v>4</v>
      </c>
      <c r="BI41" s="108">
        <f t="shared" si="26"/>
        <v>4</v>
      </c>
      <c r="BJ41" s="22">
        <f t="shared" si="27"/>
        <v>45448</v>
      </c>
      <c r="BK41" s="108">
        <f t="shared" si="9"/>
        <v>11280</v>
      </c>
    </row>
    <row r="42" spans="1:1217" s="16" customFormat="1" ht="18.75" customHeight="1" x14ac:dyDescent="0.3">
      <c r="A42" s="980" t="s">
        <v>316</v>
      </c>
      <c r="B42" s="488" t="s">
        <v>296</v>
      </c>
      <c r="C42" s="474">
        <v>10000</v>
      </c>
      <c r="D42" s="472">
        <f>IF($C$36="Да",C42*(1%+1%),C42*(1%+0%))</f>
        <v>200</v>
      </c>
      <c r="E42" s="471" t="s">
        <v>300</v>
      </c>
      <c r="F42" s="178"/>
      <c r="G42" s="244">
        <f t="shared" si="28"/>
        <v>34</v>
      </c>
      <c r="H42" s="245">
        <f t="shared" si="1"/>
        <v>45478</v>
      </c>
      <c r="I42" s="246">
        <f t="shared" si="43"/>
        <v>0.10899999999999999</v>
      </c>
      <c r="J42" s="242">
        <f t="shared" si="11"/>
        <v>11280</v>
      </c>
      <c r="K42" s="242">
        <f t="shared" si="41"/>
        <v>11280</v>
      </c>
      <c r="L42" s="242">
        <f t="shared" si="36"/>
        <v>761.16</v>
      </c>
      <c r="M42" s="242">
        <f t="shared" si="13"/>
        <v>10518.84</v>
      </c>
      <c r="N42" s="242">
        <f t="shared" si="3"/>
        <v>0</v>
      </c>
      <c r="O42" s="242">
        <v>0</v>
      </c>
      <c r="P42" s="242">
        <f t="shared" si="25"/>
        <v>761.16</v>
      </c>
      <c r="Q42" s="242">
        <f t="shared" si="33"/>
        <v>0</v>
      </c>
      <c r="R42" s="242">
        <f t="shared" si="15"/>
        <v>0</v>
      </c>
      <c r="S42" s="242">
        <f t="shared" si="16"/>
        <v>74675.670000000042</v>
      </c>
      <c r="T42" s="467"/>
      <c r="U42" s="198">
        <f t="shared" si="29"/>
        <v>3</v>
      </c>
      <c r="V42" s="36">
        <f t="shared" si="17"/>
        <v>3</v>
      </c>
      <c r="W42" s="2"/>
      <c r="X42" s="18">
        <f>K8</f>
        <v>-335640</v>
      </c>
      <c r="Y42" s="57">
        <f>H8</f>
        <v>44441</v>
      </c>
      <c r="Z42" s="2"/>
      <c r="AA42" s="2"/>
      <c r="AB42" s="2"/>
      <c r="AF42" s="2"/>
      <c r="AG42" s="2"/>
      <c r="AH42" s="2"/>
      <c r="AI42" s="2"/>
      <c r="AJ42" s="2"/>
      <c r="AK42" s="57"/>
      <c r="AL42" s="2"/>
      <c r="AM42" s="15"/>
      <c r="AN42" s="15"/>
      <c r="AO42" s="130">
        <f t="shared" si="18"/>
        <v>1</v>
      </c>
      <c r="AP42" s="261">
        <f t="shared" si="30"/>
        <v>34</v>
      </c>
      <c r="AQ42" s="262">
        <f t="shared" si="4"/>
        <v>45478</v>
      </c>
      <c r="AR42" s="263">
        <f t="shared" si="42"/>
        <v>0.14899999999999999</v>
      </c>
      <c r="AS42" s="258">
        <f t="shared" si="19"/>
        <v>11630</v>
      </c>
      <c r="AT42" s="258">
        <f t="shared" si="6"/>
        <v>11630</v>
      </c>
      <c r="AU42" s="258">
        <f t="shared" si="20"/>
        <v>416.28</v>
      </c>
      <c r="AV42" s="258">
        <f t="shared" si="21"/>
        <v>11213.72</v>
      </c>
      <c r="AW42" s="258">
        <f t="shared" si="7"/>
        <v>0</v>
      </c>
      <c r="AX42" s="258">
        <v>0</v>
      </c>
      <c r="AY42" s="258">
        <f t="shared" si="22"/>
        <v>416.28</v>
      </c>
      <c r="AZ42" s="258">
        <f t="shared" si="38"/>
        <v>0</v>
      </c>
      <c r="BA42" s="258">
        <f t="shared" si="37"/>
        <v>0</v>
      </c>
      <c r="BB42" s="258"/>
      <c r="BC42" s="258"/>
      <c r="BD42" s="258"/>
      <c r="BE42" s="258"/>
      <c r="BF42" s="258"/>
      <c r="BG42" s="258">
        <f t="shared" si="24"/>
        <v>22871.279999999992</v>
      </c>
      <c r="BH42" s="108">
        <f t="shared" si="31"/>
        <v>3</v>
      </c>
      <c r="BI42" s="108">
        <f t="shared" si="26"/>
        <v>3</v>
      </c>
      <c r="BJ42" s="22">
        <f t="shared" si="27"/>
        <v>45478</v>
      </c>
      <c r="BK42" s="108">
        <f t="shared" si="9"/>
        <v>11280</v>
      </c>
    </row>
    <row r="43" spans="1:1217" s="16" customFormat="1" x14ac:dyDescent="0.3">
      <c r="A43" s="981"/>
      <c r="B43" s="347" t="s">
        <v>297</v>
      </c>
      <c r="C43" s="474">
        <v>5000</v>
      </c>
      <c r="D43" s="472">
        <f>IF($C$36="Да",C43*(1%+3%),C43*(1%+0%))</f>
        <v>200</v>
      </c>
      <c r="E43" s="471" t="s">
        <v>300</v>
      </c>
      <c r="F43" s="178"/>
      <c r="G43" s="244">
        <f t="shared" si="28"/>
        <v>35</v>
      </c>
      <c r="H43" s="245">
        <f t="shared" si="1"/>
        <v>45509</v>
      </c>
      <c r="I43" s="246">
        <f t="shared" si="43"/>
        <v>0.10899999999999999</v>
      </c>
      <c r="J43" s="242">
        <f t="shared" si="11"/>
        <v>11280</v>
      </c>
      <c r="K43" s="242">
        <f t="shared" si="41"/>
        <v>11280</v>
      </c>
      <c r="L43" s="242">
        <f t="shared" si="36"/>
        <v>689.42</v>
      </c>
      <c r="M43" s="242">
        <f t="shared" si="13"/>
        <v>10590.58</v>
      </c>
      <c r="N43" s="242">
        <f t="shared" si="3"/>
        <v>0</v>
      </c>
      <c r="O43" s="242">
        <v>0</v>
      </c>
      <c r="P43" s="242">
        <f t="shared" si="25"/>
        <v>689.42</v>
      </c>
      <c r="Q43" s="242">
        <f t="shared" si="33"/>
        <v>0</v>
      </c>
      <c r="R43" s="242">
        <f t="shared" si="15"/>
        <v>0</v>
      </c>
      <c r="S43" s="242">
        <f t="shared" si="16"/>
        <v>64085.09000000004</v>
      </c>
      <c r="T43" s="467"/>
      <c r="U43" s="198">
        <f t="shared" si="29"/>
        <v>2</v>
      </c>
      <c r="V43" s="36">
        <f t="shared" si="17"/>
        <v>2</v>
      </c>
      <c r="X43" s="34">
        <f>IF(OR(C8="Гарантия стандарт",C8="Гарантия пакет"),AH65*AH79*$C$10,0)</f>
        <v>0</v>
      </c>
      <c r="Y43" s="57">
        <f>H8</f>
        <v>44441</v>
      </c>
      <c r="Z43" s="5" t="s">
        <v>11</v>
      </c>
      <c r="AA43" s="4"/>
      <c r="AB43" s="37"/>
      <c r="AF43" s="2"/>
      <c r="AG43" s="2"/>
      <c r="AH43" s="2"/>
      <c r="AI43" s="2"/>
      <c r="AJ43" s="2"/>
      <c r="AK43" s="57"/>
      <c r="AL43" s="2"/>
      <c r="AM43" s="15"/>
      <c r="AN43" s="15"/>
      <c r="AO43" s="130">
        <f t="shared" si="18"/>
        <v>1</v>
      </c>
      <c r="AP43" s="261">
        <f t="shared" si="30"/>
        <v>35</v>
      </c>
      <c r="AQ43" s="262">
        <f t="shared" si="4"/>
        <v>45509</v>
      </c>
      <c r="AR43" s="263">
        <f t="shared" si="42"/>
        <v>0.14899999999999999</v>
      </c>
      <c r="AS43" s="258">
        <f t="shared" si="19"/>
        <v>11630</v>
      </c>
      <c r="AT43" s="258">
        <f t="shared" si="6"/>
        <v>11630</v>
      </c>
      <c r="AU43" s="258">
        <f t="shared" si="20"/>
        <v>288.64</v>
      </c>
      <c r="AV43" s="258">
        <f t="shared" si="21"/>
        <v>11341.36</v>
      </c>
      <c r="AW43" s="258">
        <f t="shared" si="7"/>
        <v>0</v>
      </c>
      <c r="AX43" s="258">
        <v>0</v>
      </c>
      <c r="AY43" s="258">
        <f t="shared" si="22"/>
        <v>288.64</v>
      </c>
      <c r="AZ43" s="258">
        <f t="shared" si="38"/>
        <v>0</v>
      </c>
      <c r="BA43" s="258">
        <f t="shared" si="37"/>
        <v>0</v>
      </c>
      <c r="BB43" s="258"/>
      <c r="BC43" s="258"/>
      <c r="BD43" s="258"/>
      <c r="BE43" s="258"/>
      <c r="BF43" s="258"/>
      <c r="BG43" s="258">
        <f t="shared" si="24"/>
        <v>11529.919999999991</v>
      </c>
      <c r="BH43" s="108">
        <f t="shared" si="31"/>
        <v>2</v>
      </c>
      <c r="BI43" s="108">
        <f t="shared" si="26"/>
        <v>2</v>
      </c>
      <c r="BJ43" s="22">
        <f t="shared" si="27"/>
        <v>45509</v>
      </c>
      <c r="BK43" s="108">
        <f t="shared" si="9"/>
        <v>11280</v>
      </c>
    </row>
    <row r="44" spans="1:1217" s="16" customFormat="1" ht="15.75" customHeight="1" thickBot="1" x14ac:dyDescent="0.35">
      <c r="A44" s="981"/>
      <c r="B44" s="347" t="s">
        <v>298</v>
      </c>
      <c r="C44" s="474">
        <v>5000</v>
      </c>
      <c r="D44" s="472">
        <f>IF($C$36="Да",C44*(1%+3%),C44*(1%+0%))</f>
        <v>200</v>
      </c>
      <c r="E44" s="471" t="s">
        <v>300</v>
      </c>
      <c r="F44" s="178"/>
      <c r="G44" s="248">
        <f t="shared" si="28"/>
        <v>36</v>
      </c>
      <c r="H44" s="249">
        <f t="shared" si="1"/>
        <v>45540</v>
      </c>
      <c r="I44" s="250">
        <f t="shared" si="43"/>
        <v>0.10899999999999999</v>
      </c>
      <c r="J44" s="252">
        <f t="shared" si="11"/>
        <v>11280</v>
      </c>
      <c r="K44" s="252">
        <f t="shared" si="41"/>
        <v>11280</v>
      </c>
      <c r="L44" s="252">
        <f t="shared" si="36"/>
        <v>591.65</v>
      </c>
      <c r="M44" s="252">
        <f t="shared" si="13"/>
        <v>10688.35</v>
      </c>
      <c r="N44" s="252">
        <f t="shared" si="3"/>
        <v>0</v>
      </c>
      <c r="O44" s="252">
        <v>0</v>
      </c>
      <c r="P44" s="252">
        <f t="shared" si="25"/>
        <v>591.65</v>
      </c>
      <c r="Q44" s="252">
        <f t="shared" si="33"/>
        <v>0</v>
      </c>
      <c r="R44" s="252">
        <f t="shared" si="15"/>
        <v>0</v>
      </c>
      <c r="S44" s="252">
        <f t="shared" si="16"/>
        <v>53396.740000000042</v>
      </c>
      <c r="T44" s="468"/>
      <c r="U44" s="198">
        <f t="shared" si="29"/>
        <v>1</v>
      </c>
      <c r="V44" s="36">
        <f t="shared" si="17"/>
        <v>1</v>
      </c>
      <c r="W44" s="2">
        <f>IF(AND(G9&gt;=$W$9,G9&lt;=$W$9+5),0,IF($C$9&gt;$AF$51,ROUND(S8*#REF!/(DATEVALUE(CONCATENATE("01/01/",YEAR(H9)+1))-DATEVALUE(CONCATENATE("01/01/",YEAR(H9))))*(H9-H8),2),0))</f>
        <v>0</v>
      </c>
      <c r="X44" s="34">
        <f>K9</f>
        <v>0</v>
      </c>
      <c r="Y44" s="57">
        <f>Y43+365</f>
        <v>44806</v>
      </c>
      <c r="Z44" s="8" t="s">
        <v>10</v>
      </c>
      <c r="AA44" s="8"/>
      <c r="AB44" s="37"/>
      <c r="AF44" s="3"/>
      <c r="AG44" s="3"/>
      <c r="AH44" s="3"/>
      <c r="AI44" s="2"/>
      <c r="AJ44" s="2"/>
      <c r="AK44" s="57"/>
      <c r="AL44" s="2"/>
      <c r="AM44" s="15"/>
      <c r="AN44" s="3"/>
      <c r="AO44" s="130">
        <f t="shared" si="18"/>
        <v>1</v>
      </c>
      <c r="AP44" s="261">
        <f t="shared" si="30"/>
        <v>36</v>
      </c>
      <c r="AQ44" s="262">
        <f t="shared" si="4"/>
        <v>45540</v>
      </c>
      <c r="AR44" s="263">
        <f t="shared" si="42"/>
        <v>0.14899999999999999</v>
      </c>
      <c r="AS44" s="258">
        <f t="shared" si="19"/>
        <v>11630</v>
      </c>
      <c r="AT44" s="258">
        <f t="shared" si="6"/>
        <v>11630</v>
      </c>
      <c r="AU44" s="258">
        <f t="shared" si="20"/>
        <v>145.51</v>
      </c>
      <c r="AV44" s="258">
        <f t="shared" si="21"/>
        <v>11529.919999999991</v>
      </c>
      <c r="AW44" s="258">
        <f t="shared" si="7"/>
        <v>0</v>
      </c>
      <c r="AX44" s="258">
        <v>0</v>
      </c>
      <c r="AY44" s="258">
        <f t="shared" si="22"/>
        <v>145.51</v>
      </c>
      <c r="AZ44" s="258">
        <f t="shared" si="38"/>
        <v>0</v>
      </c>
      <c r="BA44" s="258">
        <f t="shared" si="37"/>
        <v>0</v>
      </c>
      <c r="BB44" s="258"/>
      <c r="BC44" s="258"/>
      <c r="BD44" s="258"/>
      <c r="BE44" s="258"/>
      <c r="BF44" s="258"/>
      <c r="BG44" s="258">
        <f t="shared" si="24"/>
        <v>0</v>
      </c>
      <c r="BH44" s="108">
        <f t="shared" si="31"/>
        <v>1</v>
      </c>
      <c r="BI44" s="108">
        <f t="shared" si="26"/>
        <v>1</v>
      </c>
      <c r="BJ44" s="22">
        <f t="shared" si="27"/>
        <v>45540</v>
      </c>
      <c r="BK44" s="108">
        <f t="shared" si="9"/>
        <v>11280</v>
      </c>
    </row>
    <row r="45" spans="1:1217" s="16" customFormat="1" ht="16.95" customHeight="1" x14ac:dyDescent="0.3">
      <c r="A45" s="981"/>
      <c r="B45" s="347" t="s">
        <v>299</v>
      </c>
      <c r="C45" s="474">
        <v>10000</v>
      </c>
      <c r="D45" s="472">
        <f>IF($C$36="Да",C45*(3%+1%),C45*(3%+0%))</f>
        <v>400</v>
      </c>
      <c r="E45" s="471" t="s">
        <v>300</v>
      </c>
      <c r="F45" s="178"/>
      <c r="G45" s="244">
        <f t="shared" si="28"/>
        <v>37</v>
      </c>
      <c r="H45" s="245">
        <f t="shared" si="1"/>
        <v>45570</v>
      </c>
      <c r="I45" s="246">
        <f>IF(AND($C$16="Да",$C$8&lt;&gt;"Нет"),$AG$39,$C$13)</f>
        <v>0.10899999999999999</v>
      </c>
      <c r="J45" s="242">
        <f t="shared" si="11"/>
        <v>11280</v>
      </c>
      <c r="K45" s="242">
        <f t="shared" ref="K45:K56" si="45">IF(AND(G45&gt;=$W$9,G45&lt;=$W$9+5),$W$10,IF(AND(S44+N45+L45&gt;K44,K44&lt;&gt;0),IF(AND($C$16="Да",$C$8&lt;&gt;"Нет"),$AF$39,$C$23),IF(S44=0,0,S44+N45+L45+L46)))</f>
        <v>11280</v>
      </c>
      <c r="L45" s="242">
        <f t="shared" si="36"/>
        <v>477.07</v>
      </c>
      <c r="M45" s="242">
        <f t="shared" si="13"/>
        <v>10802.93</v>
      </c>
      <c r="N45" s="242">
        <f t="shared" si="3"/>
        <v>0</v>
      </c>
      <c r="O45" s="242">
        <v>0</v>
      </c>
      <c r="P45" s="242">
        <f t="shared" si="25"/>
        <v>477.07</v>
      </c>
      <c r="Q45" s="242">
        <f t="shared" si="33"/>
        <v>0</v>
      </c>
      <c r="R45" s="242">
        <f t="shared" si="15"/>
        <v>0</v>
      </c>
      <c r="S45" s="242">
        <f t="shared" si="16"/>
        <v>42593.810000000041</v>
      </c>
      <c r="T45" s="467"/>
      <c r="U45" s="198">
        <f t="shared" si="29"/>
        <v>0</v>
      </c>
      <c r="V45" s="36">
        <f t="shared" si="17"/>
        <v>0</v>
      </c>
      <c r="W45" s="2">
        <f>IF(AND(G10&gt;=$W$9,G10&lt;=$W$9+5),0,IF($C$9&gt;$AF$51,ROUND(S9*#REF!/(DATEVALUE(CONCATENATE("01/01/",YEAR(H10)+1))-DATEVALUE(CONCATENATE("01/01/",YEAR(H10))))*(H10-H9),2),0))</f>
        <v>0</v>
      </c>
      <c r="X45" s="34">
        <f>IF(K10 &gt; 0, K10, 0)</f>
        <v>0</v>
      </c>
      <c r="Y45" s="57">
        <f t="shared" ref="Y45:Y108" si="46">Y44+365</f>
        <v>45171</v>
      </c>
      <c r="Z45" s="8" t="s">
        <v>8</v>
      </c>
      <c r="AA45" s="8"/>
      <c r="AB45" s="37"/>
      <c r="AF45" s="3"/>
      <c r="AG45" s="3"/>
      <c r="AH45" s="3"/>
      <c r="AI45" s="2"/>
      <c r="AJ45" s="2"/>
      <c r="AK45" s="57"/>
      <c r="AL45" s="2"/>
      <c r="AM45" s="3"/>
      <c r="AO45" s="130">
        <f t="shared" si="18"/>
        <v>0</v>
      </c>
      <c r="AP45" s="261">
        <f t="shared" si="30"/>
        <v>37</v>
      </c>
      <c r="AQ45" s="262">
        <f t="shared" si="4"/>
        <v>45570</v>
      </c>
      <c r="AR45" s="263">
        <f t="shared" ref="AR45:AR56" si="47">IF($D$16="Да",$AM$39,$D$13)</f>
        <v>0.14899999999999999</v>
      </c>
      <c r="AS45" s="258">
        <f t="shared" si="19"/>
        <v>0</v>
      </c>
      <c r="AT45" s="258">
        <f t="shared" si="6"/>
        <v>0</v>
      </c>
      <c r="AU45" s="258">
        <f t="shared" si="20"/>
        <v>0</v>
      </c>
      <c r="AV45" s="258">
        <f t="shared" si="21"/>
        <v>0</v>
      </c>
      <c r="AW45" s="258">
        <f t="shared" si="7"/>
        <v>0</v>
      </c>
      <c r="AX45" s="258">
        <v>0</v>
      </c>
      <c r="AY45" s="258">
        <f t="shared" si="22"/>
        <v>0</v>
      </c>
      <c r="AZ45" s="258">
        <f t="shared" si="38"/>
        <v>0</v>
      </c>
      <c r="BA45" s="258">
        <f t="shared" si="37"/>
        <v>0</v>
      </c>
      <c r="BB45" s="258"/>
      <c r="BC45" s="258"/>
      <c r="BD45" s="258"/>
      <c r="BE45" s="258"/>
      <c r="BF45" s="258"/>
      <c r="BG45" s="258">
        <f t="shared" si="24"/>
        <v>0</v>
      </c>
      <c r="BH45" s="108">
        <f t="shared" si="31"/>
        <v>0</v>
      </c>
      <c r="BI45" s="108">
        <f t="shared" si="26"/>
        <v>0</v>
      </c>
      <c r="BJ45" s="22">
        <f t="shared" si="27"/>
        <v>45570</v>
      </c>
      <c r="BK45" s="108">
        <f t="shared" si="9"/>
        <v>11280</v>
      </c>
    </row>
    <row r="46" spans="1:1217" s="16" customFormat="1" ht="41.25" customHeight="1" x14ac:dyDescent="0.3">
      <c r="A46" s="976" t="s">
        <v>314</v>
      </c>
      <c r="B46" s="848"/>
      <c r="C46" s="982" t="str">
        <f>CONCATENATE(MIN((C42*1%+C43*1%+C44*1%+C45*3%),IF(C17="Серебряный",10000,IF(C17="Золотой",15000,IF(C17="Платиновый",20000,""))))+MIN((C42*1%+C43*3%+C44*3%+C45*1%),5000)," рублей")</f>
        <v>1000 рублей</v>
      </c>
      <c r="D46" s="982"/>
      <c r="E46" s="993"/>
      <c r="F46" s="178"/>
      <c r="G46" s="244">
        <f t="shared" si="28"/>
        <v>38</v>
      </c>
      <c r="H46" s="245">
        <f t="shared" si="1"/>
        <v>45601</v>
      </c>
      <c r="I46" s="246">
        <f t="shared" ref="I46:I56" si="48">IF(AND($C$16="Да",$C$8&lt;&gt;"Нет"),$AG$39,$C$13)</f>
        <v>0.10899999999999999</v>
      </c>
      <c r="J46" s="242">
        <f t="shared" si="11"/>
        <v>11280</v>
      </c>
      <c r="K46" s="242">
        <f t="shared" si="45"/>
        <v>11280</v>
      </c>
      <c r="L46" s="242">
        <f t="shared" si="36"/>
        <v>393.24</v>
      </c>
      <c r="M46" s="242">
        <f t="shared" si="13"/>
        <v>10886.76</v>
      </c>
      <c r="N46" s="242">
        <f t="shared" si="3"/>
        <v>0</v>
      </c>
      <c r="O46" s="242">
        <v>0</v>
      </c>
      <c r="P46" s="242">
        <f t="shared" si="25"/>
        <v>393.24</v>
      </c>
      <c r="Q46" s="242">
        <f t="shared" si="33"/>
        <v>0</v>
      </c>
      <c r="R46" s="242">
        <f t="shared" si="15"/>
        <v>0</v>
      </c>
      <c r="S46" s="242">
        <f t="shared" si="16"/>
        <v>31707.050000000039</v>
      </c>
      <c r="T46" s="467"/>
      <c r="U46" s="198">
        <f t="shared" si="29"/>
        <v>0</v>
      </c>
      <c r="V46" s="36">
        <f t="shared" si="17"/>
        <v>0</v>
      </c>
      <c r="W46" s="2">
        <f>IF(AND(G11&gt;=$W$9,G11&lt;=$W$9+5),0,IF($C$9&gt;$AF$51,ROUND(S10*#REF!/(DATEVALUE(CONCATENATE("01/01/",YEAR(H11)+1))-DATEVALUE(CONCATENATE("01/01/",YEAR(H11))))*(H11-H10),2),0))</f>
        <v>0</v>
      </c>
      <c r="X46" s="34">
        <f t="shared" ref="X46:X109" si="49">IF(K11 &gt; 0, K11, 0)</f>
        <v>0</v>
      </c>
      <c r="Y46" s="57">
        <f t="shared" si="46"/>
        <v>45536</v>
      </c>
      <c r="Z46" s="5" t="s">
        <v>1</v>
      </c>
      <c r="AA46" s="8"/>
      <c r="AB46" s="40"/>
      <c r="AC46" s="2"/>
      <c r="AD46" s="2"/>
      <c r="AE46" s="3"/>
      <c r="AF46" s="3"/>
      <c r="AG46" s="3"/>
      <c r="AH46" s="3"/>
      <c r="AI46" s="2"/>
      <c r="AJ46" s="2"/>
      <c r="AK46" s="57"/>
      <c r="AL46" s="2"/>
      <c r="AM46" s="18">
        <f>AT8</f>
        <v>-335640</v>
      </c>
      <c r="AN46" s="57">
        <f>AQ8</f>
        <v>44441</v>
      </c>
      <c r="AO46" s="130">
        <f t="shared" si="18"/>
        <v>0</v>
      </c>
      <c r="AP46" s="261">
        <f t="shared" si="30"/>
        <v>38</v>
      </c>
      <c r="AQ46" s="262">
        <f t="shared" si="4"/>
        <v>45601</v>
      </c>
      <c r="AR46" s="263">
        <f t="shared" si="47"/>
        <v>0.14899999999999999</v>
      </c>
      <c r="AS46" s="258">
        <f t="shared" si="19"/>
        <v>0</v>
      </c>
      <c r="AT46" s="258">
        <f t="shared" si="6"/>
        <v>0</v>
      </c>
      <c r="AU46" s="258">
        <f t="shared" si="20"/>
        <v>0</v>
      </c>
      <c r="AV46" s="258">
        <f t="shared" si="21"/>
        <v>0</v>
      </c>
      <c r="AW46" s="258">
        <f t="shared" si="7"/>
        <v>0</v>
      </c>
      <c r="AX46" s="258">
        <v>0</v>
      </c>
      <c r="AY46" s="258">
        <f t="shared" si="22"/>
        <v>0</v>
      </c>
      <c r="AZ46" s="258">
        <f t="shared" si="38"/>
        <v>0</v>
      </c>
      <c r="BA46" s="258">
        <f t="shared" si="37"/>
        <v>0</v>
      </c>
      <c r="BB46" s="258"/>
      <c r="BC46" s="258"/>
      <c r="BD46" s="258"/>
      <c r="BE46" s="258"/>
      <c r="BF46" s="258"/>
      <c r="BG46" s="258">
        <f t="shared" si="24"/>
        <v>0</v>
      </c>
      <c r="BH46" s="108">
        <f t="shared" si="31"/>
        <v>0</v>
      </c>
      <c r="BI46" s="108">
        <f t="shared" si="26"/>
        <v>0</v>
      </c>
      <c r="BJ46" s="22">
        <f t="shared" si="27"/>
        <v>45601</v>
      </c>
      <c r="BK46" s="108">
        <f t="shared" si="9"/>
        <v>11280</v>
      </c>
    </row>
    <row r="47" spans="1:1217" s="16" customFormat="1" ht="30.75" customHeight="1" x14ac:dyDescent="0.3">
      <c r="A47" s="995" t="s">
        <v>301</v>
      </c>
      <c r="B47" s="995"/>
      <c r="C47" s="995"/>
      <c r="D47" s="495"/>
      <c r="E47" s="495"/>
      <c r="F47" s="178"/>
      <c r="G47" s="244">
        <f t="shared" si="28"/>
        <v>39</v>
      </c>
      <c r="H47" s="245">
        <f t="shared" si="1"/>
        <v>45631</v>
      </c>
      <c r="I47" s="246">
        <f t="shared" si="48"/>
        <v>0.10899999999999999</v>
      </c>
      <c r="J47" s="242">
        <f t="shared" si="11"/>
        <v>11280</v>
      </c>
      <c r="K47" s="242">
        <f t="shared" si="45"/>
        <v>11280</v>
      </c>
      <c r="L47" s="242">
        <f t="shared" si="36"/>
        <v>283.27999999999997</v>
      </c>
      <c r="M47" s="242">
        <f t="shared" si="13"/>
        <v>10996.72</v>
      </c>
      <c r="N47" s="242">
        <f t="shared" si="3"/>
        <v>0</v>
      </c>
      <c r="O47" s="242">
        <v>0</v>
      </c>
      <c r="P47" s="242">
        <f t="shared" si="25"/>
        <v>283.27999999999997</v>
      </c>
      <c r="Q47" s="242">
        <f t="shared" si="33"/>
        <v>0</v>
      </c>
      <c r="R47" s="242">
        <f t="shared" si="15"/>
        <v>0</v>
      </c>
      <c r="S47" s="242">
        <f t="shared" si="16"/>
        <v>20710.330000000038</v>
      </c>
      <c r="T47" s="467"/>
      <c r="U47" s="198">
        <f t="shared" si="29"/>
        <v>0</v>
      </c>
      <c r="V47" s="36">
        <f t="shared" si="17"/>
        <v>0</v>
      </c>
      <c r="W47" s="2">
        <f>IF(AND(G12&gt;=$W$9,G12&lt;=$W$9+5),0,IF($C$9&gt;$AF$51,ROUND(S11*#REF!/(DATEVALUE(CONCATENATE("01/01/",YEAR(H12)+1))-DATEVALUE(CONCATENATE("01/01/",YEAR(H12))))*(H12-H11),2),0))</f>
        <v>0</v>
      </c>
      <c r="X47" s="34">
        <f t="shared" si="49"/>
        <v>0</v>
      </c>
      <c r="Y47" s="57">
        <f t="shared" si="46"/>
        <v>45901</v>
      </c>
      <c r="Z47" s="5" t="s">
        <v>42</v>
      </c>
      <c r="AA47" s="8"/>
      <c r="AB47" s="17">
        <f>AC51/C7</f>
        <v>0.39560000000000001</v>
      </c>
      <c r="AC47" s="38">
        <v>0</v>
      </c>
      <c r="AD47" s="1" t="s">
        <v>20</v>
      </c>
      <c r="AE47" s="6" t="s">
        <v>15</v>
      </c>
      <c r="AF47" s="6"/>
      <c r="AG47" s="6">
        <f>IF(S8&gt;=200000,10,1)</f>
        <v>10</v>
      </c>
      <c r="AH47" s="27">
        <v>41274</v>
      </c>
      <c r="AI47" s="2">
        <v>6</v>
      </c>
      <c r="AJ47" s="2"/>
      <c r="AK47" s="2"/>
      <c r="AM47" s="34">
        <f>IF(OR(D8="Гарантия стандарт",D8="Гарантия пакет"),AH65*AH79*$C$10,0)</f>
        <v>0</v>
      </c>
      <c r="AN47" s="57">
        <f>AQ8</f>
        <v>44441</v>
      </c>
      <c r="AO47" s="130">
        <f t="shared" si="18"/>
        <v>0</v>
      </c>
      <c r="AP47" s="261">
        <f t="shared" si="30"/>
        <v>39</v>
      </c>
      <c r="AQ47" s="262">
        <f t="shared" si="4"/>
        <v>45631</v>
      </c>
      <c r="AR47" s="263">
        <f t="shared" si="47"/>
        <v>0.14899999999999999</v>
      </c>
      <c r="AS47" s="258">
        <f t="shared" si="19"/>
        <v>0</v>
      </c>
      <c r="AT47" s="258">
        <f t="shared" si="6"/>
        <v>0</v>
      </c>
      <c r="AU47" s="258">
        <f t="shared" si="20"/>
        <v>0</v>
      </c>
      <c r="AV47" s="258">
        <f t="shared" si="21"/>
        <v>0</v>
      </c>
      <c r="AW47" s="258">
        <f t="shared" si="7"/>
        <v>0</v>
      </c>
      <c r="AX47" s="258">
        <v>0</v>
      </c>
      <c r="AY47" s="258">
        <f t="shared" si="22"/>
        <v>0</v>
      </c>
      <c r="AZ47" s="258">
        <f t="shared" si="38"/>
        <v>0</v>
      </c>
      <c r="BA47" s="258">
        <f t="shared" si="37"/>
        <v>0</v>
      </c>
      <c r="BB47" s="258"/>
      <c r="BC47" s="258"/>
      <c r="BD47" s="258"/>
      <c r="BE47" s="258"/>
      <c r="BF47" s="258"/>
      <c r="BG47" s="258">
        <f t="shared" si="24"/>
        <v>0</v>
      </c>
      <c r="BH47" s="108">
        <f t="shared" si="31"/>
        <v>0</v>
      </c>
      <c r="BI47" s="108">
        <f t="shared" si="26"/>
        <v>0</v>
      </c>
      <c r="BJ47" s="22">
        <f t="shared" si="27"/>
        <v>45631</v>
      </c>
      <c r="BK47" s="108">
        <f t="shared" si="9"/>
        <v>11280</v>
      </c>
    </row>
    <row r="48" spans="1:1217" s="16" customFormat="1" ht="44.25" customHeight="1" x14ac:dyDescent="0.3">
      <c r="A48" s="986" t="s">
        <v>308</v>
      </c>
      <c r="B48" s="987"/>
      <c r="C48" s="988" t="str">
        <f>CONCATENATE(ROUND(D32-C32,0)+MIN((C37*1%+C38*1%+C39*1%+C40*3%),IF($C$17="Серебряный",10000,IF($C$17="Золотой",15000,IF($C$17="Платиновый",20000,""))))+MIN((C37*1%+C38*3%+C39*3%+C40*1%),5000)+(MIN((C42*1%+C43*1%+C44*1%+C45*3%),IF(C17="Серебряный",10000,IF(C17="Золотой",15000,IF(C17="Платиновый",20000,""))))*13+MIN((C42*1%+C43*3%+C44*3%+C45*1%),5000)*13)," рублей")</f>
        <v>5895 рублей</v>
      </c>
      <c r="D48" s="988"/>
      <c r="E48" s="996"/>
      <c r="F48" s="178"/>
      <c r="G48" s="244">
        <f t="shared" si="28"/>
        <v>40</v>
      </c>
      <c r="H48" s="245">
        <f t="shared" si="1"/>
        <v>45662</v>
      </c>
      <c r="I48" s="246">
        <f t="shared" si="48"/>
        <v>0.10899999999999999</v>
      </c>
      <c r="J48" s="242">
        <f t="shared" si="11"/>
        <v>11280</v>
      </c>
      <c r="K48" s="242">
        <f t="shared" si="45"/>
        <v>11280</v>
      </c>
      <c r="L48" s="242">
        <f t="shared" si="36"/>
        <v>191.29</v>
      </c>
      <c r="M48" s="242">
        <f t="shared" si="13"/>
        <v>11088.71</v>
      </c>
      <c r="N48" s="242">
        <f t="shared" si="3"/>
        <v>0</v>
      </c>
      <c r="O48" s="242">
        <v>0</v>
      </c>
      <c r="P48" s="242">
        <f t="shared" si="25"/>
        <v>191.29</v>
      </c>
      <c r="Q48" s="242">
        <f t="shared" si="33"/>
        <v>0</v>
      </c>
      <c r="R48" s="242">
        <f t="shared" si="15"/>
        <v>0</v>
      </c>
      <c r="S48" s="242">
        <f t="shared" si="16"/>
        <v>9621.620000000039</v>
      </c>
      <c r="T48" s="467"/>
      <c r="U48" s="198">
        <f t="shared" si="29"/>
        <v>0</v>
      </c>
      <c r="V48" s="36">
        <f t="shared" si="17"/>
        <v>0</v>
      </c>
      <c r="W48" s="2">
        <f>IF(AND(G13&gt;=$W$9,G13&lt;=$W$9+5),0,IF($C$9&gt;$AF$51,ROUND(S12*#REF!/(DATEVALUE(CONCATENATE("01/01/",YEAR(H13)+1))-DATEVALUE(CONCATENATE("01/01/",YEAR(H13))))*(H13-H12),2),0))</f>
        <v>0</v>
      </c>
      <c r="X48" s="34">
        <f t="shared" si="49"/>
        <v>0</v>
      </c>
      <c r="Y48" s="57">
        <f t="shared" si="46"/>
        <v>46266</v>
      </c>
      <c r="Z48" s="5"/>
      <c r="AA48" s="8"/>
      <c r="AB48" s="17">
        <f>IF(C8=AC59,AC65,IF(C8=AD59,AD65,IF(C8=AF59,AF65,IF(C8=AG59,AG65,IF(C8=AE59,AE65,IF(C8=AH59,AH65,IF(C8=AI59,AI65,IF(C8=AJ59,AJ65,Y23))))))))</f>
        <v>3.0000000000000001E-3</v>
      </c>
      <c r="AC48" s="39">
        <f>C7*(1-AC47)</f>
        <v>300000</v>
      </c>
      <c r="AD48" s="9" t="s">
        <v>29</v>
      </c>
      <c r="AE48" s="2" t="s">
        <v>17</v>
      </c>
      <c r="AF48" s="2"/>
      <c r="AG48" s="2">
        <v>7.4000000000000003E-3</v>
      </c>
      <c r="AH48" s="59">
        <v>41750</v>
      </c>
      <c r="AI48" s="2">
        <v>72</v>
      </c>
      <c r="AJ48" s="2"/>
      <c r="AK48" s="2"/>
      <c r="AL48" s="2" t="e">
        <f>IF(AND(Y5&gt;=$W$9,Y5&lt;=$W$9+5),0,IF($C$9&gt;$AF$51,ROUND(AI8*#REF!/(DATEVALUE(CONCATENATE("01/01/",YEAR(Z5)+1))-DATEVALUE(CONCATENATE("01/01/",YEAR(Z5))))*(Z5-Z4),2),0))</f>
        <v>#REF!</v>
      </c>
      <c r="AM48" s="34">
        <f>AT9</f>
        <v>11630</v>
      </c>
      <c r="AN48" s="57">
        <f>AN47+365</f>
        <v>44806</v>
      </c>
      <c r="AO48" s="130">
        <f t="shared" si="18"/>
        <v>0</v>
      </c>
      <c r="AP48" s="261">
        <f t="shared" si="30"/>
        <v>40</v>
      </c>
      <c r="AQ48" s="262">
        <f t="shared" si="4"/>
        <v>45662</v>
      </c>
      <c r="AR48" s="263">
        <f t="shared" si="47"/>
        <v>0.14899999999999999</v>
      </c>
      <c r="AS48" s="258">
        <f t="shared" si="19"/>
        <v>0</v>
      </c>
      <c r="AT48" s="258">
        <f t="shared" si="6"/>
        <v>0</v>
      </c>
      <c r="AU48" s="258">
        <f t="shared" si="20"/>
        <v>0</v>
      </c>
      <c r="AV48" s="258">
        <f t="shared" si="21"/>
        <v>0</v>
      </c>
      <c r="AW48" s="258">
        <f t="shared" si="7"/>
        <v>0</v>
      </c>
      <c r="AX48" s="258">
        <v>0</v>
      </c>
      <c r="AY48" s="258">
        <f t="shared" si="22"/>
        <v>0</v>
      </c>
      <c r="AZ48" s="258">
        <f t="shared" si="38"/>
        <v>0</v>
      </c>
      <c r="BA48" s="258">
        <f t="shared" si="37"/>
        <v>0</v>
      </c>
      <c r="BB48" s="258"/>
      <c r="BC48" s="258"/>
      <c r="BD48" s="258"/>
      <c r="BE48" s="258"/>
      <c r="BF48" s="258"/>
      <c r="BG48" s="258">
        <f t="shared" si="24"/>
        <v>0</v>
      </c>
      <c r="BH48" s="108">
        <f t="shared" si="31"/>
        <v>0</v>
      </c>
      <c r="BI48" s="108">
        <f t="shared" si="26"/>
        <v>0</v>
      </c>
      <c r="BJ48" s="22">
        <f t="shared" si="27"/>
        <v>45662</v>
      </c>
      <c r="BK48" s="108">
        <f t="shared" si="9"/>
        <v>11280</v>
      </c>
    </row>
    <row r="49" spans="1:64" s="16" customFormat="1" ht="55.2" customHeight="1" x14ac:dyDescent="0.25">
      <c r="A49" s="883" t="s">
        <v>175</v>
      </c>
      <c r="B49" s="884"/>
      <c r="C49" s="884"/>
      <c r="D49" s="884"/>
      <c r="E49" s="885"/>
      <c r="F49" s="180"/>
      <c r="G49" s="244">
        <f t="shared" si="28"/>
        <v>41</v>
      </c>
      <c r="H49" s="245">
        <f t="shared" si="1"/>
        <v>45693</v>
      </c>
      <c r="I49" s="246">
        <f t="shared" si="48"/>
        <v>0.10899999999999999</v>
      </c>
      <c r="J49" s="242">
        <f t="shared" si="11"/>
        <v>9710.6900000000387</v>
      </c>
      <c r="K49" s="242">
        <f t="shared" si="45"/>
        <v>9710.6900000000387</v>
      </c>
      <c r="L49" s="242">
        <f t="shared" si="36"/>
        <v>89.07</v>
      </c>
      <c r="M49" s="242">
        <f t="shared" si="13"/>
        <v>9621.620000000039</v>
      </c>
      <c r="N49" s="242">
        <f t="shared" si="3"/>
        <v>0</v>
      </c>
      <c r="O49" s="242">
        <v>0</v>
      </c>
      <c r="P49" s="242">
        <f t="shared" si="25"/>
        <v>89.07</v>
      </c>
      <c r="Q49" s="242">
        <f t="shared" si="33"/>
        <v>0</v>
      </c>
      <c r="R49" s="242">
        <f t="shared" si="15"/>
        <v>0</v>
      </c>
      <c r="S49" s="242">
        <f t="shared" si="16"/>
        <v>0</v>
      </c>
      <c r="T49" s="467"/>
      <c r="U49" s="198">
        <f t="shared" si="29"/>
        <v>0</v>
      </c>
      <c r="V49" s="36">
        <f t="shared" si="17"/>
        <v>0</v>
      </c>
      <c r="W49" s="2">
        <f>IF(AND(G14&gt;=$W$9,G14&lt;=$W$9+5),0,IF($C$9&gt;$AF$51,ROUND(S13*#REF!/(DATEVALUE(CONCATENATE("01/01/",YEAR(H14)+1))-DATEVALUE(CONCATENATE("01/01/",YEAR(H14))))*(H14-H13),2),0))</f>
        <v>0</v>
      </c>
      <c r="X49" s="34">
        <f t="shared" si="49"/>
        <v>0</v>
      </c>
      <c r="Y49" s="57">
        <f t="shared" si="46"/>
        <v>46631</v>
      </c>
      <c r="Z49" s="2"/>
      <c r="AA49" s="2"/>
      <c r="AB49" s="15">
        <f>IF(D8=AC59,AC65,IF(D8=AD59,AD65,IF(D8=AF59,AF65,IF(D8=AG59,AG65,IF(D8=AE59,AE65,IF(D8=AH59,AH65,IF(D8=AI59,AI65,Y23)))))))</f>
        <v>3.0000000000000001E-3</v>
      </c>
      <c r="AC49" s="41">
        <f>ROUNDUP(C7*AD49,0)</f>
        <v>0</v>
      </c>
      <c r="AD49" s="12">
        <v>0</v>
      </c>
      <c r="AE49" s="1">
        <v>15000</v>
      </c>
      <c r="AF49" s="53">
        <v>41365</v>
      </c>
      <c r="AG49" s="1">
        <v>500</v>
      </c>
      <c r="AH49" s="2">
        <f>ROUNDUP(($AD$55)/AG47,0)*AG47</f>
        <v>11660</v>
      </c>
      <c r="AI49" s="2"/>
      <c r="AJ49" s="2"/>
      <c r="AK49" s="2"/>
      <c r="AL49" s="2" t="e">
        <f>IF(AND(Y6&gt;=$W$9,Y6&lt;=$W$9+5),0,IF($C$9&gt;$AF$51,ROUND(AI9*#REF!/(DATEVALUE(CONCATENATE("01/01/",YEAR(Z6)+1))-DATEVALUE(CONCATENATE("01/01/",YEAR(Z6))))*(Z6-Z5),2),0))</f>
        <v>#REF!</v>
      </c>
      <c r="AM49" s="34">
        <f>AT10</f>
        <v>11630</v>
      </c>
      <c r="AN49" s="57">
        <f t="shared" ref="AN49:AN112" si="50">AN48+365</f>
        <v>45171</v>
      </c>
      <c r="AO49" s="130">
        <f t="shared" si="18"/>
        <v>0</v>
      </c>
      <c r="AP49" s="261">
        <f t="shared" si="30"/>
        <v>41</v>
      </c>
      <c r="AQ49" s="262">
        <f t="shared" si="4"/>
        <v>45693</v>
      </c>
      <c r="AR49" s="263">
        <f t="shared" si="47"/>
        <v>0.14899999999999999</v>
      </c>
      <c r="AS49" s="258">
        <f t="shared" si="19"/>
        <v>0</v>
      </c>
      <c r="AT49" s="258">
        <f t="shared" si="6"/>
        <v>0</v>
      </c>
      <c r="AU49" s="258">
        <f t="shared" si="20"/>
        <v>0</v>
      </c>
      <c r="AV49" s="258">
        <f t="shared" si="21"/>
        <v>0</v>
      </c>
      <c r="AW49" s="258">
        <f t="shared" si="7"/>
        <v>0</v>
      </c>
      <c r="AX49" s="258">
        <v>0</v>
      </c>
      <c r="AY49" s="258">
        <f t="shared" si="22"/>
        <v>0</v>
      </c>
      <c r="AZ49" s="258">
        <f t="shared" si="38"/>
        <v>0</v>
      </c>
      <c r="BA49" s="258">
        <f t="shared" si="37"/>
        <v>0</v>
      </c>
      <c r="BB49" s="258"/>
      <c r="BC49" s="258"/>
      <c r="BD49" s="258"/>
      <c r="BE49" s="258"/>
      <c r="BF49" s="258"/>
      <c r="BG49" s="258">
        <f t="shared" si="24"/>
        <v>0</v>
      </c>
      <c r="BH49" s="108">
        <f t="shared" si="31"/>
        <v>0</v>
      </c>
      <c r="BI49" s="108">
        <f t="shared" si="26"/>
        <v>0</v>
      </c>
      <c r="BJ49" s="22">
        <f t="shared" si="27"/>
        <v>45693</v>
      </c>
      <c r="BK49" s="108">
        <f t="shared" si="9"/>
        <v>9710.6900000000387</v>
      </c>
    </row>
    <row r="50" spans="1:64" s="16" customFormat="1" ht="55.5" customHeight="1" thickBot="1" x14ac:dyDescent="0.3">
      <c r="A50" s="847" t="s">
        <v>186</v>
      </c>
      <c r="B50" s="213" t="s">
        <v>180</v>
      </c>
      <c r="C50" s="191">
        <f>C32/($C$10/12)</f>
        <v>33196.89666666666</v>
      </c>
      <c r="D50" s="191">
        <f>D32/($C$10/12)</f>
        <v>27695.14333333333</v>
      </c>
      <c r="E50" s="191">
        <f>C50-D50</f>
        <v>5501.7533333333304</v>
      </c>
      <c r="F50" s="180"/>
      <c r="G50" s="244">
        <f t="shared" si="28"/>
        <v>42</v>
      </c>
      <c r="H50" s="245">
        <f t="shared" si="1"/>
        <v>45721</v>
      </c>
      <c r="I50" s="246">
        <f t="shared" si="48"/>
        <v>0.10899999999999999</v>
      </c>
      <c r="J50" s="242">
        <f t="shared" si="11"/>
        <v>0</v>
      </c>
      <c r="K50" s="242">
        <f t="shared" si="45"/>
        <v>0</v>
      </c>
      <c r="L50" s="242">
        <f t="shared" si="36"/>
        <v>0</v>
      </c>
      <c r="M50" s="242">
        <f t="shared" si="13"/>
        <v>0</v>
      </c>
      <c r="N50" s="242">
        <f t="shared" si="3"/>
        <v>0</v>
      </c>
      <c r="O50" s="242">
        <v>0</v>
      </c>
      <c r="P50" s="242">
        <f t="shared" si="25"/>
        <v>0</v>
      </c>
      <c r="Q50" s="242">
        <f t="shared" si="33"/>
        <v>0</v>
      </c>
      <c r="R50" s="242">
        <f t="shared" si="15"/>
        <v>0</v>
      </c>
      <c r="S50" s="242">
        <f t="shared" si="16"/>
        <v>0</v>
      </c>
      <c r="T50" s="467"/>
      <c r="U50" s="198">
        <f t="shared" si="29"/>
        <v>0</v>
      </c>
      <c r="V50" s="36">
        <f t="shared" si="17"/>
        <v>0</v>
      </c>
      <c r="W50" s="2" t="e">
        <f>IF(AND(G15&gt;=$W$9,G15&lt;=$W$9+5),0,IF($C$9&gt;$AF$51,ROUND(S14*#REF!/(DATEVALUE(CONCATENATE("01/01/",YEAR(H15)+1))-DATEVALUE(CONCATENATE("01/01/",YEAR(H15))))*(H15-H14),2),0))</f>
        <v>#REF!</v>
      </c>
      <c r="X50" s="34">
        <f t="shared" si="49"/>
        <v>11280</v>
      </c>
      <c r="Y50" s="57">
        <f t="shared" si="46"/>
        <v>46996</v>
      </c>
      <c r="Z50" s="6" t="s">
        <v>0</v>
      </c>
      <c r="AA50" s="6"/>
      <c r="AB50" s="6"/>
      <c r="AC50" s="42">
        <v>24</v>
      </c>
      <c r="AD50" s="14"/>
      <c r="AE50" s="1">
        <f>IF(C9&lt;AF49,300000,1000000)</f>
        <v>1000000</v>
      </c>
      <c r="AF50" s="53">
        <v>41501</v>
      </c>
      <c r="AG50" s="53">
        <v>41882</v>
      </c>
      <c r="AH50" s="2" t="e">
        <f>IF(C9&gt;AG50,XIRR(X43:X122,Y43:Y122)*12,XIRR(X43:X121,H8:H86))</f>
        <v>#NUM!</v>
      </c>
      <c r="AI50" s="2"/>
      <c r="AJ50" s="2"/>
      <c r="AK50" s="2"/>
      <c r="AL50" s="2" t="e">
        <f>IF(AND(#REF!&gt;=$W$9,#REF!&lt;=$W$9+5),0,IF($C$9&gt;$AF$51,ROUND(AI10*#REF!/(DATEVALUE(CONCATENATE("01/01/",YEAR(#REF!)+1))-DATEVALUE(CONCATENATE("01/01/",YEAR(#REF!))))*(#REF!-Z6),2),0))</f>
        <v>#REF!</v>
      </c>
      <c r="AM50" s="34">
        <f t="shared" ref="AM50:AM113" si="51">AT11</f>
        <v>11630</v>
      </c>
      <c r="AN50" s="57">
        <f t="shared" si="50"/>
        <v>45536</v>
      </c>
      <c r="AO50" s="130">
        <f t="shared" si="18"/>
        <v>0</v>
      </c>
      <c r="AP50" s="261">
        <f t="shared" si="30"/>
        <v>42</v>
      </c>
      <c r="AQ50" s="262">
        <f t="shared" si="4"/>
        <v>45721</v>
      </c>
      <c r="AR50" s="263">
        <f t="shared" si="47"/>
        <v>0.14899999999999999</v>
      </c>
      <c r="AS50" s="258">
        <f t="shared" si="19"/>
        <v>0</v>
      </c>
      <c r="AT50" s="258">
        <f t="shared" si="6"/>
        <v>0</v>
      </c>
      <c r="AU50" s="258">
        <f t="shared" si="20"/>
        <v>0</v>
      </c>
      <c r="AV50" s="258">
        <f t="shared" si="21"/>
        <v>0</v>
      </c>
      <c r="AW50" s="258">
        <f t="shared" si="7"/>
        <v>0</v>
      </c>
      <c r="AX50" s="258">
        <v>0</v>
      </c>
      <c r="AY50" s="258">
        <f t="shared" si="22"/>
        <v>0</v>
      </c>
      <c r="AZ50" s="258">
        <f t="shared" si="38"/>
        <v>0</v>
      </c>
      <c r="BA50" s="258">
        <f t="shared" si="37"/>
        <v>0</v>
      </c>
      <c r="BB50" s="258"/>
      <c r="BC50" s="258"/>
      <c r="BD50" s="258"/>
      <c r="BE50" s="258"/>
      <c r="BF50" s="258"/>
      <c r="BG50" s="258">
        <f t="shared" si="24"/>
        <v>0</v>
      </c>
      <c r="BH50" s="108">
        <f t="shared" si="31"/>
        <v>0</v>
      </c>
      <c r="BI50" s="108">
        <f t="shared" si="26"/>
        <v>0</v>
      </c>
      <c r="BJ50" s="22">
        <f t="shared" si="27"/>
        <v>45721</v>
      </c>
      <c r="BK50" s="108">
        <f t="shared" si="9"/>
        <v>0</v>
      </c>
    </row>
    <row r="51" spans="1:64" s="16" customFormat="1" ht="19.5" customHeight="1" x14ac:dyDescent="0.3">
      <c r="A51" s="847"/>
      <c r="B51" s="213" t="s">
        <v>181</v>
      </c>
      <c r="C51" s="201">
        <f>C50/C22</f>
        <v>9.8906258689866106E-2</v>
      </c>
      <c r="D51" s="201">
        <f>D50/D22</f>
        <v>8.2514430143407605E-2</v>
      </c>
      <c r="E51" s="191"/>
      <c r="F51" s="178"/>
      <c r="G51" s="244">
        <f t="shared" si="28"/>
        <v>43</v>
      </c>
      <c r="H51" s="245">
        <f t="shared" si="1"/>
        <v>45752</v>
      </c>
      <c r="I51" s="246">
        <f t="shared" si="48"/>
        <v>0.10899999999999999</v>
      </c>
      <c r="J51" s="242">
        <f t="shared" si="11"/>
        <v>0</v>
      </c>
      <c r="K51" s="242">
        <f t="shared" si="45"/>
        <v>0</v>
      </c>
      <c r="L51" s="242">
        <f t="shared" si="36"/>
        <v>0</v>
      </c>
      <c r="M51" s="242">
        <f t="shared" si="13"/>
        <v>0</v>
      </c>
      <c r="N51" s="242">
        <f t="shared" si="3"/>
        <v>0</v>
      </c>
      <c r="O51" s="242">
        <v>0</v>
      </c>
      <c r="P51" s="242">
        <f t="shared" si="25"/>
        <v>0</v>
      </c>
      <c r="Q51" s="242">
        <f t="shared" si="33"/>
        <v>0</v>
      </c>
      <c r="R51" s="242">
        <f t="shared" si="15"/>
        <v>0</v>
      </c>
      <c r="S51" s="242">
        <f t="shared" si="16"/>
        <v>0</v>
      </c>
      <c r="T51" s="467"/>
      <c r="U51" s="198">
        <f t="shared" si="29"/>
        <v>0</v>
      </c>
      <c r="V51" s="36">
        <f t="shared" si="17"/>
        <v>0</v>
      </c>
      <c r="W51" s="2" t="e">
        <f>IF(AND(G16&gt;=$W$9,G16&lt;=$W$9+5),0,IF($C$9&gt;$AF$51,ROUND(S15*#REF!/(DATEVALUE(CONCATENATE("01/01/",YEAR(H16)+1))-DATEVALUE(CONCATENATE("01/01/",YEAR(H16))))*(H16-H15),2),0))</f>
        <v>#REF!</v>
      </c>
      <c r="X51" s="34">
        <f t="shared" si="49"/>
        <v>11280</v>
      </c>
      <c r="Y51" s="57">
        <f t="shared" si="46"/>
        <v>47361</v>
      </c>
      <c r="Z51" s="11" t="s">
        <v>18</v>
      </c>
      <c r="AA51" s="11"/>
      <c r="AB51" s="11"/>
      <c r="AC51" s="42">
        <f>(D31-C7)</f>
        <v>118680</v>
      </c>
      <c r="AD51" s="58"/>
      <c r="AE51" s="53">
        <v>41632</v>
      </c>
      <c r="AF51" s="53">
        <v>41820</v>
      </c>
      <c r="AG51" s="53">
        <v>41857</v>
      </c>
      <c r="AH51" s="46">
        <v>41991</v>
      </c>
      <c r="AI51" s="18">
        <v>0</v>
      </c>
      <c r="AJ51" s="3"/>
      <c r="AK51" s="3"/>
      <c r="AL51" s="2" t="e">
        <f>IF(AND(Y7&gt;=$W$9,Y7&lt;=$W$9+5),0,IF($C$9&gt;$AF$51,ROUND(AI11*#REF!/(DATEVALUE(CONCATENATE("01/01/",YEAR(Z7)+1))-DATEVALUE(CONCATENATE("01/01/",YEAR(Z7))))*(Z7-#REF!),2),0))</f>
        <v>#REF!</v>
      </c>
      <c r="AM51" s="34">
        <f t="shared" si="51"/>
        <v>11630</v>
      </c>
      <c r="AN51" s="57">
        <f t="shared" si="50"/>
        <v>45901</v>
      </c>
      <c r="AO51" s="130">
        <f t="shared" si="18"/>
        <v>0</v>
      </c>
      <c r="AP51" s="261">
        <f t="shared" si="30"/>
        <v>43</v>
      </c>
      <c r="AQ51" s="262">
        <f t="shared" si="4"/>
        <v>45752</v>
      </c>
      <c r="AR51" s="263">
        <f t="shared" si="47"/>
        <v>0.14899999999999999</v>
      </c>
      <c r="AS51" s="258">
        <f t="shared" si="19"/>
        <v>0</v>
      </c>
      <c r="AT51" s="258">
        <f t="shared" si="6"/>
        <v>0</v>
      </c>
      <c r="AU51" s="258">
        <f t="shared" si="20"/>
        <v>0</v>
      </c>
      <c r="AV51" s="258">
        <f t="shared" si="21"/>
        <v>0</v>
      </c>
      <c r="AW51" s="258">
        <f t="shared" si="7"/>
        <v>0</v>
      </c>
      <c r="AX51" s="258">
        <v>0</v>
      </c>
      <c r="AY51" s="258">
        <f t="shared" si="22"/>
        <v>0</v>
      </c>
      <c r="AZ51" s="258">
        <f t="shared" si="38"/>
        <v>0</v>
      </c>
      <c r="BA51" s="258">
        <f t="shared" si="37"/>
        <v>0</v>
      </c>
      <c r="BB51" s="258"/>
      <c r="BC51" s="258"/>
      <c r="BD51" s="258"/>
      <c r="BE51" s="258"/>
      <c r="BF51" s="258"/>
      <c r="BG51" s="258">
        <f t="shared" si="24"/>
        <v>0</v>
      </c>
      <c r="BH51" s="108">
        <f t="shared" si="31"/>
        <v>0</v>
      </c>
      <c r="BI51" s="108">
        <f t="shared" si="26"/>
        <v>0</v>
      </c>
      <c r="BJ51" s="22">
        <f t="shared" si="27"/>
        <v>45752</v>
      </c>
      <c r="BK51" s="108">
        <f t="shared" si="9"/>
        <v>0</v>
      </c>
    </row>
    <row r="52" spans="1:64" s="16" customFormat="1" ht="24" customHeight="1" x14ac:dyDescent="0.3">
      <c r="A52" s="846" t="s">
        <v>177</v>
      </c>
      <c r="B52" s="846"/>
      <c r="C52" s="190">
        <f>C50/12</f>
        <v>2766.4080555555552</v>
      </c>
      <c r="D52" s="191">
        <f>D50/12</f>
        <v>2307.928611111111</v>
      </c>
      <c r="E52" s="191">
        <f>C52-D52</f>
        <v>458.4794444444442</v>
      </c>
      <c r="F52" s="178"/>
      <c r="G52" s="244">
        <f t="shared" si="28"/>
        <v>44</v>
      </c>
      <c r="H52" s="245">
        <f t="shared" si="1"/>
        <v>45782</v>
      </c>
      <c r="I52" s="246">
        <f t="shared" si="48"/>
        <v>0.10899999999999999</v>
      </c>
      <c r="J52" s="242">
        <f t="shared" si="11"/>
        <v>0</v>
      </c>
      <c r="K52" s="242">
        <f t="shared" si="45"/>
        <v>0</v>
      </c>
      <c r="L52" s="242">
        <f t="shared" si="36"/>
        <v>0</v>
      </c>
      <c r="M52" s="242">
        <f t="shared" si="13"/>
        <v>0</v>
      </c>
      <c r="N52" s="242">
        <f t="shared" si="3"/>
        <v>0</v>
      </c>
      <c r="O52" s="242">
        <v>0</v>
      </c>
      <c r="P52" s="242">
        <f t="shared" si="25"/>
        <v>0</v>
      </c>
      <c r="Q52" s="242">
        <f t="shared" si="33"/>
        <v>0</v>
      </c>
      <c r="R52" s="242">
        <f t="shared" si="15"/>
        <v>0</v>
      </c>
      <c r="S52" s="242">
        <f t="shared" si="16"/>
        <v>0</v>
      </c>
      <c r="T52" s="467"/>
      <c r="U52" s="198">
        <f t="shared" si="29"/>
        <v>0</v>
      </c>
      <c r="V52" s="36">
        <f t="shared" si="17"/>
        <v>0</v>
      </c>
      <c r="W52" s="2" t="e">
        <f>IF(AND(G17&gt;=$W$9,G17&lt;=$W$9+5),0,IF($C$9&gt;$AF$51,ROUND(S16*#REF!/(DATEVALUE(CONCATENATE("01/01/",YEAR(H17)+1))-DATEVALUE(CONCATENATE("01/01/",YEAR(H17))))*(H17-H16),2),0))</f>
        <v>#REF!</v>
      </c>
      <c r="X52" s="34">
        <f t="shared" si="49"/>
        <v>11280</v>
      </c>
      <c r="Y52" s="57">
        <f t="shared" si="46"/>
        <v>47726</v>
      </c>
      <c r="Z52" s="3" t="s">
        <v>22</v>
      </c>
      <c r="AA52" s="3"/>
      <c r="AB52" s="3"/>
      <c r="AC52" s="42"/>
      <c r="AD52" s="58"/>
      <c r="AE52" s="53">
        <v>42124</v>
      </c>
      <c r="AF52" s="53"/>
      <c r="AG52" s="53"/>
      <c r="AH52" s="46"/>
      <c r="AI52" s="2"/>
      <c r="AJ52" s="3"/>
      <c r="AK52" s="3"/>
      <c r="AL52" s="2" t="e">
        <f>IF(AND(Y8&gt;=$W$9,Y8&lt;=$W$9+5),0,IF($C$9&gt;$AF$51,ROUND(AI12*#REF!/(DATEVALUE(CONCATENATE("01/01/",YEAR(Z8)+1))-DATEVALUE(CONCATENATE("01/01/",YEAR(Z8))))*(Z8-Z7),2),0))</f>
        <v>#REF!</v>
      </c>
      <c r="AM52" s="34">
        <f t="shared" si="51"/>
        <v>11630</v>
      </c>
      <c r="AN52" s="57">
        <f t="shared" si="50"/>
        <v>46266</v>
      </c>
      <c r="AO52" s="130">
        <f t="shared" si="18"/>
        <v>0</v>
      </c>
      <c r="AP52" s="261">
        <f t="shared" si="30"/>
        <v>44</v>
      </c>
      <c r="AQ52" s="262">
        <f t="shared" si="4"/>
        <v>45782</v>
      </c>
      <c r="AR52" s="263">
        <f t="shared" si="47"/>
        <v>0.14899999999999999</v>
      </c>
      <c r="AS52" s="258">
        <f t="shared" si="19"/>
        <v>0</v>
      </c>
      <c r="AT52" s="258">
        <f t="shared" si="6"/>
        <v>0</v>
      </c>
      <c r="AU52" s="258">
        <f t="shared" si="20"/>
        <v>0</v>
      </c>
      <c r="AV52" s="258">
        <f t="shared" si="21"/>
        <v>0</v>
      </c>
      <c r="AW52" s="258">
        <f t="shared" si="7"/>
        <v>0</v>
      </c>
      <c r="AX52" s="258">
        <v>0</v>
      </c>
      <c r="AY52" s="258">
        <f t="shared" si="22"/>
        <v>0</v>
      </c>
      <c r="AZ52" s="258">
        <f t="shared" si="38"/>
        <v>0</v>
      </c>
      <c r="BA52" s="258">
        <f t="shared" si="37"/>
        <v>0</v>
      </c>
      <c r="BB52" s="258"/>
      <c r="BC52" s="258"/>
      <c r="BD52" s="258"/>
      <c r="BE52" s="258"/>
      <c r="BF52" s="258"/>
      <c r="BG52" s="258">
        <f t="shared" si="24"/>
        <v>0</v>
      </c>
      <c r="BH52" s="108">
        <f t="shared" si="31"/>
        <v>0</v>
      </c>
      <c r="BI52" s="108">
        <f t="shared" si="26"/>
        <v>0</v>
      </c>
      <c r="BJ52" s="22">
        <f t="shared" si="27"/>
        <v>45782</v>
      </c>
      <c r="BK52" s="108">
        <f t="shared" si="9"/>
        <v>0</v>
      </c>
    </row>
    <row r="53" spans="1:64" s="16" customFormat="1" ht="24" customHeight="1" thickBot="1" x14ac:dyDescent="0.35">
      <c r="A53" s="843" t="s">
        <v>176</v>
      </c>
      <c r="B53" s="843"/>
      <c r="C53" s="203">
        <f>C52/30</f>
        <v>92.213601851851834</v>
      </c>
      <c r="D53" s="202">
        <f>D52/30</f>
        <v>76.930953703703693</v>
      </c>
      <c r="E53" s="202">
        <f>C53-D53</f>
        <v>15.282648148148141</v>
      </c>
      <c r="F53" s="178"/>
      <c r="G53" s="244">
        <f t="shared" si="28"/>
        <v>45</v>
      </c>
      <c r="H53" s="245">
        <f t="shared" si="1"/>
        <v>45813</v>
      </c>
      <c r="I53" s="246">
        <f t="shared" si="48"/>
        <v>0.10899999999999999</v>
      </c>
      <c r="J53" s="242">
        <f t="shared" si="11"/>
        <v>0</v>
      </c>
      <c r="K53" s="242">
        <f t="shared" si="45"/>
        <v>0</v>
      </c>
      <c r="L53" s="242">
        <f t="shared" si="36"/>
        <v>0</v>
      </c>
      <c r="M53" s="242">
        <f t="shared" si="13"/>
        <v>0</v>
      </c>
      <c r="N53" s="242">
        <f t="shared" si="3"/>
        <v>0</v>
      </c>
      <c r="O53" s="242">
        <v>0</v>
      </c>
      <c r="P53" s="242">
        <f t="shared" si="25"/>
        <v>0</v>
      </c>
      <c r="Q53" s="242">
        <f t="shared" si="33"/>
        <v>0</v>
      </c>
      <c r="R53" s="242">
        <f t="shared" si="15"/>
        <v>0</v>
      </c>
      <c r="S53" s="242">
        <f t="shared" si="16"/>
        <v>0</v>
      </c>
      <c r="T53" s="467"/>
      <c r="U53" s="198">
        <f t="shared" si="29"/>
        <v>0</v>
      </c>
      <c r="V53" s="36">
        <f t="shared" si="17"/>
        <v>0</v>
      </c>
      <c r="W53" s="2" t="e">
        <f>IF(AND(G18&gt;=$W$9,G18&lt;=$W$9+5),0,IF($C$9&gt;$AF$51,ROUND(S17*#REF!/(DATEVALUE(CONCATENATE("01/01/",YEAR(H18)+1))-DATEVALUE(CONCATENATE("01/01/",YEAR(H18))))*(H18-H17),2),0))</f>
        <v>#REF!</v>
      </c>
      <c r="X53" s="34">
        <f t="shared" si="49"/>
        <v>11280</v>
      </c>
      <c r="Y53" s="57">
        <f t="shared" si="46"/>
        <v>48091</v>
      </c>
      <c r="Z53" s="3"/>
      <c r="AA53" s="3"/>
      <c r="AB53" s="3"/>
      <c r="AC53" s="2"/>
      <c r="AD53" s="2"/>
      <c r="AE53" s="2"/>
      <c r="AF53" s="2"/>
      <c r="AG53" s="2"/>
      <c r="AH53" s="2"/>
      <c r="AI53" s="2"/>
      <c r="AJ53" s="2"/>
      <c r="AK53" s="2"/>
      <c r="AL53" s="2" t="e">
        <f>IF(AND(Y9&gt;=$W$9,Y9&lt;=$W$9+5),0,IF($C$9&gt;$AF$51,ROUND(AI13*#REF!/(DATEVALUE(CONCATENATE("01/01/",YEAR(Z9)+1))-DATEVALUE(CONCATENATE("01/01/",YEAR(Z9))))*(Z9-Z8),2),0))</f>
        <v>#REF!</v>
      </c>
      <c r="AM53" s="34">
        <f t="shared" si="51"/>
        <v>11630</v>
      </c>
      <c r="AN53" s="57">
        <f t="shared" si="50"/>
        <v>46631</v>
      </c>
      <c r="AO53" s="130">
        <f t="shared" si="18"/>
        <v>0</v>
      </c>
      <c r="AP53" s="261">
        <f t="shared" si="30"/>
        <v>45</v>
      </c>
      <c r="AQ53" s="262">
        <f t="shared" si="4"/>
        <v>45813</v>
      </c>
      <c r="AR53" s="263">
        <f t="shared" si="47"/>
        <v>0.14899999999999999</v>
      </c>
      <c r="AS53" s="258">
        <f t="shared" si="19"/>
        <v>0</v>
      </c>
      <c r="AT53" s="258">
        <f t="shared" si="6"/>
        <v>0</v>
      </c>
      <c r="AU53" s="258">
        <f t="shared" si="20"/>
        <v>0</v>
      </c>
      <c r="AV53" s="258">
        <f t="shared" si="21"/>
        <v>0</v>
      </c>
      <c r="AW53" s="258">
        <f t="shared" si="7"/>
        <v>0</v>
      </c>
      <c r="AX53" s="258">
        <v>0</v>
      </c>
      <c r="AY53" s="258">
        <f t="shared" si="22"/>
        <v>0</v>
      </c>
      <c r="AZ53" s="258">
        <f t="shared" si="38"/>
        <v>0</v>
      </c>
      <c r="BA53" s="258">
        <f t="shared" si="37"/>
        <v>0</v>
      </c>
      <c r="BB53" s="258"/>
      <c r="BC53" s="258"/>
      <c r="BD53" s="258"/>
      <c r="BE53" s="258"/>
      <c r="BF53" s="258"/>
      <c r="BG53" s="258">
        <f t="shared" si="24"/>
        <v>0</v>
      </c>
      <c r="BH53" s="108">
        <f t="shared" si="31"/>
        <v>0</v>
      </c>
      <c r="BI53" s="108">
        <f t="shared" si="26"/>
        <v>0</v>
      </c>
      <c r="BJ53" s="22">
        <f t="shared" si="27"/>
        <v>45813</v>
      </c>
      <c r="BK53" s="108">
        <f t="shared" si="9"/>
        <v>0</v>
      </c>
    </row>
    <row r="54" spans="1:64" s="16" customFormat="1" ht="24" customHeight="1" x14ac:dyDescent="0.3">
      <c r="A54" s="178"/>
      <c r="B54" s="178"/>
      <c r="C54" s="184"/>
      <c r="D54" s="178"/>
      <c r="E54" s="178"/>
      <c r="F54" s="178"/>
      <c r="G54" s="244">
        <f t="shared" si="28"/>
        <v>46</v>
      </c>
      <c r="H54" s="245">
        <f t="shared" si="1"/>
        <v>45843</v>
      </c>
      <c r="I54" s="246">
        <f t="shared" si="48"/>
        <v>0.10899999999999999</v>
      </c>
      <c r="J54" s="242">
        <f t="shared" si="11"/>
        <v>0</v>
      </c>
      <c r="K54" s="242">
        <f t="shared" si="45"/>
        <v>0</v>
      </c>
      <c r="L54" s="242">
        <f t="shared" si="36"/>
        <v>0</v>
      </c>
      <c r="M54" s="242">
        <f t="shared" si="13"/>
        <v>0</v>
      </c>
      <c r="N54" s="242">
        <f t="shared" si="3"/>
        <v>0</v>
      </c>
      <c r="O54" s="242">
        <v>0</v>
      </c>
      <c r="P54" s="242">
        <f t="shared" si="25"/>
        <v>0</v>
      </c>
      <c r="Q54" s="242">
        <f t="shared" si="33"/>
        <v>0</v>
      </c>
      <c r="R54" s="242">
        <f t="shared" si="15"/>
        <v>0</v>
      </c>
      <c r="S54" s="242">
        <f t="shared" si="16"/>
        <v>0</v>
      </c>
      <c r="T54" s="467"/>
      <c r="U54" s="198">
        <f t="shared" si="29"/>
        <v>0</v>
      </c>
      <c r="V54" s="36">
        <f t="shared" si="17"/>
        <v>0</v>
      </c>
      <c r="W54" s="2" t="e">
        <f>IF(AND(G19&gt;=$W$9,G19&lt;=$W$9+5),0,IF($C$9&gt;$AF$51,ROUND(S18*#REF!/(DATEVALUE(CONCATENATE("01/01/",YEAR(H19)+1))-DATEVALUE(CONCATENATE("01/01/",YEAR(H19))))*(H19-H18),2),0))</f>
        <v>#REF!</v>
      </c>
      <c r="X54" s="34">
        <f t="shared" si="49"/>
        <v>11280</v>
      </c>
      <c r="Y54" s="57">
        <f t="shared" si="46"/>
        <v>48456</v>
      </c>
      <c r="Z54" s="2"/>
      <c r="AA54" s="2"/>
      <c r="AB54" s="2"/>
      <c r="AC54" s="1"/>
      <c r="AD54" s="7">
        <f>H8</f>
        <v>44441</v>
      </c>
      <c r="AE54" s="47">
        <f>(C22+AI51)*AG36/12*(1+AG36/12)^(C10)/((1+AG36/12)^(C10)-1)+C22/10000*IF(C10&lt;11,20,IF(C10&lt;20,2.5,IF(C10&lt;37,1.5,IF(C10&lt;60,0.7,0.5))))*IF(AG36&lt;0.3,AG36/0.2,AG36/0.1)</f>
        <v>11656.148919983676</v>
      </c>
      <c r="AF54" s="2"/>
      <c r="AG54" s="47">
        <f>(D22+AI51)*AE14/12*(1+AE14/12)^(C10)/((1+AE14/12)^(C10)-1)+D22/10000*IF(C10&lt;11,20,IF(C10&lt;20,2.5,IF(C10&lt;37,1.5,IF(C10&lt;60,0.7,0.5))))*IF(AE14&lt;0.3,AE14/0.2,AE14/0.1)</f>
        <v>11656.148919983676</v>
      </c>
      <c r="AH54" s="2"/>
      <c r="AI54" s="2"/>
      <c r="AJ54" s="2"/>
      <c r="AK54" s="2"/>
      <c r="AL54" s="2" t="e">
        <f>IF(AND(Y10&gt;=$W$9,Y10&lt;=$W$9+5),0,IF($C$9&gt;$AF$51,ROUND(AI14*#REF!/(DATEVALUE(CONCATENATE("01/01/",YEAR(Z10)+1))-DATEVALUE(CONCATENATE("01/01/",YEAR(Z10))))*(Z10-Z9),2),0))</f>
        <v>#REF!</v>
      </c>
      <c r="AM54" s="34">
        <f t="shared" si="51"/>
        <v>11630</v>
      </c>
      <c r="AN54" s="57">
        <f t="shared" si="50"/>
        <v>46996</v>
      </c>
      <c r="AO54" s="130">
        <f t="shared" si="18"/>
        <v>0</v>
      </c>
      <c r="AP54" s="261">
        <f t="shared" si="30"/>
        <v>46</v>
      </c>
      <c r="AQ54" s="262">
        <f t="shared" si="4"/>
        <v>45843</v>
      </c>
      <c r="AR54" s="263">
        <f t="shared" si="47"/>
        <v>0.14899999999999999</v>
      </c>
      <c r="AS54" s="258">
        <f t="shared" si="19"/>
        <v>0</v>
      </c>
      <c r="AT54" s="258">
        <f t="shared" si="6"/>
        <v>0</v>
      </c>
      <c r="AU54" s="258">
        <f t="shared" si="20"/>
        <v>0</v>
      </c>
      <c r="AV54" s="258">
        <f t="shared" si="21"/>
        <v>0</v>
      </c>
      <c r="AW54" s="258">
        <f t="shared" si="7"/>
        <v>0</v>
      </c>
      <c r="AX54" s="258">
        <v>0</v>
      </c>
      <c r="AY54" s="258">
        <f t="shared" si="22"/>
        <v>0</v>
      </c>
      <c r="AZ54" s="258">
        <f t="shared" si="38"/>
        <v>0</v>
      </c>
      <c r="BA54" s="258">
        <f t="shared" si="37"/>
        <v>0</v>
      </c>
      <c r="BB54" s="258"/>
      <c r="BC54" s="258"/>
      <c r="BD54" s="258"/>
      <c r="BE54" s="258"/>
      <c r="BF54" s="258"/>
      <c r="BG54" s="258">
        <f t="shared" si="24"/>
        <v>0</v>
      </c>
      <c r="BH54" s="108">
        <f t="shared" si="31"/>
        <v>0</v>
      </c>
      <c r="BI54" s="108">
        <f t="shared" si="26"/>
        <v>0</v>
      </c>
      <c r="BJ54" s="22">
        <f t="shared" si="27"/>
        <v>45843</v>
      </c>
      <c r="BK54" s="108">
        <f t="shared" si="9"/>
        <v>0</v>
      </c>
      <c r="BL54" s="2">
        <f>IF(AND(G9&gt;=$W$9,G9&lt;=$W$9+5),0,IF($C$9&gt;$AF$51,ROUND(BG8*IF(#REF!="",0,#REF!)/(DATEVALUE(CONCATENATE("01/01/",YEAR(AQ9)+1))-DATEVALUE(CONCATENATE("01/01/",YEAR(AQ9))))*(AQ9-AQ8),2),0))</f>
        <v>0</v>
      </c>
    </row>
    <row r="55" spans="1:64" s="16" customFormat="1" x14ac:dyDescent="0.3">
      <c r="A55" s="178"/>
      <c r="B55" s="179"/>
      <c r="C55" s="524"/>
      <c r="D55" s="179"/>
      <c r="E55" s="178"/>
      <c r="F55" s="178"/>
      <c r="G55" s="244">
        <f t="shared" si="28"/>
        <v>47</v>
      </c>
      <c r="H55" s="245">
        <f t="shared" si="1"/>
        <v>45874</v>
      </c>
      <c r="I55" s="246">
        <f t="shared" si="48"/>
        <v>0.10899999999999999</v>
      </c>
      <c r="J55" s="242">
        <f t="shared" si="11"/>
        <v>0</v>
      </c>
      <c r="K55" s="242">
        <f t="shared" si="45"/>
        <v>0</v>
      </c>
      <c r="L55" s="242">
        <f t="shared" si="36"/>
        <v>0</v>
      </c>
      <c r="M55" s="242">
        <f t="shared" si="13"/>
        <v>0</v>
      </c>
      <c r="N55" s="242">
        <f t="shared" si="3"/>
        <v>0</v>
      </c>
      <c r="O55" s="242">
        <v>0</v>
      </c>
      <c r="P55" s="242">
        <f t="shared" si="25"/>
        <v>0</v>
      </c>
      <c r="Q55" s="242">
        <f t="shared" si="33"/>
        <v>0</v>
      </c>
      <c r="R55" s="242">
        <f t="shared" si="15"/>
        <v>0</v>
      </c>
      <c r="S55" s="242">
        <f t="shared" si="16"/>
        <v>0</v>
      </c>
      <c r="T55" s="467"/>
      <c r="U55" s="198">
        <f t="shared" si="29"/>
        <v>0</v>
      </c>
      <c r="V55" s="36">
        <f t="shared" si="17"/>
        <v>0</v>
      </c>
      <c r="W55" s="2" t="e">
        <f>IF(AND(G20&gt;=$W$9,G20&lt;=$W$9+5),0,IF($C$9&gt;$AF$51,ROUND(S19*#REF!/(DATEVALUE(CONCATENATE("01/01/",YEAR(H20)+1))-DATEVALUE(CONCATENATE("01/01/",YEAR(H20))))*(H20-H19),2),0))</f>
        <v>#REF!</v>
      </c>
      <c r="X55" s="34">
        <f t="shared" si="49"/>
        <v>11280</v>
      </c>
      <c r="Y55" s="57">
        <f t="shared" si="46"/>
        <v>48821</v>
      </c>
      <c r="AA55" s="170" t="s">
        <v>134</v>
      </c>
      <c r="AD55" s="47">
        <f>IF(DAY(C9)&lt;4,AE54,IF(DAY(C9)&gt;28,AE56,AE55))</f>
        <v>11656.148919983676</v>
      </c>
      <c r="AE55" s="47">
        <f>(C22+AI51)*AG36/12*(1+AG36/12)^(C10)/((1+AG36/12)^(C10)-1)+C22/10000*IF(C10&lt;11,20,IF(C10&lt;34,0.7,IF(C10&lt;58,0.3,0.1)))*IF(AG36&lt;0.3,AG36/0.2,AG36/0.1)</f>
        <v>11626.142703983676</v>
      </c>
      <c r="AF55" s="13">
        <f>IF(DAY(C9)&lt;4,AG54,IF(DAY(C9)&gt;28,AG56,AG55))</f>
        <v>11656.148919983676</v>
      </c>
      <c r="AG55" s="156">
        <f>(D22+AI51)*AE14/12*(1+AE14/12)^(C10)/((1+AE14/12)^(C10)-1)+D22/10000*IF(C10&lt;11,20,IF(C10&lt;34,0.7,IF(C10&lt;58,0.3,0.1)))*IF(AE14&lt;0.3,AE14/0.2,AE14/0.1)</f>
        <v>11626.142703983676</v>
      </c>
      <c r="AH55" s="2"/>
      <c r="AI55" s="2"/>
      <c r="AJ55" s="2"/>
      <c r="AK55" s="2"/>
      <c r="AL55" s="2" t="e">
        <f>IF(AND(Y11&gt;=$W$9,Y11&lt;=$W$9+5),0,IF($C$9&gt;$AF$51,ROUND(AI15*#REF!/(DATEVALUE(CONCATENATE("01/01/",YEAR(Z11)+1))-DATEVALUE(CONCATENATE("01/01/",YEAR(Z11))))*(Z11-Z10),2),0))</f>
        <v>#REF!</v>
      </c>
      <c r="AM55" s="34">
        <f t="shared" si="51"/>
        <v>11630</v>
      </c>
      <c r="AN55" s="57">
        <f t="shared" si="50"/>
        <v>47361</v>
      </c>
      <c r="AO55" s="130">
        <f t="shared" si="18"/>
        <v>0</v>
      </c>
      <c r="AP55" s="261">
        <f t="shared" si="30"/>
        <v>47</v>
      </c>
      <c r="AQ55" s="262">
        <f t="shared" si="4"/>
        <v>45874</v>
      </c>
      <c r="AR55" s="263">
        <f t="shared" si="47"/>
        <v>0.14899999999999999</v>
      </c>
      <c r="AS55" s="258">
        <f t="shared" si="19"/>
        <v>0</v>
      </c>
      <c r="AT55" s="258">
        <f t="shared" si="6"/>
        <v>0</v>
      </c>
      <c r="AU55" s="258">
        <f t="shared" si="20"/>
        <v>0</v>
      </c>
      <c r="AV55" s="258">
        <f t="shared" si="21"/>
        <v>0</v>
      </c>
      <c r="AW55" s="258">
        <f t="shared" si="7"/>
        <v>0</v>
      </c>
      <c r="AX55" s="258">
        <v>0</v>
      </c>
      <c r="AY55" s="258">
        <f t="shared" si="22"/>
        <v>0</v>
      </c>
      <c r="AZ55" s="258">
        <f t="shared" si="38"/>
        <v>0</v>
      </c>
      <c r="BA55" s="258">
        <f t="shared" si="37"/>
        <v>0</v>
      </c>
      <c r="BB55" s="258"/>
      <c r="BC55" s="258"/>
      <c r="BD55" s="258"/>
      <c r="BE55" s="258"/>
      <c r="BF55" s="258"/>
      <c r="BG55" s="258">
        <f t="shared" si="24"/>
        <v>0</v>
      </c>
      <c r="BH55" s="108">
        <f t="shared" si="31"/>
        <v>0</v>
      </c>
      <c r="BI55" s="108">
        <f t="shared" si="26"/>
        <v>0</v>
      </c>
      <c r="BJ55" s="22">
        <f t="shared" si="27"/>
        <v>45874</v>
      </c>
      <c r="BK55" s="108">
        <f t="shared" si="9"/>
        <v>0</v>
      </c>
      <c r="BL55" s="2">
        <f>IF(AND(G10&gt;=$W$9,G10&lt;=$W$9+5),0,IF($C$9&gt;$AF$51,ROUND(BG9*IF(#REF!="",0,#REF!)/(DATEVALUE(CONCATENATE("01/01/",YEAR(AQ10)+1))-DATEVALUE(CONCATENATE("01/01/",YEAR(AQ10))))*(AQ10-AQ9),2),0))</f>
        <v>0</v>
      </c>
    </row>
    <row r="56" spans="1:64" s="16" customFormat="1" ht="14.4" thickBot="1" x14ac:dyDescent="0.35">
      <c r="A56" s="180"/>
      <c r="B56" s="180"/>
      <c r="C56" s="524"/>
      <c r="D56" s="254"/>
      <c r="E56" s="178"/>
      <c r="F56" s="178"/>
      <c r="G56" s="248">
        <f t="shared" si="28"/>
        <v>48</v>
      </c>
      <c r="H56" s="249">
        <f t="shared" si="1"/>
        <v>45905</v>
      </c>
      <c r="I56" s="250">
        <f t="shared" si="48"/>
        <v>0.10899999999999999</v>
      </c>
      <c r="J56" s="252">
        <f t="shared" si="11"/>
        <v>0</v>
      </c>
      <c r="K56" s="252">
        <f t="shared" si="45"/>
        <v>0</v>
      </c>
      <c r="L56" s="252">
        <f t="shared" si="36"/>
        <v>0</v>
      </c>
      <c r="M56" s="252">
        <f t="shared" si="13"/>
        <v>0</v>
      </c>
      <c r="N56" s="252">
        <f t="shared" si="3"/>
        <v>0</v>
      </c>
      <c r="O56" s="252">
        <v>0</v>
      </c>
      <c r="P56" s="252">
        <f t="shared" si="25"/>
        <v>0</v>
      </c>
      <c r="Q56" s="252">
        <f t="shared" si="33"/>
        <v>0</v>
      </c>
      <c r="R56" s="252">
        <f t="shared" si="15"/>
        <v>0</v>
      </c>
      <c r="S56" s="252">
        <f t="shared" si="16"/>
        <v>0</v>
      </c>
      <c r="T56" s="468"/>
      <c r="U56" s="198">
        <f t="shared" si="29"/>
        <v>0</v>
      </c>
      <c r="V56" s="36">
        <f t="shared" si="17"/>
        <v>0</v>
      </c>
      <c r="W56" s="2" t="e">
        <f>IF(AND(G21&gt;=$W$9,G21&lt;=$W$9+5),0,IF($C$9&gt;$AF$51,ROUND(S20*#REF!/(DATEVALUE(CONCATENATE("01/01/",YEAR(H21)+1))-DATEVALUE(CONCATENATE("01/01/",YEAR(H21))))*(H21-H20),2),0))</f>
        <v>#REF!</v>
      </c>
      <c r="X56" s="34">
        <f t="shared" si="49"/>
        <v>11280</v>
      </c>
      <c r="Y56" s="57">
        <f t="shared" si="46"/>
        <v>49186</v>
      </c>
      <c r="AA56" s="171">
        <v>20000</v>
      </c>
      <c r="AB56" s="133" t="s">
        <v>135</v>
      </c>
      <c r="AC56" s="118">
        <f>ROUNDUP(AD56/AG47,0)*AG47</f>
        <v>7110</v>
      </c>
      <c r="AD56" s="13">
        <f>(C22+AI51)*AC57/12*(1+AC57/12)^(C10+AD57)/((1+AC57/12)^(C10+AD57)-1)+10*C22/100000*IF(C10+AD57&lt;24,4,IF(C10+AD57&lt;36,3,IF(C10+AD57&lt;48,2,IF(C10+AD57&lt;60,1.5,1))))*AC57/0.2</f>
        <v>7103.9026952196973</v>
      </c>
      <c r="AE56" s="47">
        <f>(C22+AI51)*AG36/12*(1+AG36/12)^(C10)/((1+AG36/12)^(C10)-1)+C22/10000*IF(C10&lt;11,20,IF(C10&lt;34,0.7,IF(C10&lt;48,0.3,0)))*IF(AG36&lt;0.3,AG36/0.2,AG36/0.1)</f>
        <v>11626.142703983676</v>
      </c>
      <c r="AF56" s="13">
        <f>(D22+AI51)*AF57/12*(1+AF57/12)^(C10+AD57)/((1+AF57/12)^(C10+AD57)-1)+10*D22/100000*IF(C10+AD57&lt;24,4,IF(C10+AD57&lt;36,3,IF(C10+AD57&lt;48,2,IF(C10+AD57&lt;60,1.5,1))))*AF57/0.2</f>
        <v>7103.9026952196973</v>
      </c>
      <c r="AG56" s="157">
        <f>(D22+AI51)*AE14/12*(1+AE14/12)^(C10)/((1+AE14/12)^(C10)-1)+D22/10000*IF(C10&lt;11,20,IF(C10&lt;34,0.7,IF(C10&lt;48,0.3,0)))*IF(AE14&lt;0.3,AE14/0.2,AE14/0.1)</f>
        <v>11626.142703983676</v>
      </c>
      <c r="AH56" s="2"/>
      <c r="AI56" s="2"/>
      <c r="AJ56" s="2"/>
      <c r="AK56" s="2"/>
      <c r="AL56" s="2" t="e">
        <f>IF(AND(Y12&gt;=$W$9,Y12&lt;=$W$9+5),0,IF($C$9&gt;$AF$51,ROUND(AI16*#REF!/(DATEVALUE(CONCATENATE("01/01/",YEAR(Z12)+1))-DATEVALUE(CONCATENATE("01/01/",YEAR(Z12))))*(Z12-Z11),2),0))</f>
        <v>#REF!</v>
      </c>
      <c r="AM56" s="34">
        <f t="shared" si="51"/>
        <v>11630</v>
      </c>
      <c r="AN56" s="57">
        <f t="shared" si="50"/>
        <v>47726</v>
      </c>
      <c r="AO56" s="130">
        <f t="shared" si="18"/>
        <v>0</v>
      </c>
      <c r="AP56" s="261">
        <f t="shared" si="30"/>
        <v>48</v>
      </c>
      <c r="AQ56" s="262">
        <f t="shared" si="4"/>
        <v>45905</v>
      </c>
      <c r="AR56" s="263">
        <f t="shared" si="47"/>
        <v>0.14899999999999999</v>
      </c>
      <c r="AS56" s="258">
        <f t="shared" si="19"/>
        <v>0</v>
      </c>
      <c r="AT56" s="258">
        <f t="shared" si="6"/>
        <v>0</v>
      </c>
      <c r="AU56" s="258">
        <f t="shared" si="20"/>
        <v>0</v>
      </c>
      <c r="AV56" s="258">
        <f t="shared" si="21"/>
        <v>0</v>
      </c>
      <c r="AW56" s="258">
        <f t="shared" si="7"/>
        <v>0</v>
      </c>
      <c r="AX56" s="258">
        <v>0</v>
      </c>
      <c r="AY56" s="258">
        <f t="shared" si="22"/>
        <v>0</v>
      </c>
      <c r="AZ56" s="258">
        <f t="shared" si="38"/>
        <v>0</v>
      </c>
      <c r="BA56" s="258">
        <f t="shared" si="37"/>
        <v>0</v>
      </c>
      <c r="BB56" s="258"/>
      <c r="BC56" s="258"/>
      <c r="BD56" s="258"/>
      <c r="BE56" s="258"/>
      <c r="BF56" s="258"/>
      <c r="BG56" s="258">
        <f t="shared" si="24"/>
        <v>0</v>
      </c>
      <c r="BH56" s="108">
        <f t="shared" si="31"/>
        <v>0</v>
      </c>
      <c r="BI56" s="108">
        <f t="shared" si="26"/>
        <v>0</v>
      </c>
      <c r="BJ56" s="22">
        <f t="shared" si="27"/>
        <v>45905</v>
      </c>
      <c r="BK56" s="108">
        <f t="shared" si="9"/>
        <v>0</v>
      </c>
      <c r="BL56" s="2">
        <f>IF(AND(G11&gt;=$W$9,G11&lt;=$W$9+5),0,IF($C$9&gt;$AF$51,ROUND(BG10*IF(#REF!="",0,#REF!)/(DATEVALUE(CONCATENATE("01/01/",YEAR(AQ11)+1))-DATEVALUE(CONCATENATE("01/01/",YEAR(AQ11))))*(AQ11-AQ10),2),0))</f>
        <v>0</v>
      </c>
    </row>
    <row r="57" spans="1:64" s="16" customFormat="1" ht="13.8" x14ac:dyDescent="0.3">
      <c r="A57" s="180"/>
      <c r="B57" s="180"/>
      <c r="C57" s="524"/>
      <c r="D57" s="254"/>
      <c r="E57" s="178"/>
      <c r="F57" s="178"/>
      <c r="G57" s="244">
        <f t="shared" si="28"/>
        <v>49</v>
      </c>
      <c r="H57" s="245">
        <f t="shared" si="1"/>
        <v>45935</v>
      </c>
      <c r="I57" s="246">
        <f>IF(AND($C$16="Да",$C$8&lt;&gt;"Нет"),$AG$40,$C$13)</f>
        <v>0.10899999999999999</v>
      </c>
      <c r="J57" s="242">
        <f t="shared" si="11"/>
        <v>0</v>
      </c>
      <c r="K57" s="242">
        <f t="shared" ref="K57:K108" si="52">IF(AND(G57&gt;=$W$9,G57&lt;=$W$9+5),$W$10,IF(AND(S56+N57+L57&gt;K56,K56&lt;&gt;0),IF(AND($C$16="Да",$C$8&lt;&gt;"Нет"),$AF$40,$C$23),IF(S56=0,0,S56+N57+L57+L58)))</f>
        <v>0</v>
      </c>
      <c r="L57" s="242">
        <f t="shared" si="36"/>
        <v>0</v>
      </c>
      <c r="M57" s="242">
        <f t="shared" si="13"/>
        <v>0</v>
      </c>
      <c r="N57" s="242">
        <f t="shared" si="3"/>
        <v>0</v>
      </c>
      <c r="O57" s="242">
        <v>0</v>
      </c>
      <c r="P57" s="242">
        <f t="shared" si="25"/>
        <v>0</v>
      </c>
      <c r="Q57" s="242">
        <f t="shared" si="33"/>
        <v>0</v>
      </c>
      <c r="R57" s="242">
        <f t="shared" si="15"/>
        <v>0</v>
      </c>
      <c r="S57" s="242">
        <f t="shared" si="16"/>
        <v>0</v>
      </c>
      <c r="T57" s="467"/>
      <c r="U57" s="198">
        <f t="shared" si="29"/>
        <v>0</v>
      </c>
      <c r="V57" s="36">
        <f t="shared" si="17"/>
        <v>0</v>
      </c>
      <c r="W57" s="2" t="e">
        <f>IF(AND(G22&gt;=$W$9,G22&lt;=$W$9+5),0,IF($C$9&gt;$AF$51,ROUND(S21*#REF!/(DATEVALUE(CONCATENATE("01/01/",YEAR(H22)+1))-DATEVALUE(CONCATENATE("01/01/",YEAR(H22))))*(H22-H21),2),0))</f>
        <v>#REF!</v>
      </c>
      <c r="X57" s="34">
        <f t="shared" si="49"/>
        <v>11280</v>
      </c>
      <c r="Y57" s="57">
        <f t="shared" si="46"/>
        <v>49551</v>
      </c>
      <c r="AA57" s="171">
        <v>200000</v>
      </c>
      <c r="AB57" s="171">
        <v>200000</v>
      </c>
      <c r="AC57" s="15">
        <f>IF(C9&gt;AH48,C11,C11+0.05)</f>
        <v>0.14899999999999999</v>
      </c>
      <c r="AD57" s="2">
        <f xml:space="preserve"> IF(C9&gt;AH48,36,24)</f>
        <v>36</v>
      </c>
      <c r="AE57" s="44">
        <f>(C22+AI51)*AG36/12*(1+AG36/12)^(C10)/((1+AG36/12)^(C10)-1)</f>
        <v>11618.641149983676</v>
      </c>
      <c r="AF57" s="15">
        <f>IF(C9&gt;AH48,D13,D13+0.05)</f>
        <v>0.14899999999999999</v>
      </c>
      <c r="AG57" s="118">
        <f>(D22+AI51)*AE14/12*(1+AE14/12)^(C10)/((1+AE14/12)^(C10)-1)</f>
        <v>11618.641149983676</v>
      </c>
      <c r="AH57" s="2"/>
      <c r="AI57" s="2"/>
      <c r="AJ57" s="2"/>
      <c r="AK57" s="2"/>
      <c r="AL57" s="2" t="e">
        <f>IF(AND(Y13&gt;=$W$9,Y13&lt;=$W$9+5),0,IF($C$9&gt;$AF$51,ROUND(AI17*#REF!/(DATEVALUE(CONCATENATE("01/01/",YEAR(Z13)+1))-DATEVALUE(CONCATENATE("01/01/",YEAR(Z13))))*(Z13-Z12),2),0))</f>
        <v>#REF!</v>
      </c>
      <c r="AM57" s="34">
        <f t="shared" si="51"/>
        <v>11630</v>
      </c>
      <c r="AN57" s="57">
        <f t="shared" si="50"/>
        <v>48091</v>
      </c>
      <c r="AO57" s="130">
        <f t="shared" si="18"/>
        <v>0</v>
      </c>
      <c r="AP57" s="261">
        <f t="shared" si="30"/>
        <v>49</v>
      </c>
      <c r="AQ57" s="262">
        <f t="shared" si="4"/>
        <v>45935</v>
      </c>
      <c r="AR57" s="263">
        <f t="shared" ref="AR57:AR108" si="53">IF($D$16="Да",$AM$40,$D$13)</f>
        <v>0.14899999999999999</v>
      </c>
      <c r="AS57" s="258">
        <f t="shared" si="19"/>
        <v>0</v>
      </c>
      <c r="AT57" s="258">
        <f t="shared" si="6"/>
        <v>0</v>
      </c>
      <c r="AU57" s="258">
        <f t="shared" si="20"/>
        <v>0</v>
      </c>
      <c r="AV57" s="258">
        <f t="shared" si="21"/>
        <v>0</v>
      </c>
      <c r="AW57" s="258">
        <f t="shared" si="7"/>
        <v>0</v>
      </c>
      <c r="AX57" s="258">
        <v>0</v>
      </c>
      <c r="AY57" s="258">
        <f t="shared" si="22"/>
        <v>0</v>
      </c>
      <c r="AZ57" s="258">
        <f t="shared" si="38"/>
        <v>0</v>
      </c>
      <c r="BA57" s="258">
        <f t="shared" si="37"/>
        <v>0</v>
      </c>
      <c r="BB57" s="258"/>
      <c r="BC57" s="258"/>
      <c r="BD57" s="258"/>
      <c r="BE57" s="258"/>
      <c r="BF57" s="258"/>
      <c r="BG57" s="258">
        <f t="shared" si="24"/>
        <v>0</v>
      </c>
      <c r="BH57" s="108">
        <f t="shared" si="31"/>
        <v>0</v>
      </c>
      <c r="BI57" s="108">
        <f t="shared" si="26"/>
        <v>0</v>
      </c>
      <c r="BJ57" s="22">
        <f t="shared" si="27"/>
        <v>45935</v>
      </c>
      <c r="BK57" s="108">
        <f t="shared" si="9"/>
        <v>0</v>
      </c>
      <c r="BL57" s="2">
        <f>IF(AND(G12&gt;=$W$9,G12&lt;=$W$9+5),0,IF($C$9&gt;$AF$51,ROUND(BG11*IF(#REF!="",0,#REF!)/(DATEVALUE(CONCATENATE("01/01/",YEAR(AQ12)+1))-DATEVALUE(CONCATENATE("01/01/",YEAR(AQ12))))*(AQ12-AQ11),2),0))</f>
        <v>0</v>
      </c>
    </row>
    <row r="58" spans="1:64" s="16" customFormat="1" ht="15.75" customHeight="1" x14ac:dyDescent="0.3">
      <c r="A58" s="180"/>
      <c r="B58" s="180"/>
      <c r="C58" s="524"/>
      <c r="D58" s="254"/>
      <c r="E58" s="178"/>
      <c r="F58" s="178"/>
      <c r="G58" s="244">
        <f t="shared" si="28"/>
        <v>50</v>
      </c>
      <c r="H58" s="245">
        <f t="shared" si="1"/>
        <v>45966</v>
      </c>
      <c r="I58" s="246">
        <f t="shared" ref="I58:I108" si="54">IF(AND($C$16="Да",$C$8&lt;&gt;"Нет"),$AG$40,$C$13)</f>
        <v>0.10899999999999999</v>
      </c>
      <c r="J58" s="242">
        <f t="shared" si="11"/>
        <v>0</v>
      </c>
      <c r="K58" s="242">
        <f t="shared" si="52"/>
        <v>0</v>
      </c>
      <c r="L58" s="242">
        <f t="shared" si="36"/>
        <v>0</v>
      </c>
      <c r="M58" s="242">
        <f t="shared" si="13"/>
        <v>0</v>
      </c>
      <c r="N58" s="242">
        <f t="shared" si="3"/>
        <v>0</v>
      </c>
      <c r="O58" s="242">
        <v>0</v>
      </c>
      <c r="P58" s="242">
        <f t="shared" si="25"/>
        <v>0</v>
      </c>
      <c r="Q58" s="242">
        <f t="shared" si="33"/>
        <v>0</v>
      </c>
      <c r="R58" s="242">
        <f t="shared" si="15"/>
        <v>0</v>
      </c>
      <c r="S58" s="242">
        <f t="shared" si="16"/>
        <v>0</v>
      </c>
      <c r="T58" s="467"/>
      <c r="U58" s="198">
        <f t="shared" si="29"/>
        <v>0</v>
      </c>
      <c r="V58" s="36">
        <f t="shared" si="17"/>
        <v>0</v>
      </c>
      <c r="W58" s="2" t="e">
        <f>IF(AND(G23&gt;=$W$9,G23&lt;=$W$9+5),0,IF($C$9&gt;$AF$51,ROUND(S22*#REF!/(DATEVALUE(CONCATENATE("01/01/",YEAR(H23)+1))-DATEVALUE(CONCATENATE("01/01/",YEAR(H23))))*(H23-H22),2),0))</f>
        <v>#REF!</v>
      </c>
      <c r="X58" s="34">
        <f t="shared" si="49"/>
        <v>11280</v>
      </c>
      <c r="Y58" s="57">
        <f t="shared" si="46"/>
        <v>49916</v>
      </c>
      <c r="AA58" s="170">
        <v>600000</v>
      </c>
      <c r="AB58" s="171">
        <v>600000</v>
      </c>
      <c r="AC58" s="2"/>
      <c r="AD58" s="2"/>
      <c r="AE58" s="2"/>
      <c r="AF58" s="2"/>
      <c r="AG58" s="2"/>
      <c r="AH58" s="2"/>
      <c r="AI58" s="2"/>
      <c r="AJ58" s="2"/>
      <c r="AK58" s="2"/>
      <c r="AL58" s="2" t="e">
        <f>IF(AND(Y14&gt;=$W$9,Y14&lt;=$W$9+5),0,IF($C$9&gt;$AF$51,ROUND(AI18*#REF!/(DATEVALUE(CONCATENATE("01/01/",YEAR(Z14)+1))-DATEVALUE(CONCATENATE("01/01/",YEAR(Z14))))*(Z14-Z13),2),0))</f>
        <v>#REF!</v>
      </c>
      <c r="AM58" s="34">
        <f t="shared" si="51"/>
        <v>11630</v>
      </c>
      <c r="AN58" s="57">
        <f t="shared" si="50"/>
        <v>48456</v>
      </c>
      <c r="AO58" s="130">
        <f t="shared" si="18"/>
        <v>0</v>
      </c>
      <c r="AP58" s="261">
        <f t="shared" si="30"/>
        <v>50</v>
      </c>
      <c r="AQ58" s="262">
        <f t="shared" si="4"/>
        <v>45966</v>
      </c>
      <c r="AR58" s="263">
        <f t="shared" si="53"/>
        <v>0.14899999999999999</v>
      </c>
      <c r="AS58" s="258">
        <f t="shared" si="19"/>
        <v>0</v>
      </c>
      <c r="AT58" s="258">
        <f t="shared" si="6"/>
        <v>0</v>
      </c>
      <c r="AU58" s="258">
        <f t="shared" si="20"/>
        <v>0</v>
      </c>
      <c r="AV58" s="258">
        <f t="shared" si="21"/>
        <v>0</v>
      </c>
      <c r="AW58" s="258">
        <f t="shared" si="7"/>
        <v>0</v>
      </c>
      <c r="AX58" s="258">
        <v>0</v>
      </c>
      <c r="AY58" s="258">
        <f t="shared" si="22"/>
        <v>0</v>
      </c>
      <c r="AZ58" s="258">
        <f t="shared" si="38"/>
        <v>0</v>
      </c>
      <c r="BA58" s="258">
        <f t="shared" si="37"/>
        <v>0</v>
      </c>
      <c r="BB58" s="258"/>
      <c r="BC58" s="258"/>
      <c r="BD58" s="258"/>
      <c r="BE58" s="258"/>
      <c r="BF58" s="258"/>
      <c r="BG58" s="258">
        <f t="shared" si="24"/>
        <v>0</v>
      </c>
      <c r="BH58" s="108">
        <f t="shared" si="31"/>
        <v>0</v>
      </c>
      <c r="BI58" s="108">
        <f t="shared" si="26"/>
        <v>0</v>
      </c>
      <c r="BJ58" s="22">
        <f t="shared" si="27"/>
        <v>45966</v>
      </c>
      <c r="BK58" s="108">
        <f t="shared" si="9"/>
        <v>0</v>
      </c>
      <c r="BL58" s="2">
        <f>IF(AND(G13&gt;=$W$9,G13&lt;=$W$9+5),0,IF($C$9&gt;$AF$51,ROUND(BG12*IF(#REF!="",0,#REF!)/(DATEVALUE(CONCATENATE("01/01/",YEAR(AQ13)+1))-DATEVALUE(CONCATENATE("01/01/",YEAR(AQ13))))*(AQ13-AQ12),2),0))</f>
        <v>0</v>
      </c>
    </row>
    <row r="59" spans="1:64" s="16" customFormat="1" ht="13.8" x14ac:dyDescent="0.3">
      <c r="A59" s="180"/>
      <c r="B59" s="180"/>
      <c r="C59" s="524"/>
      <c r="D59" s="254"/>
      <c r="E59" s="178"/>
      <c r="F59" s="178"/>
      <c r="G59" s="244">
        <f t="shared" si="28"/>
        <v>51</v>
      </c>
      <c r="H59" s="245">
        <f t="shared" si="1"/>
        <v>45996</v>
      </c>
      <c r="I59" s="246">
        <f t="shared" si="54"/>
        <v>0.10899999999999999</v>
      </c>
      <c r="J59" s="242">
        <f t="shared" si="11"/>
        <v>0</v>
      </c>
      <c r="K59" s="242">
        <f t="shared" si="52"/>
        <v>0</v>
      </c>
      <c r="L59" s="242">
        <f t="shared" si="36"/>
        <v>0</v>
      </c>
      <c r="M59" s="242">
        <f t="shared" si="13"/>
        <v>0</v>
      </c>
      <c r="N59" s="242">
        <f t="shared" si="3"/>
        <v>0</v>
      </c>
      <c r="O59" s="242">
        <v>0</v>
      </c>
      <c r="P59" s="242">
        <f t="shared" si="25"/>
        <v>0</v>
      </c>
      <c r="Q59" s="242">
        <f t="shared" si="33"/>
        <v>0</v>
      </c>
      <c r="R59" s="242">
        <f t="shared" si="15"/>
        <v>0</v>
      </c>
      <c r="S59" s="242">
        <f t="shared" si="16"/>
        <v>0</v>
      </c>
      <c r="T59" s="467"/>
      <c r="U59" s="198">
        <f t="shared" si="29"/>
        <v>0</v>
      </c>
      <c r="V59" s="36">
        <f t="shared" si="17"/>
        <v>0</v>
      </c>
      <c r="W59" s="2" t="e">
        <f>IF(AND(G24&gt;=$W$9,G24&lt;=$W$9+5),0,IF($C$9&gt;$AF$51,ROUND(S23*#REF!/(DATEVALUE(CONCATENATE("01/01/",YEAR(H24)+1))-DATEVALUE(CONCATENATE("01/01/",YEAR(H24))))*(H24-H23),2),0))</f>
        <v>#REF!</v>
      </c>
      <c r="X59" s="34">
        <f t="shared" si="49"/>
        <v>11280</v>
      </c>
      <c r="Y59" s="57">
        <f t="shared" si="46"/>
        <v>50281</v>
      </c>
      <c r="AA59" s="171">
        <v>1000000</v>
      </c>
      <c r="AB59" s="171">
        <v>1000000</v>
      </c>
      <c r="AC59" s="144" t="s">
        <v>330</v>
      </c>
      <c r="AD59" s="144" t="s">
        <v>111</v>
      </c>
      <c r="AE59" s="145" t="s">
        <v>114</v>
      </c>
      <c r="AF59" s="144" t="s">
        <v>115</v>
      </c>
      <c r="AG59" s="2" t="s">
        <v>35</v>
      </c>
      <c r="AH59" s="144" t="s">
        <v>118</v>
      </c>
      <c r="AI59" s="144" t="s">
        <v>119</v>
      </c>
      <c r="AJ59" s="145" t="s">
        <v>120</v>
      </c>
      <c r="AK59" s="2" t="s">
        <v>35</v>
      </c>
      <c r="AL59" s="2" t="e">
        <f>IF(AND(Y15&gt;=$W$9,Y15&lt;=$W$9+5),0,IF($C$9&gt;$AF$51,ROUND(AI19*#REF!/(DATEVALUE(CONCATENATE("01/01/",YEAR(Z15)+1))-DATEVALUE(CONCATENATE("01/01/",YEAR(Z15))))*(Z15-Z14),2),0))</f>
        <v>#REF!</v>
      </c>
      <c r="AM59" s="34">
        <f t="shared" si="51"/>
        <v>11630</v>
      </c>
      <c r="AN59" s="57">
        <f t="shared" si="50"/>
        <v>48821</v>
      </c>
      <c r="AO59" s="130">
        <f t="shared" si="18"/>
        <v>0</v>
      </c>
      <c r="AP59" s="261">
        <f t="shared" si="30"/>
        <v>51</v>
      </c>
      <c r="AQ59" s="262">
        <f t="shared" si="4"/>
        <v>45996</v>
      </c>
      <c r="AR59" s="263">
        <f t="shared" si="53"/>
        <v>0.14899999999999999</v>
      </c>
      <c r="AS59" s="258">
        <f t="shared" si="19"/>
        <v>0</v>
      </c>
      <c r="AT59" s="258">
        <f t="shared" si="6"/>
        <v>0</v>
      </c>
      <c r="AU59" s="258">
        <f t="shared" si="20"/>
        <v>0</v>
      </c>
      <c r="AV59" s="258">
        <f t="shared" si="21"/>
        <v>0</v>
      </c>
      <c r="AW59" s="258">
        <f t="shared" si="7"/>
        <v>0</v>
      </c>
      <c r="AX59" s="258">
        <v>0</v>
      </c>
      <c r="AY59" s="258">
        <f t="shared" si="22"/>
        <v>0</v>
      </c>
      <c r="AZ59" s="258">
        <f t="shared" si="38"/>
        <v>0</v>
      </c>
      <c r="BA59" s="258">
        <f t="shared" si="37"/>
        <v>0</v>
      </c>
      <c r="BB59" s="258"/>
      <c r="BC59" s="258"/>
      <c r="BD59" s="258"/>
      <c r="BE59" s="258"/>
      <c r="BF59" s="258"/>
      <c r="BG59" s="258">
        <f t="shared" si="24"/>
        <v>0</v>
      </c>
      <c r="BH59" s="108">
        <f t="shared" si="31"/>
        <v>0</v>
      </c>
      <c r="BI59" s="108">
        <f t="shared" si="26"/>
        <v>0</v>
      </c>
      <c r="BJ59" s="22">
        <f t="shared" si="27"/>
        <v>45996</v>
      </c>
      <c r="BK59" s="108">
        <f t="shared" si="9"/>
        <v>0</v>
      </c>
      <c r="BL59" s="2">
        <f>IF(AND(G14&gt;=$W$9,G14&lt;=$W$9+5),0,IF($C$9&gt;$AF$51,ROUND(BG13*IF(#REF!="",0,#REF!)/(DATEVALUE(CONCATENATE("01/01/",YEAR(AQ14)+1))-DATEVALUE(CONCATENATE("01/01/",YEAR(AQ14))))*(AQ14-AQ13),2),0))</f>
        <v>0</v>
      </c>
    </row>
    <row r="60" spans="1:64" s="16" customFormat="1" ht="13.8" x14ac:dyDescent="0.3">
      <c r="A60" s="180"/>
      <c r="B60" s="180"/>
      <c r="C60" s="524"/>
      <c r="D60" s="254"/>
      <c r="E60" s="178"/>
      <c r="F60" s="178"/>
      <c r="G60" s="244">
        <f t="shared" si="28"/>
        <v>52</v>
      </c>
      <c r="H60" s="245">
        <f t="shared" si="1"/>
        <v>46027</v>
      </c>
      <c r="I60" s="246">
        <f t="shared" si="54"/>
        <v>0.10899999999999999</v>
      </c>
      <c r="J60" s="242">
        <f t="shared" si="11"/>
        <v>0</v>
      </c>
      <c r="K60" s="242">
        <f t="shared" si="52"/>
        <v>0</v>
      </c>
      <c r="L60" s="242">
        <f t="shared" si="36"/>
        <v>0</v>
      </c>
      <c r="M60" s="242">
        <f t="shared" si="13"/>
        <v>0</v>
      </c>
      <c r="N60" s="242">
        <f t="shared" si="3"/>
        <v>0</v>
      </c>
      <c r="O60" s="242">
        <v>0</v>
      </c>
      <c r="P60" s="242">
        <f t="shared" si="25"/>
        <v>0</v>
      </c>
      <c r="Q60" s="242">
        <f t="shared" si="33"/>
        <v>0</v>
      </c>
      <c r="R60" s="242">
        <f t="shared" si="15"/>
        <v>0</v>
      </c>
      <c r="S60" s="242">
        <f t="shared" si="16"/>
        <v>0</v>
      </c>
      <c r="T60" s="467"/>
      <c r="U60" s="198">
        <f t="shared" si="29"/>
        <v>0</v>
      </c>
      <c r="V60" s="36">
        <f t="shared" si="17"/>
        <v>0</v>
      </c>
      <c r="W60" s="2" t="e">
        <f>IF(AND(G25&gt;=$W$9,G25&lt;=$W$9+5),0,IF($C$9&gt;$AF$51,ROUND(S24*#REF!/(DATEVALUE(CONCATENATE("01/01/",YEAR(H25)+1))-DATEVALUE(CONCATENATE("01/01/",YEAR(H25))))*(H25-H24),2),0))</f>
        <v>#REF!</v>
      </c>
      <c r="X60" s="34">
        <f t="shared" si="49"/>
        <v>11280</v>
      </c>
      <c r="Y60" s="57">
        <f t="shared" si="46"/>
        <v>50646</v>
      </c>
      <c r="AA60" s="171"/>
      <c r="AB60" s="171">
        <v>3000000</v>
      </c>
      <c r="AC60" s="133" t="s">
        <v>125</v>
      </c>
      <c r="AD60" s="155"/>
      <c r="AE60" s="155"/>
      <c r="AF60" s="155"/>
      <c r="AG60" s="155"/>
      <c r="AH60" s="155"/>
      <c r="AI60" s="155"/>
      <c r="AJ60" s="155"/>
      <c r="AK60" s="2"/>
      <c r="AL60" s="2" t="e">
        <f>IF(AND(Y16&gt;=$W$9,Y16&lt;=$W$9+5),0,IF($C$9&gt;$AF$51,ROUND(AI20*#REF!/(DATEVALUE(CONCATENATE("01/01/",YEAR(Z16)+1))-DATEVALUE(CONCATENATE("01/01/",YEAR(Z16))))*(Z16-Z15),2),0))</f>
        <v>#REF!</v>
      </c>
      <c r="AM60" s="34">
        <f t="shared" si="51"/>
        <v>11630</v>
      </c>
      <c r="AN60" s="57">
        <f t="shared" si="50"/>
        <v>49186</v>
      </c>
      <c r="AO60" s="130">
        <f t="shared" si="18"/>
        <v>0</v>
      </c>
      <c r="AP60" s="261">
        <f t="shared" si="30"/>
        <v>52</v>
      </c>
      <c r="AQ60" s="262">
        <f t="shared" si="4"/>
        <v>46027</v>
      </c>
      <c r="AR60" s="263">
        <f t="shared" si="53"/>
        <v>0.14899999999999999</v>
      </c>
      <c r="AS60" s="258">
        <f t="shared" si="19"/>
        <v>0</v>
      </c>
      <c r="AT60" s="258">
        <f t="shared" si="6"/>
        <v>0</v>
      </c>
      <c r="AU60" s="258">
        <f t="shared" si="20"/>
        <v>0</v>
      </c>
      <c r="AV60" s="258">
        <f t="shared" si="21"/>
        <v>0</v>
      </c>
      <c r="AW60" s="258">
        <f t="shared" si="7"/>
        <v>0</v>
      </c>
      <c r="AX60" s="258">
        <v>0</v>
      </c>
      <c r="AY60" s="258">
        <f t="shared" si="22"/>
        <v>0</v>
      </c>
      <c r="AZ60" s="258">
        <f t="shared" si="38"/>
        <v>0</v>
      </c>
      <c r="BA60" s="258">
        <f t="shared" si="37"/>
        <v>0</v>
      </c>
      <c r="BB60" s="258"/>
      <c r="BC60" s="258"/>
      <c r="BD60" s="258"/>
      <c r="BE60" s="258"/>
      <c r="BF60" s="258"/>
      <c r="BG60" s="258">
        <f t="shared" si="24"/>
        <v>0</v>
      </c>
      <c r="BH60" s="108">
        <f t="shared" si="31"/>
        <v>0</v>
      </c>
      <c r="BI60" s="108">
        <f t="shared" si="26"/>
        <v>0</v>
      </c>
      <c r="BJ60" s="22">
        <f t="shared" si="27"/>
        <v>46027</v>
      </c>
      <c r="BK60" s="108">
        <f t="shared" si="9"/>
        <v>0</v>
      </c>
      <c r="BL60" s="2" t="e">
        <f>IF(AND(G15&gt;=$W$9,G15&lt;=$W$9+5),0,IF($C$9&gt;$AF$51,ROUND(BG14*IF(#REF!="",0,#REF!)/(DATEVALUE(CONCATENATE("01/01/",YEAR(AQ15)+1))-DATEVALUE(CONCATENATE("01/01/",YEAR(AQ15))))*(AQ15-AQ14),2),0))</f>
        <v>#REF!</v>
      </c>
    </row>
    <row r="61" spans="1:64" s="16" customFormat="1" ht="15.75" customHeight="1" x14ac:dyDescent="0.3">
      <c r="A61" s="180"/>
      <c r="B61" s="180"/>
      <c r="C61" s="524"/>
      <c r="D61" s="254"/>
      <c r="E61" s="178"/>
      <c r="F61" s="178"/>
      <c r="G61" s="244">
        <f t="shared" si="28"/>
        <v>53</v>
      </c>
      <c r="H61" s="245">
        <f t="shared" si="1"/>
        <v>46058</v>
      </c>
      <c r="I61" s="246">
        <f t="shared" si="54"/>
        <v>0.10899999999999999</v>
      </c>
      <c r="J61" s="242">
        <f t="shared" si="11"/>
        <v>0</v>
      </c>
      <c r="K61" s="242">
        <f t="shared" si="52"/>
        <v>0</v>
      </c>
      <c r="L61" s="242">
        <f t="shared" si="36"/>
        <v>0</v>
      </c>
      <c r="M61" s="242">
        <f t="shared" si="13"/>
        <v>0</v>
      </c>
      <c r="N61" s="242">
        <f t="shared" si="3"/>
        <v>0</v>
      </c>
      <c r="O61" s="242">
        <v>0</v>
      </c>
      <c r="P61" s="242">
        <f t="shared" si="25"/>
        <v>0</v>
      </c>
      <c r="Q61" s="242">
        <f t="shared" si="33"/>
        <v>0</v>
      </c>
      <c r="R61" s="242">
        <f t="shared" si="15"/>
        <v>0</v>
      </c>
      <c r="S61" s="242">
        <f t="shared" si="16"/>
        <v>0</v>
      </c>
      <c r="T61" s="467"/>
      <c r="U61" s="198">
        <f t="shared" si="29"/>
        <v>0</v>
      </c>
      <c r="V61" s="36">
        <f t="shared" si="17"/>
        <v>0</v>
      </c>
      <c r="W61" s="2" t="e">
        <f>IF(AND(G26&gt;=$W$9,G26&lt;=$W$9+5),0,IF($C$9&gt;$AF$51,ROUND(S25*#REF!/(DATEVALUE(CONCATENATE("01/01/",YEAR(H26)+1))-DATEVALUE(CONCATENATE("01/01/",YEAR(H26))))*(H26-H25),2),0))</f>
        <v>#REF!</v>
      </c>
      <c r="X61" s="34">
        <f t="shared" si="49"/>
        <v>11280</v>
      </c>
      <c r="Y61" s="57">
        <f t="shared" si="46"/>
        <v>51011</v>
      </c>
      <c r="AB61" s="172"/>
      <c r="AC61" s="133">
        <v>3.5000000000000001E-3</v>
      </c>
      <c r="AD61" s="133">
        <v>3.5000000000000001E-3</v>
      </c>
      <c r="AE61" s="133">
        <v>2.5000000000000001E-3</v>
      </c>
      <c r="AF61" s="133">
        <v>3.0000000000000001E-3</v>
      </c>
      <c r="AG61" s="133">
        <v>0</v>
      </c>
      <c r="AH61" s="133">
        <v>1E-3</v>
      </c>
      <c r="AI61" s="133">
        <v>4.0000000000000001E-3</v>
      </c>
      <c r="AJ61" s="133">
        <v>0</v>
      </c>
      <c r="AK61" s="2"/>
      <c r="AL61" s="2" t="e">
        <f>IF(AND(Y17&gt;=$W$9,Y17&lt;=$W$9+5),0,IF($C$9&gt;$AF$51,ROUND(AI21*#REF!/(DATEVALUE(CONCATENATE("01/01/",YEAR(Z17)+1))-DATEVALUE(CONCATENATE("01/01/",YEAR(Z17))))*(Z17-Z16),2),0))</f>
        <v>#REF!</v>
      </c>
      <c r="AM61" s="34">
        <f t="shared" si="51"/>
        <v>11630</v>
      </c>
      <c r="AN61" s="57">
        <f t="shared" si="50"/>
        <v>49551</v>
      </c>
      <c r="AO61" s="130">
        <f t="shared" si="18"/>
        <v>0</v>
      </c>
      <c r="AP61" s="261">
        <f t="shared" si="30"/>
        <v>53</v>
      </c>
      <c r="AQ61" s="262">
        <f t="shared" si="4"/>
        <v>46058</v>
      </c>
      <c r="AR61" s="263">
        <f t="shared" si="53"/>
        <v>0.14899999999999999</v>
      </c>
      <c r="AS61" s="258">
        <f t="shared" si="19"/>
        <v>0</v>
      </c>
      <c r="AT61" s="258">
        <f t="shared" si="6"/>
        <v>0</v>
      </c>
      <c r="AU61" s="258">
        <f t="shared" si="20"/>
        <v>0</v>
      </c>
      <c r="AV61" s="258">
        <f t="shared" si="21"/>
        <v>0</v>
      </c>
      <c r="AW61" s="258">
        <f t="shared" si="7"/>
        <v>0</v>
      </c>
      <c r="AX61" s="258">
        <v>0</v>
      </c>
      <c r="AY61" s="258">
        <f t="shared" si="22"/>
        <v>0</v>
      </c>
      <c r="AZ61" s="258">
        <f t="shared" si="38"/>
        <v>0</v>
      </c>
      <c r="BA61" s="258">
        <f t="shared" si="37"/>
        <v>0</v>
      </c>
      <c r="BB61" s="258"/>
      <c r="BC61" s="258"/>
      <c r="BD61" s="258"/>
      <c r="BE61" s="258"/>
      <c r="BF61" s="258"/>
      <c r="BG61" s="258">
        <f t="shared" si="24"/>
        <v>0</v>
      </c>
      <c r="BH61" s="108">
        <f t="shared" si="31"/>
        <v>0</v>
      </c>
      <c r="BI61" s="108">
        <f t="shared" si="26"/>
        <v>0</v>
      </c>
      <c r="BJ61" s="22">
        <f t="shared" si="27"/>
        <v>46058</v>
      </c>
      <c r="BK61" s="108">
        <f t="shared" si="9"/>
        <v>0</v>
      </c>
      <c r="BL61" s="2" t="e">
        <f>IF(AND(G16&gt;=$W$9,G16&lt;=$W$9+5),0,IF($C$9&gt;$AF$51,ROUND(BG15*IF(#REF!="",0,#REF!)/(DATEVALUE(CONCATENATE("01/01/",YEAR(AQ16)+1))-DATEVALUE(CONCATENATE("01/01/",YEAR(AQ16))))*(AQ16-AQ15),2),0))</f>
        <v>#REF!</v>
      </c>
    </row>
    <row r="62" spans="1:64" s="16" customFormat="1" x14ac:dyDescent="0.3">
      <c r="A62" s="180"/>
      <c r="B62" s="180"/>
      <c r="C62" s="524"/>
      <c r="D62" s="178"/>
      <c r="E62" s="178"/>
      <c r="F62" s="178"/>
      <c r="G62" s="244">
        <f t="shared" si="28"/>
        <v>54</v>
      </c>
      <c r="H62" s="245">
        <f t="shared" si="1"/>
        <v>46086</v>
      </c>
      <c r="I62" s="246">
        <f t="shared" si="54"/>
        <v>0.10899999999999999</v>
      </c>
      <c r="J62" s="242">
        <f t="shared" si="11"/>
        <v>0</v>
      </c>
      <c r="K62" s="242">
        <f t="shared" si="52"/>
        <v>0</v>
      </c>
      <c r="L62" s="242">
        <f t="shared" si="36"/>
        <v>0</v>
      </c>
      <c r="M62" s="242">
        <f t="shared" si="13"/>
        <v>0</v>
      </c>
      <c r="N62" s="242">
        <f t="shared" si="3"/>
        <v>0</v>
      </c>
      <c r="O62" s="242">
        <v>0</v>
      </c>
      <c r="P62" s="242">
        <f t="shared" si="25"/>
        <v>0</v>
      </c>
      <c r="Q62" s="242">
        <f t="shared" si="33"/>
        <v>0</v>
      </c>
      <c r="R62" s="242">
        <f t="shared" si="15"/>
        <v>0</v>
      </c>
      <c r="S62" s="242">
        <f t="shared" si="16"/>
        <v>0</v>
      </c>
      <c r="T62" s="467"/>
      <c r="U62" s="198">
        <f t="shared" si="29"/>
        <v>0</v>
      </c>
      <c r="V62" s="36">
        <f t="shared" si="17"/>
        <v>0</v>
      </c>
      <c r="W62" s="2" t="e">
        <f>IF(AND(G27&gt;=$W$9,G27&lt;=$W$9+5),0,IF($C$9&gt;$AF$51,ROUND(S26*#REF!/(DATEVALUE(CONCATENATE("01/01/",YEAR(H27)+1))-DATEVALUE(CONCATENATE("01/01/",YEAR(H27))))*(H27-H26),2),0))</f>
        <v>#REF!</v>
      </c>
      <c r="X62" s="34">
        <f t="shared" si="49"/>
        <v>11280</v>
      </c>
      <c r="Y62" s="57">
        <f t="shared" si="46"/>
        <v>51376</v>
      </c>
      <c r="AC62" s="133">
        <v>3.0000000000000001E-3</v>
      </c>
      <c r="AD62" s="133">
        <v>3.0000000000000001E-3</v>
      </c>
      <c r="AE62" s="133">
        <v>2.5000000000000001E-3</v>
      </c>
      <c r="AF62" s="133">
        <v>3.0000000000000001E-3</v>
      </c>
      <c r="AG62" s="133">
        <v>0</v>
      </c>
      <c r="AH62" s="133">
        <v>1E-3</v>
      </c>
      <c r="AI62" s="133">
        <v>4.0000000000000001E-3</v>
      </c>
      <c r="AJ62" s="133">
        <v>0</v>
      </c>
      <c r="AK62" s="2"/>
      <c r="AL62" s="2" t="e">
        <f>IF(AND(Y18&gt;=$W$9,Y18&lt;=$W$9+5),0,IF($C$9&gt;$AF$51,ROUND(AI22*#REF!/(DATEVALUE(CONCATENATE("01/01/",YEAR(Z18)+1))-DATEVALUE(CONCATENATE("01/01/",YEAR(Z18))))*(Z18-Z17),2),0))</f>
        <v>#REF!</v>
      </c>
      <c r="AM62" s="34">
        <f t="shared" si="51"/>
        <v>11630</v>
      </c>
      <c r="AN62" s="57">
        <f t="shared" si="50"/>
        <v>49916</v>
      </c>
      <c r="AO62" s="130">
        <f t="shared" si="18"/>
        <v>0</v>
      </c>
      <c r="AP62" s="261">
        <f t="shared" si="30"/>
        <v>54</v>
      </c>
      <c r="AQ62" s="262">
        <f t="shared" si="4"/>
        <v>46086</v>
      </c>
      <c r="AR62" s="263">
        <f t="shared" si="53"/>
        <v>0.14899999999999999</v>
      </c>
      <c r="AS62" s="258">
        <f t="shared" si="19"/>
        <v>0</v>
      </c>
      <c r="AT62" s="258">
        <f t="shared" si="6"/>
        <v>0</v>
      </c>
      <c r="AU62" s="258">
        <f t="shared" si="20"/>
        <v>0</v>
      </c>
      <c r="AV62" s="258">
        <f t="shared" si="21"/>
        <v>0</v>
      </c>
      <c r="AW62" s="258">
        <f t="shared" si="7"/>
        <v>0</v>
      </c>
      <c r="AX62" s="258">
        <v>0</v>
      </c>
      <c r="AY62" s="258">
        <f t="shared" si="22"/>
        <v>0</v>
      </c>
      <c r="AZ62" s="258">
        <f t="shared" si="38"/>
        <v>0</v>
      </c>
      <c r="BA62" s="258">
        <f t="shared" si="37"/>
        <v>0</v>
      </c>
      <c r="BB62" s="258"/>
      <c r="BC62" s="258"/>
      <c r="BD62" s="258"/>
      <c r="BE62" s="258"/>
      <c r="BF62" s="258"/>
      <c r="BG62" s="258">
        <f t="shared" si="24"/>
        <v>0</v>
      </c>
      <c r="BH62" s="108">
        <f t="shared" si="31"/>
        <v>0</v>
      </c>
      <c r="BI62" s="108">
        <f t="shared" si="26"/>
        <v>0</v>
      </c>
      <c r="BJ62" s="22">
        <f t="shared" si="27"/>
        <v>46086</v>
      </c>
      <c r="BK62" s="108">
        <f t="shared" si="9"/>
        <v>0</v>
      </c>
      <c r="BL62" s="2" t="e">
        <f>IF(AND(G17&gt;=$W$9,G17&lt;=$W$9+5),0,IF($C$9&gt;$AF$51,ROUND(BG16*IF(#REF!="",0,#REF!)/(DATEVALUE(CONCATENATE("01/01/",YEAR(AQ17)+1))-DATEVALUE(CONCATENATE("01/01/",YEAR(AQ17))))*(AQ17-AQ16),2),0))</f>
        <v>#REF!</v>
      </c>
    </row>
    <row r="63" spans="1:64" s="16" customFormat="1" x14ac:dyDescent="0.3">
      <c r="A63" s="180"/>
      <c r="B63" s="180"/>
      <c r="C63" s="524"/>
      <c r="D63" s="178"/>
      <c r="E63" s="178"/>
      <c r="F63" s="178"/>
      <c r="G63" s="244">
        <f t="shared" si="28"/>
        <v>55</v>
      </c>
      <c r="H63" s="245">
        <f t="shared" si="1"/>
        <v>46117</v>
      </c>
      <c r="I63" s="246">
        <f t="shared" si="54"/>
        <v>0.10899999999999999</v>
      </c>
      <c r="J63" s="242">
        <f t="shared" si="11"/>
        <v>0</v>
      </c>
      <c r="K63" s="242">
        <f t="shared" si="52"/>
        <v>0</v>
      </c>
      <c r="L63" s="242">
        <f t="shared" si="36"/>
        <v>0</v>
      </c>
      <c r="M63" s="242">
        <f t="shared" si="13"/>
        <v>0</v>
      </c>
      <c r="N63" s="242">
        <f t="shared" si="3"/>
        <v>0</v>
      </c>
      <c r="O63" s="242">
        <v>0</v>
      </c>
      <c r="P63" s="242">
        <f t="shared" si="25"/>
        <v>0</v>
      </c>
      <c r="Q63" s="242">
        <f t="shared" si="33"/>
        <v>0</v>
      </c>
      <c r="R63" s="242">
        <f t="shared" si="15"/>
        <v>0</v>
      </c>
      <c r="S63" s="242">
        <f t="shared" si="16"/>
        <v>0</v>
      </c>
      <c r="T63" s="467"/>
      <c r="U63" s="198">
        <f t="shared" si="29"/>
        <v>0</v>
      </c>
      <c r="V63" s="36">
        <f t="shared" si="17"/>
        <v>0</v>
      </c>
      <c r="W63" s="2" t="e">
        <f>IF(AND(G28&gt;=$W$9,G28&lt;=$W$9+5),0,IF($C$9&gt;$AF$51,ROUND(S27*#REF!/(DATEVALUE(CONCATENATE("01/01/",YEAR(H28)+1))-DATEVALUE(CONCATENATE("01/01/",YEAR(H28))))*(H28-H27),2),0))</f>
        <v>#REF!</v>
      </c>
      <c r="X63" s="34">
        <f t="shared" si="49"/>
        <v>11280</v>
      </c>
      <c r="Y63" s="57">
        <f t="shared" si="46"/>
        <v>51741</v>
      </c>
      <c r="AC63" s="133">
        <v>2.5000000000000001E-3</v>
      </c>
      <c r="AD63" s="133">
        <v>2.5000000000000001E-3</v>
      </c>
      <c r="AE63" s="133">
        <v>2.5000000000000001E-3</v>
      </c>
      <c r="AF63" s="133">
        <v>3.0000000000000001E-3</v>
      </c>
      <c r="AG63" s="133">
        <v>0</v>
      </c>
      <c r="AH63" s="133">
        <v>1E-3</v>
      </c>
      <c r="AI63" s="133">
        <v>3.2000000000000002E-3</v>
      </c>
      <c r="AJ63" s="133">
        <v>0</v>
      </c>
      <c r="AL63" s="2" t="e">
        <f>IF(AND(Y19&gt;=$W$9,Y19&lt;=$W$9+5),0,IF($C$9&gt;$AF$51,ROUND(AI23*#REF!/(DATEVALUE(CONCATENATE("01/01/",YEAR(Z19)+1))-DATEVALUE(CONCATENATE("01/01/",YEAR(Z19))))*(Z19-Z18),2),0))</f>
        <v>#REF!</v>
      </c>
      <c r="AM63" s="34">
        <f t="shared" si="51"/>
        <v>11630</v>
      </c>
      <c r="AN63" s="57">
        <f t="shared" si="50"/>
        <v>50281</v>
      </c>
      <c r="AO63" s="130">
        <f t="shared" si="18"/>
        <v>0</v>
      </c>
      <c r="AP63" s="261">
        <f t="shared" si="30"/>
        <v>55</v>
      </c>
      <c r="AQ63" s="262">
        <f t="shared" si="4"/>
        <v>46117</v>
      </c>
      <c r="AR63" s="263">
        <f>IF($D$16="Да",$AM$40,$D$13)</f>
        <v>0.14899999999999999</v>
      </c>
      <c r="AS63" s="258">
        <f t="shared" si="19"/>
        <v>0</v>
      </c>
      <c r="AT63" s="258">
        <f t="shared" si="6"/>
        <v>0</v>
      </c>
      <c r="AU63" s="258">
        <f t="shared" si="20"/>
        <v>0</v>
      </c>
      <c r="AV63" s="258">
        <f t="shared" si="21"/>
        <v>0</v>
      </c>
      <c r="AW63" s="258">
        <f t="shared" si="7"/>
        <v>0</v>
      </c>
      <c r="AX63" s="258">
        <v>0</v>
      </c>
      <c r="AY63" s="258">
        <f t="shared" si="22"/>
        <v>0</v>
      </c>
      <c r="AZ63" s="258">
        <f t="shared" si="38"/>
        <v>0</v>
      </c>
      <c r="BA63" s="258">
        <f t="shared" si="37"/>
        <v>0</v>
      </c>
      <c r="BB63" s="258"/>
      <c r="BC63" s="258"/>
      <c r="BD63" s="258"/>
      <c r="BE63" s="258"/>
      <c r="BF63" s="258"/>
      <c r="BG63" s="258">
        <f t="shared" si="24"/>
        <v>0</v>
      </c>
      <c r="BH63" s="108">
        <f t="shared" si="31"/>
        <v>0</v>
      </c>
      <c r="BI63" s="108">
        <f t="shared" si="26"/>
        <v>0</v>
      </c>
      <c r="BJ63" s="22">
        <f t="shared" si="27"/>
        <v>46117</v>
      </c>
      <c r="BK63" s="108">
        <f t="shared" si="9"/>
        <v>0</v>
      </c>
      <c r="BL63" s="2" t="e">
        <f>IF(AND(G18&gt;=$W$9,G18&lt;=$W$9+5),0,IF($C$9&gt;$AF$51,ROUND(BG17*IF(#REF!="",0,#REF!)/(DATEVALUE(CONCATENATE("01/01/",YEAR(AQ18)+1))-DATEVALUE(CONCATENATE("01/01/",YEAR(AQ18))))*(AQ18-AQ17),2),0))</f>
        <v>#REF!</v>
      </c>
    </row>
    <row r="64" spans="1:64" s="16" customFormat="1" x14ac:dyDescent="0.3">
      <c r="A64" s="178"/>
      <c r="B64" s="178"/>
      <c r="C64" s="184"/>
      <c r="D64" s="181"/>
      <c r="E64" s="178"/>
      <c r="F64" s="178"/>
      <c r="G64" s="244">
        <f t="shared" si="28"/>
        <v>56</v>
      </c>
      <c r="H64" s="245">
        <f t="shared" si="1"/>
        <v>46147</v>
      </c>
      <c r="I64" s="246">
        <f t="shared" si="54"/>
        <v>0.10899999999999999</v>
      </c>
      <c r="J64" s="242">
        <f t="shared" si="11"/>
        <v>0</v>
      </c>
      <c r="K64" s="242">
        <f t="shared" si="52"/>
        <v>0</v>
      </c>
      <c r="L64" s="242">
        <f t="shared" si="36"/>
        <v>0</v>
      </c>
      <c r="M64" s="242">
        <f t="shared" si="13"/>
        <v>0</v>
      </c>
      <c r="N64" s="242">
        <f t="shared" si="3"/>
        <v>0</v>
      </c>
      <c r="O64" s="242">
        <v>0</v>
      </c>
      <c r="P64" s="242">
        <f t="shared" si="25"/>
        <v>0</v>
      </c>
      <c r="Q64" s="242">
        <f t="shared" si="33"/>
        <v>0</v>
      </c>
      <c r="R64" s="242">
        <f t="shared" si="15"/>
        <v>0</v>
      </c>
      <c r="S64" s="242">
        <f t="shared" si="16"/>
        <v>0</v>
      </c>
      <c r="T64" s="467"/>
      <c r="U64" s="198">
        <f t="shared" si="29"/>
        <v>0</v>
      </c>
      <c r="V64" s="36">
        <f t="shared" si="17"/>
        <v>0</v>
      </c>
      <c r="W64" s="2" t="e">
        <f>IF(AND(G29&gt;=$W$9,G29&lt;=$W$9+5),0,IF($C$9&gt;$AF$51,ROUND(S28*#REF!/(DATEVALUE(CONCATENATE("01/01/",YEAR(H29)+1))-DATEVALUE(CONCATENATE("01/01/",YEAR(H29))))*(H29-H28),2),0))</f>
        <v>#REF!</v>
      </c>
      <c r="X64" s="34">
        <f t="shared" si="49"/>
        <v>11280</v>
      </c>
      <c r="Y64" s="57">
        <f t="shared" si="46"/>
        <v>52106</v>
      </c>
      <c r="AC64" s="133">
        <v>2E-3</v>
      </c>
      <c r="AD64" s="133">
        <v>2E-3</v>
      </c>
      <c r="AE64" s="155"/>
      <c r="AF64" s="155"/>
      <c r="AG64" s="133">
        <v>0</v>
      </c>
      <c r="AH64" s="133">
        <v>1E-3</v>
      </c>
      <c r="AI64" s="133">
        <v>2E-3</v>
      </c>
      <c r="AJ64" s="133">
        <v>0</v>
      </c>
      <c r="AL64" s="2" t="e">
        <f>IF(AND(Y20&gt;=$W$9,Y20&lt;=$W$9+5),0,IF($C$9&gt;$AF$51,ROUND(AI24*#REF!/(DATEVALUE(CONCATENATE("01/01/",YEAR(Z20)+1))-DATEVALUE(CONCATENATE("01/01/",YEAR(Z20))))*(Z20-Z19),2),0))</f>
        <v>#REF!</v>
      </c>
      <c r="AM64" s="34">
        <f t="shared" si="51"/>
        <v>11630</v>
      </c>
      <c r="AN64" s="57">
        <f t="shared" si="50"/>
        <v>50646</v>
      </c>
      <c r="AO64" s="130">
        <f t="shared" si="18"/>
        <v>0</v>
      </c>
      <c r="AP64" s="261">
        <f t="shared" si="30"/>
        <v>56</v>
      </c>
      <c r="AQ64" s="262">
        <f t="shared" si="4"/>
        <v>46147</v>
      </c>
      <c r="AR64" s="263">
        <f t="shared" si="53"/>
        <v>0.14899999999999999</v>
      </c>
      <c r="AS64" s="258">
        <f t="shared" si="19"/>
        <v>0</v>
      </c>
      <c r="AT64" s="258">
        <f t="shared" si="6"/>
        <v>0</v>
      </c>
      <c r="AU64" s="258">
        <f t="shared" si="20"/>
        <v>0</v>
      </c>
      <c r="AV64" s="258">
        <f t="shared" si="21"/>
        <v>0</v>
      </c>
      <c r="AW64" s="258">
        <f t="shared" si="7"/>
        <v>0</v>
      </c>
      <c r="AX64" s="258">
        <v>0</v>
      </c>
      <c r="AY64" s="258">
        <f t="shared" si="22"/>
        <v>0</v>
      </c>
      <c r="AZ64" s="258">
        <f t="shared" si="38"/>
        <v>0</v>
      </c>
      <c r="BA64" s="258">
        <f t="shared" si="37"/>
        <v>0</v>
      </c>
      <c r="BB64" s="258"/>
      <c r="BC64" s="258"/>
      <c r="BD64" s="258"/>
      <c r="BE64" s="258"/>
      <c r="BF64" s="258"/>
      <c r="BG64" s="258">
        <f t="shared" si="24"/>
        <v>0</v>
      </c>
      <c r="BH64" s="108">
        <f t="shared" si="31"/>
        <v>0</v>
      </c>
      <c r="BI64" s="108">
        <f t="shared" si="26"/>
        <v>0</v>
      </c>
      <c r="BJ64" s="22">
        <f t="shared" si="27"/>
        <v>46147</v>
      </c>
      <c r="BK64" s="108">
        <f t="shared" si="9"/>
        <v>0</v>
      </c>
      <c r="BL64" s="2" t="e">
        <f>IF(AND(G19&gt;=$W$9,G19&lt;=$W$9+5),0,IF($C$9&gt;$AF$51,ROUND(BG18*IF(#REF!="",0,#REF!)/(DATEVALUE(CONCATENATE("01/01/",YEAR(AQ19)+1))-DATEVALUE(CONCATENATE("01/01/",YEAR(AQ19))))*(AQ19-AQ18),2),0))</f>
        <v>#REF!</v>
      </c>
    </row>
    <row r="65" spans="1:64" s="16" customFormat="1" x14ac:dyDescent="0.3">
      <c r="A65" s="178"/>
      <c r="B65" s="178"/>
      <c r="C65" s="524"/>
      <c r="D65" s="182"/>
      <c r="E65" s="178"/>
      <c r="F65" s="178"/>
      <c r="G65" s="244">
        <f t="shared" si="28"/>
        <v>57</v>
      </c>
      <c r="H65" s="245">
        <f t="shared" si="1"/>
        <v>46178</v>
      </c>
      <c r="I65" s="246">
        <f t="shared" si="54"/>
        <v>0.10899999999999999</v>
      </c>
      <c r="J65" s="242">
        <f t="shared" si="11"/>
        <v>0</v>
      </c>
      <c r="K65" s="242">
        <f t="shared" si="52"/>
        <v>0</v>
      </c>
      <c r="L65" s="242">
        <f t="shared" si="36"/>
        <v>0</v>
      </c>
      <c r="M65" s="242">
        <f t="shared" si="13"/>
        <v>0</v>
      </c>
      <c r="N65" s="242">
        <f t="shared" si="3"/>
        <v>0</v>
      </c>
      <c r="O65" s="242">
        <v>0</v>
      </c>
      <c r="P65" s="242">
        <f t="shared" si="25"/>
        <v>0</v>
      </c>
      <c r="Q65" s="242">
        <f t="shared" si="33"/>
        <v>0</v>
      </c>
      <c r="R65" s="242">
        <f t="shared" si="15"/>
        <v>0</v>
      </c>
      <c r="S65" s="242">
        <f t="shared" si="16"/>
        <v>0</v>
      </c>
      <c r="T65" s="467"/>
      <c r="U65" s="198">
        <f t="shared" si="29"/>
        <v>0</v>
      </c>
      <c r="V65" s="36">
        <f t="shared" si="17"/>
        <v>0</v>
      </c>
      <c r="W65" s="2" t="e">
        <f>IF(AND(G30&gt;=$W$9,G30&lt;=$W$9+5),0,IF($C$9&gt;$AF$51,ROUND(S29*#REF!/(DATEVALUE(CONCATENATE("01/01/",YEAR(H30)+1))-DATEVALUE(CONCATENATE("01/01/",YEAR(H30))))*(H30-H29),2),0))</f>
        <v>#REF!</v>
      </c>
      <c r="X65" s="34">
        <f t="shared" si="49"/>
        <v>11280</v>
      </c>
      <c r="Y65" s="57">
        <f t="shared" si="46"/>
        <v>52471</v>
      </c>
      <c r="AB65" s="2"/>
      <c r="AC65" s="66">
        <f t="shared" ref="AC65:AI65" si="55">IF(AC79&gt;$AA$59,AC64,IF(AC79&gt;$AA$58,AC63,IF(AC79&gt;$AA$57,AC62,AC61)))</f>
        <v>3.0000000000000001E-3</v>
      </c>
      <c r="AD65" s="66">
        <f t="shared" si="55"/>
        <v>3.0000000000000001E-3</v>
      </c>
      <c r="AE65" s="66">
        <f t="shared" si="55"/>
        <v>2.5000000000000001E-3</v>
      </c>
      <c r="AF65" s="66">
        <f t="shared" si="55"/>
        <v>3.0000000000000001E-3</v>
      </c>
      <c r="AG65" s="66">
        <f t="shared" si="55"/>
        <v>0</v>
      </c>
      <c r="AH65" s="66">
        <f t="shared" si="55"/>
        <v>1E-3</v>
      </c>
      <c r="AI65" s="66">
        <f t="shared" si="55"/>
        <v>4.0000000000000001E-3</v>
      </c>
      <c r="AJ65" s="15" t="s">
        <v>126</v>
      </c>
      <c r="AL65" s="2" t="e">
        <f>IF(AND(Y21&gt;=$W$9,Y21&lt;=$W$9+5),0,IF($C$9&gt;$AF$51,ROUND(AI25*#REF!/(DATEVALUE(CONCATENATE("01/01/",YEAR(Z21)+1))-DATEVALUE(CONCATENATE("01/01/",YEAR(Z21))))*(Z21-Z20),2),0))</f>
        <v>#REF!</v>
      </c>
      <c r="AM65" s="34">
        <f t="shared" si="51"/>
        <v>11630</v>
      </c>
      <c r="AN65" s="57">
        <f t="shared" si="50"/>
        <v>51011</v>
      </c>
      <c r="AO65" s="130">
        <f t="shared" si="18"/>
        <v>0</v>
      </c>
      <c r="AP65" s="261">
        <f t="shared" si="30"/>
        <v>57</v>
      </c>
      <c r="AQ65" s="262">
        <f t="shared" si="4"/>
        <v>46178</v>
      </c>
      <c r="AR65" s="263">
        <f t="shared" si="53"/>
        <v>0.14899999999999999</v>
      </c>
      <c r="AS65" s="258">
        <f t="shared" si="19"/>
        <v>0</v>
      </c>
      <c r="AT65" s="258">
        <f t="shared" si="6"/>
        <v>0</v>
      </c>
      <c r="AU65" s="258">
        <f t="shared" si="20"/>
        <v>0</v>
      </c>
      <c r="AV65" s="258">
        <f t="shared" si="21"/>
        <v>0</v>
      </c>
      <c r="AW65" s="258">
        <f t="shared" si="7"/>
        <v>0</v>
      </c>
      <c r="AX65" s="258">
        <v>0</v>
      </c>
      <c r="AY65" s="258">
        <f t="shared" si="22"/>
        <v>0</v>
      </c>
      <c r="AZ65" s="258">
        <f t="shared" si="38"/>
        <v>0</v>
      </c>
      <c r="BA65" s="258">
        <f t="shared" si="37"/>
        <v>0</v>
      </c>
      <c r="BB65" s="258"/>
      <c r="BC65" s="258"/>
      <c r="BD65" s="258"/>
      <c r="BE65" s="258"/>
      <c r="BF65" s="258"/>
      <c r="BG65" s="258">
        <f t="shared" si="24"/>
        <v>0</v>
      </c>
      <c r="BH65" s="108">
        <f t="shared" si="31"/>
        <v>0</v>
      </c>
      <c r="BI65" s="108">
        <f t="shared" si="26"/>
        <v>0</v>
      </c>
      <c r="BJ65" s="22">
        <f t="shared" si="27"/>
        <v>46178</v>
      </c>
      <c r="BK65" s="108">
        <f t="shared" si="9"/>
        <v>0</v>
      </c>
      <c r="BL65" s="2" t="e">
        <f>IF(AND(G20&gt;=$W$9,G20&lt;=$W$9+5),0,IF($C$9&gt;$AF$51,ROUND(BG19*IF(#REF!="",0,#REF!)/(DATEVALUE(CONCATENATE("01/01/",YEAR(AQ20)+1))-DATEVALUE(CONCATENATE("01/01/",YEAR(AQ20))))*(AQ20-AQ19),2),0))</f>
        <v>#REF!</v>
      </c>
    </row>
    <row r="66" spans="1:64" s="16" customFormat="1" x14ac:dyDescent="0.3">
      <c r="A66" s="178"/>
      <c r="B66" s="178"/>
      <c r="C66" s="524"/>
      <c r="D66" s="182"/>
      <c r="E66" s="180"/>
      <c r="F66" s="178"/>
      <c r="G66" s="244">
        <f t="shared" si="28"/>
        <v>58</v>
      </c>
      <c r="H66" s="245">
        <f t="shared" si="1"/>
        <v>46208</v>
      </c>
      <c r="I66" s="246">
        <f t="shared" si="54"/>
        <v>0.10899999999999999</v>
      </c>
      <c r="J66" s="242">
        <f t="shared" si="11"/>
        <v>0</v>
      </c>
      <c r="K66" s="242">
        <f t="shared" si="52"/>
        <v>0</v>
      </c>
      <c r="L66" s="242">
        <f t="shared" si="36"/>
        <v>0</v>
      </c>
      <c r="M66" s="242">
        <f t="shared" si="13"/>
        <v>0</v>
      </c>
      <c r="N66" s="242">
        <f t="shared" si="3"/>
        <v>0</v>
      </c>
      <c r="O66" s="242">
        <v>0</v>
      </c>
      <c r="P66" s="242">
        <f t="shared" si="25"/>
        <v>0</v>
      </c>
      <c r="Q66" s="242">
        <f t="shared" si="33"/>
        <v>0</v>
      </c>
      <c r="R66" s="242">
        <f t="shared" si="15"/>
        <v>0</v>
      </c>
      <c r="S66" s="242">
        <f t="shared" si="16"/>
        <v>0</v>
      </c>
      <c r="T66" s="467"/>
      <c r="U66" s="198">
        <f t="shared" si="29"/>
        <v>0</v>
      </c>
      <c r="V66" s="36">
        <f t="shared" si="17"/>
        <v>0</v>
      </c>
      <c r="W66" s="2" t="e">
        <f>IF(AND(G31&gt;=$W$9,G31&lt;=$W$9+5),0,IF($C$9&gt;$AF$51,ROUND(S30*#REF!/(DATEVALUE(CONCATENATE("01/01/",YEAR(H31)+1))-DATEVALUE(CONCATENATE("01/01/",YEAR(H31))))*(H31-H30),2),0))</f>
        <v>#REF!</v>
      </c>
      <c r="X66" s="34">
        <f t="shared" si="49"/>
        <v>11280</v>
      </c>
      <c r="Y66" s="57">
        <f t="shared" si="46"/>
        <v>52836</v>
      </c>
      <c r="AA66" s="133" t="s">
        <v>96</v>
      </c>
      <c r="AB66" s="15"/>
      <c r="AC66" s="143">
        <f>AC65*AC79*IF($C$10&gt;60,60,$C$10)</f>
        <v>35640</v>
      </c>
      <c r="AD66" s="143">
        <f>AD65*AD79*IF($C$10&gt;60,60,$C$10)</f>
        <v>35640</v>
      </c>
      <c r="AE66" s="143">
        <f>AE65*AE79*IF($C$10&gt;60,60,$C$10)</f>
        <v>40500</v>
      </c>
      <c r="AF66" s="143">
        <f>AF65*AF79*IF($C$10&gt;60,60,$C$10)</f>
        <v>42120</v>
      </c>
      <c r="AG66" s="143">
        <f t="shared" ref="AG66:AH66" si="56">AG65*AG79*$C$10</f>
        <v>0</v>
      </c>
      <c r="AH66" s="143">
        <f t="shared" si="56"/>
        <v>10800</v>
      </c>
      <c r="AI66" s="143">
        <f>AI65*AI79*$C$10</f>
        <v>86400</v>
      </c>
      <c r="AJ66" s="143">
        <f>AI66+AH66</f>
        <v>97200</v>
      </c>
      <c r="AL66" s="2" t="e">
        <f>IF(AND(Y22&gt;=$W$9,Y22&lt;=$W$9+5),0,IF($C$9&gt;$AF$51,ROUND(AI26*#REF!/(DATEVALUE(CONCATENATE("01/01/",YEAR(Z22)+1))-DATEVALUE(CONCATENATE("01/01/",YEAR(Z22))))*(Z22-Z21),2),0))</f>
        <v>#REF!</v>
      </c>
      <c r="AM66" s="34">
        <f t="shared" si="51"/>
        <v>11630</v>
      </c>
      <c r="AN66" s="57">
        <f t="shared" si="50"/>
        <v>51376</v>
      </c>
      <c r="AO66" s="130">
        <f t="shared" si="18"/>
        <v>0</v>
      </c>
      <c r="AP66" s="261">
        <f t="shared" si="30"/>
        <v>58</v>
      </c>
      <c r="AQ66" s="262">
        <f t="shared" si="4"/>
        <v>46208</v>
      </c>
      <c r="AR66" s="263">
        <f t="shared" si="53"/>
        <v>0.14899999999999999</v>
      </c>
      <c r="AS66" s="258">
        <f t="shared" si="19"/>
        <v>0</v>
      </c>
      <c r="AT66" s="258">
        <f t="shared" si="6"/>
        <v>0</v>
      </c>
      <c r="AU66" s="258">
        <f t="shared" si="20"/>
        <v>0</v>
      </c>
      <c r="AV66" s="258">
        <f t="shared" si="21"/>
        <v>0</v>
      </c>
      <c r="AW66" s="258">
        <f t="shared" si="7"/>
        <v>0</v>
      </c>
      <c r="AX66" s="258">
        <v>0</v>
      </c>
      <c r="AY66" s="258">
        <f t="shared" si="22"/>
        <v>0</v>
      </c>
      <c r="AZ66" s="258">
        <f t="shared" si="38"/>
        <v>0</v>
      </c>
      <c r="BA66" s="258">
        <f t="shared" si="37"/>
        <v>0</v>
      </c>
      <c r="BB66" s="258"/>
      <c r="BC66" s="258"/>
      <c r="BD66" s="258"/>
      <c r="BE66" s="258"/>
      <c r="BF66" s="258"/>
      <c r="BG66" s="258">
        <f t="shared" si="24"/>
        <v>0</v>
      </c>
      <c r="BH66" s="108">
        <f t="shared" si="31"/>
        <v>0</v>
      </c>
      <c r="BI66" s="108">
        <f t="shared" si="26"/>
        <v>0</v>
      </c>
      <c r="BJ66" s="22">
        <f t="shared" si="27"/>
        <v>46208</v>
      </c>
      <c r="BK66" s="108">
        <f t="shared" si="9"/>
        <v>0</v>
      </c>
      <c r="BL66" s="2" t="e">
        <f>IF(AND(G21&gt;=$W$9,G21&lt;=$W$9+5),0,IF($C$9&gt;$AF$51,ROUND(BG20*IF(#REF!="",0,#REF!)/(DATEVALUE(CONCATENATE("01/01/",YEAR(AQ21)+1))-DATEVALUE(CONCATENATE("01/01/",YEAR(AQ21))))*(AQ21-AQ20),2),0))</f>
        <v>#REF!</v>
      </c>
    </row>
    <row r="67" spans="1:64" s="16" customFormat="1" x14ac:dyDescent="0.3">
      <c r="A67" s="178"/>
      <c r="B67" s="178"/>
      <c r="C67" s="524"/>
      <c r="D67" s="182"/>
      <c r="E67" s="180"/>
      <c r="F67" s="178"/>
      <c r="G67" s="244">
        <f t="shared" si="28"/>
        <v>59</v>
      </c>
      <c r="H67" s="245">
        <f t="shared" si="1"/>
        <v>46239</v>
      </c>
      <c r="I67" s="246">
        <f t="shared" si="54"/>
        <v>0.10899999999999999</v>
      </c>
      <c r="J67" s="242">
        <f t="shared" si="11"/>
        <v>0</v>
      </c>
      <c r="K67" s="242">
        <f t="shared" si="52"/>
        <v>0</v>
      </c>
      <c r="L67" s="242">
        <f t="shared" si="36"/>
        <v>0</v>
      </c>
      <c r="M67" s="242">
        <f t="shared" si="13"/>
        <v>0</v>
      </c>
      <c r="N67" s="242">
        <f t="shared" si="3"/>
        <v>0</v>
      </c>
      <c r="O67" s="242">
        <v>0</v>
      </c>
      <c r="P67" s="242">
        <f t="shared" si="25"/>
        <v>0</v>
      </c>
      <c r="Q67" s="242">
        <f t="shared" si="33"/>
        <v>0</v>
      </c>
      <c r="R67" s="242">
        <f t="shared" si="15"/>
        <v>0</v>
      </c>
      <c r="S67" s="242">
        <f t="shared" si="16"/>
        <v>0</v>
      </c>
      <c r="T67" s="467"/>
      <c r="U67" s="198">
        <f t="shared" si="29"/>
        <v>0</v>
      </c>
      <c r="V67" s="36">
        <f t="shared" si="17"/>
        <v>0</v>
      </c>
      <c r="W67" s="2" t="e">
        <f>IF(AND(G32&gt;=$W$9,G32&lt;=$W$9+5),0,IF($C$9&gt;$AF$51,ROUND(S31*#REF!/(DATEVALUE(CONCATENATE("01/01/",YEAR(H32)+1))-DATEVALUE(CONCATENATE("01/01/",YEAR(H32))))*(H32-H31),2),0))</f>
        <v>#REF!</v>
      </c>
      <c r="X67" s="34">
        <f t="shared" si="49"/>
        <v>11280</v>
      </c>
      <c r="Y67" s="57">
        <f t="shared" si="46"/>
        <v>53201</v>
      </c>
      <c r="AA67" s="170">
        <v>20000</v>
      </c>
      <c r="AB67" s="133" t="s">
        <v>323</v>
      </c>
      <c r="AL67" s="2">
        <f>IF(AND(Y23&gt;=$W$9,Y23&lt;=$W$9+5),0,IF($C$9&gt;$AF$51,ROUND(AI27*#REF!/(DATEVALUE(CONCATENATE("01/01/",YEAR(Z23)+1))-DATEVALUE(CONCATENATE("01/01/",YEAR(Z23))))*(Z23-Z22),2),0))</f>
        <v>0</v>
      </c>
      <c r="AM67" s="34">
        <f t="shared" si="51"/>
        <v>11630</v>
      </c>
      <c r="AN67" s="57">
        <f t="shared" si="50"/>
        <v>51741</v>
      </c>
      <c r="AO67" s="130">
        <f t="shared" si="18"/>
        <v>0</v>
      </c>
      <c r="AP67" s="261">
        <f t="shared" si="30"/>
        <v>59</v>
      </c>
      <c r="AQ67" s="262">
        <f t="shared" si="4"/>
        <v>46239</v>
      </c>
      <c r="AR67" s="263">
        <f t="shared" si="53"/>
        <v>0.14899999999999999</v>
      </c>
      <c r="AS67" s="258">
        <f t="shared" si="19"/>
        <v>0</v>
      </c>
      <c r="AT67" s="258">
        <f t="shared" si="6"/>
        <v>0</v>
      </c>
      <c r="AU67" s="258">
        <f t="shared" si="20"/>
        <v>0</v>
      </c>
      <c r="AV67" s="258">
        <f t="shared" si="21"/>
        <v>0</v>
      </c>
      <c r="AW67" s="258">
        <f t="shared" si="7"/>
        <v>0</v>
      </c>
      <c r="AX67" s="258">
        <v>0</v>
      </c>
      <c r="AY67" s="258">
        <f t="shared" si="22"/>
        <v>0</v>
      </c>
      <c r="AZ67" s="258">
        <f t="shared" si="38"/>
        <v>0</v>
      </c>
      <c r="BA67" s="258">
        <f t="shared" si="37"/>
        <v>0</v>
      </c>
      <c r="BB67" s="258"/>
      <c r="BC67" s="258"/>
      <c r="BD67" s="258"/>
      <c r="BE67" s="258"/>
      <c r="BF67" s="258"/>
      <c r="BG67" s="258">
        <f t="shared" si="24"/>
        <v>0</v>
      </c>
      <c r="BH67" s="108">
        <f t="shared" si="31"/>
        <v>0</v>
      </c>
      <c r="BI67" s="108">
        <f t="shared" si="26"/>
        <v>0</v>
      </c>
      <c r="BJ67" s="22">
        <f t="shared" si="27"/>
        <v>46239</v>
      </c>
      <c r="BK67" s="108">
        <f t="shared" si="9"/>
        <v>0</v>
      </c>
      <c r="BL67" s="2" t="e">
        <f>IF(AND(G22&gt;=$W$9,G22&lt;=$W$9+5),0,IF($C$9&gt;$AF$51,ROUND(BG21*IF(#REF!="",0,#REF!)/(DATEVALUE(CONCATENATE("01/01/",YEAR(AQ22)+1))-DATEVALUE(CONCATENATE("01/01/",YEAR(AQ22))))*(AQ22-AQ21),2),0))</f>
        <v>#REF!</v>
      </c>
    </row>
    <row r="68" spans="1:64" s="16" customFormat="1" x14ac:dyDescent="0.3">
      <c r="A68" s="178"/>
      <c r="B68" s="178"/>
      <c r="C68" s="524"/>
      <c r="D68" s="182"/>
      <c r="E68" s="178"/>
      <c r="F68" s="178"/>
      <c r="G68" s="244">
        <f t="shared" si="28"/>
        <v>60</v>
      </c>
      <c r="H68" s="245">
        <f t="shared" si="1"/>
        <v>46270</v>
      </c>
      <c r="I68" s="246">
        <f t="shared" si="54"/>
        <v>0.10899999999999999</v>
      </c>
      <c r="J68" s="242">
        <f t="shared" si="11"/>
        <v>0</v>
      </c>
      <c r="K68" s="242">
        <f t="shared" si="52"/>
        <v>0</v>
      </c>
      <c r="L68" s="242">
        <f t="shared" si="36"/>
        <v>0</v>
      </c>
      <c r="M68" s="242">
        <f t="shared" si="13"/>
        <v>0</v>
      </c>
      <c r="N68" s="242">
        <f t="shared" si="3"/>
        <v>0</v>
      </c>
      <c r="O68" s="242">
        <v>0</v>
      </c>
      <c r="P68" s="242">
        <f t="shared" si="25"/>
        <v>0</v>
      </c>
      <c r="Q68" s="242">
        <f t="shared" si="33"/>
        <v>0</v>
      </c>
      <c r="R68" s="242">
        <f t="shared" si="15"/>
        <v>0</v>
      </c>
      <c r="S68" s="242">
        <f t="shared" si="16"/>
        <v>0</v>
      </c>
      <c r="T68" s="467"/>
      <c r="U68" s="198">
        <f t="shared" si="29"/>
        <v>0</v>
      </c>
      <c r="V68" s="36">
        <f t="shared" si="17"/>
        <v>0</v>
      </c>
      <c r="W68" s="2" t="e">
        <f>IF(AND(G33&gt;=$W$9,G33&lt;=$W$9+5),0,IF($C$9&gt;$AF$51,ROUND(S32*#REF!/(DATEVALUE(CONCATENATE("01/01/",YEAR(H33)+1))-DATEVALUE(CONCATENATE("01/01/",YEAR(H33))))*(H33-H32),2),0))</f>
        <v>#REF!</v>
      </c>
      <c r="X68" s="34">
        <f t="shared" si="49"/>
        <v>11280</v>
      </c>
      <c r="Y68" s="57">
        <f t="shared" si="46"/>
        <v>53566</v>
      </c>
      <c r="AA68" s="170">
        <v>300001</v>
      </c>
      <c r="AB68" s="135">
        <v>160000</v>
      </c>
      <c r="AL68" s="2" t="e">
        <f>IF(AND(Y24&gt;=$W$9,Y24&lt;=$W$9+5),0,IF($C$9&gt;$AF$51,ROUND(AI28*#REF!/(DATEVALUE(CONCATENATE("01/01/",YEAR(Z24)+1))-DATEVALUE(CONCATENATE("01/01/",YEAR(Z24))))*(Z24-Z23),2),0))</f>
        <v>#REF!</v>
      </c>
      <c r="AM68" s="34">
        <f t="shared" si="51"/>
        <v>11630</v>
      </c>
      <c r="AN68" s="57">
        <f t="shared" si="50"/>
        <v>52106</v>
      </c>
      <c r="AO68" s="130">
        <f t="shared" si="18"/>
        <v>0</v>
      </c>
      <c r="AP68" s="261">
        <f t="shared" si="30"/>
        <v>60</v>
      </c>
      <c r="AQ68" s="262">
        <f t="shared" si="4"/>
        <v>46270</v>
      </c>
      <c r="AR68" s="263">
        <f t="shared" si="53"/>
        <v>0.14899999999999999</v>
      </c>
      <c r="AS68" s="258">
        <f t="shared" si="19"/>
        <v>0</v>
      </c>
      <c r="AT68" s="258">
        <f t="shared" si="6"/>
        <v>0</v>
      </c>
      <c r="AU68" s="258">
        <f t="shared" si="20"/>
        <v>0</v>
      </c>
      <c r="AV68" s="258">
        <f t="shared" si="21"/>
        <v>0</v>
      </c>
      <c r="AW68" s="258">
        <f t="shared" si="7"/>
        <v>0</v>
      </c>
      <c r="AX68" s="258">
        <v>0</v>
      </c>
      <c r="AY68" s="258">
        <f t="shared" si="22"/>
        <v>0</v>
      </c>
      <c r="AZ68" s="258">
        <f t="shared" si="38"/>
        <v>0</v>
      </c>
      <c r="BA68" s="258">
        <f t="shared" si="37"/>
        <v>0</v>
      </c>
      <c r="BB68" s="258"/>
      <c r="BC68" s="258"/>
      <c r="BD68" s="258"/>
      <c r="BE68" s="258"/>
      <c r="BF68" s="258"/>
      <c r="BG68" s="258">
        <f t="shared" si="24"/>
        <v>0</v>
      </c>
      <c r="BH68" s="108">
        <f t="shared" si="31"/>
        <v>0</v>
      </c>
      <c r="BI68" s="108">
        <f t="shared" si="26"/>
        <v>0</v>
      </c>
      <c r="BJ68" s="22">
        <f t="shared" si="27"/>
        <v>46270</v>
      </c>
      <c r="BK68" s="108">
        <f t="shared" si="9"/>
        <v>0</v>
      </c>
      <c r="BL68" s="2" t="e">
        <f>IF(AND(G23&gt;=$W$9,G23&lt;=$W$9+5),0,IF($C$9&gt;$AF$51,ROUND(BG22*IF(#REF!="",0,#REF!)/(DATEVALUE(CONCATENATE("01/01/",YEAR(AQ23)+1))-DATEVALUE(CONCATENATE("01/01/",YEAR(AQ23))))*(AQ23-AQ22),2),0))</f>
        <v>#REF!</v>
      </c>
    </row>
    <row r="69" spans="1:64" s="16" customFormat="1" x14ac:dyDescent="0.3">
      <c r="A69" s="178"/>
      <c r="B69" s="178"/>
      <c r="C69" s="524"/>
      <c r="D69" s="178"/>
      <c r="E69" s="178"/>
      <c r="F69" s="178"/>
      <c r="G69" s="244">
        <f t="shared" si="28"/>
        <v>61</v>
      </c>
      <c r="H69" s="245">
        <f t="shared" si="1"/>
        <v>46300</v>
      </c>
      <c r="I69" s="246">
        <f t="shared" si="54"/>
        <v>0.10899999999999999</v>
      </c>
      <c r="J69" s="242">
        <f t="shared" si="11"/>
        <v>0</v>
      </c>
      <c r="K69" s="242">
        <f t="shared" si="52"/>
        <v>0</v>
      </c>
      <c r="L69" s="242">
        <f t="shared" si="36"/>
        <v>0</v>
      </c>
      <c r="M69" s="242">
        <f t="shared" si="13"/>
        <v>0</v>
      </c>
      <c r="N69" s="242">
        <f t="shared" si="3"/>
        <v>0</v>
      </c>
      <c r="O69" s="242">
        <v>0</v>
      </c>
      <c r="P69" s="242">
        <f t="shared" si="25"/>
        <v>0</v>
      </c>
      <c r="Q69" s="242">
        <f t="shared" si="33"/>
        <v>0</v>
      </c>
      <c r="R69" s="242">
        <f t="shared" si="15"/>
        <v>0</v>
      </c>
      <c r="S69" s="242">
        <f t="shared" si="16"/>
        <v>0</v>
      </c>
      <c r="T69" s="467"/>
      <c r="U69" s="36">
        <f t="shared" si="29"/>
        <v>0</v>
      </c>
      <c r="V69" s="36">
        <f t="shared" si="17"/>
        <v>0</v>
      </c>
      <c r="W69" s="2" t="e">
        <f>IF(AND(G34&gt;=$W$9,G34&lt;=$W$9+5),0,IF($C$9&gt;$AF$51,ROUND(S33*#REF!/(DATEVALUE(CONCATENATE("01/01/",YEAR(H34)+1))-DATEVALUE(CONCATENATE("01/01/",YEAR(H34))))*(H34-H33),2),0))</f>
        <v>#REF!</v>
      </c>
      <c r="X69" s="34">
        <f t="shared" si="49"/>
        <v>11280</v>
      </c>
      <c r="Y69" s="57">
        <f t="shared" si="46"/>
        <v>53931</v>
      </c>
      <c r="AA69" s="170">
        <v>500001</v>
      </c>
      <c r="AB69" s="135">
        <v>400000</v>
      </c>
      <c r="AD69" s="2"/>
      <c r="AE69" s="2"/>
      <c r="AF69" s="2"/>
      <c r="AG69" s="2"/>
      <c r="AH69" s="2"/>
      <c r="AI69" s="63"/>
      <c r="AJ69" s="63"/>
      <c r="AK69" s="63"/>
      <c r="AL69" s="2">
        <f>IF(AND(Y25&gt;=$W$9,Y25&lt;=$W$9+5),0,IF($C$9&gt;$AF$51,ROUND(AI29*#REF!/(DATEVALUE(CONCATENATE("01/01/",YEAR(Z25)+1))-DATEVALUE(CONCATENATE("01/01/",YEAR(Z25))))*(Z25-Z24),2),0))</f>
        <v>0</v>
      </c>
      <c r="AM69" s="34">
        <f t="shared" si="51"/>
        <v>11630</v>
      </c>
      <c r="AN69" s="57">
        <f t="shared" si="50"/>
        <v>52471</v>
      </c>
      <c r="AO69" s="130">
        <f t="shared" si="18"/>
        <v>0</v>
      </c>
      <c r="AP69" s="261">
        <f t="shared" si="30"/>
        <v>61</v>
      </c>
      <c r="AQ69" s="262">
        <f t="shared" si="4"/>
        <v>46300</v>
      </c>
      <c r="AR69" s="263">
        <f t="shared" si="53"/>
        <v>0.14899999999999999</v>
      </c>
      <c r="AS69" s="258">
        <f t="shared" si="19"/>
        <v>0</v>
      </c>
      <c r="AT69" s="258">
        <f t="shared" si="6"/>
        <v>0</v>
      </c>
      <c r="AU69" s="258">
        <f t="shared" si="20"/>
        <v>0</v>
      </c>
      <c r="AV69" s="258">
        <f t="shared" si="21"/>
        <v>0</v>
      </c>
      <c r="AW69" s="258">
        <f t="shared" si="7"/>
        <v>0</v>
      </c>
      <c r="AX69" s="258">
        <v>0</v>
      </c>
      <c r="AY69" s="258">
        <f t="shared" si="22"/>
        <v>0</v>
      </c>
      <c r="AZ69" s="258">
        <f t="shared" si="38"/>
        <v>0</v>
      </c>
      <c r="BA69" s="258">
        <f t="shared" si="37"/>
        <v>0</v>
      </c>
      <c r="BB69" s="258"/>
      <c r="BC69" s="258"/>
      <c r="BD69" s="258"/>
      <c r="BE69" s="258"/>
      <c r="BF69" s="258"/>
      <c r="BG69" s="258">
        <f t="shared" si="24"/>
        <v>0</v>
      </c>
      <c r="BH69" s="108">
        <f t="shared" si="31"/>
        <v>0</v>
      </c>
      <c r="BI69" s="108">
        <f t="shared" si="26"/>
        <v>0</v>
      </c>
      <c r="BJ69" s="22">
        <f t="shared" si="27"/>
        <v>46300</v>
      </c>
      <c r="BK69" s="108">
        <f t="shared" si="9"/>
        <v>0</v>
      </c>
      <c r="BL69" s="2" t="e">
        <f>IF(AND(G24&gt;=$W$9,G24&lt;=$W$9+5),0,IF($C$9&gt;$AF$51,ROUND(BG23*IF(#REF!="",0,#REF!)/(DATEVALUE(CONCATENATE("01/01/",YEAR(AQ24)+1))-DATEVALUE(CONCATENATE("01/01/",YEAR(AQ24))))*(AQ24-AQ23),2),0))</f>
        <v>#REF!</v>
      </c>
    </row>
    <row r="70" spans="1:64" s="16" customFormat="1" x14ac:dyDescent="0.3">
      <c r="A70" s="178"/>
      <c r="B70" s="178"/>
      <c r="C70" s="524"/>
      <c r="D70" s="178"/>
      <c r="E70" s="178"/>
      <c r="F70" s="178"/>
      <c r="G70" s="244">
        <f t="shared" si="28"/>
        <v>62</v>
      </c>
      <c r="H70" s="245">
        <f t="shared" si="1"/>
        <v>46331</v>
      </c>
      <c r="I70" s="246">
        <f t="shared" si="54"/>
        <v>0.10899999999999999</v>
      </c>
      <c r="J70" s="242">
        <f t="shared" si="11"/>
        <v>0</v>
      </c>
      <c r="K70" s="242">
        <f t="shared" si="52"/>
        <v>0</v>
      </c>
      <c r="L70" s="242">
        <f t="shared" si="36"/>
        <v>0</v>
      </c>
      <c r="M70" s="242">
        <f t="shared" si="13"/>
        <v>0</v>
      </c>
      <c r="N70" s="242">
        <f t="shared" si="3"/>
        <v>0</v>
      </c>
      <c r="O70" s="242">
        <v>0</v>
      </c>
      <c r="P70" s="242">
        <f t="shared" si="25"/>
        <v>0</v>
      </c>
      <c r="Q70" s="242">
        <f t="shared" si="33"/>
        <v>0</v>
      </c>
      <c r="R70" s="242">
        <f t="shared" si="15"/>
        <v>0</v>
      </c>
      <c r="S70" s="242">
        <f t="shared" si="16"/>
        <v>0</v>
      </c>
      <c r="T70" s="467"/>
      <c r="U70" s="36">
        <f t="shared" si="29"/>
        <v>0</v>
      </c>
      <c r="V70" s="36">
        <f t="shared" si="17"/>
        <v>0</v>
      </c>
      <c r="W70" s="2" t="e">
        <f>IF(AND(G35&gt;=$W$9,G35&lt;=$W$9+5),0,IF($C$9&gt;$AF$51,ROUND(S34*#REF!/(DATEVALUE(CONCATENATE("01/01/",YEAR(H35)+1))-DATEVALUE(CONCATENATE("01/01/",YEAR(H35))))*(H35-H34),2),0))</f>
        <v>#REF!</v>
      </c>
      <c r="X70" s="34">
        <f t="shared" si="49"/>
        <v>11280</v>
      </c>
      <c r="Y70" s="57">
        <f t="shared" si="46"/>
        <v>54296</v>
      </c>
      <c r="AA70" s="171">
        <v>600001</v>
      </c>
      <c r="AB70" s="135">
        <v>500000</v>
      </c>
      <c r="AC70" s="145" t="s">
        <v>330</v>
      </c>
      <c r="AD70" s="145" t="s">
        <v>111</v>
      </c>
      <c r="AE70" s="145" t="s">
        <v>114</v>
      </c>
      <c r="AF70" s="144" t="s">
        <v>115</v>
      </c>
      <c r="AG70" s="2" t="s">
        <v>35</v>
      </c>
      <c r="AH70" s="144" t="s">
        <v>118</v>
      </c>
      <c r="AI70" s="144" t="s">
        <v>119</v>
      </c>
      <c r="AJ70" s="145" t="s">
        <v>120</v>
      </c>
      <c r="AK70" s="15"/>
      <c r="AL70" s="2" t="e">
        <f>IF(AND(Y26&gt;=$W$9,Y26&lt;=$W$9+5),0,IF($C$9&gt;$AF$51,ROUND(AI30*#REF!/(DATEVALUE(CONCATENATE("01/01/",YEAR(Z26)+1))-DATEVALUE(CONCATENATE("01/01/",YEAR(Z26))))*(Z26-Z25),2),0))</f>
        <v>#REF!</v>
      </c>
      <c r="AM70" s="34">
        <f t="shared" si="51"/>
        <v>11630</v>
      </c>
      <c r="AN70" s="57">
        <f t="shared" si="50"/>
        <v>52836</v>
      </c>
      <c r="AO70" s="130">
        <f t="shared" si="18"/>
        <v>0</v>
      </c>
      <c r="AP70" s="261">
        <f t="shared" si="30"/>
        <v>62</v>
      </c>
      <c r="AQ70" s="262">
        <f t="shared" si="4"/>
        <v>46331</v>
      </c>
      <c r="AR70" s="263">
        <f t="shared" si="53"/>
        <v>0.14899999999999999</v>
      </c>
      <c r="AS70" s="258">
        <f t="shared" si="19"/>
        <v>0</v>
      </c>
      <c r="AT70" s="258">
        <f t="shared" si="6"/>
        <v>0</v>
      </c>
      <c r="AU70" s="258">
        <f t="shared" si="20"/>
        <v>0</v>
      </c>
      <c r="AV70" s="258">
        <f t="shared" si="21"/>
        <v>0</v>
      </c>
      <c r="AW70" s="258">
        <f t="shared" si="7"/>
        <v>0</v>
      </c>
      <c r="AX70" s="258">
        <v>0</v>
      </c>
      <c r="AY70" s="258">
        <f t="shared" si="22"/>
        <v>0</v>
      </c>
      <c r="AZ70" s="258">
        <f t="shared" si="38"/>
        <v>0</v>
      </c>
      <c r="BA70" s="258">
        <f t="shared" si="37"/>
        <v>0</v>
      </c>
      <c r="BB70" s="258"/>
      <c r="BC70" s="258"/>
      <c r="BD70" s="258"/>
      <c r="BE70" s="258"/>
      <c r="BF70" s="258"/>
      <c r="BG70" s="258">
        <f t="shared" si="24"/>
        <v>0</v>
      </c>
      <c r="BH70" s="108">
        <f t="shared" si="31"/>
        <v>0</v>
      </c>
      <c r="BI70" s="108">
        <f t="shared" si="26"/>
        <v>0</v>
      </c>
      <c r="BJ70" s="22">
        <f t="shared" si="27"/>
        <v>46331</v>
      </c>
      <c r="BK70" s="108">
        <f t="shared" si="9"/>
        <v>0</v>
      </c>
      <c r="BL70" s="2" t="e">
        <f>IF(AND(G25&gt;=$W$9,G25&lt;=$W$9+5),0,IF($C$9&gt;$AF$51,ROUND(BG24*IF(#REF!="",0,#REF!)/(DATEVALUE(CONCATENATE("01/01/",YEAR(AQ25)+1))-DATEVALUE(CONCATENATE("01/01/",YEAR(AQ25))))*(AQ25-AQ24),2),0))</f>
        <v>#REF!</v>
      </c>
    </row>
    <row r="71" spans="1:64" s="16" customFormat="1" x14ac:dyDescent="0.3">
      <c r="A71" s="178"/>
      <c r="B71" s="178"/>
      <c r="C71" s="184"/>
      <c r="D71" s="178"/>
      <c r="E71" s="178"/>
      <c r="F71" s="178"/>
      <c r="G71" s="244">
        <f t="shared" si="28"/>
        <v>63</v>
      </c>
      <c r="H71" s="245">
        <f t="shared" si="1"/>
        <v>46361</v>
      </c>
      <c r="I71" s="246">
        <f t="shared" si="54"/>
        <v>0.10899999999999999</v>
      </c>
      <c r="J71" s="242">
        <f t="shared" si="11"/>
        <v>0</v>
      </c>
      <c r="K71" s="242">
        <f t="shared" si="52"/>
        <v>0</v>
      </c>
      <c r="L71" s="242">
        <f t="shared" si="36"/>
        <v>0</v>
      </c>
      <c r="M71" s="242">
        <f t="shared" si="13"/>
        <v>0</v>
      </c>
      <c r="N71" s="242">
        <f t="shared" si="3"/>
        <v>0</v>
      </c>
      <c r="O71" s="242">
        <v>0</v>
      </c>
      <c r="P71" s="242">
        <f t="shared" si="25"/>
        <v>0</v>
      </c>
      <c r="Q71" s="242">
        <f t="shared" si="33"/>
        <v>0</v>
      </c>
      <c r="R71" s="242">
        <f t="shared" si="15"/>
        <v>0</v>
      </c>
      <c r="S71" s="242">
        <f t="shared" si="16"/>
        <v>0</v>
      </c>
      <c r="T71" s="467"/>
      <c r="U71" s="36">
        <f t="shared" si="29"/>
        <v>0</v>
      </c>
      <c r="V71" s="36">
        <f t="shared" si="17"/>
        <v>0</v>
      </c>
      <c r="W71" s="2" t="e">
        <f>IF(AND(G36&gt;=$W$9,G36&lt;=$W$9+5),0,IF($C$9&gt;$AF$51,ROUND(S35*#REF!/(DATEVALUE(CONCATENATE("01/01/",YEAR(H36)+1))-DATEVALUE(CONCATENATE("01/01/",YEAR(H36))))*(H36-H35),2),0))</f>
        <v>#REF!</v>
      </c>
      <c r="X71" s="34">
        <f t="shared" si="49"/>
        <v>11280</v>
      </c>
      <c r="Y71" s="57">
        <f t="shared" si="46"/>
        <v>54661</v>
      </c>
      <c r="AA71" s="171">
        <v>1000001</v>
      </c>
      <c r="AB71" s="135">
        <v>800000</v>
      </c>
      <c r="AC71" s="133" t="s">
        <v>98</v>
      </c>
      <c r="AD71" s="134"/>
      <c r="AE71" s="134"/>
      <c r="AF71" s="134"/>
      <c r="AG71" s="134"/>
      <c r="AH71" s="134"/>
      <c r="AI71" s="134"/>
      <c r="AJ71" s="134"/>
      <c r="AK71" s="15"/>
      <c r="AL71" s="2" t="e">
        <f>IF(AND(Y27&gt;=$W$9,Y27&lt;=$W$9+5),0,IF($C$9&gt;$AF$51,ROUND(AI31*#REF!/(DATEVALUE(CONCATENATE("01/01/",YEAR(Z27)+1))-DATEVALUE(CONCATENATE("01/01/",YEAR(Z27))))*(Z27-Z26),2),0))</f>
        <v>#REF!</v>
      </c>
      <c r="AM71" s="34">
        <f t="shared" si="51"/>
        <v>11630</v>
      </c>
      <c r="AN71" s="57">
        <f t="shared" si="50"/>
        <v>53201</v>
      </c>
      <c r="AO71" s="130">
        <f t="shared" si="18"/>
        <v>0</v>
      </c>
      <c r="AP71" s="261">
        <f t="shared" si="30"/>
        <v>63</v>
      </c>
      <c r="AQ71" s="262">
        <f t="shared" si="4"/>
        <v>46361</v>
      </c>
      <c r="AR71" s="263">
        <f t="shared" si="53"/>
        <v>0.14899999999999999</v>
      </c>
      <c r="AS71" s="258">
        <f t="shared" si="19"/>
        <v>0</v>
      </c>
      <c r="AT71" s="258">
        <f t="shared" si="6"/>
        <v>0</v>
      </c>
      <c r="AU71" s="258">
        <f t="shared" si="20"/>
        <v>0</v>
      </c>
      <c r="AV71" s="258">
        <f t="shared" si="21"/>
        <v>0</v>
      </c>
      <c r="AW71" s="258">
        <f t="shared" si="7"/>
        <v>0</v>
      </c>
      <c r="AX71" s="258">
        <v>0</v>
      </c>
      <c r="AY71" s="258">
        <f t="shared" si="22"/>
        <v>0</v>
      </c>
      <c r="AZ71" s="258">
        <f t="shared" si="38"/>
        <v>0</v>
      </c>
      <c r="BA71" s="258">
        <f t="shared" si="37"/>
        <v>0</v>
      </c>
      <c r="BB71" s="258"/>
      <c r="BC71" s="258"/>
      <c r="BD71" s="258"/>
      <c r="BE71" s="258"/>
      <c r="BF71" s="258"/>
      <c r="BG71" s="258">
        <f t="shared" si="24"/>
        <v>0</v>
      </c>
      <c r="BH71" s="108">
        <f t="shared" si="31"/>
        <v>0</v>
      </c>
      <c r="BI71" s="108">
        <f t="shared" si="26"/>
        <v>0</v>
      </c>
      <c r="BJ71" s="22">
        <f t="shared" si="27"/>
        <v>46361</v>
      </c>
      <c r="BK71" s="108">
        <f t="shared" si="9"/>
        <v>0</v>
      </c>
      <c r="BL71" s="2" t="e">
        <f>IF(AND(G26&gt;=$W$9,G26&lt;=$W$9+5),0,IF($C$9&gt;$AF$51,ROUND(BG25*IF(#REF!="",0,#REF!)/(DATEVALUE(CONCATENATE("01/01/",YEAR(AQ26)+1))-DATEVALUE(CONCATENATE("01/01/",YEAR(AQ26))))*(AQ26-AQ25),2),0))</f>
        <v>#REF!</v>
      </c>
    </row>
    <row r="72" spans="1:64" s="16" customFormat="1" x14ac:dyDescent="0.3">
      <c r="A72" s="178"/>
      <c r="B72" s="178"/>
      <c r="C72" s="184"/>
      <c r="D72" s="178"/>
      <c r="E72" s="178"/>
      <c r="F72" s="178"/>
      <c r="G72" s="244">
        <f t="shared" si="28"/>
        <v>64</v>
      </c>
      <c r="H72" s="245">
        <f t="shared" si="1"/>
        <v>46392</v>
      </c>
      <c r="I72" s="246">
        <f t="shared" si="54"/>
        <v>0.10899999999999999</v>
      </c>
      <c r="J72" s="242">
        <f t="shared" si="11"/>
        <v>0</v>
      </c>
      <c r="K72" s="242">
        <f t="shared" si="52"/>
        <v>0</v>
      </c>
      <c r="L72" s="242">
        <f t="shared" si="36"/>
        <v>0</v>
      </c>
      <c r="M72" s="242">
        <f t="shared" si="13"/>
        <v>0</v>
      </c>
      <c r="N72" s="242">
        <f t="shared" si="3"/>
        <v>0</v>
      </c>
      <c r="O72" s="242">
        <v>0</v>
      </c>
      <c r="P72" s="242">
        <f t="shared" si="25"/>
        <v>0</v>
      </c>
      <c r="Q72" s="242">
        <f t="shared" si="33"/>
        <v>0</v>
      </c>
      <c r="R72" s="242">
        <f t="shared" si="15"/>
        <v>0</v>
      </c>
      <c r="S72" s="242">
        <f t="shared" si="16"/>
        <v>0</v>
      </c>
      <c r="T72" s="467"/>
      <c r="U72" s="36">
        <f t="shared" si="29"/>
        <v>0</v>
      </c>
      <c r="V72" s="36">
        <f t="shared" si="17"/>
        <v>0</v>
      </c>
      <c r="W72" s="2" t="e">
        <f>IF(AND(G37&gt;=$W$9,G37&lt;=$W$9+5),0,IF($C$9&gt;$AF$51,ROUND(S36*#REF!/(DATEVALUE(CONCATENATE("01/01/",YEAR(H37)+1))-DATEVALUE(CONCATENATE("01/01/",YEAR(H37))))*(H37-H36),2),0))</f>
        <v>#REF!</v>
      </c>
      <c r="X72" s="34">
        <f t="shared" si="49"/>
        <v>11280</v>
      </c>
      <c r="Y72" s="57">
        <f t="shared" si="46"/>
        <v>55026</v>
      </c>
      <c r="AA72" s="16" t="s">
        <v>101</v>
      </c>
      <c r="AB72" s="135">
        <v>900000</v>
      </c>
      <c r="AC72" s="134">
        <v>1</v>
      </c>
      <c r="AD72" s="134">
        <v>1.25</v>
      </c>
      <c r="AE72" s="134">
        <v>1.5</v>
      </c>
      <c r="AF72" s="134">
        <v>1.3</v>
      </c>
      <c r="AG72" s="134">
        <v>0</v>
      </c>
      <c r="AH72" s="134">
        <v>1</v>
      </c>
      <c r="AI72" s="134">
        <v>2</v>
      </c>
      <c r="AJ72" s="134">
        <v>2.5</v>
      </c>
      <c r="AK72" s="15"/>
      <c r="AL72" s="2" t="e">
        <f>IF(AND(Y28&gt;=$W$9,Y28&lt;=$W$9+5),0,IF($C$9&gt;$AF$51,ROUND(AI32*#REF!/(DATEVALUE(CONCATENATE("01/01/",YEAR(Z28)+1))-DATEVALUE(CONCATENATE("01/01/",YEAR(Z28))))*(Z28-Z27),2),0))</f>
        <v>#REF!</v>
      </c>
      <c r="AM72" s="34">
        <f t="shared" si="51"/>
        <v>11630</v>
      </c>
      <c r="AN72" s="57">
        <f t="shared" si="50"/>
        <v>53566</v>
      </c>
      <c r="AO72" s="130">
        <f t="shared" si="18"/>
        <v>0</v>
      </c>
      <c r="AP72" s="261">
        <f t="shared" si="30"/>
        <v>64</v>
      </c>
      <c r="AQ72" s="262">
        <f t="shared" si="4"/>
        <v>46392</v>
      </c>
      <c r="AR72" s="263">
        <f t="shared" si="53"/>
        <v>0.14899999999999999</v>
      </c>
      <c r="AS72" s="258">
        <f t="shared" si="19"/>
        <v>0</v>
      </c>
      <c r="AT72" s="258">
        <f t="shared" si="6"/>
        <v>0</v>
      </c>
      <c r="AU72" s="258">
        <f t="shared" si="20"/>
        <v>0</v>
      </c>
      <c r="AV72" s="258">
        <f t="shared" si="21"/>
        <v>0</v>
      </c>
      <c r="AW72" s="258">
        <f t="shared" si="7"/>
        <v>0</v>
      </c>
      <c r="AX72" s="258">
        <v>0</v>
      </c>
      <c r="AY72" s="258">
        <f t="shared" si="22"/>
        <v>0</v>
      </c>
      <c r="AZ72" s="258">
        <f t="shared" si="38"/>
        <v>0</v>
      </c>
      <c r="BA72" s="258">
        <f t="shared" si="37"/>
        <v>0</v>
      </c>
      <c r="BB72" s="258"/>
      <c r="BC72" s="258"/>
      <c r="BD72" s="258"/>
      <c r="BE72" s="258"/>
      <c r="BF72" s="258"/>
      <c r="BG72" s="258">
        <f t="shared" si="24"/>
        <v>0</v>
      </c>
      <c r="BH72" s="108">
        <f t="shared" si="31"/>
        <v>0</v>
      </c>
      <c r="BI72" s="108">
        <f t="shared" si="26"/>
        <v>0</v>
      </c>
      <c r="BJ72" s="22">
        <f t="shared" si="27"/>
        <v>46392</v>
      </c>
      <c r="BK72" s="108">
        <f t="shared" si="9"/>
        <v>0</v>
      </c>
      <c r="BL72" s="2" t="e">
        <f>IF(AND(G27&gt;=$W$9,G27&lt;=$W$9+5),0,IF($C$9&gt;$AF$51,ROUND(BG26*IF(#REF!="",0,#REF!)/(DATEVALUE(CONCATENATE("01/01/",YEAR(AQ27)+1))-DATEVALUE(CONCATENATE("01/01/",YEAR(AQ27))))*(AQ27-AQ26),2),0))</f>
        <v>#REF!</v>
      </c>
    </row>
    <row r="73" spans="1:64" s="16" customFormat="1" x14ac:dyDescent="0.3">
      <c r="A73" s="178"/>
      <c r="B73" s="178"/>
      <c r="C73" s="184"/>
      <c r="D73" s="178"/>
      <c r="E73" s="178"/>
      <c r="F73" s="178"/>
      <c r="G73" s="244">
        <f t="shared" si="28"/>
        <v>65</v>
      </c>
      <c r="H73" s="245">
        <f t="shared" ref="H73:H108" si="57">IF((OR(DAY($AD$54)=29,DAY($AD$54)=30,DAY($AD$54)=31)),(EDATE($C$9-3,G73)),(IF((OR(DAY($AD$54)=1,DAY($AD$54)=2,DAY($AD$54)=3)),(EDATE($C$9,G73)+3),EDATE($C$9,G73))))</f>
        <v>46423</v>
      </c>
      <c r="I73" s="246">
        <f t="shared" si="54"/>
        <v>0.10899999999999999</v>
      </c>
      <c r="J73" s="242">
        <f t="shared" si="11"/>
        <v>0</v>
      </c>
      <c r="K73" s="242">
        <f t="shared" si="52"/>
        <v>0</v>
      </c>
      <c r="L73" s="242">
        <f t="shared" si="36"/>
        <v>0</v>
      </c>
      <c r="M73" s="242">
        <f t="shared" si="13"/>
        <v>0</v>
      </c>
      <c r="N73" s="242">
        <f t="shared" ref="N73:N108" si="58">IF(P73-Q73&gt;$C$23,$C$23-L73,IF(V73=0,0,R73)+$AI$51)</f>
        <v>0</v>
      </c>
      <c r="O73" s="242">
        <v>0</v>
      </c>
      <c r="P73" s="242">
        <f t="shared" si="25"/>
        <v>0</v>
      </c>
      <c r="Q73" s="242">
        <f t="shared" si="33"/>
        <v>0</v>
      </c>
      <c r="R73" s="242">
        <f t="shared" si="15"/>
        <v>0</v>
      </c>
      <c r="S73" s="242">
        <f t="shared" si="16"/>
        <v>0</v>
      </c>
      <c r="T73" s="467"/>
      <c r="U73" s="36">
        <f t="shared" si="29"/>
        <v>0</v>
      </c>
      <c r="V73" s="36">
        <f t="shared" si="17"/>
        <v>0</v>
      </c>
      <c r="W73" s="2" t="e">
        <f>IF(AND(G38&gt;=$W$9,G38&lt;=$W$9+5),0,IF($C$9&gt;$AF$51,ROUND(S37*#REF!/(DATEVALUE(CONCATENATE("01/01/",YEAR(H38)+1))-DATEVALUE(CONCATENATE("01/01/",YEAR(H38))))*(H38-H37),2),0))</f>
        <v>#REF!</v>
      </c>
      <c r="X73" s="34">
        <f t="shared" si="49"/>
        <v>11280</v>
      </c>
      <c r="Y73" s="57">
        <f t="shared" si="46"/>
        <v>55391</v>
      </c>
      <c r="AB73" s="16">
        <v>1500000</v>
      </c>
      <c r="AC73" s="134">
        <v>1.1000000000000001</v>
      </c>
      <c r="AD73" s="134">
        <v>1.35</v>
      </c>
      <c r="AE73" s="134">
        <v>1.5</v>
      </c>
      <c r="AF73" s="134">
        <v>1.3</v>
      </c>
      <c r="AG73" s="134">
        <v>0</v>
      </c>
      <c r="AH73" s="134">
        <v>1</v>
      </c>
      <c r="AI73" s="134">
        <v>2</v>
      </c>
      <c r="AJ73" s="134">
        <v>2</v>
      </c>
      <c r="AK73" s="15"/>
      <c r="AL73" s="2" t="e">
        <f>IF(AND(Y29&gt;=$W$9,Y29&lt;=$W$9+5),0,IF($C$9&gt;$AF$51,ROUND(AI33*#REF!/(DATEVALUE(CONCATENATE("01/01/",YEAR(Z29)+1))-DATEVALUE(CONCATENATE("01/01/",YEAR(Z29))))*(Z29-Z28),2),0))</f>
        <v>#REF!</v>
      </c>
      <c r="AM73" s="34">
        <f t="shared" si="51"/>
        <v>11630</v>
      </c>
      <c r="AN73" s="57">
        <f t="shared" si="50"/>
        <v>53931</v>
      </c>
      <c r="AO73" s="130">
        <f t="shared" si="18"/>
        <v>0</v>
      </c>
      <c r="AP73" s="261">
        <f t="shared" si="30"/>
        <v>65</v>
      </c>
      <c r="AQ73" s="262">
        <f t="shared" ref="AQ73:AQ108" si="59">IF((OR(DAY($AD$54)=29,DAY($AD$54)=30,DAY($AD$54)=31)),(EDATE($C$9-3,AP73)),(IF((OR(DAY($AD$54)=1,DAY($AD$54)=2,DAY($AD$54)=3)),(EDATE($C$9,AP73)+3),EDATE($C$9,AP73))))</f>
        <v>46423</v>
      </c>
      <c r="AR73" s="263">
        <f t="shared" si="53"/>
        <v>0.14899999999999999</v>
      </c>
      <c r="AS73" s="258">
        <f t="shared" si="19"/>
        <v>0</v>
      </c>
      <c r="AT73" s="258">
        <f t="shared" ref="AT73:AT74" si="60">IF(AND(BG72+AW73+AU73&gt;AT72,AT72&lt;&gt;0),IF($D$16="Да",$AL$36,$D$23),IF(BG72=0,0,BG72+AW73+AU73+AU74))</f>
        <v>0</v>
      </c>
      <c r="AU73" s="258">
        <f t="shared" si="20"/>
        <v>0</v>
      </c>
      <c r="AV73" s="258">
        <f t="shared" si="21"/>
        <v>0</v>
      </c>
      <c r="AW73" s="258">
        <f t="shared" ref="AW73:AW108" si="61">IF(AY73-AZ73&gt;$D$23,$D$23-AU73,IF(BI73=0,0,BA73)+BX121)</f>
        <v>0</v>
      </c>
      <c r="AX73" s="258">
        <v>0</v>
      </c>
      <c r="AY73" s="258">
        <f t="shared" si="22"/>
        <v>0</v>
      </c>
      <c r="AZ73" s="258">
        <f t="shared" si="38"/>
        <v>0</v>
      </c>
      <c r="BA73" s="258">
        <f t="shared" si="37"/>
        <v>0</v>
      </c>
      <c r="BB73" s="258"/>
      <c r="BC73" s="258"/>
      <c r="BD73" s="258"/>
      <c r="BE73" s="258"/>
      <c r="BF73" s="258"/>
      <c r="BG73" s="258">
        <f t="shared" si="24"/>
        <v>0</v>
      </c>
      <c r="BH73" s="108">
        <f t="shared" si="31"/>
        <v>0</v>
      </c>
      <c r="BI73" s="108">
        <f t="shared" si="26"/>
        <v>0</v>
      </c>
      <c r="BJ73" s="22">
        <f t="shared" si="27"/>
        <v>46423</v>
      </c>
      <c r="BK73" s="108">
        <f t="shared" ref="BK73:BK114" si="62">K73</f>
        <v>0</v>
      </c>
      <c r="BL73" s="2" t="e">
        <f>IF(AND(G28&gt;=$W$9,G28&lt;=$W$9+5),0,IF($C$9&gt;$AF$51,ROUND(BG27*IF(#REF!="",0,#REF!)/(DATEVALUE(CONCATENATE("01/01/",YEAR(AQ28)+1))-DATEVALUE(CONCATENATE("01/01/",YEAR(AQ28))))*(AQ28-AQ27),2),0))</f>
        <v>#REF!</v>
      </c>
    </row>
    <row r="74" spans="1:64" s="16" customFormat="1" x14ac:dyDescent="0.3">
      <c r="A74" s="178"/>
      <c r="B74" s="178"/>
      <c r="C74" s="184"/>
      <c r="D74" s="178"/>
      <c r="E74" s="178"/>
      <c r="F74" s="178"/>
      <c r="G74" s="244">
        <f t="shared" si="28"/>
        <v>66</v>
      </c>
      <c r="H74" s="245">
        <f t="shared" si="57"/>
        <v>46451</v>
      </c>
      <c r="I74" s="246">
        <f t="shared" si="54"/>
        <v>0.10899999999999999</v>
      </c>
      <c r="J74" s="242">
        <f t="shared" ref="J74:J108" si="63">K74+Q74</f>
        <v>0</v>
      </c>
      <c r="K74" s="242">
        <f t="shared" si="52"/>
        <v>0</v>
      </c>
      <c r="L74" s="242">
        <f t="shared" si="36"/>
        <v>0</v>
      </c>
      <c r="M74" s="242">
        <f t="shared" ref="M74" si="64">IF(S73=0,0,IF(S73+N74+L74&gt;K73,K74-L74-N74,S73))</f>
        <v>0</v>
      </c>
      <c r="N74" s="242">
        <f t="shared" si="58"/>
        <v>0</v>
      </c>
      <c r="O74" s="242">
        <v>0</v>
      </c>
      <c r="P74" s="242">
        <f t="shared" si="25"/>
        <v>0</v>
      </c>
      <c r="Q74" s="242">
        <f t="shared" si="33"/>
        <v>0</v>
      </c>
      <c r="R74" s="242">
        <f t="shared" ref="R74:R108" si="65">IF(V74=0,0,0)</f>
        <v>0</v>
      </c>
      <c r="S74" s="242">
        <f t="shared" ref="S74" si="66">S73-M74-T74</f>
        <v>0</v>
      </c>
      <c r="T74" s="467"/>
      <c r="U74" s="36">
        <f t="shared" si="29"/>
        <v>0</v>
      </c>
      <c r="V74" s="36">
        <f t="shared" ref="V74:V107" si="67">U74</f>
        <v>0</v>
      </c>
      <c r="W74" s="2" t="e">
        <f>IF(AND(G39&gt;=$W$9,G39&lt;=$W$9+5),0,IF($C$9&gt;$AF$51,ROUND(S38*#REF!/(DATEVALUE(CONCATENATE("01/01/",YEAR(H39)+1))-DATEVALUE(CONCATENATE("01/01/",YEAR(H39))))*(H39-H38),2),0))</f>
        <v>#REF!</v>
      </c>
      <c r="X74" s="34">
        <f t="shared" si="49"/>
        <v>11280</v>
      </c>
      <c r="Y74" s="57">
        <f t="shared" si="46"/>
        <v>55756</v>
      </c>
      <c r="AC74" s="134">
        <v>1.2</v>
      </c>
      <c r="AD74" s="134">
        <v>1.5</v>
      </c>
      <c r="AE74" s="134">
        <v>1.3</v>
      </c>
      <c r="AF74" s="134">
        <v>1.2</v>
      </c>
      <c r="AG74" s="134">
        <v>0</v>
      </c>
      <c r="AH74" s="134">
        <v>1</v>
      </c>
      <c r="AI74" s="134">
        <v>1.5</v>
      </c>
      <c r="AJ74" s="134">
        <v>1.5</v>
      </c>
      <c r="AK74" s="15"/>
      <c r="AL74" s="2" t="e">
        <f>IF(AND(Y30&gt;=$W$9,Y30&lt;=$W$9+5),0,IF($C$9&gt;$AF$51,ROUND(AI34*#REF!/(DATEVALUE(CONCATENATE("01/01/",YEAR(Z30)+1))-DATEVALUE(CONCATENATE("01/01/",YEAR(Z30))))*(Z30-Z29),2),0))</f>
        <v>#REF!</v>
      </c>
      <c r="AM74" s="34">
        <f t="shared" si="51"/>
        <v>11630</v>
      </c>
      <c r="AN74" s="57">
        <f t="shared" si="50"/>
        <v>54296</v>
      </c>
      <c r="AO74" s="130">
        <f t="shared" ref="AO74:AO108" si="68">IF(OR(AT74="",AT74=0),0,1)</f>
        <v>0</v>
      </c>
      <c r="AP74" s="261">
        <f t="shared" si="30"/>
        <v>66</v>
      </c>
      <c r="AQ74" s="262">
        <f t="shared" si="59"/>
        <v>46451</v>
      </c>
      <c r="AR74" s="263">
        <f t="shared" si="53"/>
        <v>0.14899999999999999</v>
      </c>
      <c r="AS74" s="258">
        <f t="shared" ref="AS74:AS108" si="69">AT74+AZ74</f>
        <v>0</v>
      </c>
      <c r="AT74" s="258">
        <f t="shared" si="60"/>
        <v>0</v>
      </c>
      <c r="AU74" s="258">
        <f t="shared" ref="AU74" si="70">IF($C$9&gt;$AF$51,ROUND(BG73*AR74*((AQ74-DATE(YEAR(AQ74),MONTH(AQ74),1)+1)/(DATE(YEAR(AQ74)+1,1,1)-DATE(YEAR(AQ74),1,1))+(EOMONTH(AQ73,0)-AQ73)/(DATE(YEAR(AQ73)+1,1,1)-DATE(YEAR(AQ73),1,1))),2),0)</f>
        <v>0</v>
      </c>
      <c r="AV74" s="258">
        <f t="shared" ref="AV74:AV108" si="71">IF(BI74=0,0,IF(BI74=1,BG73,IF(BG73+AW74+AU74&gt;AT73,AT74-AU74-AW74,BG73)))</f>
        <v>0</v>
      </c>
      <c r="AW74" s="258">
        <f t="shared" si="61"/>
        <v>0</v>
      </c>
      <c r="AX74" s="258">
        <v>0</v>
      </c>
      <c r="AY74" s="258">
        <f t="shared" si="22"/>
        <v>0</v>
      </c>
      <c r="AZ74" s="258">
        <f t="shared" si="38"/>
        <v>0</v>
      </c>
      <c r="BA74" s="258">
        <f t="shared" si="37"/>
        <v>0</v>
      </c>
      <c r="BB74" s="258"/>
      <c r="BC74" s="258"/>
      <c r="BD74" s="258"/>
      <c r="BE74" s="258"/>
      <c r="BF74" s="258"/>
      <c r="BG74" s="258">
        <f t="shared" ref="BG74:BG108" si="72">IF(OR(BI74=1,BG73=0),0,BG73-AV74)</f>
        <v>0</v>
      </c>
      <c r="BH74" s="108">
        <f t="shared" si="31"/>
        <v>0</v>
      </c>
      <c r="BI74" s="108">
        <f t="shared" si="26"/>
        <v>0</v>
      </c>
      <c r="BJ74" s="22">
        <f t="shared" si="27"/>
        <v>46451</v>
      </c>
      <c r="BK74" s="108">
        <f t="shared" si="62"/>
        <v>0</v>
      </c>
      <c r="BL74" s="2" t="e">
        <f>IF(AND(G29&gt;=$W$9,G29&lt;=$W$9+5),0,IF($C$9&gt;$AF$51,ROUND(BG28*IF(#REF!="",0,#REF!)/(DATEVALUE(CONCATENATE("01/01/",YEAR(AQ29)+1))-DATEVALUE(CONCATENATE("01/01/",YEAR(AQ29))))*(AQ29-AQ28),2),0))</f>
        <v>#REF!</v>
      </c>
    </row>
    <row r="75" spans="1:64" s="16" customFormat="1" x14ac:dyDescent="0.3">
      <c r="A75" s="178"/>
      <c r="B75" s="178"/>
      <c r="C75" s="184"/>
      <c r="D75" s="178"/>
      <c r="E75" s="178"/>
      <c r="F75" s="178"/>
      <c r="G75" s="114">
        <f t="shared" si="28"/>
        <v>67</v>
      </c>
      <c r="H75" s="111">
        <f t="shared" si="57"/>
        <v>46482</v>
      </c>
      <c r="I75" s="176">
        <f t="shared" si="54"/>
        <v>0.10899999999999999</v>
      </c>
      <c r="J75" s="24">
        <f t="shared" si="63"/>
        <v>0</v>
      </c>
      <c r="K75" s="242">
        <f t="shared" si="52"/>
        <v>0</v>
      </c>
      <c r="L75" s="24">
        <f t="shared" si="36"/>
        <v>0</v>
      </c>
      <c r="M75" s="24">
        <f t="shared" ref="M75:M108" si="73">IF(V75=0,0,IF(V75=1,S74,IF(S74+N75+L75&gt;K74,K75-L75-N75,S74)))</f>
        <v>0</v>
      </c>
      <c r="N75" s="24">
        <f t="shared" si="58"/>
        <v>0</v>
      </c>
      <c r="O75" s="24">
        <v>0</v>
      </c>
      <c r="P75" s="24">
        <f t="shared" si="25"/>
        <v>0</v>
      </c>
      <c r="Q75" s="24">
        <f t="shared" si="33"/>
        <v>0</v>
      </c>
      <c r="R75" s="24">
        <f t="shared" si="65"/>
        <v>0</v>
      </c>
      <c r="S75" s="24">
        <f t="shared" ref="S75:S108" si="74">IF(OR(V75=1,S74=0),0,S74-M75)</f>
        <v>0</v>
      </c>
      <c r="T75" s="24"/>
      <c r="U75" s="36">
        <f t="shared" si="29"/>
        <v>0</v>
      </c>
      <c r="V75" s="36">
        <f t="shared" si="67"/>
        <v>0</v>
      </c>
      <c r="W75" s="2" t="e">
        <f>IF(AND(G40&gt;=$W$9,G40&lt;=$W$9+5),0,IF($C$9&gt;$AF$51,ROUND(S39*#REF!/(DATEVALUE(CONCATENATE("01/01/",YEAR(H40)+1))-DATEVALUE(CONCATENATE("01/01/",YEAR(H40))))*(H40-H39),2),0))</f>
        <v>#REF!</v>
      </c>
      <c r="X75" s="34">
        <f t="shared" si="49"/>
        <v>11280</v>
      </c>
      <c r="Y75" s="57">
        <f t="shared" si="46"/>
        <v>56121</v>
      </c>
      <c r="AC75" s="134">
        <v>1.1000000000000001</v>
      </c>
      <c r="AD75" s="134">
        <v>1.25</v>
      </c>
      <c r="AE75" s="134">
        <v>1.3</v>
      </c>
      <c r="AF75" s="134">
        <v>1.2</v>
      </c>
      <c r="AG75" s="134">
        <v>0</v>
      </c>
      <c r="AH75" s="134">
        <v>1</v>
      </c>
      <c r="AI75" s="134">
        <v>1.3</v>
      </c>
      <c r="AJ75" s="134">
        <v>1.3</v>
      </c>
      <c r="AK75" s="2"/>
      <c r="AL75" s="2" t="e">
        <f>IF(AND(Y31&gt;=$W$9,Y31&lt;=$W$9+5),0,IF($C$9&gt;$AF$51,ROUND(AI35*#REF!/(DATEVALUE(CONCATENATE("01/01/",YEAR(Z31)+1))-DATEVALUE(CONCATENATE("01/01/",YEAR(Z31))))*(Z31-Z30),2),0))</f>
        <v>#REF!</v>
      </c>
      <c r="AM75" s="34">
        <f t="shared" si="51"/>
        <v>11630</v>
      </c>
      <c r="AN75" s="57">
        <f t="shared" si="50"/>
        <v>54661</v>
      </c>
      <c r="AO75" s="130">
        <f t="shared" si="68"/>
        <v>0</v>
      </c>
      <c r="AP75" s="109">
        <f t="shared" si="30"/>
        <v>67</v>
      </c>
      <c r="AQ75" s="110">
        <f t="shared" si="59"/>
        <v>46482</v>
      </c>
      <c r="AR75" s="177">
        <f t="shared" si="53"/>
        <v>0.14899999999999999</v>
      </c>
      <c r="AS75" s="105">
        <f t="shared" si="69"/>
        <v>0</v>
      </c>
      <c r="AT75" s="105">
        <f t="shared" ref="AT75:AT108" si="75">IF(AND(G75&gt;=$W$9,G75&lt;=$W$9+5),$W$10,IF(AND(BG74+AW75+AU75&gt;AT74,AT74&lt;&gt;0),IF($D$16="Да",$AL$40,$D$23),IF(BG74=0,0,BG74+AW75+AU75+AU76)))</f>
        <v>0</v>
      </c>
      <c r="AU75" s="105">
        <f t="shared" ref="AU75:AU108" si="76">IF(AND(G75&gt;=$W$9,G75&lt;=$W$9+5),0,IF($C$9&gt;$AF$51,ROUND(BG74*AR75*((AQ75-DATE(YEAR(AQ75),MONTH(AQ75),1)+1)/(DATE(YEAR(AQ75)+1,1,1)-DATE(YEAR(AQ75),1,1))+(EOMONTH(AQ74,0)-AQ74)/(DATE(YEAR(AQ74)+1,1,1)-DATE(YEAR(AQ74),1,1))),2),0))</f>
        <v>0</v>
      </c>
      <c r="AV75" s="105">
        <f t="shared" si="71"/>
        <v>0</v>
      </c>
      <c r="AW75" s="105">
        <f t="shared" si="61"/>
        <v>0</v>
      </c>
      <c r="AX75" s="105">
        <v>0</v>
      </c>
      <c r="AY75" s="105">
        <f t="shared" si="22"/>
        <v>0</v>
      </c>
      <c r="AZ75" s="105">
        <f t="shared" si="38"/>
        <v>0</v>
      </c>
      <c r="BA75" s="105">
        <f t="shared" si="37"/>
        <v>0</v>
      </c>
      <c r="BB75" s="105"/>
      <c r="BC75" s="105"/>
      <c r="BD75" s="105"/>
      <c r="BE75" s="105"/>
      <c r="BF75" s="105"/>
      <c r="BG75" s="105">
        <f t="shared" si="72"/>
        <v>0</v>
      </c>
      <c r="BH75" s="108">
        <f t="shared" si="31"/>
        <v>0</v>
      </c>
      <c r="BI75" s="108">
        <f t="shared" ref="BI75:BI114" si="77">BH75</f>
        <v>0</v>
      </c>
      <c r="BJ75" s="22">
        <f t="shared" ref="BJ75:BJ114" si="78">H75</f>
        <v>46482</v>
      </c>
      <c r="BK75" s="108">
        <f t="shared" si="62"/>
        <v>0</v>
      </c>
      <c r="BL75" s="2" t="e">
        <f>IF(AND(G30&gt;=$W$9,G30&lt;=$W$9+5),0,IF($C$9&gt;$AF$51,ROUND(BG29*IF(#REF!="",0,#REF!)/(DATEVALUE(CONCATENATE("01/01/",YEAR(AQ30)+1))-DATEVALUE(CONCATENATE("01/01/",YEAR(AQ30))))*(AQ30-AQ29),2),0))</f>
        <v>#REF!</v>
      </c>
    </row>
    <row r="76" spans="1:64" s="16" customFormat="1" x14ac:dyDescent="0.3">
      <c r="A76" s="178"/>
      <c r="B76" s="178"/>
      <c r="C76" s="184"/>
      <c r="D76" s="178"/>
      <c r="E76" s="178"/>
      <c r="F76" s="178"/>
      <c r="G76" s="114">
        <f t="shared" ref="G76:G108" si="79">G75+1</f>
        <v>68</v>
      </c>
      <c r="H76" s="111">
        <f t="shared" si="57"/>
        <v>46512</v>
      </c>
      <c r="I76" s="176">
        <f t="shared" si="54"/>
        <v>0.10899999999999999</v>
      </c>
      <c r="J76" s="24">
        <f t="shared" si="63"/>
        <v>0</v>
      </c>
      <c r="K76" s="242">
        <f t="shared" si="52"/>
        <v>0</v>
      </c>
      <c r="L76" s="24">
        <f t="shared" si="36"/>
        <v>0</v>
      </c>
      <c r="M76" s="24">
        <f t="shared" si="73"/>
        <v>0</v>
      </c>
      <c r="N76" s="24">
        <f t="shared" si="58"/>
        <v>0</v>
      </c>
      <c r="O76" s="24">
        <v>0</v>
      </c>
      <c r="P76" s="24">
        <f t="shared" si="25"/>
        <v>0</v>
      </c>
      <c r="Q76" s="24">
        <f t="shared" si="33"/>
        <v>0</v>
      </c>
      <c r="R76" s="24">
        <f t="shared" si="65"/>
        <v>0</v>
      </c>
      <c r="S76" s="24">
        <f t="shared" si="74"/>
        <v>0</v>
      </c>
      <c r="T76" s="24"/>
      <c r="U76" s="36">
        <f t="shared" ref="U76:U108" si="80">IF((U75-1)&lt;0,0,U75-1)</f>
        <v>0</v>
      </c>
      <c r="V76" s="36">
        <f t="shared" si="67"/>
        <v>0</v>
      </c>
      <c r="W76" s="2" t="e">
        <f>IF(AND(G41&gt;=$W$9,G41&lt;=$W$9+5),0,IF($C$9&gt;$AF$51,ROUND(S40*#REF!/(DATEVALUE(CONCATENATE("01/01/",YEAR(H41)+1))-DATEVALUE(CONCATENATE("01/01/",YEAR(H41))))*(H41-H40),2),0))</f>
        <v>#REF!</v>
      </c>
      <c r="X76" s="34">
        <f t="shared" si="49"/>
        <v>11280</v>
      </c>
      <c r="Y76" s="57">
        <f t="shared" si="46"/>
        <v>56486</v>
      </c>
      <c r="AC76" s="134">
        <v>1</v>
      </c>
      <c r="AD76" s="134">
        <v>1.1000000000000001</v>
      </c>
      <c r="AE76" s="134">
        <v>1.3</v>
      </c>
      <c r="AF76" s="134">
        <v>1.2</v>
      </c>
      <c r="AG76" s="134">
        <v>0</v>
      </c>
      <c r="AH76" s="134">
        <v>1</v>
      </c>
      <c r="AI76" s="134">
        <v>1</v>
      </c>
      <c r="AJ76" s="134">
        <v>1</v>
      </c>
      <c r="AL76" s="2" t="e">
        <f>IF(AND(Y32&gt;=$W$9,Y32&lt;=$W$9+5),0,IF($C$9&gt;$AF$51,ROUND(AI36*#REF!/(DATEVALUE(CONCATENATE("01/01/",YEAR(Z32)+1))-DATEVALUE(CONCATENATE("01/01/",YEAR(Z32))))*(Z32-Z31),2),0))</f>
        <v>#REF!</v>
      </c>
      <c r="AM76" s="34">
        <f t="shared" si="51"/>
        <v>11630</v>
      </c>
      <c r="AN76" s="57">
        <f t="shared" si="50"/>
        <v>55026</v>
      </c>
      <c r="AO76" s="130">
        <f t="shared" si="68"/>
        <v>0</v>
      </c>
      <c r="AP76" s="109">
        <f t="shared" ref="AP76:AP108" si="81">AP75+1</f>
        <v>68</v>
      </c>
      <c r="AQ76" s="110">
        <f t="shared" si="59"/>
        <v>46512</v>
      </c>
      <c r="AR76" s="177">
        <f t="shared" si="53"/>
        <v>0.14899999999999999</v>
      </c>
      <c r="AS76" s="105">
        <f t="shared" si="69"/>
        <v>0</v>
      </c>
      <c r="AT76" s="105">
        <f t="shared" si="75"/>
        <v>0</v>
      </c>
      <c r="AU76" s="105">
        <f t="shared" si="76"/>
        <v>0</v>
      </c>
      <c r="AV76" s="105">
        <f t="shared" si="71"/>
        <v>0</v>
      </c>
      <c r="AW76" s="105">
        <f t="shared" si="61"/>
        <v>0</v>
      </c>
      <c r="AX76" s="105">
        <v>0</v>
      </c>
      <c r="AY76" s="105">
        <f t="shared" si="22"/>
        <v>0</v>
      </c>
      <c r="AZ76" s="105">
        <f t="shared" si="38"/>
        <v>0</v>
      </c>
      <c r="BA76" s="105">
        <f t="shared" si="37"/>
        <v>0</v>
      </c>
      <c r="BB76" s="105"/>
      <c r="BC76" s="105"/>
      <c r="BD76" s="105"/>
      <c r="BE76" s="105"/>
      <c r="BF76" s="105"/>
      <c r="BG76" s="105">
        <f t="shared" si="72"/>
        <v>0</v>
      </c>
      <c r="BH76" s="108">
        <f t="shared" ref="BH76:BH114" si="82">IF((BH75-1)&lt;0,0,BH75-1)</f>
        <v>0</v>
      </c>
      <c r="BI76" s="108">
        <f t="shared" si="77"/>
        <v>0</v>
      </c>
      <c r="BJ76" s="22">
        <f t="shared" si="78"/>
        <v>46512</v>
      </c>
      <c r="BK76" s="108">
        <f t="shared" si="62"/>
        <v>0</v>
      </c>
      <c r="BL76" s="2" t="e">
        <f>IF(AND(G31&gt;=$W$9,G31&lt;=$W$9+5),0,IF($C$9&gt;$AF$51,ROUND(BG30*IF(#REF!="",0,#REF!)/(DATEVALUE(CONCATENATE("01/01/",YEAR(AQ31)+1))-DATEVALUE(CONCATENATE("01/01/",YEAR(AQ31))))*(AQ31-AQ30),2),0))</f>
        <v>#REF!</v>
      </c>
    </row>
    <row r="77" spans="1:64" s="16" customFormat="1" x14ac:dyDescent="0.3">
      <c r="A77" s="178"/>
      <c r="B77" s="178"/>
      <c r="C77" s="525"/>
      <c r="D77" s="182"/>
      <c r="E77" s="178"/>
      <c r="F77" s="178"/>
      <c r="G77" s="114">
        <f t="shared" si="79"/>
        <v>69</v>
      </c>
      <c r="H77" s="111">
        <f t="shared" si="57"/>
        <v>46543</v>
      </c>
      <c r="I77" s="176">
        <f t="shared" si="54"/>
        <v>0.10899999999999999</v>
      </c>
      <c r="J77" s="24">
        <f t="shared" si="63"/>
        <v>0</v>
      </c>
      <c r="K77" s="242">
        <f t="shared" si="52"/>
        <v>0</v>
      </c>
      <c r="L77" s="24">
        <f t="shared" si="36"/>
        <v>0</v>
      </c>
      <c r="M77" s="24">
        <f t="shared" si="73"/>
        <v>0</v>
      </c>
      <c r="N77" s="24">
        <f t="shared" si="58"/>
        <v>0</v>
      </c>
      <c r="O77" s="24">
        <v>0</v>
      </c>
      <c r="P77" s="24">
        <f t="shared" si="25"/>
        <v>0</v>
      </c>
      <c r="Q77" s="24">
        <f t="shared" si="33"/>
        <v>0</v>
      </c>
      <c r="R77" s="24">
        <f t="shared" si="65"/>
        <v>0</v>
      </c>
      <c r="S77" s="24">
        <f t="shared" si="74"/>
        <v>0</v>
      </c>
      <c r="T77" s="24"/>
      <c r="U77" s="36">
        <f t="shared" si="80"/>
        <v>0</v>
      </c>
      <c r="V77" s="36">
        <f t="shared" si="67"/>
        <v>0</v>
      </c>
      <c r="W77" s="2" t="e">
        <f>IF(AND(G42&gt;=$W$9,G42&lt;=$W$9+5),0,IF($C$9&gt;$AF$51,ROUND(S41*#REF!/(DATEVALUE(CONCATENATE("01/01/",YEAR(H42)+1))-DATEVALUE(CONCATENATE("01/01/",YEAR(H42))))*(H42-H41),2),0))</f>
        <v>#REF!</v>
      </c>
      <c r="X77" s="34">
        <f t="shared" si="49"/>
        <v>11280</v>
      </c>
      <c r="Y77" s="57">
        <f t="shared" si="46"/>
        <v>56851</v>
      </c>
      <c r="AC77" s="16">
        <f>IF($C$7&gt;=$AA$71,AC76,IF($C$7&gt;=$AA$70,AC75,IF($C$7&gt;=$AA$69,AC74,IF($C$7&gt;=$AA$68,AC73,AC72))))</f>
        <v>1</v>
      </c>
      <c r="AD77" s="16">
        <v>1.3</v>
      </c>
      <c r="AE77" s="16">
        <f t="shared" ref="AE77:AI77" si="83">IF($C$7&gt;=$AA$71,AE76,IF($C$7&gt;=$AA$70,AE75,IF($C$7&gt;=$AA$69,AE74,IF($C$7&gt;=$AA$68,AE73,AE72))))</f>
        <v>1.5</v>
      </c>
      <c r="AF77" s="16">
        <f t="shared" si="83"/>
        <v>1.3</v>
      </c>
      <c r="AG77" s="16">
        <f t="shared" si="83"/>
        <v>0</v>
      </c>
      <c r="AH77" s="16">
        <f t="shared" si="83"/>
        <v>1</v>
      </c>
      <c r="AI77" s="16">
        <f t="shared" si="83"/>
        <v>2</v>
      </c>
      <c r="AJ77" s="16">
        <v>1</v>
      </c>
      <c r="AL77" s="2" t="e">
        <f>IF(AND(#REF!&gt;=$W$9,#REF!&lt;=$W$9+5),0,IF($C$9&gt;$AF$51,ROUND(AI37*#REF!/(DATEVALUE(CONCATENATE("01/01/",YEAR(#REF!)+1))-DATEVALUE(CONCATENATE("01/01/",YEAR(#REF!))))*(#REF!-Z32),2),0))</f>
        <v>#REF!</v>
      </c>
      <c r="AM77" s="34">
        <f t="shared" si="51"/>
        <v>11630</v>
      </c>
      <c r="AN77" s="57">
        <f t="shared" si="50"/>
        <v>55391</v>
      </c>
      <c r="AO77" s="130">
        <f t="shared" si="68"/>
        <v>0</v>
      </c>
      <c r="AP77" s="109">
        <f t="shared" si="81"/>
        <v>69</v>
      </c>
      <c r="AQ77" s="110">
        <f t="shared" si="59"/>
        <v>46543</v>
      </c>
      <c r="AR77" s="177">
        <f t="shared" si="53"/>
        <v>0.14899999999999999</v>
      </c>
      <c r="AS77" s="105">
        <f t="shared" si="69"/>
        <v>0</v>
      </c>
      <c r="AT77" s="105">
        <f t="shared" si="75"/>
        <v>0</v>
      </c>
      <c r="AU77" s="105">
        <f t="shared" si="76"/>
        <v>0</v>
      </c>
      <c r="AV77" s="105">
        <f t="shared" si="71"/>
        <v>0</v>
      </c>
      <c r="AW77" s="105">
        <f t="shared" si="61"/>
        <v>0</v>
      </c>
      <c r="AX77" s="105">
        <v>0</v>
      </c>
      <c r="AY77" s="105">
        <f t="shared" si="22"/>
        <v>0</v>
      </c>
      <c r="AZ77" s="105">
        <f t="shared" si="38"/>
        <v>0</v>
      </c>
      <c r="BA77" s="105">
        <f t="shared" si="37"/>
        <v>0</v>
      </c>
      <c r="BB77" s="105"/>
      <c r="BC77" s="105"/>
      <c r="BD77" s="105"/>
      <c r="BE77" s="105"/>
      <c r="BF77" s="105"/>
      <c r="BG77" s="105">
        <f t="shared" si="72"/>
        <v>0</v>
      </c>
      <c r="BH77" s="108">
        <f t="shared" si="82"/>
        <v>0</v>
      </c>
      <c r="BI77" s="108">
        <f t="shared" si="77"/>
        <v>0</v>
      </c>
      <c r="BJ77" s="22">
        <f t="shared" si="78"/>
        <v>46543</v>
      </c>
      <c r="BK77" s="108">
        <f t="shared" si="62"/>
        <v>0</v>
      </c>
      <c r="BL77" s="2" t="e">
        <f>IF(AND(G32&gt;=$W$9,G32&lt;=$W$9+5),0,IF($C$9&gt;$AF$51,ROUND(BG31*IF(#REF!="",0,#REF!)/(DATEVALUE(CONCATENATE("01/01/",YEAR(AQ32)+1))-DATEVALUE(CONCATENATE("01/01/",YEAR(AQ32))))*(AQ32-AQ31),2),0))</f>
        <v>#REF!</v>
      </c>
    </row>
    <row r="78" spans="1:64" s="16" customFormat="1" x14ac:dyDescent="0.3">
      <c r="A78" s="178"/>
      <c r="B78" s="178"/>
      <c r="C78" s="184"/>
      <c r="D78" s="182"/>
      <c r="E78" s="178"/>
      <c r="F78" s="178"/>
      <c r="G78" s="114">
        <f t="shared" si="79"/>
        <v>70</v>
      </c>
      <c r="H78" s="111">
        <f t="shared" si="57"/>
        <v>46573</v>
      </c>
      <c r="I78" s="176">
        <f t="shared" si="54"/>
        <v>0.10899999999999999</v>
      </c>
      <c r="J78" s="24">
        <f t="shared" si="63"/>
        <v>0</v>
      </c>
      <c r="K78" s="242">
        <f t="shared" si="52"/>
        <v>0</v>
      </c>
      <c r="L78" s="24">
        <f t="shared" si="36"/>
        <v>0</v>
      </c>
      <c r="M78" s="24">
        <f t="shared" si="73"/>
        <v>0</v>
      </c>
      <c r="N78" s="24">
        <f t="shared" si="58"/>
        <v>0</v>
      </c>
      <c r="O78" s="24">
        <v>0</v>
      </c>
      <c r="P78" s="24">
        <f t="shared" si="25"/>
        <v>0</v>
      </c>
      <c r="Q78" s="24">
        <f t="shared" si="33"/>
        <v>0</v>
      </c>
      <c r="R78" s="24">
        <f t="shared" si="65"/>
        <v>0</v>
      </c>
      <c r="S78" s="24">
        <f t="shared" si="74"/>
        <v>0</v>
      </c>
      <c r="T78" s="24"/>
      <c r="U78" s="36">
        <f t="shared" si="80"/>
        <v>0</v>
      </c>
      <c r="V78" s="36">
        <f t="shared" si="67"/>
        <v>0</v>
      </c>
      <c r="W78" s="2" t="e">
        <f>IF(AND(G43&gt;=$W$9,G43&lt;=$W$9+5),0,IF($C$9&gt;$AF$51,ROUND(S42*#REF!/(DATEVALUE(CONCATENATE("01/01/",YEAR(H43)+1))-DATEVALUE(CONCATENATE("01/01/",YEAR(H43))))*(H43-H42),2),0))</f>
        <v>#REF!</v>
      </c>
      <c r="X78" s="34">
        <f t="shared" si="49"/>
        <v>11280</v>
      </c>
      <c r="Y78" s="57">
        <f t="shared" si="46"/>
        <v>57216</v>
      </c>
      <c r="AC78" s="16" t="s">
        <v>330</v>
      </c>
      <c r="AD78" s="16" t="s">
        <v>112</v>
      </c>
      <c r="AE78" s="16" t="s">
        <v>116</v>
      </c>
      <c r="AF78" s="16" t="s">
        <v>117</v>
      </c>
      <c r="AG78" s="16" t="s">
        <v>113</v>
      </c>
      <c r="AH78" s="16" t="s">
        <v>122</v>
      </c>
      <c r="AI78" s="16" t="s">
        <v>121</v>
      </c>
      <c r="AL78" s="2" t="e">
        <f>IF(AND(#REF!&gt;=$W$9,#REF!&lt;=$W$9+5),0,IF($C$9&gt;$AF$51,ROUND(AI38*#REF!/(DATEVALUE(CONCATENATE("01/01/",YEAR(#REF!)+1))-DATEVALUE(CONCATENATE("01/01/",YEAR(#REF!))))*(#REF!-#REF!),2),0))</f>
        <v>#REF!</v>
      </c>
      <c r="AM78" s="34">
        <f t="shared" si="51"/>
        <v>11630</v>
      </c>
      <c r="AN78" s="57">
        <f t="shared" si="50"/>
        <v>55756</v>
      </c>
      <c r="AO78" s="130">
        <f t="shared" si="68"/>
        <v>0</v>
      </c>
      <c r="AP78" s="109">
        <f t="shared" si="81"/>
        <v>70</v>
      </c>
      <c r="AQ78" s="110">
        <f t="shared" si="59"/>
        <v>46573</v>
      </c>
      <c r="AR78" s="177">
        <f t="shared" si="53"/>
        <v>0.14899999999999999</v>
      </c>
      <c r="AS78" s="105">
        <f t="shared" si="69"/>
        <v>0</v>
      </c>
      <c r="AT78" s="105">
        <f t="shared" si="75"/>
        <v>0</v>
      </c>
      <c r="AU78" s="105">
        <f t="shared" si="76"/>
        <v>0</v>
      </c>
      <c r="AV78" s="105">
        <f t="shared" si="71"/>
        <v>0</v>
      </c>
      <c r="AW78" s="105">
        <f t="shared" si="61"/>
        <v>0</v>
      </c>
      <c r="AX78" s="105">
        <v>0</v>
      </c>
      <c r="AY78" s="105">
        <f t="shared" si="22"/>
        <v>0</v>
      </c>
      <c r="AZ78" s="105">
        <f t="shared" si="38"/>
        <v>0</v>
      </c>
      <c r="BA78" s="105">
        <f t="shared" si="37"/>
        <v>0</v>
      </c>
      <c r="BB78" s="105"/>
      <c r="BC78" s="105"/>
      <c r="BD78" s="105"/>
      <c r="BE78" s="105"/>
      <c r="BF78" s="105"/>
      <c r="BG78" s="105">
        <f t="shared" si="72"/>
        <v>0</v>
      </c>
      <c r="BH78" s="108">
        <f t="shared" si="82"/>
        <v>0</v>
      </c>
      <c r="BI78" s="108">
        <f t="shared" si="77"/>
        <v>0</v>
      </c>
      <c r="BJ78" s="22">
        <f t="shared" si="78"/>
        <v>46573</v>
      </c>
      <c r="BK78" s="108">
        <f t="shared" si="62"/>
        <v>0</v>
      </c>
      <c r="BL78" s="2" t="e">
        <f>IF(AND(G33&gt;=$W$9,G33&lt;=$W$9+5),0,IF($C$9&gt;$AF$51,ROUND(BG32*IF(#REF!="",0,#REF!)/(DATEVALUE(CONCATENATE("01/01/",YEAR(AQ33)+1))-DATEVALUE(CONCATENATE("01/01/",YEAR(AQ33))))*(AQ33-AQ32),2),0))</f>
        <v>#REF!</v>
      </c>
    </row>
    <row r="79" spans="1:64" s="16" customFormat="1" x14ac:dyDescent="0.3">
      <c r="A79" s="178"/>
      <c r="B79" s="178"/>
      <c r="C79" s="184"/>
      <c r="D79" s="178"/>
      <c r="E79" s="178"/>
      <c r="F79" s="178"/>
      <c r="G79" s="114">
        <f t="shared" si="79"/>
        <v>71</v>
      </c>
      <c r="H79" s="111">
        <f t="shared" si="57"/>
        <v>46604</v>
      </c>
      <c r="I79" s="176">
        <f t="shared" si="54"/>
        <v>0.10899999999999999</v>
      </c>
      <c r="J79" s="24">
        <f t="shared" si="63"/>
        <v>0</v>
      </c>
      <c r="K79" s="242">
        <f t="shared" si="52"/>
        <v>0</v>
      </c>
      <c r="L79" s="24">
        <f t="shared" si="36"/>
        <v>0</v>
      </c>
      <c r="M79" s="24">
        <f t="shared" si="73"/>
        <v>0</v>
      </c>
      <c r="N79" s="24">
        <f t="shared" si="58"/>
        <v>0</v>
      </c>
      <c r="O79" s="24">
        <v>0</v>
      </c>
      <c r="P79" s="24">
        <f t="shared" si="25"/>
        <v>0</v>
      </c>
      <c r="Q79" s="24">
        <f t="shared" ref="Q79:Q108" si="84">IF(V79=0,0,0)</f>
        <v>0</v>
      </c>
      <c r="R79" s="24">
        <f t="shared" si="65"/>
        <v>0</v>
      </c>
      <c r="S79" s="24">
        <f t="shared" si="74"/>
        <v>0</v>
      </c>
      <c r="T79" s="24"/>
      <c r="U79" s="36">
        <f t="shared" si="80"/>
        <v>0</v>
      </c>
      <c r="V79" s="36">
        <f t="shared" si="67"/>
        <v>0</v>
      </c>
      <c r="W79" s="2" t="e">
        <f>IF(AND(G44&gt;=$W$9,G44&lt;=$W$9+5),0,IF($C$9&gt;$AF$51,ROUND(S43*#REF!/(DATEVALUE(CONCATENATE("01/01/",YEAR(H44)+1))-DATEVALUE(CONCATENATE("01/01/",YEAR(H44))))*(H44-H43),2),0))</f>
        <v>#REF!</v>
      </c>
      <c r="X79" s="34">
        <f t="shared" si="49"/>
        <v>11280</v>
      </c>
      <c r="Y79" s="57">
        <f t="shared" si="46"/>
        <v>57581</v>
      </c>
      <c r="AC79" s="143">
        <f>MIN($C$7*IF($C$7&gt;$AB$71,AC76,IF($C$7&gt;$AB$70,AC75,IF($C$7&gt;$AB$69,AC74,IF($C$7&gt;$AB$68,AC73,AC72)))),5000000)</f>
        <v>330000</v>
      </c>
      <c r="AD79" s="143">
        <f>MIN($C$7*IF($C$7&gt;$AB$72,AD77,IF($C$7&gt;$AB$77,AD76,IF($C$7&gt;$AB$70,AD75,IF($C$7&gt;$AB$69,AD74,IF($C$7&gt;$AB$68,AD73,AD72))))),5000000)</f>
        <v>330000</v>
      </c>
      <c r="AE79" s="143">
        <f>MIN(3000000,$C$7*IF($C$7&gt;=$AA$71,AE76,IF($C$7&gt;=$AA$70,AE75,IF($C$7&gt;=$AA$69,AE74,IF($C$7&gt;=$AA$68,AE73,AE72)))))</f>
        <v>450000</v>
      </c>
      <c r="AF79" s="143">
        <f>MIN(3000000,$C$7*IF($C$7&gt;=$AA$71,AF76,IF($C$7&gt;=$AA$70,AF75,IF($C$7&gt;=$AA$69,AF74,IF($C$7&gt;=$AA$68,AF73,AF72)))))</f>
        <v>390000</v>
      </c>
      <c r="AG79" s="143">
        <f>MIN(3000000,$C$7*IF($C$7&gt;=$AA$71,AG76,IF($C$7&gt;=$AA$70,AG75,IF($C$7&gt;=$AA$69,AG74,IF($C$7&gt;=$AA$68,AG73,AG72)))))</f>
        <v>0</v>
      </c>
      <c r="AH79" s="143">
        <f>$C$7*IF($C$7&gt;=$AA$71,AH76,IF($C$7&gt;=$AA$70,AH75,IF($C$7&gt;=$AA$69,AH74,IF($C$7&gt;=$AA$68,AH73,AH72))))</f>
        <v>300000</v>
      </c>
      <c r="AI79" s="143">
        <f>$C$7*IF($C$7&gt;=$AA$71,AI76,IF($C$7&gt;=$AA$70,AI75,IF($C$7&gt;=$AA$69,AI74,IF($C$7&gt;=$AA$68,AI73,AI72))))</f>
        <v>600000</v>
      </c>
      <c r="AL79" s="2" t="e">
        <f>IF(AND(#REF!&gt;=$W$9,#REF!&lt;=$W$9+5),0,IF($C$9&gt;$AF$51,ROUND(AI39*#REF!/(DATEVALUE(CONCATENATE("01/01/",YEAR(#REF!)+1))-DATEVALUE(CONCATENATE("01/01/",YEAR(#REF!))))*(#REF!-#REF!),2),0))</f>
        <v>#REF!</v>
      </c>
      <c r="AM79" s="34">
        <f t="shared" si="51"/>
        <v>11630</v>
      </c>
      <c r="AN79" s="57">
        <f t="shared" si="50"/>
        <v>56121</v>
      </c>
      <c r="AO79" s="130">
        <f t="shared" si="68"/>
        <v>0</v>
      </c>
      <c r="AP79" s="109">
        <f t="shared" si="81"/>
        <v>71</v>
      </c>
      <c r="AQ79" s="110">
        <f t="shared" si="59"/>
        <v>46604</v>
      </c>
      <c r="AR79" s="177">
        <f t="shared" si="53"/>
        <v>0.14899999999999999</v>
      </c>
      <c r="AS79" s="105">
        <f t="shared" si="69"/>
        <v>0</v>
      </c>
      <c r="AT79" s="105">
        <f t="shared" si="75"/>
        <v>0</v>
      </c>
      <c r="AU79" s="105">
        <f t="shared" si="76"/>
        <v>0</v>
      </c>
      <c r="AV79" s="105">
        <f t="shared" si="71"/>
        <v>0</v>
      </c>
      <c r="AW79" s="105">
        <f t="shared" si="61"/>
        <v>0</v>
      </c>
      <c r="AX79" s="105">
        <v>0</v>
      </c>
      <c r="AY79" s="105">
        <f t="shared" si="22"/>
        <v>0</v>
      </c>
      <c r="AZ79" s="105">
        <f t="shared" si="38"/>
        <v>0</v>
      </c>
      <c r="BA79" s="105">
        <f t="shared" si="37"/>
        <v>0</v>
      </c>
      <c r="BB79" s="105"/>
      <c r="BC79" s="105"/>
      <c r="BD79" s="105"/>
      <c r="BE79" s="105"/>
      <c r="BF79" s="105"/>
      <c r="BG79" s="105">
        <f t="shared" si="72"/>
        <v>0</v>
      </c>
      <c r="BH79" s="108">
        <f t="shared" si="82"/>
        <v>0</v>
      </c>
      <c r="BI79" s="108">
        <f t="shared" si="77"/>
        <v>0</v>
      </c>
      <c r="BJ79" s="22">
        <f t="shared" si="78"/>
        <v>46604</v>
      </c>
      <c r="BK79" s="108">
        <f t="shared" si="62"/>
        <v>0</v>
      </c>
      <c r="BL79" s="2" t="e">
        <f>IF(AND(G34&gt;=$W$9,G34&lt;=$W$9+5),0,IF($C$9&gt;$AF$51,ROUND(BG33*IF(#REF!="",0,#REF!)/(DATEVALUE(CONCATENATE("01/01/",YEAR(AQ34)+1))-DATEVALUE(CONCATENATE("01/01/",YEAR(AQ34))))*(AQ34-AQ33),2),0))</f>
        <v>#REF!</v>
      </c>
    </row>
    <row r="80" spans="1:64" s="16" customFormat="1" x14ac:dyDescent="0.3">
      <c r="A80" s="178"/>
      <c r="B80" s="178"/>
      <c r="C80" s="184"/>
      <c r="D80" s="178"/>
      <c r="E80" s="178"/>
      <c r="F80" s="178"/>
      <c r="G80" s="114">
        <f t="shared" si="79"/>
        <v>72</v>
      </c>
      <c r="H80" s="111">
        <f t="shared" si="57"/>
        <v>46635</v>
      </c>
      <c r="I80" s="176">
        <f t="shared" si="54"/>
        <v>0.10899999999999999</v>
      </c>
      <c r="J80" s="24">
        <f t="shared" si="63"/>
        <v>0</v>
      </c>
      <c r="K80" s="242">
        <f t="shared" si="52"/>
        <v>0</v>
      </c>
      <c r="L80" s="24">
        <f t="shared" ref="L80:L108" si="85">IF(AND(G80&gt;=$W$9,G80&lt;=$W$9+5),0,IF($C$9&gt;$AF$51,ROUND(S79*I80*((H80-DATE(YEAR(H80),MONTH(H80),1)+1)/(DATE(YEAR(H80)+1,1,1)-DATE(YEAR(H80),1,1))+(EOMONTH(H79,0)-H79)/(DATE(YEAR(H79)+1,1,1)-DATE(YEAR(H79),1,1))),2),0))</f>
        <v>0</v>
      </c>
      <c r="M80" s="24">
        <f t="shared" si="73"/>
        <v>0</v>
      </c>
      <c r="N80" s="24">
        <f t="shared" si="58"/>
        <v>0</v>
      </c>
      <c r="O80" s="24">
        <v>0</v>
      </c>
      <c r="P80" s="24">
        <f t="shared" si="25"/>
        <v>0</v>
      </c>
      <c r="Q80" s="24">
        <f t="shared" si="84"/>
        <v>0</v>
      </c>
      <c r="R80" s="24">
        <f t="shared" si="65"/>
        <v>0</v>
      </c>
      <c r="S80" s="24">
        <f t="shared" si="74"/>
        <v>0</v>
      </c>
      <c r="T80" s="24"/>
      <c r="U80" s="36">
        <f t="shared" si="80"/>
        <v>0</v>
      </c>
      <c r="V80" s="36">
        <f t="shared" si="67"/>
        <v>0</v>
      </c>
      <c r="W80" s="2" t="e">
        <f>IF(AND(G45&gt;=$W$9,G45&lt;=$W$9+5),0,IF($C$9&gt;$AF$51,ROUND(S44*#REF!/(DATEVALUE(CONCATENATE("01/01/",YEAR(H45)+1))-DATEVALUE(CONCATENATE("01/01/",YEAR(H45))))*(H45-H44),2),0))</f>
        <v>#REF!</v>
      </c>
      <c r="X80" s="34">
        <f t="shared" si="49"/>
        <v>11280</v>
      </c>
      <c r="Y80" s="57">
        <f t="shared" si="46"/>
        <v>57946</v>
      </c>
      <c r="AL80" s="2" t="e">
        <f>IF(AND(#REF!&gt;=$W$9,#REF!&lt;=$W$9+5),0,IF($C$9&gt;$AF$51,ROUND(AI40*#REF!/(DATEVALUE(CONCATENATE("01/01/",YEAR(#REF!)+1))-DATEVALUE(CONCATENATE("01/01/",YEAR(#REF!))))*(#REF!-#REF!),2),0))</f>
        <v>#REF!</v>
      </c>
      <c r="AM80" s="34">
        <f t="shared" si="51"/>
        <v>11630</v>
      </c>
      <c r="AN80" s="57">
        <f t="shared" si="50"/>
        <v>56486</v>
      </c>
      <c r="AO80" s="130">
        <f t="shared" si="68"/>
        <v>0</v>
      </c>
      <c r="AP80" s="109">
        <f t="shared" si="81"/>
        <v>72</v>
      </c>
      <c r="AQ80" s="110">
        <f t="shared" si="59"/>
        <v>46635</v>
      </c>
      <c r="AR80" s="177">
        <f t="shared" si="53"/>
        <v>0.14899999999999999</v>
      </c>
      <c r="AS80" s="105">
        <f t="shared" si="69"/>
        <v>0</v>
      </c>
      <c r="AT80" s="105">
        <f t="shared" si="75"/>
        <v>0</v>
      </c>
      <c r="AU80" s="105">
        <f t="shared" si="76"/>
        <v>0</v>
      </c>
      <c r="AV80" s="105">
        <f t="shared" si="71"/>
        <v>0</v>
      </c>
      <c r="AW80" s="105">
        <f t="shared" si="61"/>
        <v>0</v>
      </c>
      <c r="AX80" s="105">
        <v>0</v>
      </c>
      <c r="AY80" s="105">
        <f t="shared" si="22"/>
        <v>0</v>
      </c>
      <c r="AZ80" s="105">
        <f t="shared" si="38"/>
        <v>0</v>
      </c>
      <c r="BA80" s="105">
        <f t="shared" si="37"/>
        <v>0</v>
      </c>
      <c r="BB80" s="105"/>
      <c r="BC80" s="105"/>
      <c r="BD80" s="105"/>
      <c r="BE80" s="105"/>
      <c r="BF80" s="105"/>
      <c r="BG80" s="105">
        <f t="shared" si="72"/>
        <v>0</v>
      </c>
      <c r="BH80" s="108">
        <f t="shared" si="82"/>
        <v>0</v>
      </c>
      <c r="BI80" s="108">
        <f t="shared" si="77"/>
        <v>0</v>
      </c>
      <c r="BJ80" s="22">
        <f t="shared" si="78"/>
        <v>46635</v>
      </c>
      <c r="BK80" s="108">
        <f t="shared" si="62"/>
        <v>0</v>
      </c>
      <c r="BL80" s="2" t="e">
        <f>IF(AND(G35&gt;=$W$9,G35&lt;=$W$9+5),0,IF($C$9&gt;$AF$51,ROUND(BG34*IF(#REF!="",0,#REF!)/(DATEVALUE(CONCATENATE("01/01/",YEAR(AQ35)+1))-DATEVALUE(CONCATENATE("01/01/",YEAR(AQ35))))*(AQ35-AQ34),2),0))</f>
        <v>#REF!</v>
      </c>
    </row>
    <row r="81" spans="1:64" s="16" customFormat="1" x14ac:dyDescent="0.3">
      <c r="A81" s="178"/>
      <c r="B81" s="178"/>
      <c r="C81" s="184"/>
      <c r="D81" s="178"/>
      <c r="E81" s="178"/>
      <c r="F81" s="178"/>
      <c r="G81" s="114">
        <f t="shared" si="79"/>
        <v>73</v>
      </c>
      <c r="H81" s="111">
        <f t="shared" si="57"/>
        <v>46665</v>
      </c>
      <c r="I81" s="176">
        <f t="shared" si="54"/>
        <v>0.10899999999999999</v>
      </c>
      <c r="J81" s="24">
        <f t="shared" si="63"/>
        <v>0</v>
      </c>
      <c r="K81" s="242">
        <f t="shared" si="52"/>
        <v>0</v>
      </c>
      <c r="L81" s="24">
        <f t="shared" si="85"/>
        <v>0</v>
      </c>
      <c r="M81" s="24">
        <f t="shared" si="73"/>
        <v>0</v>
      </c>
      <c r="N81" s="24">
        <f t="shared" si="58"/>
        <v>0</v>
      </c>
      <c r="O81" s="24">
        <v>0</v>
      </c>
      <c r="P81" s="24">
        <f t="shared" si="25"/>
        <v>0</v>
      </c>
      <c r="Q81" s="24">
        <f t="shared" si="84"/>
        <v>0</v>
      </c>
      <c r="R81" s="24">
        <f t="shared" si="65"/>
        <v>0</v>
      </c>
      <c r="S81" s="24">
        <f t="shared" si="74"/>
        <v>0</v>
      </c>
      <c r="T81" s="24"/>
      <c r="U81" s="36">
        <f t="shared" si="80"/>
        <v>0</v>
      </c>
      <c r="V81" s="36">
        <f t="shared" si="67"/>
        <v>0</v>
      </c>
      <c r="W81" s="2" t="e">
        <f>IF(AND(G46&gt;=$W$9,G46&lt;=$W$9+5),0,IF($C$9&gt;$AF$51,ROUND(S45*#REF!/(DATEVALUE(CONCATENATE("01/01/",YEAR(H46)+1))-DATEVALUE(CONCATENATE("01/01/",YEAR(H46))))*(H46-H45),2),0))</f>
        <v>#REF!</v>
      </c>
      <c r="X81" s="34">
        <f t="shared" si="49"/>
        <v>11280</v>
      </c>
      <c r="Y81" s="57">
        <f t="shared" si="46"/>
        <v>58311</v>
      </c>
      <c r="AL81" s="2" t="e">
        <f>IF(AND(#REF!&gt;=$W$9,#REF!&lt;=$W$9+5),0,IF($C$9&gt;$AF$51,ROUND(AI41*#REF!/(DATEVALUE(CONCATENATE("01/01/",YEAR(#REF!)+1))-DATEVALUE(CONCATENATE("01/01/",YEAR(#REF!))))*(#REF!-#REF!),2),0))</f>
        <v>#REF!</v>
      </c>
      <c r="AM81" s="34">
        <f t="shared" si="51"/>
        <v>11630</v>
      </c>
      <c r="AN81" s="57">
        <f t="shared" si="50"/>
        <v>56851</v>
      </c>
      <c r="AO81" s="130">
        <f t="shared" si="68"/>
        <v>0</v>
      </c>
      <c r="AP81" s="109">
        <f t="shared" si="81"/>
        <v>73</v>
      </c>
      <c r="AQ81" s="110">
        <f t="shared" si="59"/>
        <v>46665</v>
      </c>
      <c r="AR81" s="177">
        <f t="shared" si="53"/>
        <v>0.14899999999999999</v>
      </c>
      <c r="AS81" s="105">
        <f t="shared" si="69"/>
        <v>0</v>
      </c>
      <c r="AT81" s="105">
        <f t="shared" si="75"/>
        <v>0</v>
      </c>
      <c r="AU81" s="105">
        <f t="shared" si="76"/>
        <v>0</v>
      </c>
      <c r="AV81" s="105">
        <f t="shared" si="71"/>
        <v>0</v>
      </c>
      <c r="AW81" s="105">
        <f t="shared" si="61"/>
        <v>0</v>
      </c>
      <c r="AX81" s="105">
        <v>0</v>
      </c>
      <c r="AY81" s="105">
        <f t="shared" si="22"/>
        <v>0</v>
      </c>
      <c r="AZ81" s="105">
        <f t="shared" si="38"/>
        <v>0</v>
      </c>
      <c r="BA81" s="105">
        <f t="shared" si="37"/>
        <v>0</v>
      </c>
      <c r="BB81" s="105"/>
      <c r="BC81" s="105"/>
      <c r="BD81" s="105"/>
      <c r="BE81" s="105"/>
      <c r="BF81" s="105"/>
      <c r="BG81" s="105">
        <f t="shared" si="72"/>
        <v>0</v>
      </c>
      <c r="BH81" s="108">
        <f t="shared" si="82"/>
        <v>0</v>
      </c>
      <c r="BI81" s="108">
        <f t="shared" si="77"/>
        <v>0</v>
      </c>
      <c r="BJ81" s="22">
        <f t="shared" si="78"/>
        <v>46665</v>
      </c>
      <c r="BK81" s="108">
        <f t="shared" si="62"/>
        <v>0</v>
      </c>
      <c r="BL81" s="2" t="e">
        <f>IF(AND(G36&gt;=$W$9,G36&lt;=$W$9+5),0,IF($C$9&gt;$AF$51,ROUND(BG35*IF(#REF!="",0,#REF!)/(DATEVALUE(CONCATENATE("01/01/",YEAR(AQ36)+1))-DATEVALUE(CONCATENATE("01/01/",YEAR(AQ36))))*(AQ36-AQ35),2),0))</f>
        <v>#REF!</v>
      </c>
    </row>
    <row r="82" spans="1:64" s="16" customFormat="1" x14ac:dyDescent="0.3">
      <c r="A82" s="178"/>
      <c r="B82" s="178"/>
      <c r="C82" s="184"/>
      <c r="D82" s="178"/>
      <c r="E82" s="178"/>
      <c r="F82" s="178"/>
      <c r="G82" s="114">
        <f t="shared" si="79"/>
        <v>74</v>
      </c>
      <c r="H82" s="111">
        <f t="shared" si="57"/>
        <v>46696</v>
      </c>
      <c r="I82" s="176">
        <f t="shared" si="54"/>
        <v>0.10899999999999999</v>
      </c>
      <c r="J82" s="24">
        <f t="shared" si="63"/>
        <v>0</v>
      </c>
      <c r="K82" s="242">
        <f t="shared" si="52"/>
        <v>0</v>
      </c>
      <c r="L82" s="24">
        <f t="shared" si="85"/>
        <v>0</v>
      </c>
      <c r="M82" s="24">
        <f t="shared" si="73"/>
        <v>0</v>
      </c>
      <c r="N82" s="24">
        <f t="shared" si="58"/>
        <v>0</v>
      </c>
      <c r="O82" s="24">
        <v>0</v>
      </c>
      <c r="P82" s="24">
        <f t="shared" si="25"/>
        <v>0</v>
      </c>
      <c r="Q82" s="24">
        <f t="shared" si="84"/>
        <v>0</v>
      </c>
      <c r="R82" s="24">
        <f t="shared" si="65"/>
        <v>0</v>
      </c>
      <c r="S82" s="24">
        <f t="shared" si="74"/>
        <v>0</v>
      </c>
      <c r="T82" s="24"/>
      <c r="U82" s="36">
        <f t="shared" si="80"/>
        <v>0</v>
      </c>
      <c r="V82" s="36">
        <f t="shared" si="67"/>
        <v>0</v>
      </c>
      <c r="W82" s="2" t="e">
        <f>IF(AND(G47&gt;=$W$9,G47&lt;=$W$9+5),0,IF($C$9&gt;$AF$51,ROUND(S46*#REF!/(DATEVALUE(CONCATENATE("01/01/",YEAR(H47)+1))-DATEVALUE(CONCATENATE("01/01/",YEAR(H47))))*(H47-H46),2),0))</f>
        <v>#REF!</v>
      </c>
      <c r="X82" s="34">
        <f t="shared" si="49"/>
        <v>11280</v>
      </c>
      <c r="Y82" s="57">
        <f t="shared" si="46"/>
        <v>58676</v>
      </c>
      <c r="Z82" s="60">
        <v>43858</v>
      </c>
      <c r="AE82" s="16">
        <f>500000*0.3*60</f>
        <v>9000000</v>
      </c>
      <c r="AL82" s="2" t="e">
        <f>IF(AND(#REF!&gt;=$W$9,#REF!&lt;=$W$9+5),0,IF($C$9&gt;$AF$51,ROUND(AI42*#REF!/(DATEVALUE(CONCATENATE("01/01/",YEAR(#REF!)+1))-DATEVALUE(CONCATENATE("01/01/",YEAR(#REF!))))*(#REF!-#REF!),2),0))</f>
        <v>#REF!</v>
      </c>
      <c r="AM82" s="34">
        <f t="shared" si="51"/>
        <v>11630</v>
      </c>
      <c r="AN82" s="57">
        <f t="shared" si="50"/>
        <v>57216</v>
      </c>
      <c r="AO82" s="130">
        <f t="shared" si="68"/>
        <v>0</v>
      </c>
      <c r="AP82" s="109">
        <f t="shared" si="81"/>
        <v>74</v>
      </c>
      <c r="AQ82" s="110">
        <f t="shared" si="59"/>
        <v>46696</v>
      </c>
      <c r="AR82" s="177">
        <f t="shared" si="53"/>
        <v>0.14899999999999999</v>
      </c>
      <c r="AS82" s="105">
        <f t="shared" si="69"/>
        <v>0</v>
      </c>
      <c r="AT82" s="105">
        <f t="shared" si="75"/>
        <v>0</v>
      </c>
      <c r="AU82" s="105">
        <f t="shared" si="76"/>
        <v>0</v>
      </c>
      <c r="AV82" s="105">
        <f t="shared" si="71"/>
        <v>0</v>
      </c>
      <c r="AW82" s="105">
        <f t="shared" si="61"/>
        <v>0</v>
      </c>
      <c r="AX82" s="105">
        <v>0</v>
      </c>
      <c r="AY82" s="105">
        <f t="shared" si="22"/>
        <v>0</v>
      </c>
      <c r="AZ82" s="105">
        <f t="shared" si="38"/>
        <v>0</v>
      </c>
      <c r="BA82" s="105">
        <f t="shared" si="37"/>
        <v>0</v>
      </c>
      <c r="BB82" s="105"/>
      <c r="BC82" s="105"/>
      <c r="BD82" s="105"/>
      <c r="BE82" s="105"/>
      <c r="BF82" s="105"/>
      <c r="BG82" s="105">
        <f t="shared" si="72"/>
        <v>0</v>
      </c>
      <c r="BH82" s="108">
        <f t="shared" si="82"/>
        <v>0</v>
      </c>
      <c r="BI82" s="108">
        <f t="shared" si="77"/>
        <v>0</v>
      </c>
      <c r="BJ82" s="22">
        <f t="shared" si="78"/>
        <v>46696</v>
      </c>
      <c r="BK82" s="108">
        <f t="shared" si="62"/>
        <v>0</v>
      </c>
      <c r="BL82" s="2" t="e">
        <f>IF(AND(G37&gt;=$W$9,G37&lt;=$W$9+5),0,IF($C$9&gt;$AF$51,ROUND(BG36*IF(#REF!="",0,#REF!)/(DATEVALUE(CONCATENATE("01/01/",YEAR(AQ37)+1))-DATEVALUE(CONCATENATE("01/01/",YEAR(AQ37))))*(AQ37-AQ36),2),0))</f>
        <v>#REF!</v>
      </c>
    </row>
    <row r="83" spans="1:64" s="16" customFormat="1" x14ac:dyDescent="0.3">
      <c r="A83" s="178"/>
      <c r="B83" s="178"/>
      <c r="C83" s="184"/>
      <c r="D83" s="178"/>
      <c r="E83" s="178"/>
      <c r="F83" s="178"/>
      <c r="G83" s="114">
        <f t="shared" si="79"/>
        <v>75</v>
      </c>
      <c r="H83" s="111">
        <f t="shared" si="57"/>
        <v>46726</v>
      </c>
      <c r="I83" s="176">
        <f t="shared" si="54"/>
        <v>0.10899999999999999</v>
      </c>
      <c r="J83" s="24">
        <f t="shared" si="63"/>
        <v>0</v>
      </c>
      <c r="K83" s="242">
        <f t="shared" si="52"/>
        <v>0</v>
      </c>
      <c r="L83" s="24">
        <f t="shared" si="85"/>
        <v>0</v>
      </c>
      <c r="M83" s="24">
        <f t="shared" si="73"/>
        <v>0</v>
      </c>
      <c r="N83" s="24">
        <f t="shared" si="58"/>
        <v>0</v>
      </c>
      <c r="O83" s="24">
        <v>0</v>
      </c>
      <c r="P83" s="24">
        <f t="shared" si="25"/>
        <v>0</v>
      </c>
      <c r="Q83" s="24">
        <f t="shared" si="84"/>
        <v>0</v>
      </c>
      <c r="R83" s="24">
        <f t="shared" si="65"/>
        <v>0</v>
      </c>
      <c r="S83" s="24">
        <f t="shared" si="74"/>
        <v>0</v>
      </c>
      <c r="T83" s="24"/>
      <c r="U83" s="36">
        <f t="shared" si="80"/>
        <v>0</v>
      </c>
      <c r="V83" s="36">
        <f t="shared" si="67"/>
        <v>0</v>
      </c>
      <c r="W83" s="2" t="e">
        <f>IF(AND(G48&gt;=$W$9,G48&lt;=$W$9+5),0,IF($C$9&gt;$AF$51,ROUND(S47*#REF!/(DATEVALUE(CONCATENATE("01/01/",YEAR(H48)+1))-DATEVALUE(CONCATENATE("01/01/",YEAR(H48))))*(H48-H47),2),0))</f>
        <v>#REF!</v>
      </c>
      <c r="X83" s="34">
        <f t="shared" si="49"/>
        <v>11280</v>
      </c>
      <c r="Y83" s="57">
        <f t="shared" si="46"/>
        <v>59041</v>
      </c>
      <c r="AL83" s="2" t="e">
        <f>IF(AND(#REF!&gt;=$W$9,#REF!&lt;=$W$9+5),0,IF($C$9&gt;$AF$51,ROUND(AI43*#REF!/(DATEVALUE(CONCATENATE("01/01/",YEAR(#REF!)+1))-DATEVALUE(CONCATENATE("01/01/",YEAR(#REF!))))*(#REF!-#REF!),2),0))</f>
        <v>#REF!</v>
      </c>
      <c r="AM83" s="34">
        <f t="shared" si="51"/>
        <v>11630</v>
      </c>
      <c r="AN83" s="57">
        <f t="shared" si="50"/>
        <v>57581</v>
      </c>
      <c r="AO83" s="130">
        <f t="shared" si="68"/>
        <v>0</v>
      </c>
      <c r="AP83" s="109">
        <f t="shared" si="81"/>
        <v>75</v>
      </c>
      <c r="AQ83" s="110">
        <f t="shared" si="59"/>
        <v>46726</v>
      </c>
      <c r="AR83" s="177">
        <f t="shared" si="53"/>
        <v>0.14899999999999999</v>
      </c>
      <c r="AS83" s="105">
        <f t="shared" si="69"/>
        <v>0</v>
      </c>
      <c r="AT83" s="105">
        <f t="shared" si="75"/>
        <v>0</v>
      </c>
      <c r="AU83" s="105">
        <f t="shared" si="76"/>
        <v>0</v>
      </c>
      <c r="AV83" s="105">
        <f t="shared" si="71"/>
        <v>0</v>
      </c>
      <c r="AW83" s="105">
        <f t="shared" si="61"/>
        <v>0</v>
      </c>
      <c r="AX83" s="105">
        <v>0</v>
      </c>
      <c r="AY83" s="105">
        <f t="shared" si="22"/>
        <v>0</v>
      </c>
      <c r="AZ83" s="105">
        <f t="shared" si="38"/>
        <v>0</v>
      </c>
      <c r="BA83" s="105">
        <f t="shared" si="37"/>
        <v>0</v>
      </c>
      <c r="BB83" s="105"/>
      <c r="BC83" s="105"/>
      <c r="BD83" s="105"/>
      <c r="BE83" s="105"/>
      <c r="BF83" s="105"/>
      <c r="BG83" s="105">
        <f t="shared" si="72"/>
        <v>0</v>
      </c>
      <c r="BH83" s="108">
        <f t="shared" si="82"/>
        <v>0</v>
      </c>
      <c r="BI83" s="108">
        <f t="shared" si="77"/>
        <v>0</v>
      </c>
      <c r="BJ83" s="22">
        <f t="shared" si="78"/>
        <v>46726</v>
      </c>
      <c r="BK83" s="108">
        <f t="shared" si="62"/>
        <v>0</v>
      </c>
      <c r="BL83" s="2" t="e">
        <f>IF(AND(G38&gt;=$W$9,G38&lt;=$W$9+5),0,IF($C$9&gt;$AF$51,ROUND(BG37*IF(#REF!="",0,#REF!)/(DATEVALUE(CONCATENATE("01/01/",YEAR(AQ38)+1))-DATEVALUE(CONCATENATE("01/01/",YEAR(AQ38))))*(AQ38-AQ37),2),0))</f>
        <v>#REF!</v>
      </c>
    </row>
    <row r="84" spans="1:64" s="16" customFormat="1" x14ac:dyDescent="0.3">
      <c r="A84" s="178"/>
      <c r="B84" s="178"/>
      <c r="C84" s="184"/>
      <c r="D84" s="178"/>
      <c r="E84" s="178"/>
      <c r="F84" s="178"/>
      <c r="G84" s="114">
        <f t="shared" si="79"/>
        <v>76</v>
      </c>
      <c r="H84" s="111">
        <f t="shared" si="57"/>
        <v>46757</v>
      </c>
      <c r="I84" s="176">
        <f t="shared" si="54"/>
        <v>0.10899999999999999</v>
      </c>
      <c r="J84" s="24">
        <f t="shared" si="63"/>
        <v>0</v>
      </c>
      <c r="K84" s="242">
        <f t="shared" si="52"/>
        <v>0</v>
      </c>
      <c r="L84" s="24">
        <f t="shared" si="85"/>
        <v>0</v>
      </c>
      <c r="M84" s="24">
        <f t="shared" si="73"/>
        <v>0</v>
      </c>
      <c r="N84" s="24">
        <f t="shared" si="58"/>
        <v>0</v>
      </c>
      <c r="O84" s="24">
        <v>0</v>
      </c>
      <c r="P84" s="24">
        <f t="shared" si="25"/>
        <v>0</v>
      </c>
      <c r="Q84" s="24">
        <f t="shared" si="84"/>
        <v>0</v>
      </c>
      <c r="R84" s="24">
        <f t="shared" si="65"/>
        <v>0</v>
      </c>
      <c r="S84" s="24">
        <f t="shared" si="74"/>
        <v>0</v>
      </c>
      <c r="T84" s="24"/>
      <c r="U84" s="36">
        <f t="shared" si="80"/>
        <v>0</v>
      </c>
      <c r="V84" s="36">
        <f t="shared" si="67"/>
        <v>0</v>
      </c>
      <c r="W84" s="2" t="e">
        <f>IF(AND(G49&gt;=$W$9,G49&lt;=$W$9+5),0,IF($C$9&gt;$AF$51,ROUND(S48*#REF!/(DATEVALUE(CONCATENATE("01/01/",YEAR(H49)+1))-DATEVALUE(CONCATENATE("01/01/",YEAR(H49))))*(H49-H48),2),0))</f>
        <v>#REF!</v>
      </c>
      <c r="X84" s="34">
        <f t="shared" si="49"/>
        <v>9710.6900000000387</v>
      </c>
      <c r="Y84" s="57">
        <f t="shared" si="46"/>
        <v>59406</v>
      </c>
      <c r="AL84" s="2" t="e">
        <f>IF(AND(#REF!&gt;=$W$9,#REF!&lt;=$W$9+5),0,IF($C$9&gt;$AF$51,ROUND(AI44*#REF!/(DATEVALUE(CONCATENATE("01/01/",YEAR(#REF!)+1))-DATEVALUE(CONCATENATE("01/01/",YEAR(#REF!))))*(#REF!-#REF!),2),0))</f>
        <v>#REF!</v>
      </c>
      <c r="AM84" s="34">
        <f t="shared" si="51"/>
        <v>0</v>
      </c>
      <c r="AN84" s="57">
        <f t="shared" si="50"/>
        <v>57946</v>
      </c>
      <c r="AO84" s="130">
        <f t="shared" si="68"/>
        <v>0</v>
      </c>
      <c r="AP84" s="109">
        <f t="shared" si="81"/>
        <v>76</v>
      </c>
      <c r="AQ84" s="110">
        <f t="shared" si="59"/>
        <v>46757</v>
      </c>
      <c r="AR84" s="177">
        <f t="shared" si="53"/>
        <v>0.14899999999999999</v>
      </c>
      <c r="AS84" s="105">
        <f t="shared" si="69"/>
        <v>0</v>
      </c>
      <c r="AT84" s="105">
        <f t="shared" si="75"/>
        <v>0</v>
      </c>
      <c r="AU84" s="105">
        <f t="shared" si="76"/>
        <v>0</v>
      </c>
      <c r="AV84" s="105">
        <f t="shared" si="71"/>
        <v>0</v>
      </c>
      <c r="AW84" s="105">
        <f t="shared" si="61"/>
        <v>0</v>
      </c>
      <c r="AX84" s="105">
        <v>0</v>
      </c>
      <c r="AY84" s="105">
        <f t="shared" si="22"/>
        <v>0</v>
      </c>
      <c r="AZ84" s="105">
        <f t="shared" si="38"/>
        <v>0</v>
      </c>
      <c r="BA84" s="105">
        <f t="shared" ref="BA84:BA108" si="86">IF(BI90=0,0,0)</f>
        <v>0</v>
      </c>
      <c r="BB84" s="105"/>
      <c r="BC84" s="105"/>
      <c r="BD84" s="105"/>
      <c r="BE84" s="105"/>
      <c r="BF84" s="105"/>
      <c r="BG84" s="105">
        <f t="shared" si="72"/>
        <v>0</v>
      </c>
      <c r="BH84" s="108">
        <f t="shared" si="82"/>
        <v>0</v>
      </c>
      <c r="BI84" s="108">
        <f t="shared" si="77"/>
        <v>0</v>
      </c>
      <c r="BJ84" s="22">
        <f t="shared" si="78"/>
        <v>46757</v>
      </c>
      <c r="BK84" s="108">
        <f t="shared" si="62"/>
        <v>0</v>
      </c>
      <c r="BL84" s="2" t="e">
        <f>IF(AND(G39&gt;=$W$9,G39&lt;=$W$9+5),0,IF($C$9&gt;$AF$51,ROUND(BG38*IF(#REF!="",0,#REF!)/(DATEVALUE(CONCATENATE("01/01/",YEAR(AQ39)+1))-DATEVALUE(CONCATENATE("01/01/",YEAR(AQ39))))*(AQ39-AQ38),2),0))</f>
        <v>#REF!</v>
      </c>
    </row>
    <row r="85" spans="1:64" s="16" customFormat="1" x14ac:dyDescent="0.3">
      <c r="A85" s="178"/>
      <c r="B85" s="178"/>
      <c r="C85" s="184"/>
      <c r="D85" s="178"/>
      <c r="E85" s="178"/>
      <c r="F85" s="178"/>
      <c r="G85" s="114">
        <f t="shared" si="79"/>
        <v>77</v>
      </c>
      <c r="H85" s="111">
        <f t="shared" si="57"/>
        <v>46788</v>
      </c>
      <c r="I85" s="176">
        <f t="shared" si="54"/>
        <v>0.10899999999999999</v>
      </c>
      <c r="J85" s="24">
        <f t="shared" si="63"/>
        <v>0</v>
      </c>
      <c r="K85" s="242">
        <f t="shared" si="52"/>
        <v>0</v>
      </c>
      <c r="L85" s="24">
        <f t="shared" si="85"/>
        <v>0</v>
      </c>
      <c r="M85" s="24">
        <f t="shared" si="73"/>
        <v>0</v>
      </c>
      <c r="N85" s="24">
        <f t="shared" si="58"/>
        <v>0</v>
      </c>
      <c r="O85" s="24">
        <v>0</v>
      </c>
      <c r="P85" s="24">
        <f t="shared" si="25"/>
        <v>0</v>
      </c>
      <c r="Q85" s="24">
        <f t="shared" si="84"/>
        <v>0</v>
      </c>
      <c r="R85" s="24">
        <f t="shared" si="65"/>
        <v>0</v>
      </c>
      <c r="S85" s="24">
        <f t="shared" si="74"/>
        <v>0</v>
      </c>
      <c r="T85" s="24"/>
      <c r="U85" s="36">
        <f t="shared" si="80"/>
        <v>0</v>
      </c>
      <c r="V85" s="36">
        <f t="shared" si="67"/>
        <v>0</v>
      </c>
      <c r="W85" s="2" t="e">
        <f>IF(AND(G50&gt;=$W$9,G50&lt;=$W$9+5),0,IF($C$9&gt;$AF$51,ROUND(S49*#REF!/(DATEVALUE(CONCATENATE("01/01/",YEAR(H50)+1))-DATEVALUE(CONCATENATE("01/01/",YEAR(H50))))*(H50-H49),2),0))</f>
        <v>#REF!</v>
      </c>
      <c r="X85" s="34">
        <f t="shared" si="49"/>
        <v>0</v>
      </c>
      <c r="Y85" s="57">
        <f t="shared" si="46"/>
        <v>59771</v>
      </c>
      <c r="AL85" s="2" t="e">
        <f>IF(AND(Y42&gt;=$W$9,Y42&lt;=$W$9+5),0,IF($C$9&gt;$AF$51,ROUND(AI45*#REF!/(DATEVALUE(CONCATENATE("01/01/",YEAR(Z42)+1))-DATEVALUE(CONCATENATE("01/01/",YEAR(Z42))))*(Z42-#REF!),2),0))</f>
        <v>#REF!</v>
      </c>
      <c r="AM85" s="34">
        <f t="shared" si="51"/>
        <v>0</v>
      </c>
      <c r="AN85" s="57">
        <f t="shared" si="50"/>
        <v>58311</v>
      </c>
      <c r="AO85" s="130">
        <f t="shared" si="68"/>
        <v>0</v>
      </c>
      <c r="AP85" s="109">
        <f t="shared" si="81"/>
        <v>77</v>
      </c>
      <c r="AQ85" s="110">
        <f t="shared" si="59"/>
        <v>46788</v>
      </c>
      <c r="AR85" s="177">
        <f t="shared" si="53"/>
        <v>0.14899999999999999</v>
      </c>
      <c r="AS85" s="105">
        <f t="shared" si="69"/>
        <v>0</v>
      </c>
      <c r="AT85" s="105">
        <f t="shared" si="75"/>
        <v>0</v>
      </c>
      <c r="AU85" s="105">
        <f t="shared" si="76"/>
        <v>0</v>
      </c>
      <c r="AV85" s="105">
        <f t="shared" si="71"/>
        <v>0</v>
      </c>
      <c r="AW85" s="105">
        <f t="shared" si="61"/>
        <v>0</v>
      </c>
      <c r="AX85" s="105">
        <v>0</v>
      </c>
      <c r="AY85" s="105">
        <f t="shared" si="22"/>
        <v>0</v>
      </c>
      <c r="AZ85" s="105">
        <f t="shared" ref="AZ85:AZ108" si="87">IF(BI91=0,0,0)</f>
        <v>0</v>
      </c>
      <c r="BA85" s="105">
        <f t="shared" si="86"/>
        <v>0</v>
      </c>
      <c r="BB85" s="105"/>
      <c r="BC85" s="105"/>
      <c r="BD85" s="105"/>
      <c r="BE85" s="105"/>
      <c r="BF85" s="105"/>
      <c r="BG85" s="105">
        <f t="shared" si="72"/>
        <v>0</v>
      </c>
      <c r="BH85" s="108">
        <f t="shared" si="82"/>
        <v>0</v>
      </c>
      <c r="BI85" s="108">
        <f t="shared" si="77"/>
        <v>0</v>
      </c>
      <c r="BJ85" s="22">
        <f t="shared" si="78"/>
        <v>46788</v>
      </c>
      <c r="BK85" s="108">
        <f t="shared" si="62"/>
        <v>0</v>
      </c>
      <c r="BL85" s="2" t="e">
        <f>IF(AND(G40&gt;=$W$9,G40&lt;=$W$9+5),0,IF($C$9&gt;$AF$51,ROUND(BG39*IF(#REF!="",0,#REF!)/(DATEVALUE(CONCATENATE("01/01/",YEAR(AQ40)+1))-DATEVALUE(CONCATENATE("01/01/",YEAR(AQ40))))*(AQ40-AQ39),2),0))</f>
        <v>#REF!</v>
      </c>
    </row>
    <row r="86" spans="1:64" s="16" customFormat="1" x14ac:dyDescent="0.3">
      <c r="A86" s="178"/>
      <c r="B86" s="178"/>
      <c r="C86" s="184"/>
      <c r="D86" s="178"/>
      <c r="E86" s="178"/>
      <c r="F86" s="178"/>
      <c r="G86" s="114">
        <f t="shared" si="79"/>
        <v>78</v>
      </c>
      <c r="H86" s="111">
        <f t="shared" si="57"/>
        <v>46817</v>
      </c>
      <c r="I86" s="176">
        <f t="shared" si="54"/>
        <v>0.10899999999999999</v>
      </c>
      <c r="J86" s="24">
        <f t="shared" si="63"/>
        <v>0</v>
      </c>
      <c r="K86" s="242">
        <f t="shared" si="52"/>
        <v>0</v>
      </c>
      <c r="L86" s="24">
        <f t="shared" si="85"/>
        <v>0</v>
      </c>
      <c r="M86" s="24">
        <f t="shared" si="73"/>
        <v>0</v>
      </c>
      <c r="N86" s="24">
        <f t="shared" si="58"/>
        <v>0</v>
      </c>
      <c r="O86" s="24">
        <v>0</v>
      </c>
      <c r="P86" s="24">
        <f t="shared" ref="P86:P108" si="88">L86+Q86</f>
        <v>0</v>
      </c>
      <c r="Q86" s="24">
        <f t="shared" si="84"/>
        <v>0</v>
      </c>
      <c r="R86" s="24">
        <f t="shared" si="65"/>
        <v>0</v>
      </c>
      <c r="S86" s="24">
        <f t="shared" si="74"/>
        <v>0</v>
      </c>
      <c r="T86" s="24"/>
      <c r="U86" s="36">
        <f t="shared" si="80"/>
        <v>0</v>
      </c>
      <c r="V86" s="36">
        <f t="shared" si="67"/>
        <v>0</v>
      </c>
      <c r="W86" s="2" t="e">
        <f>IF(AND(G51&gt;=$W$9,G51&lt;=$W$9+5),0,IF($C$9&gt;$AF$51,ROUND(S50*#REF!/(DATEVALUE(CONCATENATE("01/01/",YEAR(H51)+1))-DATEVALUE(CONCATENATE("01/01/",YEAR(H51))))*(H51-H50),2),0))</f>
        <v>#REF!</v>
      </c>
      <c r="X86" s="34">
        <f t="shared" si="49"/>
        <v>0</v>
      </c>
      <c r="Y86" s="57">
        <f t="shared" si="46"/>
        <v>60136</v>
      </c>
      <c r="AL86" s="2" t="e">
        <f>IF(AND(Y43&gt;=$W$9,Y43&lt;=$W$9+5),0,IF($C$9&gt;$AF$51,ROUND(AI46*#REF!/(DATEVALUE(CONCATENATE("01/01/",YEAR(Z43)+1))-DATEVALUE(CONCATENATE("01/01/",YEAR(Z43))))*(Z43-Z42),2),0))</f>
        <v>#REF!</v>
      </c>
      <c r="AM86" s="34">
        <f t="shared" si="51"/>
        <v>0</v>
      </c>
      <c r="AN86" s="57">
        <f t="shared" si="50"/>
        <v>58676</v>
      </c>
      <c r="AO86" s="130">
        <f t="shared" si="68"/>
        <v>0</v>
      </c>
      <c r="AP86" s="109">
        <f t="shared" si="81"/>
        <v>78</v>
      </c>
      <c r="AQ86" s="110">
        <f t="shared" si="59"/>
        <v>46817</v>
      </c>
      <c r="AR86" s="177">
        <f t="shared" si="53"/>
        <v>0.14899999999999999</v>
      </c>
      <c r="AS86" s="105">
        <f t="shared" si="69"/>
        <v>0</v>
      </c>
      <c r="AT86" s="105">
        <f t="shared" si="75"/>
        <v>0</v>
      </c>
      <c r="AU86" s="105">
        <f t="shared" si="76"/>
        <v>0</v>
      </c>
      <c r="AV86" s="105">
        <f t="shared" si="71"/>
        <v>0</v>
      </c>
      <c r="AW86" s="105">
        <f t="shared" si="61"/>
        <v>0</v>
      </c>
      <c r="AX86" s="105">
        <v>0</v>
      </c>
      <c r="AY86" s="105">
        <f t="shared" ref="AY86:AY108" si="89">AU86+AZ86</f>
        <v>0</v>
      </c>
      <c r="AZ86" s="105">
        <f t="shared" si="87"/>
        <v>0</v>
      </c>
      <c r="BA86" s="105">
        <f t="shared" si="86"/>
        <v>0</v>
      </c>
      <c r="BB86" s="105"/>
      <c r="BC86" s="105"/>
      <c r="BD86" s="105"/>
      <c r="BE86" s="105"/>
      <c r="BF86" s="105"/>
      <c r="BG86" s="105">
        <f t="shared" si="72"/>
        <v>0</v>
      </c>
      <c r="BH86" s="108">
        <f t="shared" si="82"/>
        <v>0</v>
      </c>
      <c r="BI86" s="108">
        <f t="shared" si="77"/>
        <v>0</v>
      </c>
      <c r="BJ86" s="22">
        <f t="shared" si="78"/>
        <v>46817</v>
      </c>
      <c r="BK86" s="108">
        <f t="shared" si="62"/>
        <v>0</v>
      </c>
      <c r="BL86" s="2" t="e">
        <f>IF(AND(G41&gt;=$W$9,G41&lt;=$W$9+5),0,IF($C$9&gt;$AF$51,ROUND(BG40*IF(#REF!="",0,#REF!)/(DATEVALUE(CONCATENATE("01/01/",YEAR(AQ41)+1))-DATEVALUE(CONCATENATE("01/01/",YEAR(AQ41))))*(AQ41-AQ40),2),0))</f>
        <v>#REF!</v>
      </c>
    </row>
    <row r="87" spans="1:64" s="16" customFormat="1" x14ac:dyDescent="0.3">
      <c r="A87" s="178"/>
      <c r="B87" s="178"/>
      <c r="C87" s="525"/>
      <c r="D87" s="182"/>
      <c r="E87" s="178"/>
      <c r="F87" s="178"/>
      <c r="G87" s="114">
        <f t="shared" si="79"/>
        <v>79</v>
      </c>
      <c r="H87" s="111">
        <f t="shared" si="57"/>
        <v>46848</v>
      </c>
      <c r="I87" s="176">
        <f t="shared" si="54"/>
        <v>0.10899999999999999</v>
      </c>
      <c r="J87" s="24">
        <f t="shared" si="63"/>
        <v>0</v>
      </c>
      <c r="K87" s="242">
        <f t="shared" si="52"/>
        <v>0</v>
      </c>
      <c r="L87" s="24">
        <f t="shared" si="85"/>
        <v>0</v>
      </c>
      <c r="M87" s="24">
        <f t="shared" si="73"/>
        <v>0</v>
      </c>
      <c r="N87" s="24">
        <f t="shared" si="58"/>
        <v>0</v>
      </c>
      <c r="O87" s="24">
        <v>0</v>
      </c>
      <c r="P87" s="24">
        <f t="shared" si="88"/>
        <v>0</v>
      </c>
      <c r="Q87" s="24">
        <f t="shared" si="84"/>
        <v>0</v>
      </c>
      <c r="R87" s="24">
        <f t="shared" si="65"/>
        <v>0</v>
      </c>
      <c r="S87" s="24">
        <f t="shared" si="74"/>
        <v>0</v>
      </c>
      <c r="T87" s="24"/>
      <c r="U87" s="36">
        <f t="shared" si="80"/>
        <v>0</v>
      </c>
      <c r="V87" s="36">
        <f t="shared" si="67"/>
        <v>0</v>
      </c>
      <c r="W87" s="2" t="e">
        <f>IF(AND(G52&gt;=$W$9,G52&lt;=$W$9+5),0,IF($C$9&gt;$AF$51,ROUND(S51*#REF!/(DATEVALUE(CONCATENATE("01/01/",YEAR(H52)+1))-DATEVALUE(CONCATENATE("01/01/",YEAR(H52))))*(H52-H51),2),0))</f>
        <v>#REF!</v>
      </c>
      <c r="X87" s="34">
        <f t="shared" si="49"/>
        <v>0</v>
      </c>
      <c r="Y87" s="57">
        <f t="shared" si="46"/>
        <v>60501</v>
      </c>
      <c r="AL87" s="2" t="e">
        <f>IF(AND(Y44&gt;=$W$9,Y44&lt;=$W$9+5),0,IF($C$9&gt;$AF$51,ROUND(AI47*#REF!/(DATEVALUE(CONCATENATE("01/01/",YEAR(Z44)+1))-DATEVALUE(CONCATENATE("01/01/",YEAR(Z44))))*(Z44-Z43),2),0))</f>
        <v>#REF!</v>
      </c>
      <c r="AM87" s="34">
        <f t="shared" si="51"/>
        <v>0</v>
      </c>
      <c r="AN87" s="57">
        <f t="shared" si="50"/>
        <v>59041</v>
      </c>
      <c r="AO87" s="130">
        <f t="shared" si="68"/>
        <v>0</v>
      </c>
      <c r="AP87" s="109">
        <f t="shared" si="81"/>
        <v>79</v>
      </c>
      <c r="AQ87" s="110">
        <f t="shared" si="59"/>
        <v>46848</v>
      </c>
      <c r="AR87" s="177">
        <f t="shared" si="53"/>
        <v>0.14899999999999999</v>
      </c>
      <c r="AS87" s="105">
        <f t="shared" si="69"/>
        <v>0</v>
      </c>
      <c r="AT87" s="105">
        <f t="shared" si="75"/>
        <v>0</v>
      </c>
      <c r="AU87" s="105">
        <f t="shared" si="76"/>
        <v>0</v>
      </c>
      <c r="AV87" s="105">
        <f t="shared" si="71"/>
        <v>0</v>
      </c>
      <c r="AW87" s="105">
        <f t="shared" si="61"/>
        <v>0</v>
      </c>
      <c r="AX87" s="105">
        <v>0</v>
      </c>
      <c r="AY87" s="105">
        <f t="shared" si="89"/>
        <v>0</v>
      </c>
      <c r="AZ87" s="105">
        <f t="shared" si="87"/>
        <v>0</v>
      </c>
      <c r="BA87" s="105">
        <f t="shared" si="86"/>
        <v>0</v>
      </c>
      <c r="BB87" s="105"/>
      <c r="BC87" s="105"/>
      <c r="BD87" s="105"/>
      <c r="BE87" s="105"/>
      <c r="BF87" s="105"/>
      <c r="BG87" s="105">
        <f t="shared" si="72"/>
        <v>0</v>
      </c>
      <c r="BH87" s="108">
        <f t="shared" si="82"/>
        <v>0</v>
      </c>
      <c r="BI87" s="108">
        <f t="shared" si="77"/>
        <v>0</v>
      </c>
      <c r="BJ87" s="22">
        <f t="shared" si="78"/>
        <v>46848</v>
      </c>
      <c r="BK87" s="108">
        <f t="shared" si="62"/>
        <v>0</v>
      </c>
      <c r="BL87" s="2" t="e">
        <f>IF(AND(G42&gt;=$W$9,G42&lt;=$W$9+5),0,IF($C$9&gt;$AF$51,ROUND(BG41*IF(#REF!="",0,#REF!)/(DATEVALUE(CONCATENATE("01/01/",YEAR(AQ42)+1))-DATEVALUE(CONCATENATE("01/01/",YEAR(AQ42))))*(AQ42-AQ41),2),0))</f>
        <v>#REF!</v>
      </c>
    </row>
    <row r="88" spans="1:64" s="16" customFormat="1" x14ac:dyDescent="0.3">
      <c r="A88" s="178"/>
      <c r="B88" s="178"/>
      <c r="C88" s="184"/>
      <c r="D88" s="182"/>
      <c r="E88" s="178"/>
      <c r="F88" s="178"/>
      <c r="G88" s="114">
        <f t="shared" si="79"/>
        <v>80</v>
      </c>
      <c r="H88" s="111">
        <f t="shared" si="57"/>
        <v>46878</v>
      </c>
      <c r="I88" s="176">
        <f t="shared" si="54"/>
        <v>0.10899999999999999</v>
      </c>
      <c r="J88" s="24">
        <f t="shared" si="63"/>
        <v>0</v>
      </c>
      <c r="K88" s="242">
        <f t="shared" si="52"/>
        <v>0</v>
      </c>
      <c r="L88" s="24">
        <f t="shared" si="85"/>
        <v>0</v>
      </c>
      <c r="M88" s="24">
        <f t="shared" si="73"/>
        <v>0</v>
      </c>
      <c r="N88" s="24">
        <f t="shared" si="58"/>
        <v>0</v>
      </c>
      <c r="O88" s="24">
        <v>0</v>
      </c>
      <c r="P88" s="24">
        <f t="shared" si="88"/>
        <v>0</v>
      </c>
      <c r="Q88" s="24">
        <f t="shared" si="84"/>
        <v>0</v>
      </c>
      <c r="R88" s="24">
        <f t="shared" si="65"/>
        <v>0</v>
      </c>
      <c r="S88" s="24">
        <f t="shared" si="74"/>
        <v>0</v>
      </c>
      <c r="T88" s="24"/>
      <c r="U88" s="36">
        <f t="shared" si="80"/>
        <v>0</v>
      </c>
      <c r="V88" s="36">
        <f t="shared" si="67"/>
        <v>0</v>
      </c>
      <c r="W88" s="2" t="e">
        <f>IF(AND(G53&gt;=$W$9,G53&lt;=$W$9+5),0,IF($C$9&gt;$AF$51,ROUND(S52*#REF!/(DATEVALUE(CONCATENATE("01/01/",YEAR(H53)+1))-DATEVALUE(CONCATENATE("01/01/",YEAR(H53))))*(H53-H52),2),0))</f>
        <v>#REF!</v>
      </c>
      <c r="X88" s="34">
        <f t="shared" si="49"/>
        <v>0</v>
      </c>
      <c r="Y88" s="57">
        <f t="shared" si="46"/>
        <v>60866</v>
      </c>
      <c r="AL88" s="2" t="e">
        <f>IF(AND(Y45&gt;=$W$9,Y45&lt;=$W$9+5),0,IF($C$9&gt;$AF$51,ROUND(AI48*#REF!/(DATEVALUE(CONCATENATE("01/01/",YEAR(Z45)+1))-DATEVALUE(CONCATENATE("01/01/",YEAR(Z45))))*(Z45-Z44),2),0))</f>
        <v>#REF!</v>
      </c>
      <c r="AM88" s="34">
        <f t="shared" si="51"/>
        <v>0</v>
      </c>
      <c r="AN88" s="57">
        <f t="shared" si="50"/>
        <v>59406</v>
      </c>
      <c r="AO88" s="130">
        <f t="shared" si="68"/>
        <v>0</v>
      </c>
      <c r="AP88" s="109">
        <f t="shared" si="81"/>
        <v>80</v>
      </c>
      <c r="AQ88" s="110">
        <f t="shared" si="59"/>
        <v>46878</v>
      </c>
      <c r="AR88" s="177">
        <f t="shared" si="53"/>
        <v>0.14899999999999999</v>
      </c>
      <c r="AS88" s="105">
        <f t="shared" si="69"/>
        <v>0</v>
      </c>
      <c r="AT88" s="105">
        <f t="shared" si="75"/>
        <v>0</v>
      </c>
      <c r="AU88" s="105">
        <f t="shared" si="76"/>
        <v>0</v>
      </c>
      <c r="AV88" s="105">
        <f t="shared" si="71"/>
        <v>0</v>
      </c>
      <c r="AW88" s="105">
        <f t="shared" si="61"/>
        <v>0</v>
      </c>
      <c r="AX88" s="105">
        <v>0</v>
      </c>
      <c r="AY88" s="105">
        <f t="shared" si="89"/>
        <v>0</v>
      </c>
      <c r="AZ88" s="105">
        <f t="shared" si="87"/>
        <v>0</v>
      </c>
      <c r="BA88" s="105">
        <f t="shared" si="86"/>
        <v>0</v>
      </c>
      <c r="BB88" s="105"/>
      <c r="BC88" s="105"/>
      <c r="BD88" s="105"/>
      <c r="BE88" s="105"/>
      <c r="BF88" s="105"/>
      <c r="BG88" s="105">
        <f t="shared" si="72"/>
        <v>0</v>
      </c>
      <c r="BH88" s="108">
        <f t="shared" si="82"/>
        <v>0</v>
      </c>
      <c r="BI88" s="108">
        <f t="shared" si="77"/>
        <v>0</v>
      </c>
      <c r="BJ88" s="22">
        <f t="shared" si="78"/>
        <v>46878</v>
      </c>
      <c r="BK88" s="108">
        <f t="shared" si="62"/>
        <v>0</v>
      </c>
      <c r="BL88" s="2" t="e">
        <f>IF(AND(G43&gt;=$W$9,G43&lt;=$W$9+5),0,IF($C$9&gt;$AF$51,ROUND(BG42*IF(#REF!="",0,#REF!)/(DATEVALUE(CONCATENATE("01/01/",YEAR(AQ43)+1))-DATEVALUE(CONCATENATE("01/01/",YEAR(AQ43))))*(AQ43-AQ42),2),0))</f>
        <v>#REF!</v>
      </c>
    </row>
    <row r="89" spans="1:64" s="16" customFormat="1" x14ac:dyDescent="0.3">
      <c r="A89" s="178"/>
      <c r="B89" s="178"/>
      <c r="C89" s="184"/>
      <c r="D89" s="178"/>
      <c r="E89" s="178"/>
      <c r="F89" s="178"/>
      <c r="G89" s="114">
        <f t="shared" si="79"/>
        <v>81</v>
      </c>
      <c r="H89" s="111">
        <f t="shared" si="57"/>
        <v>46909</v>
      </c>
      <c r="I89" s="176">
        <f t="shared" si="54"/>
        <v>0.10899999999999999</v>
      </c>
      <c r="J89" s="24">
        <f t="shared" si="63"/>
        <v>0</v>
      </c>
      <c r="K89" s="242">
        <f t="shared" si="52"/>
        <v>0</v>
      </c>
      <c r="L89" s="24">
        <f t="shared" si="85"/>
        <v>0</v>
      </c>
      <c r="M89" s="24">
        <f t="shared" si="73"/>
        <v>0</v>
      </c>
      <c r="N89" s="24">
        <f t="shared" si="58"/>
        <v>0</v>
      </c>
      <c r="O89" s="24">
        <v>0</v>
      </c>
      <c r="P89" s="24">
        <f t="shared" si="88"/>
        <v>0</v>
      </c>
      <c r="Q89" s="24">
        <f t="shared" si="84"/>
        <v>0</v>
      </c>
      <c r="R89" s="24">
        <f t="shared" si="65"/>
        <v>0</v>
      </c>
      <c r="S89" s="24">
        <f t="shared" si="74"/>
        <v>0</v>
      </c>
      <c r="T89" s="24"/>
      <c r="U89" s="36">
        <f t="shared" si="80"/>
        <v>0</v>
      </c>
      <c r="V89" s="36">
        <f t="shared" si="67"/>
        <v>0</v>
      </c>
      <c r="W89" s="2" t="e">
        <f>IF(AND(G54&gt;=$W$9,G54&lt;=$W$9+5),0,IF($C$9&gt;$AF$51,ROUND(S53*#REF!/(DATEVALUE(CONCATENATE("01/01/",YEAR(H54)+1))-DATEVALUE(CONCATENATE("01/01/",YEAR(H54))))*(H54-H53),2),0))</f>
        <v>#REF!</v>
      </c>
      <c r="X89" s="34">
        <f t="shared" si="49"/>
        <v>0</v>
      </c>
      <c r="Y89" s="57">
        <f t="shared" si="46"/>
        <v>61231</v>
      </c>
      <c r="AL89" s="2" t="e">
        <f>IF(AND(Y46&gt;=$W$9,Y46&lt;=$W$9+5),0,IF($C$9&gt;$AF$51,ROUND(AI49*#REF!/(DATEVALUE(CONCATENATE("01/01/",YEAR(Z46)+1))-DATEVALUE(CONCATENATE("01/01/",YEAR(Z46))))*(Z46-Z45),2),0))</f>
        <v>#REF!</v>
      </c>
      <c r="AM89" s="34">
        <f t="shared" si="51"/>
        <v>0</v>
      </c>
      <c r="AN89" s="57">
        <f t="shared" si="50"/>
        <v>59771</v>
      </c>
      <c r="AO89" s="130">
        <f t="shared" si="68"/>
        <v>0</v>
      </c>
      <c r="AP89" s="109">
        <f t="shared" si="81"/>
        <v>81</v>
      </c>
      <c r="AQ89" s="110">
        <f t="shared" si="59"/>
        <v>46909</v>
      </c>
      <c r="AR89" s="177">
        <f t="shared" si="53"/>
        <v>0.14899999999999999</v>
      </c>
      <c r="AS89" s="105">
        <f t="shared" si="69"/>
        <v>0</v>
      </c>
      <c r="AT89" s="105">
        <f t="shared" si="75"/>
        <v>0</v>
      </c>
      <c r="AU89" s="105">
        <f t="shared" si="76"/>
        <v>0</v>
      </c>
      <c r="AV89" s="105">
        <f t="shared" si="71"/>
        <v>0</v>
      </c>
      <c r="AW89" s="105">
        <f t="shared" si="61"/>
        <v>0</v>
      </c>
      <c r="AX89" s="105">
        <v>0</v>
      </c>
      <c r="AY89" s="105">
        <f t="shared" si="89"/>
        <v>0</v>
      </c>
      <c r="AZ89" s="105">
        <f t="shared" si="87"/>
        <v>0</v>
      </c>
      <c r="BA89" s="105">
        <f t="shared" si="86"/>
        <v>0</v>
      </c>
      <c r="BB89" s="105"/>
      <c r="BC89" s="105"/>
      <c r="BD89" s="105"/>
      <c r="BE89" s="105"/>
      <c r="BF89" s="105"/>
      <c r="BG89" s="105">
        <f t="shared" si="72"/>
        <v>0</v>
      </c>
      <c r="BH89" s="108">
        <f t="shared" si="82"/>
        <v>0</v>
      </c>
      <c r="BI89" s="108">
        <f t="shared" si="77"/>
        <v>0</v>
      </c>
      <c r="BJ89" s="22">
        <f t="shared" si="78"/>
        <v>46909</v>
      </c>
      <c r="BK89" s="108">
        <f t="shared" si="62"/>
        <v>0</v>
      </c>
      <c r="BL89" s="2" t="e">
        <f>IF(AND(G44&gt;=$W$9,G44&lt;=$W$9+5),0,IF($C$9&gt;$AF$51,ROUND(BG43*IF(#REF!="",0,#REF!)/(DATEVALUE(CONCATENATE("01/01/",YEAR(AQ44)+1))-DATEVALUE(CONCATENATE("01/01/",YEAR(AQ44))))*(AQ44-AQ43),2),0))</f>
        <v>#REF!</v>
      </c>
    </row>
    <row r="90" spans="1:64" s="16" customFormat="1" x14ac:dyDescent="0.3">
      <c r="A90" s="178"/>
      <c r="B90" s="178"/>
      <c r="C90" s="184"/>
      <c r="D90" s="178"/>
      <c r="E90" s="178"/>
      <c r="F90" s="184"/>
      <c r="G90" s="114">
        <f t="shared" si="79"/>
        <v>82</v>
      </c>
      <c r="H90" s="111">
        <f t="shared" si="57"/>
        <v>46939</v>
      </c>
      <c r="I90" s="176">
        <f t="shared" si="54"/>
        <v>0.10899999999999999</v>
      </c>
      <c r="J90" s="24">
        <f t="shared" si="63"/>
        <v>0</v>
      </c>
      <c r="K90" s="242">
        <f t="shared" si="52"/>
        <v>0</v>
      </c>
      <c r="L90" s="24">
        <f t="shared" si="85"/>
        <v>0</v>
      </c>
      <c r="M90" s="24">
        <f t="shared" si="73"/>
        <v>0</v>
      </c>
      <c r="N90" s="24">
        <f t="shared" si="58"/>
        <v>0</v>
      </c>
      <c r="O90" s="24">
        <v>0</v>
      </c>
      <c r="P90" s="24">
        <f t="shared" si="88"/>
        <v>0</v>
      </c>
      <c r="Q90" s="24">
        <f t="shared" si="84"/>
        <v>0</v>
      </c>
      <c r="R90" s="24">
        <f t="shared" si="65"/>
        <v>0</v>
      </c>
      <c r="S90" s="24">
        <f t="shared" si="74"/>
        <v>0</v>
      </c>
      <c r="T90" s="24"/>
      <c r="U90" s="36">
        <f t="shared" si="80"/>
        <v>0</v>
      </c>
      <c r="V90" s="36">
        <f t="shared" si="67"/>
        <v>0</v>
      </c>
      <c r="W90" s="2" t="e">
        <f>IF(AND(G55&gt;=$W$9,G55&lt;=$W$9+5),0,IF($C$9&gt;$AF$51,ROUND(S54*#REF!/(DATEVALUE(CONCATENATE("01/01/",YEAR(H55)+1))-DATEVALUE(CONCATENATE("01/01/",YEAR(H55))))*(H55-H54),2),0))</f>
        <v>#REF!</v>
      </c>
      <c r="X90" s="34">
        <f t="shared" si="49"/>
        <v>0</v>
      </c>
      <c r="Y90" s="57">
        <f t="shared" si="46"/>
        <v>61596</v>
      </c>
      <c r="AL90" s="2" t="e">
        <f>IF(AND(Y47&gt;=$W$9,Y47&lt;=$W$9+5),0,IF($C$9&gt;$AF$51,ROUND(AI50*#REF!/(DATEVALUE(CONCATENATE("01/01/",YEAR(Z47)+1))-DATEVALUE(CONCATENATE("01/01/",YEAR(Z47))))*(Z47-Z46),2),0))</f>
        <v>#REF!</v>
      </c>
      <c r="AM90" s="34">
        <f t="shared" si="51"/>
        <v>0</v>
      </c>
      <c r="AN90" s="57">
        <f t="shared" si="50"/>
        <v>60136</v>
      </c>
      <c r="AO90" s="130">
        <f t="shared" si="68"/>
        <v>0</v>
      </c>
      <c r="AP90" s="109">
        <f t="shared" si="81"/>
        <v>82</v>
      </c>
      <c r="AQ90" s="110">
        <f t="shared" si="59"/>
        <v>46939</v>
      </c>
      <c r="AR90" s="177">
        <f t="shared" si="53"/>
        <v>0.14899999999999999</v>
      </c>
      <c r="AS90" s="105">
        <f t="shared" si="69"/>
        <v>0</v>
      </c>
      <c r="AT90" s="105">
        <f t="shared" si="75"/>
        <v>0</v>
      </c>
      <c r="AU90" s="105">
        <f t="shared" si="76"/>
        <v>0</v>
      </c>
      <c r="AV90" s="105">
        <f t="shared" si="71"/>
        <v>0</v>
      </c>
      <c r="AW90" s="105">
        <f t="shared" si="61"/>
        <v>0</v>
      </c>
      <c r="AX90" s="105">
        <v>0</v>
      </c>
      <c r="AY90" s="105">
        <f t="shared" si="89"/>
        <v>0</v>
      </c>
      <c r="AZ90" s="105">
        <f t="shared" si="87"/>
        <v>0</v>
      </c>
      <c r="BA90" s="105">
        <f t="shared" si="86"/>
        <v>0</v>
      </c>
      <c r="BB90" s="105"/>
      <c r="BC90" s="105"/>
      <c r="BD90" s="105"/>
      <c r="BE90" s="105"/>
      <c r="BF90" s="105"/>
      <c r="BG90" s="105">
        <f t="shared" si="72"/>
        <v>0</v>
      </c>
      <c r="BH90" s="108">
        <f t="shared" si="82"/>
        <v>0</v>
      </c>
      <c r="BI90" s="108">
        <f t="shared" si="77"/>
        <v>0</v>
      </c>
      <c r="BJ90" s="22">
        <f t="shared" si="78"/>
        <v>46939</v>
      </c>
      <c r="BK90" s="108">
        <f t="shared" si="62"/>
        <v>0</v>
      </c>
      <c r="BL90" s="2" t="e">
        <f>IF(AND(G45&gt;=$W$9,G45&lt;=$W$9+5),0,IF($C$9&gt;$AF$51,ROUND(BG44*IF(#REF!="",0,#REF!)/(DATEVALUE(CONCATENATE("01/01/",YEAR(AQ45)+1))-DATEVALUE(CONCATENATE("01/01/",YEAR(AQ45))))*(AQ45-AQ44),2),0))</f>
        <v>#REF!</v>
      </c>
    </row>
    <row r="91" spans="1:64" s="16" customFormat="1" x14ac:dyDescent="0.3">
      <c r="A91" s="178"/>
      <c r="B91" s="178"/>
      <c r="C91" s="184"/>
      <c r="D91" s="178"/>
      <c r="E91" s="178"/>
      <c r="F91" s="184"/>
      <c r="G91" s="114">
        <f t="shared" si="79"/>
        <v>83</v>
      </c>
      <c r="H91" s="111">
        <f t="shared" si="57"/>
        <v>46970</v>
      </c>
      <c r="I91" s="176">
        <f t="shared" si="54"/>
        <v>0.10899999999999999</v>
      </c>
      <c r="J91" s="24">
        <f t="shared" si="63"/>
        <v>0</v>
      </c>
      <c r="K91" s="242">
        <f t="shared" si="52"/>
        <v>0</v>
      </c>
      <c r="L91" s="24">
        <f t="shared" si="85"/>
        <v>0</v>
      </c>
      <c r="M91" s="24">
        <f t="shared" si="73"/>
        <v>0</v>
      </c>
      <c r="N91" s="24">
        <f t="shared" si="58"/>
        <v>0</v>
      </c>
      <c r="O91" s="24">
        <v>0</v>
      </c>
      <c r="P91" s="24">
        <f t="shared" si="88"/>
        <v>0</v>
      </c>
      <c r="Q91" s="24">
        <f t="shared" si="84"/>
        <v>0</v>
      </c>
      <c r="R91" s="24">
        <f t="shared" si="65"/>
        <v>0</v>
      </c>
      <c r="S91" s="24">
        <f t="shared" si="74"/>
        <v>0</v>
      </c>
      <c r="T91" s="24"/>
      <c r="U91" s="36">
        <f t="shared" si="80"/>
        <v>0</v>
      </c>
      <c r="V91" s="36">
        <f t="shared" si="67"/>
        <v>0</v>
      </c>
      <c r="W91" s="2" t="e">
        <f>IF(AND(G56&gt;=$W$9,G56&lt;=$W$9+5),0,IF($C$9&gt;$AF$51,ROUND(S55*#REF!/(DATEVALUE(CONCATENATE("01/01/",YEAR(H56)+1))-DATEVALUE(CONCATENATE("01/01/",YEAR(H56))))*(H56-H55),2),0))</f>
        <v>#REF!</v>
      </c>
      <c r="X91" s="34">
        <f t="shared" si="49"/>
        <v>0</v>
      </c>
      <c r="Y91" s="57">
        <f t="shared" si="46"/>
        <v>61961</v>
      </c>
      <c r="AL91" s="2" t="e">
        <f>IF(AND(Y48&gt;=$W$9,Y48&lt;=$W$9+5),0,IF($C$9&gt;$AF$51,ROUND(AI51*#REF!/(DATEVALUE(CONCATENATE("01/01/",YEAR(Z48)+1))-DATEVALUE(CONCATENATE("01/01/",YEAR(Z48))))*(Z48-Z47),2),0))</f>
        <v>#REF!</v>
      </c>
      <c r="AM91" s="34">
        <f t="shared" si="51"/>
        <v>0</v>
      </c>
      <c r="AN91" s="57">
        <f t="shared" si="50"/>
        <v>60501</v>
      </c>
      <c r="AO91" s="130">
        <f t="shared" si="68"/>
        <v>0</v>
      </c>
      <c r="AP91" s="109">
        <f t="shared" si="81"/>
        <v>83</v>
      </c>
      <c r="AQ91" s="110">
        <f t="shared" si="59"/>
        <v>46970</v>
      </c>
      <c r="AR91" s="177">
        <f t="shared" si="53"/>
        <v>0.14899999999999999</v>
      </c>
      <c r="AS91" s="105">
        <f t="shared" si="69"/>
        <v>0</v>
      </c>
      <c r="AT91" s="105">
        <f t="shared" si="75"/>
        <v>0</v>
      </c>
      <c r="AU91" s="105">
        <f t="shared" si="76"/>
        <v>0</v>
      </c>
      <c r="AV91" s="105">
        <f t="shared" si="71"/>
        <v>0</v>
      </c>
      <c r="AW91" s="105">
        <f t="shared" si="61"/>
        <v>0</v>
      </c>
      <c r="AX91" s="105">
        <v>0</v>
      </c>
      <c r="AY91" s="105">
        <f t="shared" si="89"/>
        <v>0</v>
      </c>
      <c r="AZ91" s="105">
        <f t="shared" si="87"/>
        <v>0</v>
      </c>
      <c r="BA91" s="105">
        <f t="shared" si="86"/>
        <v>0</v>
      </c>
      <c r="BB91" s="105"/>
      <c r="BC91" s="105"/>
      <c r="BD91" s="105"/>
      <c r="BE91" s="105"/>
      <c r="BF91" s="105"/>
      <c r="BG91" s="105">
        <f t="shared" si="72"/>
        <v>0</v>
      </c>
      <c r="BH91" s="108">
        <f t="shared" si="82"/>
        <v>0</v>
      </c>
      <c r="BI91" s="108">
        <f t="shared" si="77"/>
        <v>0</v>
      </c>
      <c r="BJ91" s="22">
        <f t="shared" si="78"/>
        <v>46970</v>
      </c>
      <c r="BK91" s="108">
        <f t="shared" si="62"/>
        <v>0</v>
      </c>
      <c r="BL91" s="2" t="e">
        <f>IF(AND(G46&gt;=$W$9,G46&lt;=$W$9+5),0,IF($C$9&gt;$AF$51,ROUND(BG45*IF(#REF!="",0,#REF!)/(DATEVALUE(CONCATENATE("01/01/",YEAR(AQ46)+1))-DATEVALUE(CONCATENATE("01/01/",YEAR(AQ46))))*(AQ46-AQ45),2),0))</f>
        <v>#REF!</v>
      </c>
    </row>
    <row r="92" spans="1:64" s="16" customFormat="1" x14ac:dyDescent="0.3">
      <c r="A92" s="178"/>
      <c r="B92" s="178"/>
      <c r="C92" s="184"/>
      <c r="D92" s="178"/>
      <c r="E92" s="178"/>
      <c r="F92" s="184"/>
      <c r="G92" s="114">
        <f t="shared" si="79"/>
        <v>84</v>
      </c>
      <c r="H92" s="111">
        <f t="shared" si="57"/>
        <v>47001</v>
      </c>
      <c r="I92" s="176">
        <f t="shared" si="54"/>
        <v>0.10899999999999999</v>
      </c>
      <c r="J92" s="24">
        <f t="shared" si="63"/>
        <v>0</v>
      </c>
      <c r="K92" s="242">
        <f t="shared" si="52"/>
        <v>0</v>
      </c>
      <c r="L92" s="24">
        <f t="shared" si="85"/>
        <v>0</v>
      </c>
      <c r="M92" s="24">
        <f t="shared" si="73"/>
        <v>0</v>
      </c>
      <c r="N92" s="24">
        <f t="shared" si="58"/>
        <v>0</v>
      </c>
      <c r="O92" s="24">
        <v>0</v>
      </c>
      <c r="P92" s="24">
        <f t="shared" si="88"/>
        <v>0</v>
      </c>
      <c r="Q92" s="24">
        <f t="shared" si="84"/>
        <v>0</v>
      </c>
      <c r="R92" s="24">
        <f t="shared" si="65"/>
        <v>0</v>
      </c>
      <c r="S92" s="24">
        <f t="shared" si="74"/>
        <v>0</v>
      </c>
      <c r="T92" s="24"/>
      <c r="U92" s="36">
        <f t="shared" si="80"/>
        <v>0</v>
      </c>
      <c r="V92" s="36">
        <f t="shared" si="67"/>
        <v>0</v>
      </c>
      <c r="W92" s="2" t="e">
        <f>IF(AND(G57&gt;=$W$9,G57&lt;=$W$9+5),0,IF($C$9&gt;$AF$51,ROUND(S56*#REF!/(DATEVALUE(CONCATENATE("01/01/",YEAR(H57)+1))-DATEVALUE(CONCATENATE("01/01/",YEAR(H57))))*(H57-H56),2),0))</f>
        <v>#REF!</v>
      </c>
      <c r="X92" s="34">
        <f t="shared" si="49"/>
        <v>0</v>
      </c>
      <c r="Y92" s="57">
        <f t="shared" si="46"/>
        <v>62326</v>
      </c>
      <c r="AL92" s="2" t="e">
        <f>IF(AND(Y49&gt;=$W$9,Y49&lt;=$W$9+5),0,IF($C$9&gt;$AF$51,ROUND(AI52*#REF!/(DATEVALUE(CONCATENATE("01/01/",YEAR(Z49)+1))-DATEVALUE(CONCATENATE("01/01/",YEAR(Z49))))*(Z49-Z48),2),0))</f>
        <v>#REF!</v>
      </c>
      <c r="AM92" s="34">
        <f t="shared" si="51"/>
        <v>0</v>
      </c>
      <c r="AN92" s="57">
        <f t="shared" si="50"/>
        <v>60866</v>
      </c>
      <c r="AO92" s="130">
        <f t="shared" si="68"/>
        <v>0</v>
      </c>
      <c r="AP92" s="109">
        <f t="shared" si="81"/>
        <v>84</v>
      </c>
      <c r="AQ92" s="110">
        <f t="shared" si="59"/>
        <v>47001</v>
      </c>
      <c r="AR92" s="177">
        <f t="shared" si="53"/>
        <v>0.14899999999999999</v>
      </c>
      <c r="AS92" s="105">
        <f t="shared" si="69"/>
        <v>0</v>
      </c>
      <c r="AT92" s="105">
        <f t="shared" si="75"/>
        <v>0</v>
      </c>
      <c r="AU92" s="105">
        <f t="shared" si="76"/>
        <v>0</v>
      </c>
      <c r="AV92" s="105">
        <f t="shared" si="71"/>
        <v>0</v>
      </c>
      <c r="AW92" s="105">
        <f t="shared" si="61"/>
        <v>0</v>
      </c>
      <c r="AX92" s="105">
        <v>0</v>
      </c>
      <c r="AY92" s="105">
        <f t="shared" si="89"/>
        <v>0</v>
      </c>
      <c r="AZ92" s="105">
        <f t="shared" si="87"/>
        <v>0</v>
      </c>
      <c r="BA92" s="105">
        <f t="shared" si="86"/>
        <v>0</v>
      </c>
      <c r="BB92" s="105"/>
      <c r="BC92" s="105"/>
      <c r="BD92" s="105"/>
      <c r="BE92" s="105"/>
      <c r="BF92" s="105"/>
      <c r="BG92" s="105">
        <f t="shared" si="72"/>
        <v>0</v>
      </c>
      <c r="BH92" s="108">
        <f t="shared" si="82"/>
        <v>0</v>
      </c>
      <c r="BI92" s="108">
        <f t="shared" si="77"/>
        <v>0</v>
      </c>
      <c r="BJ92" s="22">
        <f t="shared" si="78"/>
        <v>47001</v>
      </c>
      <c r="BK92" s="108">
        <f t="shared" si="62"/>
        <v>0</v>
      </c>
      <c r="BL92" s="2" t="e">
        <f>IF(AND(G47&gt;=$W$9,G47&lt;=$W$9+5),0,IF($C$9&gt;$AF$51,ROUND(BG46*IF(#REF!="",0,#REF!)/(DATEVALUE(CONCATENATE("01/01/",YEAR(AQ47)+1))-DATEVALUE(CONCATENATE("01/01/",YEAR(AQ47))))*(AQ47-AQ46),2),0))</f>
        <v>#REF!</v>
      </c>
    </row>
    <row r="93" spans="1:64" s="16" customFormat="1" x14ac:dyDescent="0.3">
      <c r="A93" s="178"/>
      <c r="B93" s="178"/>
      <c r="C93" s="184"/>
      <c r="D93" s="178"/>
      <c r="E93" s="178"/>
      <c r="F93" s="184"/>
      <c r="G93" s="114">
        <f t="shared" si="79"/>
        <v>85</v>
      </c>
      <c r="H93" s="111">
        <f t="shared" si="57"/>
        <v>47031</v>
      </c>
      <c r="I93" s="176">
        <f t="shared" si="54"/>
        <v>0.10899999999999999</v>
      </c>
      <c r="J93" s="24">
        <f t="shared" si="63"/>
        <v>0</v>
      </c>
      <c r="K93" s="242">
        <f t="shared" si="52"/>
        <v>0</v>
      </c>
      <c r="L93" s="24">
        <f t="shared" si="85"/>
        <v>0</v>
      </c>
      <c r="M93" s="24">
        <f t="shared" si="73"/>
        <v>0</v>
      </c>
      <c r="N93" s="24">
        <f t="shared" si="58"/>
        <v>0</v>
      </c>
      <c r="O93" s="24">
        <v>0</v>
      </c>
      <c r="P93" s="24">
        <f t="shared" si="88"/>
        <v>0</v>
      </c>
      <c r="Q93" s="24">
        <f t="shared" si="84"/>
        <v>0</v>
      </c>
      <c r="R93" s="24">
        <f t="shared" si="65"/>
        <v>0</v>
      </c>
      <c r="S93" s="24">
        <f t="shared" si="74"/>
        <v>0</v>
      </c>
      <c r="T93" s="24"/>
      <c r="U93" s="36">
        <f t="shared" si="80"/>
        <v>0</v>
      </c>
      <c r="V93" s="36">
        <f t="shared" si="67"/>
        <v>0</v>
      </c>
      <c r="W93" s="2" t="e">
        <f>IF(AND(G58&gt;=$W$9,G58&lt;=$W$9+5),0,IF($C$9&gt;$AF$51,ROUND(S57*#REF!/(DATEVALUE(CONCATENATE("01/01/",YEAR(H58)+1))-DATEVALUE(CONCATENATE("01/01/",YEAR(H58))))*(H58-H57),2),0))</f>
        <v>#REF!</v>
      </c>
      <c r="X93" s="34">
        <f t="shared" si="49"/>
        <v>0</v>
      </c>
      <c r="Y93" s="57">
        <f t="shared" si="46"/>
        <v>62691</v>
      </c>
      <c r="AL93" s="2" t="e">
        <f>IF(AND(Y50&gt;=$W$9,Y50&lt;=$W$9+5),0,IF($C$9&gt;$AF$51,ROUND(AI53*#REF!/(DATEVALUE(CONCATENATE("01/01/",YEAR(Z50)+1))-DATEVALUE(CONCATENATE("01/01/",YEAR(Z50))))*(Z50-Z49),2),0))</f>
        <v>#REF!</v>
      </c>
      <c r="AM93" s="34">
        <f t="shared" si="51"/>
        <v>0</v>
      </c>
      <c r="AN93" s="57">
        <f t="shared" si="50"/>
        <v>61231</v>
      </c>
      <c r="AO93" s="130">
        <f t="shared" si="68"/>
        <v>0</v>
      </c>
      <c r="AP93" s="109">
        <f t="shared" si="81"/>
        <v>85</v>
      </c>
      <c r="AQ93" s="110">
        <f t="shared" si="59"/>
        <v>47031</v>
      </c>
      <c r="AR93" s="177">
        <f t="shared" si="53"/>
        <v>0.14899999999999999</v>
      </c>
      <c r="AS93" s="105">
        <f t="shared" si="69"/>
        <v>0</v>
      </c>
      <c r="AT93" s="105">
        <f t="shared" si="75"/>
        <v>0</v>
      </c>
      <c r="AU93" s="105">
        <f t="shared" si="76"/>
        <v>0</v>
      </c>
      <c r="AV93" s="105">
        <f t="shared" si="71"/>
        <v>0</v>
      </c>
      <c r="AW93" s="105">
        <f t="shared" si="61"/>
        <v>0</v>
      </c>
      <c r="AX93" s="105">
        <v>0</v>
      </c>
      <c r="AY93" s="105">
        <f t="shared" si="89"/>
        <v>0</v>
      </c>
      <c r="AZ93" s="105">
        <f t="shared" si="87"/>
        <v>0</v>
      </c>
      <c r="BA93" s="105">
        <f t="shared" si="86"/>
        <v>0</v>
      </c>
      <c r="BB93" s="105"/>
      <c r="BC93" s="105"/>
      <c r="BD93" s="105"/>
      <c r="BE93" s="105"/>
      <c r="BF93" s="105"/>
      <c r="BG93" s="105">
        <f t="shared" si="72"/>
        <v>0</v>
      </c>
      <c r="BH93" s="108">
        <f t="shared" si="82"/>
        <v>0</v>
      </c>
      <c r="BI93" s="108">
        <f t="shared" si="77"/>
        <v>0</v>
      </c>
      <c r="BJ93" s="22">
        <f t="shared" si="78"/>
        <v>47031</v>
      </c>
      <c r="BK93" s="108">
        <f t="shared" si="62"/>
        <v>0</v>
      </c>
      <c r="BL93" s="2" t="e">
        <f>IF(AND(G48&gt;=$W$9,G48&lt;=$W$9+5),0,IF($C$9&gt;$AF$51,ROUND(BG47*IF(#REF!="",0,#REF!)/(DATEVALUE(CONCATENATE("01/01/",YEAR(AQ48)+1))-DATEVALUE(CONCATENATE("01/01/",YEAR(AQ48))))*(AQ48-AQ47),2),0))</f>
        <v>#REF!</v>
      </c>
    </row>
    <row r="94" spans="1:64" s="16" customFormat="1" x14ac:dyDescent="0.3">
      <c r="A94" s="178"/>
      <c r="B94" s="178"/>
      <c r="C94" s="184"/>
      <c r="D94" s="178"/>
      <c r="E94" s="178"/>
      <c r="F94" s="184"/>
      <c r="G94" s="114">
        <f t="shared" si="79"/>
        <v>86</v>
      </c>
      <c r="H94" s="111">
        <f t="shared" si="57"/>
        <v>47062</v>
      </c>
      <c r="I94" s="176">
        <f t="shared" si="54"/>
        <v>0.10899999999999999</v>
      </c>
      <c r="J94" s="24">
        <f t="shared" si="63"/>
        <v>0</v>
      </c>
      <c r="K94" s="242">
        <f t="shared" si="52"/>
        <v>0</v>
      </c>
      <c r="L94" s="24">
        <f t="shared" si="85"/>
        <v>0</v>
      </c>
      <c r="M94" s="24">
        <f t="shared" si="73"/>
        <v>0</v>
      </c>
      <c r="N94" s="24">
        <f t="shared" si="58"/>
        <v>0</v>
      </c>
      <c r="O94" s="24">
        <v>0</v>
      </c>
      <c r="P94" s="24">
        <f t="shared" si="88"/>
        <v>0</v>
      </c>
      <c r="Q94" s="24">
        <f t="shared" si="84"/>
        <v>0</v>
      </c>
      <c r="R94" s="24">
        <f t="shared" si="65"/>
        <v>0</v>
      </c>
      <c r="S94" s="24">
        <f t="shared" si="74"/>
        <v>0</v>
      </c>
      <c r="T94" s="24"/>
      <c r="U94" s="36">
        <f t="shared" si="80"/>
        <v>0</v>
      </c>
      <c r="V94" s="36">
        <f t="shared" si="67"/>
        <v>0</v>
      </c>
      <c r="W94" s="2" t="e">
        <f>IF(AND(G59&gt;=$W$9,G59&lt;=$W$9+5),0,IF($C$9&gt;$AF$51,ROUND(S58*#REF!/(DATEVALUE(CONCATENATE("01/01/",YEAR(H59)+1))-DATEVALUE(CONCATENATE("01/01/",YEAR(H59))))*(H59-H58),2),0))</f>
        <v>#REF!</v>
      </c>
      <c r="X94" s="34">
        <f t="shared" si="49"/>
        <v>0</v>
      </c>
      <c r="Y94" s="57">
        <f t="shared" si="46"/>
        <v>63056</v>
      </c>
      <c r="AL94" s="2" t="e">
        <f>IF(AND(Y51&gt;=$W$9,Y51&lt;=$W$9+5),0,IF($C$9&gt;$AF$51,ROUND(AI54*#REF!/(DATEVALUE(CONCATENATE("01/01/",YEAR(Z51)+1))-DATEVALUE(CONCATENATE("01/01/",YEAR(Z51))))*(Z51-Z50),2),0))</f>
        <v>#REF!</v>
      </c>
      <c r="AM94" s="34">
        <f t="shared" si="51"/>
        <v>0</v>
      </c>
      <c r="AN94" s="57">
        <f t="shared" si="50"/>
        <v>61596</v>
      </c>
      <c r="AO94" s="130">
        <f t="shared" si="68"/>
        <v>0</v>
      </c>
      <c r="AP94" s="109">
        <f t="shared" si="81"/>
        <v>86</v>
      </c>
      <c r="AQ94" s="110">
        <f t="shared" si="59"/>
        <v>47062</v>
      </c>
      <c r="AR94" s="177">
        <f t="shared" si="53"/>
        <v>0.14899999999999999</v>
      </c>
      <c r="AS94" s="105">
        <f t="shared" si="69"/>
        <v>0</v>
      </c>
      <c r="AT94" s="105">
        <f t="shared" si="75"/>
        <v>0</v>
      </c>
      <c r="AU94" s="105">
        <f t="shared" si="76"/>
        <v>0</v>
      </c>
      <c r="AV94" s="105">
        <f t="shared" si="71"/>
        <v>0</v>
      </c>
      <c r="AW94" s="105">
        <f t="shared" si="61"/>
        <v>0</v>
      </c>
      <c r="AX94" s="105">
        <v>0</v>
      </c>
      <c r="AY94" s="105">
        <f t="shared" si="89"/>
        <v>0</v>
      </c>
      <c r="AZ94" s="105">
        <f t="shared" si="87"/>
        <v>0</v>
      </c>
      <c r="BA94" s="105">
        <f t="shared" si="86"/>
        <v>0</v>
      </c>
      <c r="BB94" s="105"/>
      <c r="BC94" s="105"/>
      <c r="BD94" s="105"/>
      <c r="BE94" s="105"/>
      <c r="BF94" s="105"/>
      <c r="BG94" s="105">
        <f t="shared" si="72"/>
        <v>0</v>
      </c>
      <c r="BH94" s="108">
        <f t="shared" si="82"/>
        <v>0</v>
      </c>
      <c r="BI94" s="108">
        <f t="shared" si="77"/>
        <v>0</v>
      </c>
      <c r="BJ94" s="22">
        <f t="shared" si="78"/>
        <v>47062</v>
      </c>
      <c r="BK94" s="108">
        <f t="shared" si="62"/>
        <v>0</v>
      </c>
      <c r="BL94" s="2" t="e">
        <f>IF(AND(G49&gt;=$W$9,G49&lt;=$W$9+5),0,IF($C$9&gt;$AF$51,ROUND(BG48*IF(#REF!="",0,#REF!)/(DATEVALUE(CONCATENATE("01/01/",YEAR(AQ49)+1))-DATEVALUE(CONCATENATE("01/01/",YEAR(AQ49))))*(AQ49-AQ48),2),0))</f>
        <v>#REF!</v>
      </c>
    </row>
    <row r="95" spans="1:64" s="16" customFormat="1" x14ac:dyDescent="0.3">
      <c r="A95" s="178"/>
      <c r="B95" s="178"/>
      <c r="C95" s="184"/>
      <c r="D95" s="178"/>
      <c r="E95" s="178"/>
      <c r="F95" s="184"/>
      <c r="G95" s="114">
        <f t="shared" si="79"/>
        <v>87</v>
      </c>
      <c r="H95" s="111">
        <f t="shared" si="57"/>
        <v>47092</v>
      </c>
      <c r="I95" s="176">
        <f t="shared" si="54"/>
        <v>0.10899999999999999</v>
      </c>
      <c r="J95" s="24">
        <f t="shared" si="63"/>
        <v>0</v>
      </c>
      <c r="K95" s="242">
        <f t="shared" si="52"/>
        <v>0</v>
      </c>
      <c r="L95" s="24">
        <f t="shared" si="85"/>
        <v>0</v>
      </c>
      <c r="M95" s="24">
        <f t="shared" si="73"/>
        <v>0</v>
      </c>
      <c r="N95" s="24">
        <f t="shared" si="58"/>
        <v>0</v>
      </c>
      <c r="O95" s="24">
        <v>0</v>
      </c>
      <c r="P95" s="24">
        <f t="shared" si="88"/>
        <v>0</v>
      </c>
      <c r="Q95" s="24">
        <f t="shared" si="84"/>
        <v>0</v>
      </c>
      <c r="R95" s="24">
        <f t="shared" si="65"/>
        <v>0</v>
      </c>
      <c r="S95" s="24">
        <f t="shared" si="74"/>
        <v>0</v>
      </c>
      <c r="T95" s="24"/>
      <c r="U95" s="36">
        <f t="shared" si="80"/>
        <v>0</v>
      </c>
      <c r="V95" s="36">
        <f t="shared" si="67"/>
        <v>0</v>
      </c>
      <c r="W95" s="2" t="e">
        <f>IF(AND(G60&gt;=$W$9,G60&lt;=$W$9+5),0,IF($C$9&gt;$AF$51,ROUND(S59*#REF!/(DATEVALUE(CONCATENATE("01/01/",YEAR(H60)+1))-DATEVALUE(CONCATENATE("01/01/",YEAR(H60))))*(H60-H59),2),0))</f>
        <v>#REF!</v>
      </c>
      <c r="X95" s="34">
        <f t="shared" si="49"/>
        <v>0</v>
      </c>
      <c r="Y95" s="57">
        <f t="shared" si="46"/>
        <v>63421</v>
      </c>
      <c r="AL95" s="2" t="e">
        <f>IF(AND(Y52&gt;=$W$9,Y52&lt;=$W$9+5),0,IF($C$9&gt;$AF$51,ROUND(AI55*#REF!/(DATEVALUE(CONCATENATE("01/01/",YEAR(Z52)+1))-DATEVALUE(CONCATENATE("01/01/",YEAR(Z52))))*(Z52-Z51),2),0))</f>
        <v>#REF!</v>
      </c>
      <c r="AM95" s="34">
        <f t="shared" si="51"/>
        <v>0</v>
      </c>
      <c r="AN95" s="57">
        <f t="shared" si="50"/>
        <v>61961</v>
      </c>
      <c r="AO95" s="130">
        <f t="shared" si="68"/>
        <v>0</v>
      </c>
      <c r="AP95" s="109">
        <f t="shared" si="81"/>
        <v>87</v>
      </c>
      <c r="AQ95" s="110">
        <f t="shared" si="59"/>
        <v>47092</v>
      </c>
      <c r="AR95" s="177">
        <f t="shared" si="53"/>
        <v>0.14899999999999999</v>
      </c>
      <c r="AS95" s="105">
        <f t="shared" si="69"/>
        <v>0</v>
      </c>
      <c r="AT95" s="105">
        <f t="shared" si="75"/>
        <v>0</v>
      </c>
      <c r="AU95" s="105">
        <f t="shared" si="76"/>
        <v>0</v>
      </c>
      <c r="AV95" s="105">
        <f t="shared" si="71"/>
        <v>0</v>
      </c>
      <c r="AW95" s="105">
        <f t="shared" si="61"/>
        <v>0</v>
      </c>
      <c r="AX95" s="105">
        <v>0</v>
      </c>
      <c r="AY95" s="105">
        <f t="shared" si="89"/>
        <v>0</v>
      </c>
      <c r="AZ95" s="105">
        <f t="shared" si="87"/>
        <v>0</v>
      </c>
      <c r="BA95" s="105">
        <f t="shared" si="86"/>
        <v>0</v>
      </c>
      <c r="BB95" s="105"/>
      <c r="BC95" s="105"/>
      <c r="BD95" s="105"/>
      <c r="BE95" s="105"/>
      <c r="BF95" s="105"/>
      <c r="BG95" s="105">
        <f t="shared" si="72"/>
        <v>0</v>
      </c>
      <c r="BH95" s="108">
        <f t="shared" si="82"/>
        <v>0</v>
      </c>
      <c r="BI95" s="108">
        <f t="shared" si="77"/>
        <v>0</v>
      </c>
      <c r="BJ95" s="22">
        <f t="shared" si="78"/>
        <v>47092</v>
      </c>
      <c r="BK95" s="108">
        <f t="shared" si="62"/>
        <v>0</v>
      </c>
      <c r="BL95" s="2" t="e">
        <f>IF(AND(G50&gt;=$W$9,G50&lt;=$W$9+5),0,IF($C$9&gt;$AF$51,ROUND(BG49*IF(#REF!="",0,#REF!)/(DATEVALUE(CONCATENATE("01/01/",YEAR(AQ50)+1))-DATEVALUE(CONCATENATE("01/01/",YEAR(AQ50))))*(AQ50-AQ49),2),0))</f>
        <v>#REF!</v>
      </c>
    </row>
    <row r="96" spans="1:64" s="16" customFormat="1" x14ac:dyDescent="0.3">
      <c r="A96" s="178"/>
      <c r="B96" s="178"/>
      <c r="C96" s="184"/>
      <c r="D96" s="178"/>
      <c r="E96" s="178"/>
      <c r="F96" s="184"/>
      <c r="G96" s="114">
        <f t="shared" si="79"/>
        <v>88</v>
      </c>
      <c r="H96" s="111">
        <f t="shared" si="57"/>
        <v>47123</v>
      </c>
      <c r="I96" s="176">
        <f t="shared" si="54"/>
        <v>0.10899999999999999</v>
      </c>
      <c r="J96" s="24">
        <f t="shared" si="63"/>
        <v>0</v>
      </c>
      <c r="K96" s="242">
        <f t="shared" si="52"/>
        <v>0</v>
      </c>
      <c r="L96" s="24">
        <f t="shared" si="85"/>
        <v>0</v>
      </c>
      <c r="M96" s="24">
        <f t="shared" si="73"/>
        <v>0</v>
      </c>
      <c r="N96" s="24">
        <f t="shared" si="58"/>
        <v>0</v>
      </c>
      <c r="O96" s="24">
        <v>0</v>
      </c>
      <c r="P96" s="24">
        <f t="shared" si="88"/>
        <v>0</v>
      </c>
      <c r="Q96" s="24">
        <f t="shared" si="84"/>
        <v>0</v>
      </c>
      <c r="R96" s="24">
        <f t="shared" si="65"/>
        <v>0</v>
      </c>
      <c r="S96" s="24">
        <f t="shared" si="74"/>
        <v>0</v>
      </c>
      <c r="T96" s="24"/>
      <c r="U96" s="36">
        <f t="shared" si="80"/>
        <v>0</v>
      </c>
      <c r="V96" s="36">
        <f t="shared" si="67"/>
        <v>0</v>
      </c>
      <c r="W96" s="2" t="e">
        <f>IF(AND(G61&gt;=$W$9,G61&lt;=$W$9+5),0,IF($C$9&gt;$AF$51,ROUND(S60*#REF!/(DATEVALUE(CONCATENATE("01/01/",YEAR(H61)+1))-DATEVALUE(CONCATENATE("01/01/",YEAR(H61))))*(H61-H60),2),0))</f>
        <v>#REF!</v>
      </c>
      <c r="X96" s="34">
        <f t="shared" si="49"/>
        <v>0</v>
      </c>
      <c r="Y96" s="57">
        <f t="shared" si="46"/>
        <v>63786</v>
      </c>
      <c r="AL96" s="2" t="e">
        <f>IF(AND(Y53&gt;=$W$9,Y53&lt;=$W$9+5),0,IF($C$9&gt;$AF$51,ROUND(AI56*#REF!/(DATEVALUE(CONCATENATE("01/01/",YEAR(Z53)+1))-DATEVALUE(CONCATENATE("01/01/",YEAR(Z53))))*(Z53-Z52),2),0))</f>
        <v>#REF!</v>
      </c>
      <c r="AM96" s="34">
        <f t="shared" si="51"/>
        <v>0</v>
      </c>
      <c r="AN96" s="57">
        <f t="shared" si="50"/>
        <v>62326</v>
      </c>
      <c r="AO96" s="130">
        <f t="shared" si="68"/>
        <v>0</v>
      </c>
      <c r="AP96" s="109">
        <f t="shared" si="81"/>
        <v>88</v>
      </c>
      <c r="AQ96" s="110">
        <f t="shared" si="59"/>
        <v>47123</v>
      </c>
      <c r="AR96" s="177">
        <f t="shared" si="53"/>
        <v>0.14899999999999999</v>
      </c>
      <c r="AS96" s="105">
        <f t="shared" si="69"/>
        <v>0</v>
      </c>
      <c r="AT96" s="105">
        <f t="shared" si="75"/>
        <v>0</v>
      </c>
      <c r="AU96" s="105">
        <f t="shared" si="76"/>
        <v>0</v>
      </c>
      <c r="AV96" s="105">
        <f t="shared" si="71"/>
        <v>0</v>
      </c>
      <c r="AW96" s="105">
        <f t="shared" si="61"/>
        <v>0</v>
      </c>
      <c r="AX96" s="105">
        <v>0</v>
      </c>
      <c r="AY96" s="105">
        <f t="shared" si="89"/>
        <v>0</v>
      </c>
      <c r="AZ96" s="105">
        <f t="shared" si="87"/>
        <v>0</v>
      </c>
      <c r="BA96" s="105">
        <f t="shared" si="86"/>
        <v>0</v>
      </c>
      <c r="BB96" s="105"/>
      <c r="BC96" s="105"/>
      <c r="BD96" s="105"/>
      <c r="BE96" s="105"/>
      <c r="BF96" s="105"/>
      <c r="BG96" s="105">
        <f t="shared" si="72"/>
        <v>0</v>
      </c>
      <c r="BH96" s="108">
        <f t="shared" si="82"/>
        <v>0</v>
      </c>
      <c r="BI96" s="108">
        <f t="shared" si="77"/>
        <v>0</v>
      </c>
      <c r="BJ96" s="22">
        <f t="shared" si="78"/>
        <v>47123</v>
      </c>
      <c r="BK96" s="108">
        <f t="shared" si="62"/>
        <v>0</v>
      </c>
      <c r="BL96" s="2" t="e">
        <f>IF(AND(G51&gt;=$W$9,G51&lt;=$W$9+5),0,IF($C$9&gt;$AF$51,ROUND(BG50*IF(#REF!="",0,#REF!)/(DATEVALUE(CONCATENATE("01/01/",YEAR(AQ51)+1))-DATEVALUE(CONCATENATE("01/01/",YEAR(AQ51))))*(AQ51-AQ50),2),0))</f>
        <v>#REF!</v>
      </c>
    </row>
    <row r="97" spans="1:1217" s="16" customFormat="1" x14ac:dyDescent="0.3">
      <c r="A97" s="178"/>
      <c r="B97" s="178"/>
      <c r="C97" s="184"/>
      <c r="D97" s="178"/>
      <c r="E97" s="178"/>
      <c r="F97" s="184"/>
      <c r="G97" s="114">
        <f t="shared" si="79"/>
        <v>89</v>
      </c>
      <c r="H97" s="111">
        <f t="shared" si="57"/>
        <v>47154</v>
      </c>
      <c r="I97" s="176">
        <f t="shared" si="54"/>
        <v>0.10899999999999999</v>
      </c>
      <c r="J97" s="24">
        <f t="shared" si="63"/>
        <v>0</v>
      </c>
      <c r="K97" s="242">
        <f t="shared" si="52"/>
        <v>0</v>
      </c>
      <c r="L97" s="24">
        <f t="shared" si="85"/>
        <v>0</v>
      </c>
      <c r="M97" s="24">
        <f t="shared" si="73"/>
        <v>0</v>
      </c>
      <c r="N97" s="24">
        <f t="shared" si="58"/>
        <v>0</v>
      </c>
      <c r="O97" s="24">
        <v>0</v>
      </c>
      <c r="P97" s="24">
        <f t="shared" si="88"/>
        <v>0</v>
      </c>
      <c r="Q97" s="24">
        <f t="shared" si="84"/>
        <v>0</v>
      </c>
      <c r="R97" s="24">
        <f t="shared" si="65"/>
        <v>0</v>
      </c>
      <c r="S97" s="24">
        <f t="shared" si="74"/>
        <v>0</v>
      </c>
      <c r="T97" s="24"/>
      <c r="U97" s="36">
        <f t="shared" si="80"/>
        <v>0</v>
      </c>
      <c r="V97" s="36">
        <f t="shared" si="67"/>
        <v>0</v>
      </c>
      <c r="W97" s="2" t="e">
        <f>IF(AND(G62&gt;=$W$9,G62&lt;=$W$9+5),0,IF($C$9&gt;$AF$51,ROUND(S61*#REF!/(DATEVALUE(CONCATENATE("01/01/",YEAR(H62)+1))-DATEVALUE(CONCATENATE("01/01/",YEAR(H62))))*(H62-H61),2),0))</f>
        <v>#REF!</v>
      </c>
      <c r="X97" s="34">
        <f t="shared" si="49"/>
        <v>0</v>
      </c>
      <c r="Y97" s="57">
        <f t="shared" si="46"/>
        <v>64151</v>
      </c>
      <c r="AL97" s="2" t="e">
        <f>IF(AND(Y54&gt;=$W$9,Y54&lt;=$W$9+5),0,IF($C$9&gt;$AF$51,ROUND(AI57*#REF!/(DATEVALUE(CONCATENATE("01/01/",YEAR(Z54)+1))-DATEVALUE(CONCATENATE("01/01/",YEAR(Z54))))*(Z54-Z53),2),0))</f>
        <v>#REF!</v>
      </c>
      <c r="AM97" s="34">
        <f t="shared" si="51"/>
        <v>0</v>
      </c>
      <c r="AN97" s="57">
        <f t="shared" si="50"/>
        <v>62691</v>
      </c>
      <c r="AO97" s="130">
        <f t="shared" si="68"/>
        <v>0</v>
      </c>
      <c r="AP97" s="109">
        <f t="shared" si="81"/>
        <v>89</v>
      </c>
      <c r="AQ97" s="110">
        <f t="shared" si="59"/>
        <v>47154</v>
      </c>
      <c r="AR97" s="177">
        <f t="shared" si="53"/>
        <v>0.14899999999999999</v>
      </c>
      <c r="AS97" s="105">
        <f t="shared" si="69"/>
        <v>0</v>
      </c>
      <c r="AT97" s="105">
        <f t="shared" si="75"/>
        <v>0</v>
      </c>
      <c r="AU97" s="105">
        <f t="shared" si="76"/>
        <v>0</v>
      </c>
      <c r="AV97" s="105">
        <f t="shared" si="71"/>
        <v>0</v>
      </c>
      <c r="AW97" s="105">
        <f t="shared" si="61"/>
        <v>0</v>
      </c>
      <c r="AX97" s="105">
        <v>0</v>
      </c>
      <c r="AY97" s="105">
        <f t="shared" si="89"/>
        <v>0</v>
      </c>
      <c r="AZ97" s="105">
        <f t="shared" si="87"/>
        <v>0</v>
      </c>
      <c r="BA97" s="105">
        <f t="shared" si="86"/>
        <v>0</v>
      </c>
      <c r="BB97" s="105"/>
      <c r="BC97" s="105"/>
      <c r="BD97" s="105"/>
      <c r="BE97" s="105"/>
      <c r="BF97" s="105"/>
      <c r="BG97" s="105">
        <f t="shared" si="72"/>
        <v>0</v>
      </c>
      <c r="BH97" s="108">
        <f t="shared" si="82"/>
        <v>0</v>
      </c>
      <c r="BI97" s="108">
        <f t="shared" si="77"/>
        <v>0</v>
      </c>
      <c r="BJ97" s="22">
        <f t="shared" si="78"/>
        <v>47154</v>
      </c>
      <c r="BK97" s="108">
        <f t="shared" si="62"/>
        <v>0</v>
      </c>
      <c r="BL97" s="2" t="e">
        <f>IF(AND(G52&gt;=$W$9,G52&lt;=$W$9+5),0,IF($C$9&gt;$AF$51,ROUND(BG51*IF(#REF!="",0,#REF!)/(DATEVALUE(CONCATENATE("01/01/",YEAR(AQ52)+1))-DATEVALUE(CONCATENATE("01/01/",YEAR(AQ52))))*(AQ52-AQ51),2),0))</f>
        <v>#REF!</v>
      </c>
    </row>
    <row r="98" spans="1:1217" s="16" customFormat="1" x14ac:dyDescent="0.3">
      <c r="A98" s="178"/>
      <c r="B98" s="178"/>
      <c r="C98" s="184"/>
      <c r="D98" s="178"/>
      <c r="E98" s="178"/>
      <c r="F98" s="184"/>
      <c r="G98" s="114">
        <f t="shared" si="79"/>
        <v>90</v>
      </c>
      <c r="H98" s="111">
        <f t="shared" si="57"/>
        <v>47182</v>
      </c>
      <c r="I98" s="176">
        <f t="shared" si="54"/>
        <v>0.10899999999999999</v>
      </c>
      <c r="J98" s="24">
        <f t="shared" si="63"/>
        <v>0</v>
      </c>
      <c r="K98" s="242">
        <f t="shared" si="52"/>
        <v>0</v>
      </c>
      <c r="L98" s="24">
        <f t="shared" si="85"/>
        <v>0</v>
      </c>
      <c r="M98" s="24">
        <f t="shared" si="73"/>
        <v>0</v>
      </c>
      <c r="N98" s="24">
        <f t="shared" si="58"/>
        <v>0</v>
      </c>
      <c r="O98" s="24">
        <v>0</v>
      </c>
      <c r="P98" s="24">
        <f t="shared" si="88"/>
        <v>0</v>
      </c>
      <c r="Q98" s="24">
        <f t="shared" si="84"/>
        <v>0</v>
      </c>
      <c r="R98" s="24">
        <f t="shared" si="65"/>
        <v>0</v>
      </c>
      <c r="S98" s="24">
        <f t="shared" si="74"/>
        <v>0</v>
      </c>
      <c r="T98" s="24"/>
      <c r="U98" s="36">
        <f t="shared" si="80"/>
        <v>0</v>
      </c>
      <c r="V98" s="36">
        <f t="shared" si="67"/>
        <v>0</v>
      </c>
      <c r="W98" s="2" t="e">
        <f>IF(AND(G63&gt;=$W$9,G63&lt;=$W$9+5),0,IF($C$9&gt;$AF$51,ROUND(S62*#REF!/(DATEVALUE(CONCATENATE("01/01/",YEAR(H63)+1))-DATEVALUE(CONCATENATE("01/01/",YEAR(H63))))*(H63-H62),2),0))</f>
        <v>#REF!</v>
      </c>
      <c r="X98" s="34">
        <f t="shared" si="49"/>
        <v>0</v>
      </c>
      <c r="Y98" s="57">
        <f t="shared" si="46"/>
        <v>64516</v>
      </c>
      <c r="AL98" s="2" t="e">
        <f>IF(AND(Y55&gt;=$W$9,Y55&lt;=$W$9+5),0,IF($C$9&gt;$AF$51,ROUND(AI58*#REF!/(DATEVALUE(CONCATENATE("01/01/",YEAR(Z55)+1))-DATEVALUE(CONCATENATE("01/01/",YEAR(Z55))))*(Z55-Z54),2),0))</f>
        <v>#REF!</v>
      </c>
      <c r="AM98" s="34">
        <f t="shared" si="51"/>
        <v>0</v>
      </c>
      <c r="AN98" s="57">
        <f t="shared" si="50"/>
        <v>63056</v>
      </c>
      <c r="AO98" s="130">
        <f t="shared" si="68"/>
        <v>0</v>
      </c>
      <c r="AP98" s="109">
        <f t="shared" si="81"/>
        <v>90</v>
      </c>
      <c r="AQ98" s="110">
        <f t="shared" si="59"/>
        <v>47182</v>
      </c>
      <c r="AR98" s="177">
        <f t="shared" si="53"/>
        <v>0.14899999999999999</v>
      </c>
      <c r="AS98" s="105">
        <f t="shared" si="69"/>
        <v>0</v>
      </c>
      <c r="AT98" s="105">
        <f t="shared" si="75"/>
        <v>0</v>
      </c>
      <c r="AU98" s="105">
        <f t="shared" si="76"/>
        <v>0</v>
      </c>
      <c r="AV98" s="105">
        <f t="shared" si="71"/>
        <v>0</v>
      </c>
      <c r="AW98" s="105">
        <f t="shared" si="61"/>
        <v>0</v>
      </c>
      <c r="AX98" s="105">
        <v>0</v>
      </c>
      <c r="AY98" s="105">
        <f t="shared" si="89"/>
        <v>0</v>
      </c>
      <c r="AZ98" s="105">
        <f t="shared" si="87"/>
        <v>0</v>
      </c>
      <c r="BA98" s="105">
        <f t="shared" si="86"/>
        <v>0</v>
      </c>
      <c r="BB98" s="105"/>
      <c r="BC98" s="105"/>
      <c r="BD98" s="105"/>
      <c r="BE98" s="105"/>
      <c r="BF98" s="105"/>
      <c r="BG98" s="105">
        <f t="shared" si="72"/>
        <v>0</v>
      </c>
      <c r="BH98" s="108">
        <f t="shared" si="82"/>
        <v>0</v>
      </c>
      <c r="BI98" s="108">
        <f t="shared" si="77"/>
        <v>0</v>
      </c>
      <c r="BJ98" s="22">
        <f t="shared" si="78"/>
        <v>47182</v>
      </c>
      <c r="BK98" s="108">
        <f t="shared" si="62"/>
        <v>0</v>
      </c>
      <c r="BL98" s="2" t="e">
        <f>IF(AND(G53&gt;=$W$9,G53&lt;=$W$9+5),0,IF($C$9&gt;$AF$51,ROUND(BG52*IF(#REF!="",0,#REF!)/(DATEVALUE(CONCATENATE("01/01/",YEAR(AQ53)+1))-DATEVALUE(CONCATENATE("01/01/",YEAR(AQ53))))*(AQ53-AQ52),2),0))</f>
        <v>#REF!</v>
      </c>
    </row>
    <row r="99" spans="1:1217" s="16" customFormat="1" x14ac:dyDescent="0.3">
      <c r="A99" s="183"/>
      <c r="B99" s="180"/>
      <c r="C99" s="184"/>
      <c r="D99" s="182"/>
      <c r="E99" s="178"/>
      <c r="F99" s="184"/>
      <c r="G99" s="114">
        <f t="shared" si="79"/>
        <v>91</v>
      </c>
      <c r="H99" s="111">
        <f t="shared" si="57"/>
        <v>47213</v>
      </c>
      <c r="I99" s="176">
        <f t="shared" si="54"/>
        <v>0.10899999999999999</v>
      </c>
      <c r="J99" s="24">
        <f t="shared" si="63"/>
        <v>0</v>
      </c>
      <c r="K99" s="242">
        <f t="shared" si="52"/>
        <v>0</v>
      </c>
      <c r="L99" s="24">
        <f t="shared" si="85"/>
        <v>0</v>
      </c>
      <c r="M99" s="24">
        <f t="shared" si="73"/>
        <v>0</v>
      </c>
      <c r="N99" s="24">
        <f t="shared" si="58"/>
        <v>0</v>
      </c>
      <c r="O99" s="24">
        <v>0</v>
      </c>
      <c r="P99" s="24">
        <f t="shared" si="88"/>
        <v>0</v>
      </c>
      <c r="Q99" s="24">
        <f t="shared" si="84"/>
        <v>0</v>
      </c>
      <c r="R99" s="24">
        <f t="shared" si="65"/>
        <v>0</v>
      </c>
      <c r="S99" s="24">
        <f t="shared" si="74"/>
        <v>0</v>
      </c>
      <c r="T99" s="24"/>
      <c r="U99" s="36">
        <f t="shared" si="80"/>
        <v>0</v>
      </c>
      <c r="V99" s="36">
        <f t="shared" si="67"/>
        <v>0</v>
      </c>
      <c r="W99" s="2" t="e">
        <f>IF(AND(G64&gt;=$W$9,G64&lt;=$W$9+5),0,IF($C$9&gt;$AF$51,ROUND(S63*#REF!/(DATEVALUE(CONCATENATE("01/01/",YEAR(H64)+1))-DATEVALUE(CONCATENATE("01/01/",YEAR(H64))))*(H64-H63),2),0))</f>
        <v>#REF!</v>
      </c>
      <c r="X99" s="34">
        <f t="shared" si="49"/>
        <v>0</v>
      </c>
      <c r="Y99" s="57">
        <f t="shared" si="46"/>
        <v>64881</v>
      </c>
      <c r="AL99" s="2" t="e">
        <f>IF(AND(Y56&gt;=$W$9,Y56&lt;=$W$9+5),0,IF($C$9&gt;$AF$51,ROUND(AI59*#REF!/(DATEVALUE(CONCATENATE("01/01/",YEAR(Z56)+1))-DATEVALUE(CONCATENATE("01/01/",YEAR(Z56))))*(Z56-Z55),2),0))</f>
        <v>#VALUE!</v>
      </c>
      <c r="AM99" s="34">
        <f t="shared" si="51"/>
        <v>0</v>
      </c>
      <c r="AN99" s="57">
        <f t="shared" si="50"/>
        <v>63421</v>
      </c>
      <c r="AO99" s="130">
        <f t="shared" si="68"/>
        <v>0</v>
      </c>
      <c r="AP99" s="109">
        <f t="shared" si="81"/>
        <v>91</v>
      </c>
      <c r="AQ99" s="110">
        <f t="shared" si="59"/>
        <v>47213</v>
      </c>
      <c r="AR99" s="177">
        <f t="shared" si="53"/>
        <v>0.14899999999999999</v>
      </c>
      <c r="AS99" s="105">
        <f t="shared" si="69"/>
        <v>0</v>
      </c>
      <c r="AT99" s="105">
        <f t="shared" si="75"/>
        <v>0</v>
      </c>
      <c r="AU99" s="105">
        <f t="shared" si="76"/>
        <v>0</v>
      </c>
      <c r="AV99" s="105">
        <f t="shared" si="71"/>
        <v>0</v>
      </c>
      <c r="AW99" s="105">
        <f t="shared" si="61"/>
        <v>0</v>
      </c>
      <c r="AX99" s="105">
        <v>0</v>
      </c>
      <c r="AY99" s="105">
        <f t="shared" si="89"/>
        <v>0</v>
      </c>
      <c r="AZ99" s="105">
        <f t="shared" si="87"/>
        <v>0</v>
      </c>
      <c r="BA99" s="105">
        <f t="shared" si="86"/>
        <v>0</v>
      </c>
      <c r="BB99" s="105"/>
      <c r="BC99" s="105"/>
      <c r="BD99" s="105"/>
      <c r="BE99" s="105"/>
      <c r="BF99" s="105"/>
      <c r="BG99" s="105">
        <f t="shared" si="72"/>
        <v>0</v>
      </c>
      <c r="BH99" s="108">
        <f t="shared" si="82"/>
        <v>0</v>
      </c>
      <c r="BI99" s="108">
        <f t="shared" si="77"/>
        <v>0</v>
      </c>
      <c r="BJ99" s="22">
        <f t="shared" si="78"/>
        <v>47213</v>
      </c>
      <c r="BK99" s="108">
        <f t="shared" si="62"/>
        <v>0</v>
      </c>
      <c r="BL99" s="2" t="e">
        <f>IF(AND(G54&gt;=$W$9,G54&lt;=$W$9+5),0,IF($C$9&gt;$AF$51,ROUND(BG53*IF(#REF!="",0,#REF!)/(DATEVALUE(CONCATENATE("01/01/",YEAR(AQ54)+1))-DATEVALUE(CONCATENATE("01/01/",YEAR(AQ54))))*(AQ54-AQ53),2),0))</f>
        <v>#REF!</v>
      </c>
    </row>
    <row r="100" spans="1:1217" s="16" customFormat="1" x14ac:dyDescent="0.3">
      <c r="A100" s="183"/>
      <c r="B100" s="178"/>
      <c r="C100" s="184"/>
      <c r="D100" s="178"/>
      <c r="E100" s="178"/>
      <c r="F100" s="184"/>
      <c r="G100" s="114">
        <f t="shared" si="79"/>
        <v>92</v>
      </c>
      <c r="H100" s="111">
        <f t="shared" si="57"/>
        <v>47243</v>
      </c>
      <c r="I100" s="176">
        <f t="shared" si="54"/>
        <v>0.10899999999999999</v>
      </c>
      <c r="J100" s="24">
        <f t="shared" si="63"/>
        <v>0</v>
      </c>
      <c r="K100" s="242">
        <f t="shared" si="52"/>
        <v>0</v>
      </c>
      <c r="L100" s="24">
        <f t="shared" si="85"/>
        <v>0</v>
      </c>
      <c r="M100" s="24">
        <f t="shared" si="73"/>
        <v>0</v>
      </c>
      <c r="N100" s="24">
        <f t="shared" si="58"/>
        <v>0</v>
      </c>
      <c r="O100" s="24">
        <v>0</v>
      </c>
      <c r="P100" s="24">
        <f t="shared" si="88"/>
        <v>0</v>
      </c>
      <c r="Q100" s="24">
        <f t="shared" si="84"/>
        <v>0</v>
      </c>
      <c r="R100" s="24">
        <f t="shared" si="65"/>
        <v>0</v>
      </c>
      <c r="S100" s="24">
        <f t="shared" si="74"/>
        <v>0</v>
      </c>
      <c r="T100" s="24"/>
      <c r="U100" s="36">
        <f t="shared" si="80"/>
        <v>0</v>
      </c>
      <c r="V100" s="36">
        <f t="shared" si="67"/>
        <v>0</v>
      </c>
      <c r="W100" s="2" t="e">
        <f>IF(AND(G65&gt;=$W$9,G65&lt;=$W$9+5),0,IF($C$9&gt;$AF$51,ROUND(S64*#REF!/(DATEVALUE(CONCATENATE("01/01/",YEAR(H65)+1))-DATEVALUE(CONCATENATE("01/01/",YEAR(H65))))*(H65-H64),2),0))</f>
        <v>#REF!</v>
      </c>
      <c r="X100" s="34">
        <f t="shared" si="49"/>
        <v>0</v>
      </c>
      <c r="Y100" s="57">
        <f t="shared" si="46"/>
        <v>65246</v>
      </c>
      <c r="AL100" s="2" t="e">
        <f>IF(AND(Y57&gt;=$W$9,Y57&lt;=$W$9+5),0,IF($C$9&gt;$AF$51,ROUND(AI60*#REF!/(DATEVALUE(CONCATENATE("01/01/",YEAR(Z57)+1))-DATEVALUE(CONCATENATE("01/01/",YEAR(Z57))))*(Z57-Z56),2),0))</f>
        <v>#REF!</v>
      </c>
      <c r="AM100" s="34">
        <f t="shared" si="51"/>
        <v>0</v>
      </c>
      <c r="AN100" s="57">
        <f t="shared" si="50"/>
        <v>63786</v>
      </c>
      <c r="AO100" s="130">
        <f t="shared" si="68"/>
        <v>0</v>
      </c>
      <c r="AP100" s="109">
        <f t="shared" si="81"/>
        <v>92</v>
      </c>
      <c r="AQ100" s="110">
        <f t="shared" si="59"/>
        <v>47243</v>
      </c>
      <c r="AR100" s="177">
        <f t="shared" si="53"/>
        <v>0.14899999999999999</v>
      </c>
      <c r="AS100" s="105">
        <f t="shared" si="69"/>
        <v>0</v>
      </c>
      <c r="AT100" s="105">
        <f t="shared" si="75"/>
        <v>0</v>
      </c>
      <c r="AU100" s="105">
        <f t="shared" si="76"/>
        <v>0</v>
      </c>
      <c r="AV100" s="105">
        <f t="shared" si="71"/>
        <v>0</v>
      </c>
      <c r="AW100" s="105">
        <f t="shared" si="61"/>
        <v>0</v>
      </c>
      <c r="AX100" s="105">
        <v>0</v>
      </c>
      <c r="AY100" s="105">
        <f t="shared" si="89"/>
        <v>0</v>
      </c>
      <c r="AZ100" s="105">
        <f t="shared" si="87"/>
        <v>0</v>
      </c>
      <c r="BA100" s="105">
        <f t="shared" si="86"/>
        <v>0</v>
      </c>
      <c r="BB100" s="105"/>
      <c r="BC100" s="105"/>
      <c r="BD100" s="105"/>
      <c r="BE100" s="105"/>
      <c r="BF100" s="105"/>
      <c r="BG100" s="105">
        <f t="shared" si="72"/>
        <v>0</v>
      </c>
      <c r="BH100" s="108">
        <f t="shared" si="82"/>
        <v>0</v>
      </c>
      <c r="BI100" s="108">
        <f t="shared" si="77"/>
        <v>0</v>
      </c>
      <c r="BJ100" s="22">
        <f t="shared" si="78"/>
        <v>47243</v>
      </c>
      <c r="BK100" s="108">
        <f t="shared" si="62"/>
        <v>0</v>
      </c>
      <c r="BL100" s="2" t="e">
        <f>IF(AND(G55&gt;=$W$9,G55&lt;=$W$9+5),0,IF($C$9&gt;$AF$51,ROUND(BG54*IF(#REF!="",0,#REF!)/(DATEVALUE(CONCATENATE("01/01/",YEAR(AQ55)+1))-DATEVALUE(CONCATENATE("01/01/",YEAR(AQ55))))*(AQ55-AQ54),2),0))</f>
        <v>#REF!</v>
      </c>
    </row>
    <row r="101" spans="1:1217" s="16" customFormat="1" x14ac:dyDescent="0.3">
      <c r="A101" s="178"/>
      <c r="B101" s="178"/>
      <c r="C101" s="184"/>
      <c r="D101" s="184"/>
      <c r="E101" s="178"/>
      <c r="F101" s="184"/>
      <c r="G101" s="114">
        <f t="shared" si="79"/>
        <v>93</v>
      </c>
      <c r="H101" s="111">
        <f t="shared" si="57"/>
        <v>47274</v>
      </c>
      <c r="I101" s="176">
        <f t="shared" si="54"/>
        <v>0.10899999999999999</v>
      </c>
      <c r="J101" s="24">
        <f t="shared" si="63"/>
        <v>0</v>
      </c>
      <c r="K101" s="242">
        <f t="shared" si="52"/>
        <v>0</v>
      </c>
      <c r="L101" s="24">
        <f t="shared" si="85"/>
        <v>0</v>
      </c>
      <c r="M101" s="24">
        <f t="shared" si="73"/>
        <v>0</v>
      </c>
      <c r="N101" s="24">
        <f t="shared" si="58"/>
        <v>0</v>
      </c>
      <c r="O101" s="24">
        <v>0</v>
      </c>
      <c r="P101" s="24">
        <f t="shared" si="88"/>
        <v>0</v>
      </c>
      <c r="Q101" s="24">
        <f t="shared" si="84"/>
        <v>0</v>
      </c>
      <c r="R101" s="24">
        <f t="shared" si="65"/>
        <v>0</v>
      </c>
      <c r="S101" s="24">
        <f t="shared" si="74"/>
        <v>0</v>
      </c>
      <c r="T101" s="24"/>
      <c r="U101" s="36">
        <f t="shared" si="80"/>
        <v>0</v>
      </c>
      <c r="V101" s="36">
        <f t="shared" si="67"/>
        <v>0</v>
      </c>
      <c r="W101" s="2" t="e">
        <f>IF(AND(G66&gt;=$W$9,G66&lt;=$W$9+5),0,IF($C$9&gt;$AF$51,ROUND(S65*#REF!/(DATEVALUE(CONCATENATE("01/01/",YEAR(H66)+1))-DATEVALUE(CONCATENATE("01/01/",YEAR(H66))))*(H66-H65),2),0))</f>
        <v>#REF!</v>
      </c>
      <c r="X101" s="34">
        <f t="shared" si="49"/>
        <v>0</v>
      </c>
      <c r="Y101" s="57">
        <f t="shared" si="46"/>
        <v>65611</v>
      </c>
      <c r="AL101" s="2" t="e">
        <f>IF(AND(Y58&gt;=$W$9,Y58&lt;=$W$9+5),0,IF($C$9&gt;$AF$51,ROUND(AI61*#REF!/(DATEVALUE(CONCATENATE("01/01/",YEAR(Z58)+1))-DATEVALUE(CONCATENATE("01/01/",YEAR(Z58))))*(Z58-Z57),2),0))</f>
        <v>#REF!</v>
      </c>
      <c r="AM101" s="34">
        <f t="shared" si="51"/>
        <v>0</v>
      </c>
      <c r="AN101" s="57">
        <f t="shared" si="50"/>
        <v>64151</v>
      </c>
      <c r="AO101" s="130">
        <f t="shared" si="68"/>
        <v>0</v>
      </c>
      <c r="AP101" s="109">
        <f t="shared" si="81"/>
        <v>93</v>
      </c>
      <c r="AQ101" s="110">
        <f t="shared" si="59"/>
        <v>47274</v>
      </c>
      <c r="AR101" s="177">
        <f t="shared" si="53"/>
        <v>0.14899999999999999</v>
      </c>
      <c r="AS101" s="105">
        <f t="shared" si="69"/>
        <v>0</v>
      </c>
      <c r="AT101" s="105">
        <f t="shared" si="75"/>
        <v>0</v>
      </c>
      <c r="AU101" s="105">
        <f t="shared" si="76"/>
        <v>0</v>
      </c>
      <c r="AV101" s="105">
        <f t="shared" si="71"/>
        <v>0</v>
      </c>
      <c r="AW101" s="105">
        <f t="shared" si="61"/>
        <v>0</v>
      </c>
      <c r="AX101" s="105">
        <v>0</v>
      </c>
      <c r="AY101" s="105">
        <f t="shared" si="89"/>
        <v>0</v>
      </c>
      <c r="AZ101" s="105">
        <f t="shared" si="87"/>
        <v>0</v>
      </c>
      <c r="BA101" s="105">
        <f t="shared" si="86"/>
        <v>0</v>
      </c>
      <c r="BB101" s="105"/>
      <c r="BC101" s="105"/>
      <c r="BD101" s="105"/>
      <c r="BE101" s="105"/>
      <c r="BF101" s="105"/>
      <c r="BG101" s="105">
        <f t="shared" si="72"/>
        <v>0</v>
      </c>
      <c r="BH101" s="108">
        <f t="shared" si="82"/>
        <v>0</v>
      </c>
      <c r="BI101" s="108">
        <f t="shared" si="77"/>
        <v>0</v>
      </c>
      <c r="BJ101" s="22">
        <f t="shared" si="78"/>
        <v>47274</v>
      </c>
      <c r="BK101" s="108">
        <f t="shared" si="62"/>
        <v>0</v>
      </c>
      <c r="BL101" s="2" t="e">
        <f>IF(AND(G56&gt;=$W$9,G56&lt;=$W$9+5),0,IF($C$9&gt;$AF$51,ROUND(BG55*IF(#REF!="",0,#REF!)/(DATEVALUE(CONCATENATE("01/01/",YEAR(AQ56)+1))-DATEVALUE(CONCATENATE("01/01/",YEAR(AQ56))))*(AQ56-AQ55),2),0))</f>
        <v>#REF!</v>
      </c>
    </row>
    <row r="102" spans="1:1217" s="16" customFormat="1" x14ac:dyDescent="0.3">
      <c r="A102" s="178"/>
      <c r="B102" s="178"/>
      <c r="C102" s="184"/>
      <c r="D102" s="184"/>
      <c r="E102" s="178"/>
      <c r="F102" s="184"/>
      <c r="G102" s="114">
        <f t="shared" si="79"/>
        <v>94</v>
      </c>
      <c r="H102" s="111">
        <f t="shared" si="57"/>
        <v>47304</v>
      </c>
      <c r="I102" s="176">
        <f t="shared" si="54"/>
        <v>0.10899999999999999</v>
      </c>
      <c r="J102" s="24">
        <f t="shared" si="63"/>
        <v>0</v>
      </c>
      <c r="K102" s="242">
        <f t="shared" si="52"/>
        <v>0</v>
      </c>
      <c r="L102" s="24">
        <f t="shared" si="85"/>
        <v>0</v>
      </c>
      <c r="M102" s="24">
        <f t="shared" si="73"/>
        <v>0</v>
      </c>
      <c r="N102" s="24">
        <f t="shared" si="58"/>
        <v>0</v>
      </c>
      <c r="O102" s="24">
        <v>0</v>
      </c>
      <c r="P102" s="24">
        <f t="shared" si="88"/>
        <v>0</v>
      </c>
      <c r="Q102" s="24">
        <f t="shared" si="84"/>
        <v>0</v>
      </c>
      <c r="R102" s="24">
        <f t="shared" si="65"/>
        <v>0</v>
      </c>
      <c r="S102" s="24">
        <f t="shared" si="74"/>
        <v>0</v>
      </c>
      <c r="T102" s="24"/>
      <c r="U102" s="36">
        <f t="shared" si="80"/>
        <v>0</v>
      </c>
      <c r="V102" s="36">
        <f t="shared" si="67"/>
        <v>0</v>
      </c>
      <c r="W102" s="2" t="e">
        <f>IF(AND(G67&gt;=$W$9,G67&lt;=$W$9+5),0,IF($C$9&gt;$AF$51,ROUND(S66*#REF!/(DATEVALUE(CONCATENATE("01/01/",YEAR(H67)+1))-DATEVALUE(CONCATENATE("01/01/",YEAR(H67))))*(H67-H66),2),0))</f>
        <v>#REF!</v>
      </c>
      <c r="X102" s="34">
        <f t="shared" si="49"/>
        <v>0</v>
      </c>
      <c r="Y102" s="57">
        <f t="shared" si="46"/>
        <v>65976</v>
      </c>
      <c r="AL102" s="2" t="e">
        <f>IF(AND(Y59&gt;=$W$9,Y59&lt;=$W$9+5),0,IF($C$9&gt;$AF$51,ROUND(AI62*#REF!/(DATEVALUE(CONCATENATE("01/01/",YEAR(Z59)+1))-DATEVALUE(CONCATENATE("01/01/",YEAR(Z59))))*(Z59-Z58),2),0))</f>
        <v>#REF!</v>
      </c>
      <c r="AM102" s="34">
        <f t="shared" si="51"/>
        <v>0</v>
      </c>
      <c r="AN102" s="57">
        <f t="shared" si="50"/>
        <v>64516</v>
      </c>
      <c r="AO102" s="130">
        <f t="shared" si="68"/>
        <v>0</v>
      </c>
      <c r="AP102" s="109">
        <f t="shared" si="81"/>
        <v>94</v>
      </c>
      <c r="AQ102" s="110">
        <f t="shared" si="59"/>
        <v>47304</v>
      </c>
      <c r="AR102" s="177">
        <f t="shared" si="53"/>
        <v>0.14899999999999999</v>
      </c>
      <c r="AS102" s="105">
        <f t="shared" si="69"/>
        <v>0</v>
      </c>
      <c r="AT102" s="105">
        <f t="shared" si="75"/>
        <v>0</v>
      </c>
      <c r="AU102" s="105">
        <f t="shared" si="76"/>
        <v>0</v>
      </c>
      <c r="AV102" s="105">
        <f t="shared" si="71"/>
        <v>0</v>
      </c>
      <c r="AW102" s="105">
        <f t="shared" si="61"/>
        <v>0</v>
      </c>
      <c r="AX102" s="105">
        <v>0</v>
      </c>
      <c r="AY102" s="105">
        <f t="shared" si="89"/>
        <v>0</v>
      </c>
      <c r="AZ102" s="105">
        <f t="shared" si="87"/>
        <v>0</v>
      </c>
      <c r="BA102" s="105">
        <f t="shared" si="86"/>
        <v>0</v>
      </c>
      <c r="BB102" s="105"/>
      <c r="BC102" s="105"/>
      <c r="BD102" s="105"/>
      <c r="BE102" s="105"/>
      <c r="BF102" s="105"/>
      <c r="BG102" s="105">
        <f t="shared" si="72"/>
        <v>0</v>
      </c>
      <c r="BH102" s="108">
        <f t="shared" si="82"/>
        <v>0</v>
      </c>
      <c r="BI102" s="108">
        <f t="shared" si="77"/>
        <v>0</v>
      </c>
      <c r="BJ102" s="22">
        <f t="shared" si="78"/>
        <v>47304</v>
      </c>
      <c r="BK102" s="108">
        <f t="shared" si="62"/>
        <v>0</v>
      </c>
      <c r="BL102" s="2" t="e">
        <f>IF(AND(G57&gt;=$W$9,G57&lt;=$W$9+5),0,IF($C$9&gt;$AF$51,ROUND(BG56*IF(#REF!="",0,#REF!)/(DATEVALUE(CONCATENATE("01/01/",YEAR(AQ57)+1))-DATEVALUE(CONCATENATE("01/01/",YEAR(AQ57))))*(AQ57-AQ56),2),0))</f>
        <v>#REF!</v>
      </c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  <c r="AAB102" s="2"/>
      <c r="AAC102" s="2"/>
      <c r="AAD102" s="2"/>
      <c r="AAE102" s="2"/>
      <c r="AAF102" s="2"/>
      <c r="AAG102" s="2"/>
      <c r="AAH102" s="2"/>
      <c r="AAI102" s="2"/>
      <c r="AAJ102" s="2"/>
      <c r="AAK102" s="2"/>
      <c r="AAL102" s="2"/>
      <c r="AAM102" s="2"/>
      <c r="AAN102" s="2"/>
      <c r="AAO102" s="2"/>
      <c r="AAP102" s="2"/>
      <c r="AAQ102" s="2"/>
      <c r="AAR102" s="2"/>
      <c r="AAS102" s="2"/>
      <c r="AAT102" s="2"/>
      <c r="AAU102" s="2"/>
      <c r="AAV102" s="2"/>
      <c r="AAW102" s="2"/>
      <c r="AAX102" s="2"/>
      <c r="AAY102" s="2"/>
      <c r="AAZ102" s="2"/>
      <c r="ABA102" s="2"/>
      <c r="ABB102" s="2"/>
      <c r="ABC102" s="2"/>
      <c r="ABD102" s="2"/>
      <c r="ABE102" s="2"/>
      <c r="ABF102" s="2"/>
      <c r="ABG102" s="2"/>
      <c r="ABH102" s="2"/>
      <c r="ABI102" s="2"/>
      <c r="ABJ102" s="2"/>
      <c r="ABK102" s="2"/>
      <c r="ABL102" s="2"/>
      <c r="ABM102" s="2"/>
      <c r="ABN102" s="2"/>
      <c r="ABO102" s="2"/>
      <c r="ABP102" s="2"/>
      <c r="ABQ102" s="2"/>
      <c r="ABR102" s="2"/>
      <c r="ABS102" s="2"/>
      <c r="ABT102" s="2"/>
      <c r="ABU102" s="2"/>
      <c r="ABV102" s="2"/>
      <c r="ABW102" s="2"/>
      <c r="ABX102" s="2"/>
      <c r="ABY102" s="2"/>
      <c r="ABZ102" s="2"/>
      <c r="ACA102" s="2"/>
      <c r="ACB102" s="2"/>
      <c r="ACC102" s="2"/>
      <c r="ACD102" s="2"/>
      <c r="ACE102" s="2"/>
      <c r="ACF102" s="2"/>
      <c r="ACG102" s="2"/>
      <c r="ACH102" s="2"/>
      <c r="ACI102" s="2"/>
      <c r="ACJ102" s="2"/>
      <c r="ACK102" s="2"/>
      <c r="ACL102" s="2"/>
      <c r="ACM102" s="2"/>
      <c r="ACN102" s="2"/>
      <c r="ACO102" s="2"/>
      <c r="ACP102" s="2"/>
      <c r="ACQ102" s="2"/>
      <c r="ACR102" s="2"/>
      <c r="ACS102" s="2"/>
      <c r="ACT102" s="2"/>
      <c r="ACU102" s="2"/>
      <c r="ACV102" s="2"/>
      <c r="ACW102" s="2"/>
      <c r="ACX102" s="2"/>
      <c r="ACY102" s="2"/>
      <c r="ACZ102" s="2"/>
      <c r="ADA102" s="2"/>
      <c r="ADB102" s="2"/>
      <c r="ADC102" s="2"/>
      <c r="ADD102" s="2"/>
      <c r="ADE102" s="2"/>
      <c r="ADF102" s="2"/>
      <c r="ADG102" s="2"/>
      <c r="ADH102" s="2"/>
      <c r="ADI102" s="2"/>
      <c r="ADJ102" s="2"/>
      <c r="ADK102" s="2"/>
      <c r="ADL102" s="2"/>
      <c r="ADM102" s="2"/>
      <c r="ADN102" s="2"/>
      <c r="ADO102" s="2"/>
      <c r="ADP102" s="2"/>
      <c r="ADQ102" s="2"/>
      <c r="ADR102" s="2"/>
      <c r="ADS102" s="2"/>
      <c r="ADT102" s="2"/>
      <c r="ADU102" s="2"/>
      <c r="ADV102" s="2"/>
      <c r="ADW102" s="2"/>
      <c r="ADX102" s="2"/>
      <c r="ADY102" s="2"/>
      <c r="ADZ102" s="2"/>
      <c r="AEA102" s="2"/>
      <c r="AEB102" s="2"/>
      <c r="AEC102" s="2"/>
      <c r="AED102" s="2"/>
      <c r="AEE102" s="2"/>
      <c r="AEF102" s="2"/>
      <c r="AEG102" s="2"/>
      <c r="AEH102" s="2"/>
      <c r="AEI102" s="2"/>
      <c r="AEJ102" s="2"/>
      <c r="AEK102" s="2"/>
      <c r="AEL102" s="2"/>
      <c r="AEM102" s="2"/>
      <c r="AEN102" s="2"/>
      <c r="AEO102" s="2"/>
      <c r="AEP102" s="2"/>
      <c r="AEQ102" s="2"/>
      <c r="AER102" s="2"/>
      <c r="AES102" s="2"/>
      <c r="AET102" s="2"/>
      <c r="AEU102" s="2"/>
      <c r="AEV102" s="2"/>
      <c r="AEW102" s="2"/>
      <c r="AEX102" s="2"/>
      <c r="AEY102" s="2"/>
      <c r="AEZ102" s="2"/>
      <c r="AFA102" s="2"/>
      <c r="AFB102" s="2"/>
      <c r="AFC102" s="2"/>
      <c r="AFD102" s="2"/>
      <c r="AFE102" s="2"/>
      <c r="AFF102" s="2"/>
      <c r="AFG102" s="2"/>
      <c r="AFH102" s="2"/>
      <c r="AFI102" s="2"/>
      <c r="AFJ102" s="2"/>
      <c r="AFK102" s="2"/>
      <c r="AFL102" s="2"/>
      <c r="AFM102" s="2"/>
      <c r="AFN102" s="2"/>
      <c r="AFO102" s="2"/>
      <c r="AFP102" s="2"/>
      <c r="AFQ102" s="2"/>
      <c r="AFR102" s="2"/>
      <c r="AFS102" s="2"/>
      <c r="AFT102" s="2"/>
      <c r="AFU102" s="2"/>
      <c r="AFV102" s="2"/>
      <c r="AFW102" s="2"/>
      <c r="AFX102" s="2"/>
      <c r="AFY102" s="2"/>
      <c r="AFZ102" s="2"/>
      <c r="AGA102" s="2"/>
      <c r="AGB102" s="2"/>
      <c r="AGC102" s="2"/>
      <c r="AGD102" s="2"/>
      <c r="AGE102" s="2"/>
      <c r="AGF102" s="2"/>
      <c r="AGG102" s="2"/>
      <c r="AGH102" s="2"/>
      <c r="AGI102" s="2"/>
      <c r="AGJ102" s="2"/>
      <c r="AGK102" s="2"/>
      <c r="AGL102" s="2"/>
      <c r="AGM102" s="2"/>
      <c r="AGN102" s="2"/>
      <c r="AGO102" s="2"/>
      <c r="AGP102" s="2"/>
      <c r="AGQ102" s="2"/>
      <c r="AGR102" s="2"/>
      <c r="AGS102" s="2"/>
      <c r="AGT102" s="2"/>
      <c r="AGU102" s="2"/>
      <c r="AGV102" s="2"/>
      <c r="AGW102" s="2"/>
      <c r="AGX102" s="2"/>
      <c r="AGY102" s="2"/>
      <c r="AGZ102" s="2"/>
      <c r="AHA102" s="2"/>
      <c r="AHB102" s="2"/>
      <c r="AHC102" s="2"/>
      <c r="AHD102" s="2"/>
      <c r="AHE102" s="2"/>
      <c r="AHF102" s="2"/>
      <c r="AHG102" s="2"/>
      <c r="AHH102" s="2"/>
      <c r="AHI102" s="2"/>
      <c r="AHJ102" s="2"/>
      <c r="AHK102" s="2"/>
      <c r="AHL102" s="2"/>
      <c r="AHM102" s="2"/>
      <c r="AHN102" s="2"/>
      <c r="AHO102" s="2"/>
      <c r="AHP102" s="2"/>
      <c r="AHQ102" s="2"/>
      <c r="AHR102" s="2"/>
      <c r="AHS102" s="2"/>
      <c r="AHT102" s="2"/>
      <c r="AHU102" s="2"/>
      <c r="AHV102" s="2"/>
      <c r="AHW102" s="2"/>
      <c r="AHX102" s="2"/>
      <c r="AHY102" s="2"/>
      <c r="AHZ102" s="2"/>
      <c r="AIA102" s="2"/>
      <c r="AIB102" s="2"/>
      <c r="AIC102" s="2"/>
      <c r="AID102" s="2"/>
      <c r="AIE102" s="2"/>
      <c r="AIF102" s="2"/>
      <c r="AIG102" s="2"/>
      <c r="AIH102" s="2"/>
      <c r="AII102" s="2"/>
      <c r="AIJ102" s="2"/>
      <c r="AIK102" s="2"/>
      <c r="AIL102" s="2"/>
      <c r="AIM102" s="2"/>
      <c r="AIN102" s="2"/>
      <c r="AIO102" s="2"/>
      <c r="AIP102" s="2"/>
      <c r="AIQ102" s="2"/>
      <c r="AIR102" s="2"/>
      <c r="AIS102" s="2"/>
      <c r="AIT102" s="2"/>
      <c r="AIU102" s="2"/>
      <c r="AIV102" s="2"/>
      <c r="AIW102" s="2"/>
      <c r="AIX102" s="2"/>
      <c r="AIY102" s="2"/>
      <c r="AIZ102" s="2"/>
      <c r="AJA102" s="2"/>
      <c r="AJB102" s="2"/>
      <c r="AJC102" s="2"/>
      <c r="AJD102" s="2"/>
      <c r="AJE102" s="2"/>
      <c r="AJF102" s="2"/>
      <c r="AJG102" s="2"/>
      <c r="AJH102" s="2"/>
      <c r="AJI102" s="2"/>
      <c r="AJJ102" s="2"/>
      <c r="AJK102" s="2"/>
      <c r="AJL102" s="2"/>
      <c r="AJM102" s="2"/>
      <c r="AJN102" s="2"/>
      <c r="AJO102" s="2"/>
      <c r="AJP102" s="2"/>
      <c r="AJQ102" s="2"/>
      <c r="AJR102" s="2"/>
      <c r="AJS102" s="2"/>
      <c r="AJT102" s="2"/>
      <c r="AJU102" s="2"/>
      <c r="AJV102" s="2"/>
      <c r="AJW102" s="2"/>
      <c r="AJX102" s="2"/>
      <c r="AJY102" s="2"/>
      <c r="AJZ102" s="2"/>
      <c r="AKA102" s="2"/>
      <c r="AKB102" s="2"/>
      <c r="AKC102" s="2"/>
      <c r="AKD102" s="2"/>
      <c r="AKE102" s="2"/>
      <c r="AKF102" s="2"/>
      <c r="AKG102" s="2"/>
      <c r="AKH102" s="2"/>
      <c r="AKI102" s="2"/>
      <c r="AKJ102" s="2"/>
      <c r="AKK102" s="2"/>
      <c r="AKL102" s="2"/>
      <c r="AKM102" s="2"/>
      <c r="AKN102" s="2"/>
      <c r="AKO102" s="2"/>
      <c r="AKP102" s="2"/>
      <c r="AKQ102" s="2"/>
      <c r="AKR102" s="2"/>
      <c r="AKS102" s="2"/>
      <c r="AKT102" s="2"/>
      <c r="AKU102" s="2"/>
      <c r="AKV102" s="2"/>
      <c r="AKW102" s="2"/>
      <c r="AKX102" s="2"/>
      <c r="AKY102" s="2"/>
      <c r="AKZ102" s="2"/>
      <c r="ALA102" s="2"/>
      <c r="ALB102" s="2"/>
      <c r="ALC102" s="2"/>
      <c r="ALD102" s="2"/>
      <c r="ALE102" s="2"/>
      <c r="ALF102" s="2"/>
      <c r="ALG102" s="2"/>
      <c r="ALH102" s="2"/>
      <c r="ALI102" s="2"/>
      <c r="ALJ102" s="2"/>
      <c r="ALK102" s="2"/>
      <c r="ALL102" s="2"/>
      <c r="ALM102" s="2"/>
      <c r="ALN102" s="2"/>
      <c r="ALO102" s="2"/>
      <c r="ALP102" s="2"/>
      <c r="ALQ102" s="2"/>
      <c r="ALR102" s="2"/>
      <c r="ALS102" s="2"/>
      <c r="ALT102" s="2"/>
      <c r="ALU102" s="2"/>
      <c r="ALV102" s="2"/>
      <c r="ALW102" s="2"/>
      <c r="ALX102" s="2"/>
      <c r="ALY102" s="2"/>
      <c r="ALZ102" s="2"/>
      <c r="AMA102" s="2"/>
      <c r="AMB102" s="2"/>
      <c r="AMC102" s="2"/>
      <c r="AMD102" s="2"/>
      <c r="AME102" s="2"/>
      <c r="AMF102" s="2"/>
      <c r="AMG102" s="2"/>
      <c r="AMH102" s="2"/>
      <c r="AMI102" s="2"/>
      <c r="AMJ102" s="2"/>
      <c r="AMK102" s="2"/>
      <c r="AML102" s="2"/>
      <c r="AMM102" s="2"/>
      <c r="AMN102" s="2"/>
      <c r="AMO102" s="2"/>
      <c r="AMP102" s="2"/>
      <c r="AMQ102" s="2"/>
      <c r="AMR102" s="2"/>
      <c r="AMS102" s="2"/>
      <c r="AMT102" s="2"/>
      <c r="AMU102" s="2"/>
      <c r="AMV102" s="2"/>
      <c r="AMW102" s="2"/>
      <c r="AMX102" s="2"/>
      <c r="AMY102" s="2"/>
      <c r="AMZ102" s="2"/>
      <c r="ANA102" s="2"/>
      <c r="ANB102" s="2"/>
      <c r="ANC102" s="2"/>
      <c r="AND102" s="2"/>
      <c r="ANE102" s="2"/>
      <c r="ANF102" s="2"/>
      <c r="ANG102" s="2"/>
      <c r="ANH102" s="2"/>
      <c r="ANI102" s="2"/>
      <c r="ANJ102" s="2"/>
      <c r="ANK102" s="2"/>
      <c r="ANL102" s="2"/>
      <c r="ANM102" s="2"/>
      <c r="ANN102" s="2"/>
      <c r="ANO102" s="2"/>
      <c r="ANP102" s="2"/>
      <c r="ANQ102" s="2"/>
      <c r="ANR102" s="2"/>
      <c r="ANS102" s="2"/>
      <c r="ANT102" s="2"/>
      <c r="ANU102" s="2"/>
      <c r="ANV102" s="2"/>
      <c r="ANW102" s="2"/>
      <c r="ANX102" s="2"/>
      <c r="ANY102" s="2"/>
      <c r="ANZ102" s="2"/>
      <c r="AOA102" s="2"/>
      <c r="AOB102" s="2"/>
      <c r="AOC102" s="2"/>
      <c r="AOD102" s="2"/>
      <c r="AOE102" s="2"/>
      <c r="AOF102" s="2"/>
      <c r="AOG102" s="2"/>
      <c r="AOH102" s="2"/>
      <c r="AOI102" s="2"/>
      <c r="AOJ102" s="2"/>
      <c r="AOK102" s="2"/>
      <c r="AOL102" s="2"/>
      <c r="AOM102" s="2"/>
      <c r="AON102" s="2"/>
      <c r="AOO102" s="2"/>
      <c r="AOP102" s="2"/>
      <c r="AOQ102" s="2"/>
      <c r="AOR102" s="2"/>
      <c r="AOS102" s="2"/>
      <c r="AOT102" s="2"/>
      <c r="AOU102" s="2"/>
      <c r="AOV102" s="2"/>
      <c r="AOW102" s="2"/>
      <c r="AOX102" s="2"/>
      <c r="AOY102" s="2"/>
      <c r="AOZ102" s="2"/>
      <c r="APA102" s="2"/>
      <c r="APB102" s="2"/>
      <c r="APC102" s="2"/>
      <c r="APD102" s="2"/>
      <c r="APE102" s="2"/>
      <c r="APF102" s="2"/>
      <c r="APG102" s="2"/>
      <c r="APH102" s="2"/>
      <c r="API102" s="2"/>
      <c r="APJ102" s="2"/>
      <c r="APK102" s="2"/>
      <c r="APL102" s="2"/>
      <c r="APM102" s="2"/>
      <c r="APN102" s="2"/>
      <c r="APO102" s="2"/>
      <c r="APP102" s="2"/>
      <c r="APQ102" s="2"/>
      <c r="APR102" s="2"/>
      <c r="APS102" s="2"/>
      <c r="APT102" s="2"/>
      <c r="APU102" s="2"/>
      <c r="APV102" s="2"/>
      <c r="APW102" s="2"/>
      <c r="APX102" s="2"/>
      <c r="APY102" s="2"/>
      <c r="APZ102" s="2"/>
      <c r="AQA102" s="2"/>
      <c r="AQB102" s="2"/>
      <c r="AQC102" s="2"/>
      <c r="AQD102" s="2"/>
      <c r="AQE102" s="2"/>
      <c r="AQF102" s="2"/>
      <c r="AQG102" s="2"/>
      <c r="AQH102" s="2"/>
      <c r="AQI102" s="2"/>
      <c r="AQJ102" s="2"/>
      <c r="AQK102" s="2"/>
      <c r="AQL102" s="2"/>
      <c r="AQM102" s="2"/>
      <c r="AQN102" s="2"/>
      <c r="AQO102" s="2"/>
      <c r="AQP102" s="2"/>
      <c r="AQQ102" s="2"/>
      <c r="AQR102" s="2"/>
      <c r="AQS102" s="2"/>
      <c r="AQT102" s="2"/>
      <c r="AQU102" s="2"/>
      <c r="AQV102" s="2"/>
      <c r="AQW102" s="2"/>
      <c r="AQX102" s="2"/>
      <c r="AQY102" s="2"/>
      <c r="AQZ102" s="2"/>
      <c r="ARA102" s="2"/>
      <c r="ARB102" s="2"/>
      <c r="ARC102" s="2"/>
      <c r="ARD102" s="2"/>
      <c r="ARE102" s="2"/>
      <c r="ARF102" s="2"/>
      <c r="ARG102" s="2"/>
      <c r="ARH102" s="2"/>
      <c r="ARI102" s="2"/>
      <c r="ARJ102" s="2"/>
      <c r="ARK102" s="2"/>
      <c r="ARL102" s="2"/>
      <c r="ARM102" s="2"/>
      <c r="ARN102" s="2"/>
      <c r="ARO102" s="2"/>
      <c r="ARP102" s="2"/>
      <c r="ARQ102" s="2"/>
      <c r="ARR102" s="2"/>
      <c r="ARS102" s="2"/>
      <c r="ART102" s="2"/>
      <c r="ARU102" s="2"/>
      <c r="ARV102" s="2"/>
      <c r="ARW102" s="2"/>
      <c r="ARX102" s="2"/>
      <c r="ARY102" s="2"/>
      <c r="ARZ102" s="2"/>
      <c r="ASA102" s="2"/>
      <c r="ASB102" s="2"/>
      <c r="ASC102" s="2"/>
      <c r="ASD102" s="2"/>
      <c r="ASE102" s="2"/>
      <c r="ASF102" s="2"/>
      <c r="ASG102" s="2"/>
      <c r="ASH102" s="2"/>
      <c r="ASI102" s="2"/>
      <c r="ASJ102" s="2"/>
      <c r="ASK102" s="2"/>
      <c r="ASL102" s="2"/>
      <c r="ASM102" s="2"/>
      <c r="ASN102" s="2"/>
      <c r="ASO102" s="2"/>
      <c r="ASP102" s="2"/>
      <c r="ASQ102" s="2"/>
      <c r="ASR102" s="2"/>
      <c r="ASS102" s="2"/>
      <c r="AST102" s="2"/>
      <c r="ASU102" s="2"/>
      <c r="ASV102" s="2"/>
      <c r="ASW102" s="2"/>
      <c r="ASX102" s="2"/>
      <c r="ASY102" s="2"/>
      <c r="ASZ102" s="2"/>
      <c r="ATA102" s="2"/>
      <c r="ATB102" s="2"/>
      <c r="ATC102" s="2"/>
      <c r="ATD102" s="2"/>
      <c r="ATE102" s="2"/>
      <c r="ATF102" s="2"/>
      <c r="ATG102" s="2"/>
      <c r="ATH102" s="2"/>
      <c r="ATI102" s="2"/>
      <c r="ATJ102" s="2"/>
      <c r="ATK102" s="2"/>
      <c r="ATL102" s="2"/>
      <c r="ATM102" s="2"/>
      <c r="ATN102" s="2"/>
      <c r="ATO102" s="2"/>
      <c r="ATP102" s="2"/>
      <c r="ATQ102" s="2"/>
      <c r="ATR102" s="2"/>
      <c r="ATS102" s="2"/>
      <c r="ATT102" s="2"/>
      <c r="ATU102" s="2"/>
    </row>
    <row r="103" spans="1:1217" x14ac:dyDescent="0.3">
      <c r="A103" s="178"/>
      <c r="B103" s="178"/>
      <c r="C103" s="184"/>
      <c r="D103" s="184"/>
      <c r="E103" s="178"/>
      <c r="F103" s="184"/>
      <c r="G103" s="114">
        <f t="shared" si="79"/>
        <v>95</v>
      </c>
      <c r="H103" s="111">
        <f t="shared" si="57"/>
        <v>47335</v>
      </c>
      <c r="I103" s="176">
        <f t="shared" si="54"/>
        <v>0.10899999999999999</v>
      </c>
      <c r="J103" s="24">
        <f t="shared" si="63"/>
        <v>0</v>
      </c>
      <c r="K103" s="242">
        <f t="shared" si="52"/>
        <v>0</v>
      </c>
      <c r="L103" s="24">
        <f t="shared" si="85"/>
        <v>0</v>
      </c>
      <c r="M103" s="24">
        <f t="shared" si="73"/>
        <v>0</v>
      </c>
      <c r="N103" s="24">
        <f t="shared" si="58"/>
        <v>0</v>
      </c>
      <c r="O103" s="24">
        <v>0</v>
      </c>
      <c r="P103" s="24">
        <f t="shared" si="88"/>
        <v>0</v>
      </c>
      <c r="Q103" s="24">
        <f t="shared" si="84"/>
        <v>0</v>
      </c>
      <c r="R103" s="24">
        <f t="shared" si="65"/>
        <v>0</v>
      </c>
      <c r="S103" s="24">
        <f t="shared" si="74"/>
        <v>0</v>
      </c>
      <c r="T103" s="24"/>
      <c r="U103" s="36">
        <f t="shared" si="80"/>
        <v>0</v>
      </c>
      <c r="V103" s="36">
        <f t="shared" si="67"/>
        <v>0</v>
      </c>
      <c r="W103" s="2" t="e">
        <f>IF(AND(G68&gt;=$W$9,G68&lt;=$W$9+5),0,IF($C$9&gt;$AF$51,ROUND(S67*#REF!/(DATEVALUE(CONCATENATE("01/01/",YEAR(H68)+1))-DATEVALUE(CONCATENATE("01/01/",YEAR(H68))))*(H68-H67),2),0))</f>
        <v>#REF!</v>
      </c>
      <c r="X103" s="34">
        <f t="shared" si="49"/>
        <v>0</v>
      </c>
      <c r="Y103" s="57">
        <f t="shared" si="46"/>
        <v>66341</v>
      </c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2" t="e">
        <f>IF(AND(Y60&gt;=$W$9,Y60&lt;=$W$9+5),0,IF($C$9&gt;$AF$51,ROUND(AI63*#REF!/(DATEVALUE(CONCATENATE("01/01/",YEAR(Z60)+1))-DATEVALUE(CONCATENATE("01/01/",YEAR(Z60))))*(Z60-Z59),2),0))</f>
        <v>#REF!</v>
      </c>
      <c r="AM103" s="34">
        <f t="shared" si="51"/>
        <v>0</v>
      </c>
      <c r="AN103" s="57">
        <f t="shared" si="50"/>
        <v>64881</v>
      </c>
      <c r="AO103" s="130">
        <f t="shared" si="68"/>
        <v>0</v>
      </c>
      <c r="AP103" s="109">
        <f t="shared" si="81"/>
        <v>95</v>
      </c>
      <c r="AQ103" s="110">
        <f t="shared" si="59"/>
        <v>47335</v>
      </c>
      <c r="AR103" s="177">
        <f t="shared" si="53"/>
        <v>0.14899999999999999</v>
      </c>
      <c r="AS103" s="105">
        <f t="shared" si="69"/>
        <v>0</v>
      </c>
      <c r="AT103" s="105">
        <f t="shared" si="75"/>
        <v>0</v>
      </c>
      <c r="AU103" s="105">
        <f t="shared" si="76"/>
        <v>0</v>
      </c>
      <c r="AV103" s="105">
        <f t="shared" si="71"/>
        <v>0</v>
      </c>
      <c r="AW103" s="105">
        <f t="shared" si="61"/>
        <v>0</v>
      </c>
      <c r="AX103" s="105">
        <v>0</v>
      </c>
      <c r="AY103" s="105">
        <f t="shared" si="89"/>
        <v>0</v>
      </c>
      <c r="AZ103" s="105">
        <f t="shared" si="87"/>
        <v>0</v>
      </c>
      <c r="BA103" s="105">
        <f t="shared" si="86"/>
        <v>0</v>
      </c>
      <c r="BB103" s="105"/>
      <c r="BC103" s="105"/>
      <c r="BD103" s="105"/>
      <c r="BE103" s="105"/>
      <c r="BF103" s="105"/>
      <c r="BG103" s="105">
        <f t="shared" si="72"/>
        <v>0</v>
      </c>
      <c r="BH103" s="108">
        <f t="shared" si="82"/>
        <v>0</v>
      </c>
      <c r="BI103" s="108">
        <f t="shared" si="77"/>
        <v>0</v>
      </c>
      <c r="BJ103" s="22">
        <f t="shared" si="78"/>
        <v>47335</v>
      </c>
      <c r="BK103" s="108">
        <f t="shared" si="62"/>
        <v>0</v>
      </c>
      <c r="BL103" s="2" t="e">
        <f>IF(AND(G58&gt;=$W$9,G58&lt;=$W$9+5),0,IF($C$9&gt;$AF$51,ROUND(BG57*IF(#REF!="",0,#REF!)/(DATEVALUE(CONCATENATE("01/01/",YEAR(AQ58)+1))-DATEVALUE(CONCATENATE("01/01/",YEAR(AQ58))))*(AQ58-AQ57),2),0))</f>
        <v>#REF!</v>
      </c>
    </row>
    <row r="104" spans="1:1217" x14ac:dyDescent="0.3">
      <c r="A104" s="178"/>
      <c r="B104" s="178"/>
      <c r="C104" s="184"/>
      <c r="D104" s="184"/>
      <c r="E104" s="178"/>
      <c r="F104" s="184"/>
      <c r="G104" s="114">
        <f t="shared" si="79"/>
        <v>96</v>
      </c>
      <c r="H104" s="111">
        <f t="shared" si="57"/>
        <v>47366</v>
      </c>
      <c r="I104" s="176">
        <f t="shared" si="54"/>
        <v>0.10899999999999999</v>
      </c>
      <c r="J104" s="24">
        <f t="shared" si="63"/>
        <v>0</v>
      </c>
      <c r="K104" s="242">
        <f t="shared" si="52"/>
        <v>0</v>
      </c>
      <c r="L104" s="24">
        <f t="shared" si="85"/>
        <v>0</v>
      </c>
      <c r="M104" s="24">
        <f t="shared" si="73"/>
        <v>0</v>
      </c>
      <c r="N104" s="24">
        <f t="shared" si="58"/>
        <v>0</v>
      </c>
      <c r="O104" s="24">
        <v>0</v>
      </c>
      <c r="P104" s="24">
        <f t="shared" si="88"/>
        <v>0</v>
      </c>
      <c r="Q104" s="24">
        <f t="shared" si="84"/>
        <v>0</v>
      </c>
      <c r="R104" s="24">
        <f t="shared" si="65"/>
        <v>0</v>
      </c>
      <c r="S104" s="24">
        <f t="shared" si="74"/>
        <v>0</v>
      </c>
      <c r="T104" s="24"/>
      <c r="U104" s="36">
        <f t="shared" si="80"/>
        <v>0</v>
      </c>
      <c r="V104" s="36">
        <f t="shared" si="67"/>
        <v>0</v>
      </c>
      <c r="W104" s="2" t="e">
        <f>IF(AND(G69&gt;=$W$9,G69&lt;=$W$9+5),0,IF($C$9&gt;$AF$51,ROUND(S68*#REF!/(DATEVALUE(CONCATENATE("01/01/",YEAR(H69)+1))-DATEVALUE(CONCATENATE("01/01/",YEAR(H69))))*(H69-H68),2),0))</f>
        <v>#REF!</v>
      </c>
      <c r="X104" s="34">
        <f t="shared" si="49"/>
        <v>0</v>
      </c>
      <c r="Y104" s="57">
        <f t="shared" si="46"/>
        <v>66706</v>
      </c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2" t="e">
        <f>IF(AND(Y61&gt;=$W$9,Y61&lt;=$W$9+5),0,IF($C$9&gt;$AF$51,ROUND(AI64*#REF!/(DATEVALUE(CONCATENATE("01/01/",YEAR(Z61)+1))-DATEVALUE(CONCATENATE("01/01/",YEAR(Z61))))*(Z61-Z60),2),0))</f>
        <v>#REF!</v>
      </c>
      <c r="AM104" s="34">
        <f t="shared" si="51"/>
        <v>0</v>
      </c>
      <c r="AN104" s="57">
        <f t="shared" si="50"/>
        <v>65246</v>
      </c>
      <c r="AO104" s="130">
        <f t="shared" si="68"/>
        <v>0</v>
      </c>
      <c r="AP104" s="109">
        <f t="shared" si="81"/>
        <v>96</v>
      </c>
      <c r="AQ104" s="110">
        <f t="shared" si="59"/>
        <v>47366</v>
      </c>
      <c r="AR104" s="177">
        <f t="shared" si="53"/>
        <v>0.14899999999999999</v>
      </c>
      <c r="AS104" s="105">
        <f t="shared" si="69"/>
        <v>0</v>
      </c>
      <c r="AT104" s="105">
        <f t="shared" si="75"/>
        <v>0</v>
      </c>
      <c r="AU104" s="105">
        <f t="shared" si="76"/>
        <v>0</v>
      </c>
      <c r="AV104" s="105">
        <f t="shared" si="71"/>
        <v>0</v>
      </c>
      <c r="AW104" s="105">
        <f t="shared" si="61"/>
        <v>0</v>
      </c>
      <c r="AX104" s="105">
        <v>0</v>
      </c>
      <c r="AY104" s="105">
        <f t="shared" si="89"/>
        <v>0</v>
      </c>
      <c r="AZ104" s="105">
        <f t="shared" si="87"/>
        <v>0</v>
      </c>
      <c r="BA104" s="105">
        <f t="shared" si="86"/>
        <v>0</v>
      </c>
      <c r="BB104" s="105"/>
      <c r="BC104" s="105"/>
      <c r="BD104" s="105"/>
      <c r="BE104" s="105"/>
      <c r="BF104" s="105"/>
      <c r="BG104" s="105">
        <f t="shared" si="72"/>
        <v>0</v>
      </c>
      <c r="BH104" s="108">
        <f t="shared" si="82"/>
        <v>0</v>
      </c>
      <c r="BI104" s="108">
        <f t="shared" si="77"/>
        <v>0</v>
      </c>
      <c r="BJ104" s="22">
        <f t="shared" si="78"/>
        <v>47366</v>
      </c>
      <c r="BK104" s="108">
        <f t="shared" si="62"/>
        <v>0</v>
      </c>
      <c r="BL104" s="2" t="e">
        <f>IF(AND(G59&gt;=$W$9,G59&lt;=$W$9+5),0,IF($C$9&gt;$AF$51,ROUND(BG58*IF(#REF!="",0,#REF!)/(DATEVALUE(CONCATENATE("01/01/",YEAR(AQ59)+1))-DATEVALUE(CONCATENATE("01/01/",YEAR(AQ59))))*(AQ59-AQ58),2),0))</f>
        <v>#REF!</v>
      </c>
    </row>
    <row r="105" spans="1:1217" x14ac:dyDescent="0.3">
      <c r="A105" s="178"/>
      <c r="B105" s="178"/>
      <c r="C105" s="184"/>
      <c r="D105" s="184"/>
      <c r="E105" s="178"/>
      <c r="F105" s="184"/>
      <c r="G105" s="114">
        <f t="shared" si="79"/>
        <v>97</v>
      </c>
      <c r="H105" s="111">
        <f t="shared" si="57"/>
        <v>47396</v>
      </c>
      <c r="I105" s="176">
        <f t="shared" si="54"/>
        <v>0.10899999999999999</v>
      </c>
      <c r="J105" s="24">
        <f t="shared" si="63"/>
        <v>0</v>
      </c>
      <c r="K105" s="242">
        <f t="shared" si="52"/>
        <v>0</v>
      </c>
      <c r="L105" s="24">
        <f t="shared" si="85"/>
        <v>0</v>
      </c>
      <c r="M105" s="24">
        <f t="shared" si="73"/>
        <v>0</v>
      </c>
      <c r="N105" s="24">
        <f t="shared" si="58"/>
        <v>0</v>
      </c>
      <c r="O105" s="24">
        <v>0</v>
      </c>
      <c r="P105" s="24">
        <f t="shared" si="88"/>
        <v>0</v>
      </c>
      <c r="Q105" s="24">
        <f t="shared" si="84"/>
        <v>0</v>
      </c>
      <c r="R105" s="24">
        <f t="shared" si="65"/>
        <v>0</v>
      </c>
      <c r="S105" s="24">
        <f t="shared" si="74"/>
        <v>0</v>
      </c>
      <c r="T105" s="24"/>
      <c r="U105" s="36">
        <f t="shared" si="80"/>
        <v>0</v>
      </c>
      <c r="V105" s="36">
        <f t="shared" si="67"/>
        <v>0</v>
      </c>
      <c r="W105" s="2" t="e">
        <f>IF(AND(G70&gt;=$W$9,G70&lt;=$W$9+5),0,IF($C$9&gt;$AF$51,ROUND(S69*#REF!/(DATEVALUE(CONCATENATE("01/01/",YEAR(H70)+1))-DATEVALUE(CONCATENATE("01/01/",YEAR(H70))))*(H70-H69),2),0))</f>
        <v>#REF!</v>
      </c>
      <c r="X105" s="34">
        <f t="shared" si="49"/>
        <v>0</v>
      </c>
      <c r="Y105" s="57">
        <f t="shared" si="46"/>
        <v>67071</v>
      </c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2" t="e">
        <f>IF(AND(Y62&gt;=$W$9,Y62&lt;=$W$9+5),0,IF($C$9&gt;$AF$51,ROUND(AI65*#REF!/(DATEVALUE(CONCATENATE("01/01/",YEAR(Z62)+1))-DATEVALUE(CONCATENATE("01/01/",YEAR(Z62))))*(Z62-Z61),2),0))</f>
        <v>#REF!</v>
      </c>
      <c r="AM105" s="34">
        <f t="shared" si="51"/>
        <v>0</v>
      </c>
      <c r="AN105" s="57">
        <f t="shared" si="50"/>
        <v>65611</v>
      </c>
      <c r="AO105" s="130">
        <f t="shared" si="68"/>
        <v>0</v>
      </c>
      <c r="AP105" s="109">
        <f t="shared" si="81"/>
        <v>97</v>
      </c>
      <c r="AQ105" s="110">
        <f t="shared" si="59"/>
        <v>47396</v>
      </c>
      <c r="AR105" s="177">
        <f t="shared" si="53"/>
        <v>0.14899999999999999</v>
      </c>
      <c r="AS105" s="105">
        <f t="shared" si="69"/>
        <v>0</v>
      </c>
      <c r="AT105" s="105">
        <f t="shared" si="75"/>
        <v>0</v>
      </c>
      <c r="AU105" s="105">
        <f t="shared" si="76"/>
        <v>0</v>
      </c>
      <c r="AV105" s="105">
        <f t="shared" si="71"/>
        <v>0</v>
      </c>
      <c r="AW105" s="105">
        <f t="shared" si="61"/>
        <v>0</v>
      </c>
      <c r="AX105" s="105">
        <v>0</v>
      </c>
      <c r="AY105" s="105">
        <f t="shared" si="89"/>
        <v>0</v>
      </c>
      <c r="AZ105" s="105">
        <f t="shared" si="87"/>
        <v>0</v>
      </c>
      <c r="BA105" s="105">
        <f t="shared" si="86"/>
        <v>0</v>
      </c>
      <c r="BB105" s="105"/>
      <c r="BC105" s="105"/>
      <c r="BD105" s="105"/>
      <c r="BE105" s="105"/>
      <c r="BF105" s="105"/>
      <c r="BG105" s="105">
        <f t="shared" si="72"/>
        <v>0</v>
      </c>
      <c r="BH105" s="108">
        <f t="shared" si="82"/>
        <v>0</v>
      </c>
      <c r="BI105" s="108">
        <f t="shared" si="77"/>
        <v>0</v>
      </c>
      <c r="BJ105" s="22">
        <f t="shared" si="78"/>
        <v>47396</v>
      </c>
      <c r="BK105" s="108">
        <f t="shared" si="62"/>
        <v>0</v>
      </c>
      <c r="BL105" s="2" t="e">
        <f>IF(AND(G60&gt;=$W$9,G60&lt;=$W$9+5),0,IF($C$9&gt;$AF$51,ROUND(BG59*IF(#REF!="",0,#REF!)/(DATEVALUE(CONCATENATE("01/01/",YEAR(AQ60)+1))-DATEVALUE(CONCATENATE("01/01/",YEAR(AQ60))))*(AQ60-AQ59),2),0))</f>
        <v>#REF!</v>
      </c>
    </row>
    <row r="106" spans="1:1217" x14ac:dyDescent="0.3">
      <c r="A106" s="178"/>
      <c r="B106" s="178"/>
      <c r="C106" s="184"/>
      <c r="D106" s="184"/>
      <c r="E106" s="178"/>
      <c r="F106" s="184"/>
      <c r="G106" s="114">
        <f t="shared" si="79"/>
        <v>98</v>
      </c>
      <c r="H106" s="111">
        <f t="shared" si="57"/>
        <v>47427</v>
      </c>
      <c r="I106" s="176">
        <f t="shared" si="54"/>
        <v>0.10899999999999999</v>
      </c>
      <c r="J106" s="24">
        <f t="shared" si="63"/>
        <v>0</v>
      </c>
      <c r="K106" s="242">
        <f t="shared" si="52"/>
        <v>0</v>
      </c>
      <c r="L106" s="24">
        <f t="shared" si="85"/>
        <v>0</v>
      </c>
      <c r="M106" s="24">
        <f t="shared" si="73"/>
        <v>0</v>
      </c>
      <c r="N106" s="24">
        <f t="shared" si="58"/>
        <v>0</v>
      </c>
      <c r="O106" s="24">
        <v>0</v>
      </c>
      <c r="P106" s="24">
        <f t="shared" si="88"/>
        <v>0</v>
      </c>
      <c r="Q106" s="24">
        <f t="shared" si="84"/>
        <v>0</v>
      </c>
      <c r="R106" s="24">
        <f t="shared" si="65"/>
        <v>0</v>
      </c>
      <c r="S106" s="24">
        <f t="shared" si="74"/>
        <v>0</v>
      </c>
      <c r="T106" s="24"/>
      <c r="U106" s="36">
        <f t="shared" si="80"/>
        <v>0</v>
      </c>
      <c r="V106" s="36">
        <f t="shared" si="67"/>
        <v>0</v>
      </c>
      <c r="W106" s="2" t="e">
        <f>IF(AND(G71&gt;=$W$9,G71&lt;=$W$9+5),0,IF($C$9&gt;$AF$51,ROUND(S70*#REF!/(DATEVALUE(CONCATENATE("01/01/",YEAR(H71)+1))-DATEVALUE(CONCATENATE("01/01/",YEAR(H71))))*(H71-H70),2),0))</f>
        <v>#REF!</v>
      </c>
      <c r="X106" s="34">
        <f t="shared" si="49"/>
        <v>0</v>
      </c>
      <c r="Y106" s="57">
        <f t="shared" si="46"/>
        <v>67436</v>
      </c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2" t="e">
        <f>IF(AND(Y63&gt;=$W$9,Y63&lt;=$W$9+5),0,IF($C$9&gt;$AF$51,ROUND(AI66*#REF!/(DATEVALUE(CONCATENATE("01/01/",YEAR(Z63)+1))-DATEVALUE(CONCATENATE("01/01/",YEAR(Z63))))*(Z63-Z62),2),0))</f>
        <v>#REF!</v>
      </c>
      <c r="AM106" s="34">
        <f t="shared" si="51"/>
        <v>0</v>
      </c>
      <c r="AN106" s="57">
        <f t="shared" si="50"/>
        <v>65976</v>
      </c>
      <c r="AO106" s="130">
        <f t="shared" si="68"/>
        <v>0</v>
      </c>
      <c r="AP106" s="109">
        <f t="shared" si="81"/>
        <v>98</v>
      </c>
      <c r="AQ106" s="110">
        <f t="shared" si="59"/>
        <v>47427</v>
      </c>
      <c r="AR106" s="177">
        <f t="shared" si="53"/>
        <v>0.14899999999999999</v>
      </c>
      <c r="AS106" s="105">
        <f t="shared" si="69"/>
        <v>0</v>
      </c>
      <c r="AT106" s="105">
        <f t="shared" si="75"/>
        <v>0</v>
      </c>
      <c r="AU106" s="105">
        <f t="shared" si="76"/>
        <v>0</v>
      </c>
      <c r="AV106" s="105">
        <f t="shared" si="71"/>
        <v>0</v>
      </c>
      <c r="AW106" s="105">
        <f t="shared" si="61"/>
        <v>0</v>
      </c>
      <c r="AX106" s="105">
        <v>0</v>
      </c>
      <c r="AY106" s="105">
        <f t="shared" si="89"/>
        <v>0</v>
      </c>
      <c r="AZ106" s="105">
        <f t="shared" si="87"/>
        <v>0</v>
      </c>
      <c r="BA106" s="105">
        <f t="shared" si="86"/>
        <v>0</v>
      </c>
      <c r="BB106" s="105"/>
      <c r="BC106" s="105"/>
      <c r="BD106" s="105"/>
      <c r="BE106" s="105"/>
      <c r="BF106" s="105"/>
      <c r="BG106" s="105">
        <f t="shared" si="72"/>
        <v>0</v>
      </c>
      <c r="BH106" s="108">
        <f t="shared" si="82"/>
        <v>0</v>
      </c>
      <c r="BI106" s="108">
        <f t="shared" si="77"/>
        <v>0</v>
      </c>
      <c r="BJ106" s="22">
        <f t="shared" si="78"/>
        <v>47427</v>
      </c>
      <c r="BK106" s="108">
        <f t="shared" si="62"/>
        <v>0</v>
      </c>
      <c r="BL106" s="2" t="e">
        <f>IF(AND(G61&gt;=$W$9,G61&lt;=$W$9+5),0,IF($C$9&gt;$AF$51,ROUND(BG60*IF(#REF!="",0,#REF!)/(DATEVALUE(CONCATENATE("01/01/",YEAR(AQ61)+1))-DATEVALUE(CONCATENATE("01/01/",YEAR(AQ61))))*(AQ61-AQ60),2),0))</f>
        <v>#REF!</v>
      </c>
    </row>
    <row r="107" spans="1:1217" x14ac:dyDescent="0.3">
      <c r="A107" s="178"/>
      <c r="B107" s="178"/>
      <c r="C107" s="184"/>
      <c r="D107" s="184"/>
      <c r="E107" s="184"/>
      <c r="F107" s="184"/>
      <c r="G107" s="114">
        <f t="shared" si="79"/>
        <v>99</v>
      </c>
      <c r="H107" s="111">
        <f t="shared" si="57"/>
        <v>47457</v>
      </c>
      <c r="I107" s="176">
        <f t="shared" si="54"/>
        <v>0.10899999999999999</v>
      </c>
      <c r="J107" s="24">
        <f t="shared" si="63"/>
        <v>0</v>
      </c>
      <c r="K107" s="242">
        <f t="shared" si="52"/>
        <v>0</v>
      </c>
      <c r="L107" s="24">
        <f t="shared" si="85"/>
        <v>0</v>
      </c>
      <c r="M107" s="24">
        <f t="shared" si="73"/>
        <v>0</v>
      </c>
      <c r="N107" s="24">
        <f t="shared" si="58"/>
        <v>0</v>
      </c>
      <c r="O107" s="24">
        <v>0</v>
      </c>
      <c r="P107" s="24">
        <f t="shared" si="88"/>
        <v>0</v>
      </c>
      <c r="Q107" s="24">
        <f t="shared" si="84"/>
        <v>0</v>
      </c>
      <c r="R107" s="24">
        <f t="shared" si="65"/>
        <v>0</v>
      </c>
      <c r="S107" s="24">
        <f t="shared" si="74"/>
        <v>0</v>
      </c>
      <c r="T107" s="24"/>
      <c r="U107" s="36">
        <f t="shared" si="80"/>
        <v>0</v>
      </c>
      <c r="V107" s="36">
        <f t="shared" si="67"/>
        <v>0</v>
      </c>
      <c r="W107" s="2" t="e">
        <f>IF(AND(G72&gt;=$W$9,G72&lt;=$W$9+5),0,IF($C$9&gt;$AF$51,ROUND(S71*#REF!/(DATEVALUE(CONCATENATE("01/01/",YEAR(H72)+1))-DATEVALUE(CONCATENATE("01/01/",YEAR(H72))))*(H72-H71),2),0))</f>
        <v>#REF!</v>
      </c>
      <c r="X107" s="34">
        <f t="shared" si="49"/>
        <v>0</v>
      </c>
      <c r="Y107" s="57">
        <f t="shared" si="46"/>
        <v>67801</v>
      </c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2" t="e">
        <f>IF(AND(Y64&gt;=$W$9,Y64&lt;=$W$9+5),0,IF($C$9&gt;$AF$51,ROUND(AI67*#REF!/(DATEVALUE(CONCATENATE("01/01/",YEAR(Z64)+1))-DATEVALUE(CONCATENATE("01/01/",YEAR(Z64))))*(Z64-Z63),2),0))</f>
        <v>#REF!</v>
      </c>
      <c r="AM107" s="34">
        <f t="shared" si="51"/>
        <v>0</v>
      </c>
      <c r="AN107" s="57">
        <f t="shared" si="50"/>
        <v>66341</v>
      </c>
      <c r="AO107" s="130">
        <f t="shared" si="68"/>
        <v>0</v>
      </c>
      <c r="AP107" s="109">
        <f t="shared" si="81"/>
        <v>99</v>
      </c>
      <c r="AQ107" s="110">
        <f t="shared" si="59"/>
        <v>47457</v>
      </c>
      <c r="AR107" s="177">
        <f t="shared" si="53"/>
        <v>0.14899999999999999</v>
      </c>
      <c r="AS107" s="105">
        <f t="shared" si="69"/>
        <v>0</v>
      </c>
      <c r="AT107" s="105">
        <f t="shared" si="75"/>
        <v>0</v>
      </c>
      <c r="AU107" s="105">
        <f t="shared" si="76"/>
        <v>0</v>
      </c>
      <c r="AV107" s="105">
        <f t="shared" si="71"/>
        <v>0</v>
      </c>
      <c r="AW107" s="105">
        <f t="shared" si="61"/>
        <v>0</v>
      </c>
      <c r="AX107" s="105">
        <v>0</v>
      </c>
      <c r="AY107" s="105">
        <f t="shared" si="89"/>
        <v>0</v>
      </c>
      <c r="AZ107" s="105">
        <f t="shared" si="87"/>
        <v>0</v>
      </c>
      <c r="BA107" s="105">
        <f t="shared" si="86"/>
        <v>0</v>
      </c>
      <c r="BB107" s="105"/>
      <c r="BC107" s="105"/>
      <c r="BD107" s="105"/>
      <c r="BE107" s="105"/>
      <c r="BF107" s="105"/>
      <c r="BG107" s="105">
        <f t="shared" si="72"/>
        <v>0</v>
      </c>
      <c r="BH107" s="108">
        <f t="shared" si="82"/>
        <v>0</v>
      </c>
      <c r="BI107" s="108">
        <f t="shared" si="77"/>
        <v>0</v>
      </c>
      <c r="BJ107" s="22">
        <f t="shared" si="78"/>
        <v>47457</v>
      </c>
      <c r="BK107" s="108">
        <f t="shared" si="62"/>
        <v>0</v>
      </c>
      <c r="BL107" s="2" t="e">
        <f>IF(AND(G62&gt;=$W$9,G62&lt;=$W$9+5),0,IF($C$9&gt;$AF$51,ROUND(BG61*IF(#REF!="",0,#REF!)/(DATEVALUE(CONCATENATE("01/01/",YEAR(AQ62)+1))-DATEVALUE(CONCATENATE("01/01/",YEAR(AQ62))))*(AQ62-AQ61),2),0))</f>
        <v>#REF!</v>
      </c>
    </row>
    <row r="108" spans="1:1217" x14ac:dyDescent="0.3">
      <c r="A108" s="178"/>
      <c r="B108" s="178"/>
      <c r="C108" s="184"/>
      <c r="D108" s="184"/>
      <c r="E108" s="184"/>
      <c r="F108" s="184"/>
      <c r="G108" s="114">
        <f t="shared" si="79"/>
        <v>100</v>
      </c>
      <c r="H108" s="111">
        <f t="shared" si="57"/>
        <v>47488</v>
      </c>
      <c r="I108" s="176">
        <f t="shared" si="54"/>
        <v>0.10899999999999999</v>
      </c>
      <c r="J108" s="24">
        <f t="shared" si="63"/>
        <v>0</v>
      </c>
      <c r="K108" s="242">
        <f t="shared" si="52"/>
        <v>0</v>
      </c>
      <c r="L108" s="24">
        <f t="shared" si="85"/>
        <v>0</v>
      </c>
      <c r="M108" s="24">
        <f t="shared" si="73"/>
        <v>0</v>
      </c>
      <c r="N108" s="24">
        <f t="shared" si="58"/>
        <v>0</v>
      </c>
      <c r="O108" s="24">
        <v>0</v>
      </c>
      <c r="P108" s="24">
        <f t="shared" si="88"/>
        <v>0</v>
      </c>
      <c r="Q108" s="24">
        <f t="shared" si="84"/>
        <v>0</v>
      </c>
      <c r="R108" s="24">
        <f t="shared" si="65"/>
        <v>0</v>
      </c>
      <c r="S108" s="24">
        <f t="shared" si="74"/>
        <v>0</v>
      </c>
      <c r="T108" s="24"/>
      <c r="U108" s="36">
        <f t="shared" si="80"/>
        <v>0</v>
      </c>
      <c r="V108" s="36">
        <f>IF(ISERR(CEILING(FLOOR(NPER($C$11/12,-$AD$55,S107),0.1),1))=TRUE,0,CEILING(FLOOR(NPER($C$11/12,-$AD$55,S107),0.1),1))</f>
        <v>0</v>
      </c>
      <c r="W108" s="2" t="e">
        <f>IF(AND(G73&gt;=$W$9,G73&lt;=$W$9+5),0,IF($C$9&gt;$AF$51,ROUND(S72*#REF!/(DATEVALUE(CONCATENATE("01/01/",YEAR(H73)+1))-DATEVALUE(CONCATENATE("01/01/",YEAR(H73))))*(H73-H72),2),0))</f>
        <v>#REF!</v>
      </c>
      <c r="X108" s="34">
        <f t="shared" si="49"/>
        <v>0</v>
      </c>
      <c r="Y108" s="57">
        <f t="shared" si="46"/>
        <v>68166</v>
      </c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2" t="e">
        <f>IF(AND(Y65&gt;=$W$9,Y65&lt;=$W$9+5),0,IF($C$9&gt;$AF$51,ROUND(AI68*#REF!/(DATEVALUE(CONCATENATE("01/01/",YEAR(Z65)+1))-DATEVALUE(CONCATENATE("01/01/",YEAR(Z65))))*(Z65-Z64),2),0))</f>
        <v>#REF!</v>
      </c>
      <c r="AM108" s="34">
        <f t="shared" si="51"/>
        <v>0</v>
      </c>
      <c r="AN108" s="57">
        <f t="shared" si="50"/>
        <v>66706</v>
      </c>
      <c r="AO108" s="130">
        <f t="shared" si="68"/>
        <v>0</v>
      </c>
      <c r="AP108" s="109">
        <f t="shared" si="81"/>
        <v>100</v>
      </c>
      <c r="AQ108" s="110">
        <f t="shared" si="59"/>
        <v>47488</v>
      </c>
      <c r="AR108" s="177">
        <f t="shared" si="53"/>
        <v>0.14899999999999999</v>
      </c>
      <c r="AS108" s="105">
        <f t="shared" si="69"/>
        <v>0</v>
      </c>
      <c r="AT108" s="105">
        <f t="shared" si="75"/>
        <v>0</v>
      </c>
      <c r="AU108" s="105">
        <f t="shared" si="76"/>
        <v>0</v>
      </c>
      <c r="AV108" s="105">
        <f t="shared" si="71"/>
        <v>0</v>
      </c>
      <c r="AW108" s="105">
        <f t="shared" si="61"/>
        <v>0</v>
      </c>
      <c r="AX108" s="105">
        <v>0</v>
      </c>
      <c r="AY108" s="105">
        <f t="shared" si="89"/>
        <v>0</v>
      </c>
      <c r="AZ108" s="105">
        <f t="shared" si="87"/>
        <v>0</v>
      </c>
      <c r="BA108" s="105">
        <f t="shared" si="86"/>
        <v>0</v>
      </c>
      <c r="BB108" s="105"/>
      <c r="BC108" s="105"/>
      <c r="BD108" s="105"/>
      <c r="BE108" s="105"/>
      <c r="BF108" s="105"/>
      <c r="BG108" s="105">
        <f t="shared" si="72"/>
        <v>0</v>
      </c>
      <c r="BH108" s="108">
        <f t="shared" si="82"/>
        <v>0</v>
      </c>
      <c r="BI108" s="108">
        <f t="shared" si="77"/>
        <v>0</v>
      </c>
      <c r="BJ108" s="22">
        <f t="shared" si="78"/>
        <v>47488</v>
      </c>
      <c r="BK108" s="108">
        <f t="shared" si="62"/>
        <v>0</v>
      </c>
      <c r="BL108" s="2" t="e">
        <f>IF(AND(G63&gt;=$W$9,G63&lt;=$W$9+5),0,IF($C$9&gt;$AF$51,ROUND(BG62*IF(#REF!="",0,#REF!)/(DATEVALUE(CONCATENATE("01/01/",YEAR(AQ63)+1))-DATEVALUE(CONCATENATE("01/01/",YEAR(AQ63))))*(AQ63-AQ62),2),0))</f>
        <v>#REF!</v>
      </c>
    </row>
    <row r="109" spans="1:1217" x14ac:dyDescent="0.3">
      <c r="A109" s="178"/>
      <c r="B109" s="178"/>
      <c r="C109" s="184"/>
      <c r="D109" s="184"/>
      <c r="E109" s="184"/>
      <c r="F109" s="184"/>
      <c r="G109" s="28"/>
      <c r="H109" s="29" t="s">
        <v>7</v>
      </c>
      <c r="I109" s="29"/>
      <c r="J109" s="30">
        <f>(SUM(J9:J108))</f>
        <v>435230.69000000006</v>
      </c>
      <c r="K109" s="30">
        <f>(SUM(K9:K108)-IF(CODE(C12)=209,AI51,0))</f>
        <v>393230.69000000006</v>
      </c>
      <c r="L109" s="30">
        <f t="shared" ref="L109:R109" si="90">SUM(L9:L108)</f>
        <v>57590.689999999988</v>
      </c>
      <c r="M109" s="30">
        <f t="shared" si="90"/>
        <v>335640</v>
      </c>
      <c r="N109" s="31">
        <f t="shared" si="90"/>
        <v>0</v>
      </c>
      <c r="O109" s="31">
        <f t="shared" si="90"/>
        <v>0</v>
      </c>
      <c r="P109" s="31">
        <f t="shared" si="90"/>
        <v>99590.69</v>
      </c>
      <c r="Q109" s="31">
        <f t="shared" si="90"/>
        <v>42000</v>
      </c>
      <c r="R109" s="31">
        <f t="shared" si="90"/>
        <v>0</v>
      </c>
      <c r="S109" s="31"/>
      <c r="T109" s="31"/>
      <c r="U109" s="31"/>
      <c r="V109" s="31"/>
      <c r="W109" s="2" t="e">
        <f>IF(AND(G74&gt;=$W$9,G74&lt;=$W$9+5),0,IF($C$9&gt;$AF$51,ROUND(S73*#REF!/(DATEVALUE(CONCATENATE("01/01/",YEAR(H74)+1))-DATEVALUE(CONCATENATE("01/01/",YEAR(H74))))*(H74-H73),2),0))</f>
        <v>#REF!</v>
      </c>
      <c r="X109" s="34">
        <f t="shared" si="49"/>
        <v>0</v>
      </c>
      <c r="Y109" s="57">
        <f t="shared" ref="Y109:Y143" si="91">Y108+365</f>
        <v>68531</v>
      </c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2" t="e">
        <f>IF(AND(Y66&gt;=$W$9,Y66&lt;=$W$9+5),0,IF($C$9&gt;$AF$51,ROUND(AI69*#REF!/(DATEVALUE(CONCATENATE("01/01/",YEAR(Z66)+1))-DATEVALUE(CONCATENATE("01/01/",YEAR(Z66))))*(Z66-Z65),2),0))</f>
        <v>#REF!</v>
      </c>
      <c r="AM109" s="34">
        <f t="shared" si="51"/>
        <v>0</v>
      </c>
      <c r="AN109" s="57">
        <f t="shared" si="50"/>
        <v>67071</v>
      </c>
      <c r="AO109" s="130"/>
      <c r="AP109" s="28"/>
      <c r="AQ109" s="29" t="s">
        <v>7</v>
      </c>
      <c r="AR109" s="29"/>
      <c r="AS109" s="30">
        <f>SUM(AS9:AS108)</f>
        <v>418680</v>
      </c>
      <c r="AT109" s="30">
        <f>(SUM(AT9:AT108)-IF(CODE(C12)=209,BX57,0))</f>
        <v>418680</v>
      </c>
      <c r="AU109" s="30">
        <f>SUM(AU9:AU108)</f>
        <v>83085.429999999993</v>
      </c>
      <c r="AV109" s="30">
        <f>SUM(AV9:AV108)</f>
        <v>335639.99999999994</v>
      </c>
      <c r="AW109" s="30">
        <f>SUM(AW9:AW108)</f>
        <v>0</v>
      </c>
      <c r="AX109" s="31"/>
      <c r="AY109" s="31"/>
      <c r="AZ109" s="30">
        <f>SUM(AZ9:AZ108)</f>
        <v>0</v>
      </c>
      <c r="BA109" s="31"/>
      <c r="BB109" s="31"/>
      <c r="BC109" s="31"/>
      <c r="BD109" s="31"/>
      <c r="BE109" s="31"/>
      <c r="BF109" s="31"/>
      <c r="BG109" s="31"/>
      <c r="BH109" s="108">
        <f t="shared" si="82"/>
        <v>0</v>
      </c>
      <c r="BI109" s="108">
        <f t="shared" si="77"/>
        <v>0</v>
      </c>
      <c r="BJ109" s="22" t="str">
        <f t="shared" si="78"/>
        <v>Итого</v>
      </c>
      <c r="BK109" s="108">
        <f t="shared" si="62"/>
        <v>393230.69000000006</v>
      </c>
      <c r="BL109" s="2" t="e">
        <f>IF(AND(G64&gt;=$W$9,G64&lt;=$W$9+5),0,IF($C$9&gt;$AF$51,ROUND(BG63*IF(#REF!="",0,#REF!)/(DATEVALUE(CONCATENATE("01/01/",YEAR(AQ64)+1))-DATEVALUE(CONCATENATE("01/01/",YEAR(AQ64))))*(AQ64-AQ63),2),0))</f>
        <v>#REF!</v>
      </c>
    </row>
    <row r="110" spans="1:1217" ht="13.8" x14ac:dyDescent="0.3">
      <c r="A110" s="178"/>
      <c r="B110" s="178"/>
      <c r="C110" s="184"/>
      <c r="D110" s="184"/>
      <c r="E110" s="184"/>
      <c r="W110" s="2" t="e">
        <f>IF(AND(G75&gt;=$W$9,G75&lt;=$W$9+5),0,IF($C$9&gt;$AF$51,ROUND(S74*#REF!/(DATEVALUE(CONCATENATE("01/01/",YEAR(H75)+1))-DATEVALUE(CONCATENATE("01/01/",YEAR(H75))))*(H75-H74),2),0))</f>
        <v>#REF!</v>
      </c>
      <c r="X110" s="34">
        <f t="shared" ref="X110:X142" si="92">IF(K75 &gt; 0, K75, 0)</f>
        <v>0</v>
      </c>
      <c r="Y110" s="57">
        <f t="shared" si="91"/>
        <v>68896</v>
      </c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2" t="e">
        <f>IF(AND(Y67&gt;=$W$9,Y67&lt;=$W$9+5),0,IF($C$9&gt;$AF$51,ROUND(AI70*#REF!/(DATEVALUE(CONCATENATE("01/01/",YEAR(Z67)+1))-DATEVALUE(CONCATENATE("01/01/",YEAR(Z67))))*(Z67-Z66),2),0))</f>
        <v>#VALUE!</v>
      </c>
      <c r="AM110" s="34">
        <f t="shared" si="51"/>
        <v>0</v>
      </c>
      <c r="AN110" s="57">
        <f t="shared" si="50"/>
        <v>67436</v>
      </c>
      <c r="AO110" s="130"/>
      <c r="BH110" s="108">
        <f t="shared" si="82"/>
        <v>0</v>
      </c>
      <c r="BI110" s="108">
        <f t="shared" si="77"/>
        <v>0</v>
      </c>
      <c r="BJ110" s="22">
        <f t="shared" si="78"/>
        <v>0</v>
      </c>
      <c r="BK110" s="108">
        <f t="shared" si="62"/>
        <v>0</v>
      </c>
      <c r="BL110" s="2" t="e">
        <f>IF(AND(G65&gt;=$W$9,G65&lt;=$W$9+5),0,IF($C$9&gt;$AF$51,ROUND(BG64*IF(#REF!="",0,#REF!)/(DATEVALUE(CONCATENATE("01/01/",YEAR(AQ65)+1))-DATEVALUE(CONCATENATE("01/01/",YEAR(AQ65))))*(AQ65-AQ64),2),0))</f>
        <v>#REF!</v>
      </c>
    </row>
    <row r="111" spans="1:1217" ht="13.8" x14ac:dyDescent="0.3">
      <c r="A111" s="178"/>
      <c r="B111" s="178"/>
      <c r="C111" s="184"/>
      <c r="D111" s="184"/>
      <c r="E111" s="184"/>
      <c r="W111" s="2" t="e">
        <f>IF(AND(G76&gt;=$W$9,G76&lt;=$W$9+5),0,IF($C$9&gt;$AF$51,ROUND(S75*#REF!/(DATEVALUE(CONCATENATE("01/01/",YEAR(H76)+1))-DATEVALUE(CONCATENATE("01/01/",YEAR(H76))))*(H76-H75),2),0))</f>
        <v>#REF!</v>
      </c>
      <c r="X111" s="34">
        <f t="shared" si="92"/>
        <v>0</v>
      </c>
      <c r="Y111" s="57">
        <f t="shared" si="91"/>
        <v>69261</v>
      </c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2" t="e">
        <f>IF(AND(Y68&gt;=$W$9,Y68&lt;=$W$9+5),0,IF($C$9&gt;$AF$51,ROUND(AI71*#REF!/(DATEVALUE(CONCATENATE("01/01/",YEAR(Z68)+1))-DATEVALUE(CONCATENATE("01/01/",YEAR(Z68))))*(Z68-Z67),2),0))</f>
        <v>#REF!</v>
      </c>
      <c r="AM111" s="34">
        <f t="shared" si="51"/>
        <v>0</v>
      </c>
      <c r="AN111" s="57">
        <f t="shared" si="50"/>
        <v>67801</v>
      </c>
      <c r="AO111" s="130"/>
      <c r="BH111" s="108">
        <f t="shared" si="82"/>
        <v>0</v>
      </c>
      <c r="BI111" s="108">
        <f t="shared" si="77"/>
        <v>0</v>
      </c>
      <c r="BJ111" s="22">
        <f t="shared" si="78"/>
        <v>0</v>
      </c>
      <c r="BK111" s="108">
        <f t="shared" si="62"/>
        <v>0</v>
      </c>
      <c r="BL111" s="2" t="e">
        <f>IF(AND(G66&gt;=$W$9,G66&lt;=$W$9+5),0,IF($C$9&gt;$AF$51,ROUND(BG65*IF(#REF!="",0,#REF!)/(DATEVALUE(CONCATENATE("01/01/",YEAR(AQ66)+1))-DATEVALUE(CONCATENATE("01/01/",YEAR(AQ66))))*(AQ66-AQ65),2),0))</f>
        <v>#REF!</v>
      </c>
    </row>
    <row r="112" spans="1:1217" ht="13.8" x14ac:dyDescent="0.3">
      <c r="A112" s="178"/>
      <c r="B112" s="178"/>
      <c r="C112" s="184"/>
      <c r="D112" s="184"/>
      <c r="E112" s="184"/>
      <c r="W112" s="2" t="e">
        <f>IF(AND(G77&gt;=$W$9,G77&lt;=$W$9+5),0,IF($C$9&gt;$AF$51,ROUND(S76*#REF!/(DATEVALUE(CONCATENATE("01/01/",YEAR(H77)+1))-DATEVALUE(CONCATENATE("01/01/",YEAR(H77))))*(H77-H76),2),0))</f>
        <v>#REF!</v>
      </c>
      <c r="X112" s="34">
        <f t="shared" si="92"/>
        <v>0</v>
      </c>
      <c r="Y112" s="57">
        <f t="shared" si="91"/>
        <v>69626</v>
      </c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2" t="e">
        <f>IF(AND(Y69&gt;=$W$9,Y69&lt;=$W$9+5),0,IF($C$9&gt;$AF$51,ROUND(AI72*#REF!/(DATEVALUE(CONCATENATE("01/01/",YEAR(Z69)+1))-DATEVALUE(CONCATENATE("01/01/",YEAR(Z69))))*(Z69-Z68),2),0))</f>
        <v>#REF!</v>
      </c>
      <c r="AM112" s="34">
        <f t="shared" si="51"/>
        <v>0</v>
      </c>
      <c r="AN112" s="57">
        <f t="shared" si="50"/>
        <v>68166</v>
      </c>
      <c r="AO112" s="130"/>
      <c r="BH112" s="108">
        <f t="shared" si="82"/>
        <v>0</v>
      </c>
      <c r="BI112" s="108">
        <f t="shared" si="77"/>
        <v>0</v>
      </c>
      <c r="BJ112" s="22">
        <f t="shared" si="78"/>
        <v>0</v>
      </c>
      <c r="BK112" s="108">
        <f t="shared" si="62"/>
        <v>0</v>
      </c>
      <c r="BL112" s="2" t="e">
        <f>IF(AND(G67&gt;=$W$9,G67&lt;=$W$9+5),0,IF($C$9&gt;$AF$51,ROUND(BG66*IF(#REF!="",0,#REF!)/(DATEVALUE(CONCATENATE("01/01/",YEAR(AQ67)+1))-DATEVALUE(CONCATENATE("01/01/",YEAR(AQ67))))*(AQ67-AQ66),2),0))</f>
        <v>#REF!</v>
      </c>
    </row>
    <row r="113" spans="1:64" ht="13.8" x14ac:dyDescent="0.3">
      <c r="A113" s="178"/>
      <c r="B113" s="178"/>
      <c r="C113" s="184"/>
      <c r="D113" s="184"/>
      <c r="E113" s="184"/>
      <c r="W113" s="2" t="e">
        <f>IF(AND(G78&gt;=$W$9,G78&lt;=$W$9+5),0,IF($C$9&gt;$AF$51,ROUND(S77*#REF!/(DATEVALUE(CONCATENATE("01/01/",YEAR(H78)+1))-DATEVALUE(CONCATENATE("01/01/",YEAR(H78))))*(H78-H77),2),0))</f>
        <v>#REF!</v>
      </c>
      <c r="X113" s="34">
        <f t="shared" si="92"/>
        <v>0</v>
      </c>
      <c r="Y113" s="57">
        <f t="shared" si="91"/>
        <v>69991</v>
      </c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2" t="e">
        <f>IF(AND(Y70&gt;=$W$9,Y70&lt;=$W$9+5),0,IF($C$9&gt;$AF$51,ROUND(AI73*#REF!/(DATEVALUE(CONCATENATE("01/01/",YEAR(Z70)+1))-DATEVALUE(CONCATENATE("01/01/",YEAR(Z70))))*(Z70-Z69),2),0))</f>
        <v>#REF!</v>
      </c>
      <c r="AM113" s="34">
        <f t="shared" si="51"/>
        <v>0</v>
      </c>
      <c r="AN113" s="57">
        <f t="shared" ref="AN113:AN147" si="93">AN112+365</f>
        <v>68531</v>
      </c>
      <c r="AO113" s="130"/>
      <c r="BH113" s="108">
        <f t="shared" si="82"/>
        <v>0</v>
      </c>
      <c r="BI113" s="108">
        <f t="shared" si="77"/>
        <v>0</v>
      </c>
      <c r="BJ113" s="22">
        <f t="shared" si="78"/>
        <v>0</v>
      </c>
      <c r="BK113" s="108">
        <f t="shared" si="62"/>
        <v>0</v>
      </c>
      <c r="BL113" s="2" t="e">
        <f>IF(AND(G68&gt;=$W$9,G68&lt;=$W$9+5),0,IF($C$9&gt;$AF$51,ROUND(BG67*IF(#REF!="",0,#REF!)/(DATEVALUE(CONCATENATE("01/01/",YEAR(AQ68)+1))-DATEVALUE(CONCATENATE("01/01/",YEAR(AQ68))))*(AQ68-AQ67),2),0))</f>
        <v>#REF!</v>
      </c>
    </row>
    <row r="114" spans="1:64" ht="13.8" x14ac:dyDescent="0.3">
      <c r="A114" s="178"/>
      <c r="B114" s="178"/>
      <c r="C114" s="184"/>
      <c r="D114" s="184"/>
      <c r="E114" s="184"/>
      <c r="W114" s="2" t="e">
        <f>IF(AND(G79&gt;=$W$9,G79&lt;=$W$9+5),0,IF($C$9&gt;$AF$51,ROUND(S78*#REF!/(DATEVALUE(CONCATENATE("01/01/",YEAR(H79)+1))-DATEVALUE(CONCATENATE("01/01/",YEAR(H79))))*(H79-H78),2),0))</f>
        <v>#REF!</v>
      </c>
      <c r="X114" s="34">
        <f t="shared" si="92"/>
        <v>0</v>
      </c>
      <c r="Y114" s="57">
        <f>Y83+365</f>
        <v>59406</v>
      </c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2" t="e">
        <f>IF(AND(Y71&gt;=$W$9,Y71&lt;=$W$9+5),0,IF($C$9&gt;$AF$51,ROUND(AI74*#REF!/(DATEVALUE(CONCATENATE("01/01/",YEAR(Z71)+1))-DATEVALUE(CONCATENATE("01/01/",YEAR(Z71))))*(Z71-Z70),2),0))</f>
        <v>#REF!</v>
      </c>
      <c r="AM114" s="34">
        <f t="shared" ref="AM114:AM147" si="94">AT75</f>
        <v>0</v>
      </c>
      <c r="AN114" s="57">
        <f t="shared" si="93"/>
        <v>68896</v>
      </c>
      <c r="AO114" s="130"/>
      <c r="BH114" s="108">
        <f t="shared" si="82"/>
        <v>0</v>
      </c>
      <c r="BI114" s="108">
        <f t="shared" si="77"/>
        <v>0</v>
      </c>
      <c r="BJ114" s="22">
        <f t="shared" si="78"/>
        <v>0</v>
      </c>
      <c r="BK114" s="108">
        <f t="shared" si="62"/>
        <v>0</v>
      </c>
      <c r="BL114" s="2" t="e">
        <f>IF(AND(G69&gt;=$W$9,G69&lt;=$W$9+5),0,IF($C$9&gt;$AF$51,ROUND(BG68*IF(#REF!="",0,#REF!)/(DATEVALUE(CONCATENATE("01/01/",YEAR(AQ69)+1))-DATEVALUE(CONCATENATE("01/01/",YEAR(AQ69))))*(AQ69-AQ68),2),0))</f>
        <v>#REF!</v>
      </c>
    </row>
    <row r="115" spans="1:64" ht="13.8" x14ac:dyDescent="0.3">
      <c r="A115" s="178"/>
      <c r="B115" s="178"/>
      <c r="C115" s="184"/>
      <c r="D115" s="184"/>
      <c r="E115" s="184"/>
      <c r="W115" s="2" t="e">
        <f>IF(AND(G80&gt;=$W$9,G80&lt;=$W$9+5),0,IF($C$9&gt;$AF$51,ROUND(S79*#REF!/(DATEVALUE(CONCATENATE("01/01/",YEAR(H80)+1))-DATEVALUE(CONCATENATE("01/01/",YEAR(H80))))*(H80-H79),2),0))</f>
        <v>#REF!</v>
      </c>
      <c r="X115" s="34">
        <f t="shared" si="92"/>
        <v>0</v>
      </c>
      <c r="Y115" s="57">
        <f t="shared" si="91"/>
        <v>59771</v>
      </c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2" t="e">
        <f>IF(AND(Y72&gt;=$W$9,Y72&lt;=$W$9+5),0,IF($C$9&gt;$AF$51,ROUND(AI75*#REF!/(DATEVALUE(CONCATENATE("01/01/",YEAR(Z72)+1))-DATEVALUE(CONCATENATE("01/01/",YEAR(Z72))))*(Z72-Z71),2),0))</f>
        <v>#REF!</v>
      </c>
      <c r="AM115" s="34">
        <f t="shared" si="94"/>
        <v>0</v>
      </c>
      <c r="AN115" s="57">
        <f t="shared" si="93"/>
        <v>69261</v>
      </c>
      <c r="AO115" s="130"/>
      <c r="BH115" s="31"/>
      <c r="BI115" s="51"/>
      <c r="BJ115" s="29" t="s">
        <v>67</v>
      </c>
      <c r="BK115" s="152" t="e">
        <f>XIRR(BK7:BK114,BJ7:BJ114)</f>
        <v>#VALUE!</v>
      </c>
      <c r="BL115" s="2" t="e">
        <f>IF(AND(G70&gt;=$W$9,G70&lt;=$W$9+5),0,IF($C$9&gt;$AF$51,ROUND(BG69*IF(#REF!="",0,#REF!)/(DATEVALUE(CONCATENATE("01/01/",YEAR(AQ70)+1))-DATEVALUE(CONCATENATE("01/01/",YEAR(AQ70))))*(AQ70-AQ69),2),0))</f>
        <v>#REF!</v>
      </c>
    </row>
    <row r="116" spans="1:64" ht="13.8" x14ac:dyDescent="0.3">
      <c r="A116" s="178"/>
      <c r="B116" s="178"/>
      <c r="C116" s="184"/>
      <c r="D116" s="184"/>
      <c r="E116" s="184"/>
      <c r="W116" s="2" t="e">
        <f>IF(AND(G81&gt;=$W$9,G81&lt;=$W$9+5),0,IF($C$9&gt;$AF$51,ROUND(S80*#REF!/(DATEVALUE(CONCATENATE("01/01/",YEAR(H81)+1))-DATEVALUE(CONCATENATE("01/01/",YEAR(H81))))*(H81-H80),2),0))</f>
        <v>#REF!</v>
      </c>
      <c r="X116" s="34">
        <f t="shared" si="92"/>
        <v>0</v>
      </c>
      <c r="Y116" s="57">
        <f t="shared" si="91"/>
        <v>60136</v>
      </c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2" t="e">
        <f>IF(AND(Y73&gt;=$W$9,Y73&lt;=$W$9+5),0,IF($C$9&gt;$AF$51,ROUND(AI76*#REF!/(DATEVALUE(CONCATENATE("01/01/",YEAR(Z73)+1))-DATEVALUE(CONCATENATE("01/01/",YEAR(Z73))))*(Z73-Z72),2),0))</f>
        <v>#REF!</v>
      </c>
      <c r="AM116" s="34">
        <f t="shared" si="94"/>
        <v>0</v>
      </c>
      <c r="AN116" s="57">
        <f t="shared" si="93"/>
        <v>69626</v>
      </c>
      <c r="AO116" s="130"/>
      <c r="BL116" s="2" t="e">
        <f>IF(AND(G71&gt;=$W$9,G71&lt;=$W$9+5),0,IF($C$9&gt;$AF$51,ROUND(BG70*IF(#REF!="",0,#REF!)/(DATEVALUE(CONCATENATE("01/01/",YEAR(AQ71)+1))-DATEVALUE(CONCATENATE("01/01/",YEAR(AQ71))))*(AQ71-AQ70),2),0))</f>
        <v>#REF!</v>
      </c>
    </row>
    <row r="117" spans="1:64" ht="13.8" x14ac:dyDescent="0.3">
      <c r="A117" s="178"/>
      <c r="B117" s="178"/>
      <c r="C117" s="184"/>
      <c r="D117" s="184"/>
      <c r="E117" s="184"/>
      <c r="W117" s="2" t="e">
        <f>IF(AND(G82&gt;=$W$9,G82&lt;=$W$9+5),0,IF($C$9&gt;$AF$51,ROUND(S81*#REF!/(DATEVALUE(CONCATENATE("01/01/",YEAR(H82)+1))-DATEVALUE(CONCATENATE("01/01/",YEAR(H82))))*(H82-H81),2),0))</f>
        <v>#REF!</v>
      </c>
      <c r="X117" s="34">
        <f t="shared" si="92"/>
        <v>0</v>
      </c>
      <c r="Y117" s="57">
        <f t="shared" si="91"/>
        <v>60501</v>
      </c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2" t="e">
        <f>IF(AND(Y74&gt;=$W$9,Y74&lt;=$W$9+5),0,IF($C$9&gt;$AF$51,ROUND(AI77*#REF!/(DATEVALUE(CONCATENATE("01/01/",YEAR(Z74)+1))-DATEVALUE(CONCATENATE("01/01/",YEAR(Z74))))*(Z74-Z73),2),0))</f>
        <v>#REF!</v>
      </c>
      <c r="AM117" s="34">
        <f t="shared" si="94"/>
        <v>0</v>
      </c>
      <c r="AN117" s="57">
        <f t="shared" si="93"/>
        <v>69991</v>
      </c>
      <c r="AO117" s="130"/>
      <c r="BL117" s="2" t="e">
        <f>IF(AND(G72&gt;=$W$9,G72&lt;=$W$9+5),0,IF($C$9&gt;$AF$51,ROUND(BG71*IF(#REF!="",0,#REF!)/(DATEVALUE(CONCATENATE("01/01/",YEAR(AQ72)+1))-DATEVALUE(CONCATENATE("01/01/",YEAR(AQ72))))*(AQ72-AQ71),2),0))</f>
        <v>#REF!</v>
      </c>
    </row>
    <row r="118" spans="1:64" ht="13.8" x14ac:dyDescent="0.3">
      <c r="A118" s="178"/>
      <c r="B118" s="178"/>
      <c r="C118" s="184"/>
      <c r="D118" s="184"/>
      <c r="E118" s="184"/>
      <c r="W118" s="2" t="e">
        <f>IF(AND(G83&gt;=$W$9,G83&lt;=$W$9+5),0,IF($C$9&gt;$AF$51,ROUND(S82*#REF!/(DATEVALUE(CONCATENATE("01/01/",YEAR(H83)+1))-DATEVALUE(CONCATENATE("01/01/",YEAR(H83))))*(H83-H82),2),0))</f>
        <v>#REF!</v>
      </c>
      <c r="X118" s="34">
        <f t="shared" si="92"/>
        <v>0</v>
      </c>
      <c r="Y118" s="57">
        <f t="shared" si="91"/>
        <v>60866</v>
      </c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2" t="e">
        <f>IF(AND(Y75&gt;=$W$9,Y75&lt;=$W$9+5),0,IF($C$9&gt;$AF$51,ROUND(AI78*#REF!/(DATEVALUE(CONCATENATE("01/01/",YEAR(Z75)+1))-DATEVALUE(CONCATENATE("01/01/",YEAR(Z75))))*(Z75-Z74),2),0))</f>
        <v>#VALUE!</v>
      </c>
      <c r="AM118" s="34">
        <f t="shared" si="94"/>
        <v>0</v>
      </c>
      <c r="AN118" s="57">
        <f>AN87+365</f>
        <v>59406</v>
      </c>
      <c r="AO118" s="130"/>
      <c r="BL118" s="2" t="e">
        <f>IF(AND(G73&gt;=$W$9,G73&lt;=$W$9+5),0,IF($C$9&gt;$AF$51,ROUND(BG72*IF(#REF!="",0,#REF!)/(DATEVALUE(CONCATENATE("01/01/",YEAR(AQ73)+1))-DATEVALUE(CONCATENATE("01/01/",YEAR(AQ73))))*(AQ73-AQ72),2),0))</f>
        <v>#REF!</v>
      </c>
    </row>
    <row r="119" spans="1:64" ht="13.8" x14ac:dyDescent="0.3">
      <c r="A119" s="178"/>
      <c r="B119" s="178"/>
      <c r="C119" s="184"/>
      <c r="D119" s="184"/>
      <c r="E119" s="184"/>
      <c r="W119" s="2" t="e">
        <f>IF(AND(G84&gt;=$W$9,G84&lt;=$W$9+5),0,IF($C$9&gt;$AF$51,ROUND(S83*#REF!/(DATEVALUE(CONCATENATE("01/01/",YEAR(H84)+1))-DATEVALUE(CONCATENATE("01/01/",YEAR(H84))))*(H84-H83),2),0))</f>
        <v>#REF!</v>
      </c>
      <c r="X119" s="34">
        <f t="shared" si="92"/>
        <v>0</v>
      </c>
      <c r="Y119" s="57">
        <f t="shared" si="91"/>
        <v>61231</v>
      </c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2" t="e">
        <f>IF(AND(Y76&gt;=$W$9,Y76&lt;=$W$9+5),0,IF($C$9&gt;$AF$51,ROUND(AI79*#REF!/(DATEVALUE(CONCATENATE("01/01/",YEAR(Z76)+1))-DATEVALUE(CONCATENATE("01/01/",YEAR(Z76))))*(Z76-Z75),2),0))</f>
        <v>#REF!</v>
      </c>
      <c r="AM119" s="34">
        <f t="shared" si="94"/>
        <v>0</v>
      </c>
      <c r="AN119" s="57">
        <f t="shared" si="93"/>
        <v>59771</v>
      </c>
      <c r="AO119" s="130"/>
      <c r="BL119" s="2" t="e">
        <f>IF(AND(G74&gt;=$W$9,G74&lt;=$W$9+5),0,IF($C$9&gt;$AF$51,ROUND(BG73*IF(#REF!="",0,#REF!)/(DATEVALUE(CONCATENATE("01/01/",YEAR(AQ74)+1))-DATEVALUE(CONCATENATE("01/01/",YEAR(AQ74))))*(AQ74-AQ73),2),0))</f>
        <v>#REF!</v>
      </c>
    </row>
    <row r="120" spans="1:64" ht="13.8" x14ac:dyDescent="0.3">
      <c r="A120" s="178"/>
      <c r="B120" s="178"/>
      <c r="C120" s="184"/>
      <c r="D120" s="184"/>
      <c r="E120" s="184"/>
      <c r="W120" s="2" t="e">
        <f>IF(AND(G85&gt;=$W$9,G85&lt;=$W$9+5),0,IF($C$9&gt;$AF$51,ROUND(S84*#REF!/(DATEVALUE(CONCATENATE("01/01/",YEAR(H85)+1))-DATEVALUE(CONCATENATE("01/01/",YEAR(H85))))*(H85-H84),2),0))</f>
        <v>#REF!</v>
      </c>
      <c r="X120" s="34">
        <f t="shared" si="92"/>
        <v>0</v>
      </c>
      <c r="Y120" s="57">
        <f t="shared" si="91"/>
        <v>61596</v>
      </c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2" t="e">
        <f>IF(AND(Y77&gt;=$W$9,Y77&lt;=$W$9+5),0,IF($C$9&gt;$AF$51,ROUND(AI80*#REF!/(DATEVALUE(CONCATENATE("01/01/",YEAR(Z77)+1))-DATEVALUE(CONCATENATE("01/01/",YEAR(Z77))))*(Z77-Z76),2),0))</f>
        <v>#REF!</v>
      </c>
      <c r="AM120" s="34">
        <f t="shared" si="94"/>
        <v>0</v>
      </c>
      <c r="AN120" s="57">
        <f t="shared" si="93"/>
        <v>60136</v>
      </c>
      <c r="AO120" s="130"/>
      <c r="BL120" s="2" t="e">
        <f>IF(AND(G75&gt;=$W$9,G75&lt;=$W$9+5),0,IF($C$9&gt;$AF$51,ROUND(BG74*IF(#REF!="",0,#REF!)/(DATEVALUE(CONCATENATE("01/01/",YEAR(AQ75)+1))-DATEVALUE(CONCATENATE("01/01/",YEAR(AQ75))))*(AQ75-AQ74),2),0))</f>
        <v>#REF!</v>
      </c>
    </row>
    <row r="121" spans="1:64" ht="13.8" x14ac:dyDescent="0.3">
      <c r="A121" s="178"/>
      <c r="B121" s="178"/>
      <c r="C121" s="184"/>
      <c r="D121" s="184"/>
      <c r="E121" s="184"/>
      <c r="W121" s="2" t="e">
        <f>IF(AND(G86&gt;=$W$9,G86&lt;=$W$9+5),0,IF($C$9&gt;$AF$51,ROUND(S85*#REF!/(DATEVALUE(CONCATENATE("01/01/",YEAR(H86)+1))-DATEVALUE(CONCATENATE("01/01/",YEAR(H86))))*(H86-H85),2),0))</f>
        <v>#REF!</v>
      </c>
      <c r="X121" s="34">
        <f t="shared" si="92"/>
        <v>0</v>
      </c>
      <c r="Y121" s="57">
        <f t="shared" si="91"/>
        <v>61961</v>
      </c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2" t="e">
        <f>IF(AND(Y78&gt;=$W$9,Y78&lt;=$W$9+5),0,IF($C$9&gt;$AF$51,ROUND(AI81*#REF!/(DATEVALUE(CONCATENATE("01/01/",YEAR(Z78)+1))-DATEVALUE(CONCATENATE("01/01/",YEAR(Z78))))*(Z78-Z77),2),0))</f>
        <v>#REF!</v>
      </c>
      <c r="AM121" s="34">
        <f t="shared" si="94"/>
        <v>0</v>
      </c>
      <c r="AN121" s="57">
        <f t="shared" si="93"/>
        <v>60501</v>
      </c>
      <c r="AO121" s="130"/>
      <c r="BL121" s="2" t="e">
        <f>IF(AND(G76&gt;=$W$9,G76&lt;=$W$9+5),0,IF($C$9&gt;$AF$51,ROUND(BG75*IF(#REF!="",0,#REF!)/(DATEVALUE(CONCATENATE("01/01/",YEAR(AQ76)+1))-DATEVALUE(CONCATENATE("01/01/",YEAR(AQ76))))*(AQ76-AQ75),2),0))</f>
        <v>#REF!</v>
      </c>
    </row>
    <row r="122" spans="1:64" ht="13.8" x14ac:dyDescent="0.3">
      <c r="A122" s="178"/>
      <c r="B122" s="178"/>
      <c r="C122" s="184"/>
      <c r="D122" s="184"/>
      <c r="E122" s="184"/>
      <c r="W122" s="2" t="e">
        <f>IF(AND(G87&gt;=$W$9,G87&lt;=$W$9+5),0,IF($C$9&gt;$AF$51,ROUND(S86*#REF!/(DATEVALUE(CONCATENATE("01/01/",YEAR(H87)+1))-DATEVALUE(CONCATENATE("01/01/",YEAR(H87))))*(H87-H86),2),0))</f>
        <v>#REF!</v>
      </c>
      <c r="X122" s="34">
        <f t="shared" si="92"/>
        <v>0</v>
      </c>
      <c r="Y122" s="57">
        <f t="shared" si="91"/>
        <v>62326</v>
      </c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2" t="e">
        <f>IF(AND(Y79&gt;=$W$9,Y79&lt;=$W$9+5),0,IF($C$9&gt;$AF$51,ROUND(AI82*#REF!/(DATEVALUE(CONCATENATE("01/01/",YEAR(Z79)+1))-DATEVALUE(CONCATENATE("01/01/",YEAR(Z79))))*(Z79-Z78),2),0))</f>
        <v>#REF!</v>
      </c>
      <c r="AM122" s="34">
        <f t="shared" si="94"/>
        <v>0</v>
      </c>
      <c r="AN122" s="57">
        <f t="shared" si="93"/>
        <v>60866</v>
      </c>
      <c r="AO122" s="130"/>
      <c r="BL122" s="2" t="e">
        <f>IF(AND(G77&gt;=$W$9,G77&lt;=$W$9+5),0,IF($C$9&gt;$AF$51,ROUND(BG76*IF(#REF!="",0,#REF!)/(DATEVALUE(CONCATENATE("01/01/",YEAR(AQ77)+1))-DATEVALUE(CONCATENATE("01/01/",YEAR(AQ77))))*(AQ77-AQ76),2),0))</f>
        <v>#REF!</v>
      </c>
    </row>
    <row r="123" spans="1:64" ht="13.8" x14ac:dyDescent="0.3">
      <c r="A123" s="178"/>
      <c r="B123" s="178"/>
      <c r="C123" s="184"/>
      <c r="D123" s="184"/>
      <c r="E123" s="184"/>
      <c r="W123" s="2" t="e">
        <f>IF(AND(G88&gt;=$W$9,G88&lt;=$W$9+5),0,IF($C$9&gt;$AF$51,ROUND(S87*#REF!/(DATEVALUE(CONCATENATE("01/01/",YEAR(H88)+1))-DATEVALUE(CONCATENATE("01/01/",YEAR(H88))))*(H88-H87),2),0))</f>
        <v>#REF!</v>
      </c>
      <c r="X123" s="34">
        <f t="shared" si="92"/>
        <v>0</v>
      </c>
      <c r="Y123" s="57">
        <f t="shared" si="91"/>
        <v>62691</v>
      </c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2" t="e">
        <f>IF(AND(Y80&gt;=$W$9,Y80&lt;=$W$9+5),0,IF($C$9&gt;$AF$51,ROUND(AI83*#REF!/(DATEVALUE(CONCATENATE("01/01/",YEAR(Z80)+1))-DATEVALUE(CONCATENATE("01/01/",YEAR(Z80))))*(Z80-Z79),2),0))</f>
        <v>#REF!</v>
      </c>
      <c r="AM123" s="34">
        <f t="shared" si="94"/>
        <v>0</v>
      </c>
      <c r="AN123" s="57">
        <f t="shared" si="93"/>
        <v>61231</v>
      </c>
      <c r="AO123" s="130"/>
      <c r="BL123" s="2" t="e">
        <f>IF(AND(G78&gt;=$W$9,G78&lt;=$W$9+5),0,IF($C$9&gt;$AF$51,ROUND(BG77*IF(#REF!="",0,#REF!)/(DATEVALUE(CONCATENATE("01/01/",YEAR(AQ78)+1))-DATEVALUE(CONCATENATE("01/01/",YEAR(AQ78))))*(AQ78-AQ77),2),0))</f>
        <v>#REF!</v>
      </c>
    </row>
    <row r="124" spans="1:64" ht="13.8" x14ac:dyDescent="0.3">
      <c r="A124" s="178"/>
      <c r="B124" s="178"/>
      <c r="C124" s="184"/>
      <c r="D124" s="184"/>
      <c r="E124" s="184"/>
      <c r="W124" s="2" t="e">
        <f>IF(AND(G89&gt;=$W$9,G89&lt;=$W$9+5),0,IF($C$9&gt;$AF$51,ROUND(S88*#REF!/(DATEVALUE(CONCATENATE("01/01/",YEAR(H89)+1))-DATEVALUE(CONCATENATE("01/01/",YEAR(H89))))*(H89-H88),2),0))</f>
        <v>#REF!</v>
      </c>
      <c r="X124" s="34">
        <f t="shared" si="92"/>
        <v>0</v>
      </c>
      <c r="Y124" s="57">
        <f t="shared" si="91"/>
        <v>63056</v>
      </c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2" t="e">
        <f>IF(AND(Y81&gt;=$W$9,Y81&lt;=$W$9+5),0,IF($C$9&gt;$AF$51,ROUND(AI84*#REF!/(DATEVALUE(CONCATENATE("01/01/",YEAR(Z81)+1))-DATEVALUE(CONCATENATE("01/01/",YEAR(Z81))))*(Z81-Z80),2),0))</f>
        <v>#REF!</v>
      </c>
      <c r="AM124" s="34">
        <f t="shared" si="94"/>
        <v>0</v>
      </c>
      <c r="AN124" s="57">
        <f t="shared" si="93"/>
        <v>61596</v>
      </c>
      <c r="AO124" s="130"/>
      <c r="BL124" s="2" t="e">
        <f>IF(AND(G79&gt;=$W$9,G79&lt;=$W$9+5),0,IF($C$9&gt;$AF$51,ROUND(BG78*IF(#REF!="",0,#REF!)/(DATEVALUE(CONCATENATE("01/01/",YEAR(AQ79)+1))-DATEVALUE(CONCATENATE("01/01/",YEAR(AQ79))))*(AQ79-AQ78),2),0))</f>
        <v>#REF!</v>
      </c>
    </row>
    <row r="125" spans="1:64" ht="13.8" x14ac:dyDescent="0.3">
      <c r="A125" s="178"/>
      <c r="B125" s="178"/>
      <c r="C125" s="184"/>
      <c r="D125" s="184"/>
      <c r="E125" s="184"/>
      <c r="W125" s="2" t="e">
        <f>IF(AND(G90&gt;=$W$9,G90&lt;=$W$9+5),0,IF($C$9&gt;$AF$51,ROUND(S89*#REF!/(DATEVALUE(CONCATENATE("01/01/",YEAR(H90)+1))-DATEVALUE(CONCATENATE("01/01/",YEAR(H90))))*(H90-H89),2),0))</f>
        <v>#REF!</v>
      </c>
      <c r="X125" s="34">
        <f t="shared" si="92"/>
        <v>0</v>
      </c>
      <c r="Y125" s="57">
        <f t="shared" si="91"/>
        <v>63421</v>
      </c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2" t="e">
        <f>IF(AND(Y82&gt;=$W$9,Y82&lt;=$W$9+5),0,IF($C$9&gt;$AF$51,ROUND(AI85*#REF!/(DATEVALUE(CONCATENATE("01/01/",YEAR(Z82)+1))-DATEVALUE(CONCATENATE("01/01/",YEAR(Z82))))*(Z82-Z81),2),0))</f>
        <v>#REF!</v>
      </c>
      <c r="AM125" s="34">
        <f t="shared" si="94"/>
        <v>0</v>
      </c>
      <c r="AN125" s="57">
        <f t="shared" si="93"/>
        <v>61961</v>
      </c>
      <c r="AO125" s="130"/>
      <c r="BL125" s="2" t="e">
        <f>IF(AND(G80&gt;=$W$9,G80&lt;=$W$9+5),0,IF($C$9&gt;$AF$51,ROUND(BG79*IF(#REF!="",0,#REF!)/(DATEVALUE(CONCATENATE("01/01/",YEAR(AQ80)+1))-DATEVALUE(CONCATENATE("01/01/",YEAR(AQ80))))*(AQ80-AQ79),2),0))</f>
        <v>#REF!</v>
      </c>
    </row>
    <row r="126" spans="1:64" ht="13.8" x14ac:dyDescent="0.3">
      <c r="A126" s="178"/>
      <c r="B126" s="178"/>
      <c r="C126" s="184"/>
      <c r="D126" s="184"/>
      <c r="E126" s="184"/>
      <c r="W126" s="2" t="e">
        <f>IF(AND(G91&gt;=$W$9,G91&lt;=$W$9+5),0,IF($C$9&gt;$AF$51,ROUND(S90*#REF!/(DATEVALUE(CONCATENATE("01/01/",YEAR(H91)+1))-DATEVALUE(CONCATENATE("01/01/",YEAR(H91))))*(H91-H90),2),0))</f>
        <v>#REF!</v>
      </c>
      <c r="X126" s="34">
        <f t="shared" si="92"/>
        <v>0</v>
      </c>
      <c r="Y126" s="57">
        <f t="shared" si="91"/>
        <v>63786</v>
      </c>
      <c r="AC126" s="16"/>
      <c r="AD126" s="16"/>
      <c r="AE126" s="16"/>
      <c r="AF126" s="16"/>
      <c r="AG126" s="16"/>
      <c r="AH126" s="16"/>
      <c r="AI126" s="16"/>
      <c r="AJ126" s="16"/>
      <c r="AK126" s="16"/>
      <c r="AL126" s="2" t="e">
        <f>IF(AND(Y83&gt;=$W$9,Y83&lt;=$W$9+5),0,IF($C$9&gt;$AF$51,ROUND(AI86*#REF!/(DATEVALUE(CONCATENATE("01/01/",YEAR(Z83)+1))-DATEVALUE(CONCATENATE("01/01/",YEAR(Z83))))*(Z83-Z82),2),0))</f>
        <v>#REF!</v>
      </c>
      <c r="AM126" s="34">
        <f t="shared" si="94"/>
        <v>0</v>
      </c>
      <c r="AN126" s="57">
        <f t="shared" si="93"/>
        <v>62326</v>
      </c>
      <c r="AO126" s="130"/>
      <c r="BL126" s="2" t="e">
        <f>IF(AND(G81&gt;=$W$9,G81&lt;=$W$9+5),0,IF($C$9&gt;$AF$51,ROUND(BG80*IF(#REF!="",0,#REF!)/(DATEVALUE(CONCATENATE("01/01/",YEAR(AQ81)+1))-DATEVALUE(CONCATENATE("01/01/",YEAR(AQ81))))*(AQ81-AQ80),2),0))</f>
        <v>#REF!</v>
      </c>
    </row>
    <row r="127" spans="1:64" x14ac:dyDescent="0.25">
      <c r="W127" s="2" t="e">
        <f>IF(AND(G92&gt;=$W$9,G92&lt;=$W$9+5),0,IF($C$9&gt;$AF$51,ROUND(S91*#REF!/(DATEVALUE(CONCATENATE("01/01/",YEAR(H92)+1))-DATEVALUE(CONCATENATE("01/01/",YEAR(H92))))*(H92-H91),2),0))</f>
        <v>#REF!</v>
      </c>
      <c r="X127" s="34">
        <f t="shared" si="92"/>
        <v>0</v>
      </c>
      <c r="Y127" s="57">
        <f t="shared" si="91"/>
        <v>64151</v>
      </c>
      <c r="AC127" s="16"/>
      <c r="AD127" s="16"/>
      <c r="AE127" s="16"/>
      <c r="AF127" s="16"/>
      <c r="AG127" s="16"/>
      <c r="AH127" s="16"/>
      <c r="AI127" s="16"/>
      <c r="AJ127" s="16"/>
      <c r="AK127" s="16"/>
      <c r="AL127" s="2" t="e">
        <f>IF(AND(Y84&gt;=$W$9,Y84&lt;=$W$9+5),0,IF($C$9&gt;$AF$51,ROUND(AI87*#REF!/(DATEVALUE(CONCATENATE("01/01/",YEAR(Z84)+1))-DATEVALUE(CONCATENATE("01/01/",YEAR(Z84))))*(Z84-Z83),2),0))</f>
        <v>#REF!</v>
      </c>
      <c r="AM127" s="34">
        <f t="shared" si="94"/>
        <v>0</v>
      </c>
      <c r="AN127" s="57">
        <f t="shared" si="93"/>
        <v>62691</v>
      </c>
      <c r="BL127" s="2" t="e">
        <f>IF(AND(G82&gt;=$W$9,G82&lt;=$W$9+5),0,IF($C$9&gt;$AF$51,ROUND(BG81*IF(#REF!="",0,#REF!)/(DATEVALUE(CONCATENATE("01/01/",YEAR(AQ82)+1))-DATEVALUE(CONCATENATE("01/01/",YEAR(AQ82))))*(AQ82-AQ81),2),0))</f>
        <v>#REF!</v>
      </c>
    </row>
    <row r="128" spans="1:64" x14ac:dyDescent="0.25">
      <c r="W128" s="2" t="e">
        <f>IF(AND(G93&gt;=$W$9,G93&lt;=$W$9+5),0,IF($C$9&gt;$AF$51,ROUND(S92*#REF!/(DATEVALUE(CONCATENATE("01/01/",YEAR(H93)+1))-DATEVALUE(CONCATENATE("01/01/",YEAR(H93))))*(H93-H92),2),0))</f>
        <v>#REF!</v>
      </c>
      <c r="X128" s="34">
        <f t="shared" si="92"/>
        <v>0</v>
      </c>
      <c r="Y128" s="57">
        <f t="shared" si="91"/>
        <v>64516</v>
      </c>
      <c r="AC128" s="16"/>
      <c r="AD128" s="16"/>
      <c r="AE128" s="16"/>
      <c r="AF128" s="16"/>
      <c r="AG128" s="16"/>
      <c r="AH128" s="16"/>
      <c r="AI128" s="16"/>
      <c r="AJ128" s="16"/>
      <c r="AK128" s="60"/>
      <c r="AL128" s="2" t="e">
        <f>IF(AND(Y85&gt;=$W$9,Y85&lt;=$W$9+5),0,IF($C$9&gt;$AF$51,ROUND(AI88*#REF!/(DATEVALUE(CONCATENATE("01/01/",YEAR(Z85)+1))-DATEVALUE(CONCATENATE("01/01/",YEAR(Z85))))*(Z85-Z84),2),0))</f>
        <v>#REF!</v>
      </c>
      <c r="AM128" s="34">
        <f t="shared" si="94"/>
        <v>0</v>
      </c>
      <c r="AN128" s="57">
        <f t="shared" si="93"/>
        <v>63056</v>
      </c>
      <c r="BL128" s="2" t="e">
        <f>IF(AND(G83&gt;=$W$9,G83&lt;=$W$9+5),0,IF($C$9&gt;$AF$51,ROUND(BG82*IF(#REF!="",0,#REF!)/(DATEVALUE(CONCATENATE("01/01/",YEAR(AQ83)+1))-DATEVALUE(CONCATENATE("01/01/",YEAR(AQ83))))*(AQ83-AQ82),2),0))</f>
        <v>#REF!</v>
      </c>
    </row>
    <row r="129" spans="23:64" x14ac:dyDescent="0.25">
      <c r="W129" s="2" t="e">
        <f>IF(AND(G94&gt;=$W$9,G94&lt;=$W$9+5),0,IF($C$9&gt;$AF$51,ROUND(S93*#REF!/(DATEVALUE(CONCATENATE("01/01/",YEAR(H94)+1))-DATEVALUE(CONCATENATE("01/01/",YEAR(H94))))*(H94-H93),2),0))</f>
        <v>#REF!</v>
      </c>
      <c r="X129" s="34">
        <f t="shared" si="92"/>
        <v>0</v>
      </c>
      <c r="Y129" s="57">
        <f t="shared" si="91"/>
        <v>64881</v>
      </c>
      <c r="AC129" s="16"/>
      <c r="AD129" s="16"/>
      <c r="AE129" s="33"/>
      <c r="AF129" s="33"/>
      <c r="AG129" s="33"/>
      <c r="AH129" s="33"/>
      <c r="AI129" s="16"/>
      <c r="AL129" s="2" t="e">
        <f>IF(AND(Y86&gt;=$W$9,Y86&lt;=$W$9+5),0,IF($C$9&gt;$AF$51,ROUND(AI89*#REF!/(DATEVALUE(CONCATENATE("01/01/",YEAR(Z86)+1))-DATEVALUE(CONCATENATE("01/01/",YEAR(Z86))))*(Z86-Z85),2),0))</f>
        <v>#REF!</v>
      </c>
      <c r="AM129" s="34">
        <f t="shared" si="94"/>
        <v>0</v>
      </c>
      <c r="AN129" s="57">
        <f t="shared" si="93"/>
        <v>63421</v>
      </c>
      <c r="BL129" s="2" t="e">
        <f>IF(AND(G84&gt;=$W$9,G84&lt;=$W$9+5),0,IF($C$9&gt;$AF$51,ROUND(BG83*IF(#REF!="",0,#REF!)/(DATEVALUE(CONCATENATE("01/01/",YEAR(AQ84)+1))-DATEVALUE(CONCATENATE("01/01/",YEAR(AQ84))))*(AQ84-AQ83),2),0))</f>
        <v>#REF!</v>
      </c>
    </row>
    <row r="130" spans="23:64" x14ac:dyDescent="0.25">
      <c r="W130" s="2" t="e">
        <f>IF(AND(G95&gt;=$W$9,G95&lt;=$W$9+5),0,IF($C$9&gt;$AF$51,ROUND(S94*#REF!/(DATEVALUE(CONCATENATE("01/01/",YEAR(H95)+1))-DATEVALUE(CONCATENATE("01/01/",YEAR(H95))))*(H95-H94),2),0))</f>
        <v>#REF!</v>
      </c>
      <c r="X130" s="34">
        <f t="shared" si="92"/>
        <v>0</v>
      </c>
      <c r="Y130" s="57">
        <f t="shared" si="91"/>
        <v>65246</v>
      </c>
      <c r="AL130" s="2" t="e">
        <f>IF(AND(Y87&gt;=$W$9,Y87&lt;=$W$9+5),0,IF($C$9&gt;$AF$51,ROUND(AI90*#REF!/(DATEVALUE(CONCATENATE("01/01/",YEAR(Z87)+1))-DATEVALUE(CONCATENATE("01/01/",YEAR(Z87))))*(Z87-Z86),2),0))</f>
        <v>#REF!</v>
      </c>
      <c r="AM130" s="34">
        <f t="shared" si="94"/>
        <v>0</v>
      </c>
      <c r="AN130" s="57">
        <f t="shared" si="93"/>
        <v>63786</v>
      </c>
      <c r="BL130" s="2" t="e">
        <f>IF(AND(G85&gt;=$W$9,G85&lt;=$W$9+5),0,IF($C$9&gt;$AF$51,ROUND(BG84*IF(#REF!="",0,#REF!)/(DATEVALUE(CONCATENATE("01/01/",YEAR(AQ85)+1))-DATEVALUE(CONCATENATE("01/01/",YEAR(AQ85))))*(AQ85-AQ84),2),0))</f>
        <v>#REF!</v>
      </c>
    </row>
    <row r="131" spans="23:64" x14ac:dyDescent="0.25">
      <c r="W131" s="2" t="e">
        <f>IF(AND(G96&gt;=$W$9,G96&lt;=$W$9+5),0,IF($C$9&gt;$AF$51,ROUND(S95*#REF!/(DATEVALUE(CONCATENATE("01/01/",YEAR(H96)+1))-DATEVALUE(CONCATENATE("01/01/",YEAR(H96))))*(H96-H95),2),0))</f>
        <v>#REF!</v>
      </c>
      <c r="X131" s="34">
        <f t="shared" si="92"/>
        <v>0</v>
      </c>
      <c r="Y131" s="57">
        <f t="shared" si="91"/>
        <v>65611</v>
      </c>
      <c r="AL131" s="2" t="e">
        <f>IF(AND(Y88&gt;=$W$9,Y88&lt;=$W$9+5),0,IF($C$9&gt;$AF$51,ROUND(AI91*#REF!/(DATEVALUE(CONCATENATE("01/01/",YEAR(Z88)+1))-DATEVALUE(CONCATENATE("01/01/",YEAR(Z88))))*(Z88-Z87),2),0))</f>
        <v>#REF!</v>
      </c>
      <c r="AM131" s="34">
        <f t="shared" si="94"/>
        <v>0</v>
      </c>
      <c r="AN131" s="57">
        <f t="shared" si="93"/>
        <v>64151</v>
      </c>
      <c r="BL131" s="2" t="e">
        <f>IF(AND(G86&gt;=$W$9,G86&lt;=$W$9+5),0,IF($C$9&gt;$AF$51,ROUND(BG85*IF(#REF!="",0,#REF!)/(DATEVALUE(CONCATENATE("01/01/",YEAR(AQ86)+1))-DATEVALUE(CONCATENATE("01/01/",YEAR(AQ86))))*(AQ86-AQ85),2),0))</f>
        <v>#REF!</v>
      </c>
    </row>
    <row r="132" spans="23:64" x14ac:dyDescent="0.25">
      <c r="W132" s="2" t="e">
        <f>IF(AND(G97&gt;=$W$9,G97&lt;=$W$9+5),0,IF($C$9&gt;$AF$51,ROUND(S96*#REF!/(DATEVALUE(CONCATENATE("01/01/",YEAR(H97)+1))-DATEVALUE(CONCATENATE("01/01/",YEAR(H97))))*(H97-H96),2),0))</f>
        <v>#REF!</v>
      </c>
      <c r="X132" s="34">
        <f t="shared" si="92"/>
        <v>0</v>
      </c>
      <c r="Y132" s="57">
        <f t="shared" si="91"/>
        <v>65976</v>
      </c>
      <c r="AL132" s="2" t="e">
        <f>IF(AND(Y89&gt;=$W$9,Y89&lt;=$W$9+5),0,IF($C$9&gt;$AF$51,ROUND(AI92*#REF!/(DATEVALUE(CONCATENATE("01/01/",YEAR(Z89)+1))-DATEVALUE(CONCATENATE("01/01/",YEAR(Z89))))*(Z89-Z88),2),0))</f>
        <v>#REF!</v>
      </c>
      <c r="AM132" s="34">
        <f t="shared" si="94"/>
        <v>0</v>
      </c>
      <c r="AN132" s="57">
        <f t="shared" si="93"/>
        <v>64516</v>
      </c>
      <c r="BL132" s="2" t="e">
        <f>IF(AND(G87&gt;=$W$9,G87&lt;=$W$9+5),0,IF($C$9&gt;$AF$51,ROUND(BG86*IF(#REF!="",0,#REF!)/(DATEVALUE(CONCATENATE("01/01/",YEAR(AQ87)+1))-DATEVALUE(CONCATENATE("01/01/",YEAR(AQ87))))*(AQ87-AQ86),2),0))</f>
        <v>#REF!</v>
      </c>
    </row>
    <row r="133" spans="23:64" x14ac:dyDescent="0.25">
      <c r="W133" s="2" t="e">
        <f>IF(AND(G98&gt;=$W$9,G98&lt;=$W$9+5),0,IF($C$9&gt;$AF$51,ROUND(S97*#REF!/(DATEVALUE(CONCATENATE("01/01/",YEAR(H98)+1))-DATEVALUE(CONCATENATE("01/01/",YEAR(H98))))*(H98-H97),2),0))</f>
        <v>#REF!</v>
      </c>
      <c r="X133" s="34">
        <f t="shared" si="92"/>
        <v>0</v>
      </c>
      <c r="Y133" s="57">
        <f t="shared" si="91"/>
        <v>66341</v>
      </c>
      <c r="AL133" s="2" t="e">
        <f>IF(AND(Y90&gt;=$W$9,Y90&lt;=$W$9+5),0,IF($C$9&gt;$AF$51,ROUND(AI93*#REF!/(DATEVALUE(CONCATENATE("01/01/",YEAR(Z90)+1))-DATEVALUE(CONCATENATE("01/01/",YEAR(Z90))))*(Z90-Z89),2),0))</f>
        <v>#REF!</v>
      </c>
      <c r="AM133" s="34">
        <f t="shared" si="94"/>
        <v>0</v>
      </c>
      <c r="AN133" s="57">
        <f t="shared" si="93"/>
        <v>64881</v>
      </c>
      <c r="BL133" s="2" t="e">
        <f>IF(AND(G88&gt;=$W$9,G88&lt;=$W$9+5),0,IF($C$9&gt;$AF$51,ROUND(BG87*IF(#REF!="",0,#REF!)/(DATEVALUE(CONCATENATE("01/01/",YEAR(AQ88)+1))-DATEVALUE(CONCATENATE("01/01/",YEAR(AQ88))))*(AQ88-AQ87),2),0))</f>
        <v>#REF!</v>
      </c>
    </row>
    <row r="134" spans="23:64" x14ac:dyDescent="0.25">
      <c r="W134" s="2" t="e">
        <f>IF(AND(G99&gt;=$W$9,G99&lt;=$W$9+5),0,IF($C$9&gt;$AF$51,ROUND(S98*#REF!/(DATEVALUE(CONCATENATE("01/01/",YEAR(H99)+1))-DATEVALUE(CONCATENATE("01/01/",YEAR(H99))))*(H99-H98),2),0))</f>
        <v>#REF!</v>
      </c>
      <c r="X134" s="34">
        <f t="shared" si="92"/>
        <v>0</v>
      </c>
      <c r="Y134" s="57">
        <f t="shared" si="91"/>
        <v>66706</v>
      </c>
      <c r="AL134" s="2" t="e">
        <f>IF(AND(Y91&gt;=$W$9,Y91&lt;=$W$9+5),0,IF($C$9&gt;$AF$51,ROUND(AI94*#REF!/(DATEVALUE(CONCATENATE("01/01/",YEAR(Z91)+1))-DATEVALUE(CONCATENATE("01/01/",YEAR(Z91))))*(Z91-Z90),2),0))</f>
        <v>#REF!</v>
      </c>
      <c r="AM134" s="34">
        <f t="shared" si="94"/>
        <v>0</v>
      </c>
      <c r="AN134" s="57">
        <f t="shared" si="93"/>
        <v>65246</v>
      </c>
      <c r="BL134" s="2" t="e">
        <f>IF(AND(G89&gt;=$W$9,G89&lt;=$W$9+5),0,IF($C$9&gt;$AF$51,ROUND(BG88*IF(#REF!="",0,#REF!)/(DATEVALUE(CONCATENATE("01/01/",YEAR(AQ89)+1))-DATEVALUE(CONCATENATE("01/01/",YEAR(AQ89))))*(AQ89-AQ88),2),0))</f>
        <v>#REF!</v>
      </c>
    </row>
    <row r="135" spans="23:64" x14ac:dyDescent="0.25">
      <c r="W135" s="2" t="e">
        <f>IF(AND(G100&gt;=$W$9,G100&lt;=$W$9+5),0,IF($C$9&gt;$AF$51,ROUND(S99*#REF!/(DATEVALUE(CONCATENATE("01/01/",YEAR(H100)+1))-DATEVALUE(CONCATENATE("01/01/",YEAR(H100))))*(H100-H99),2),0))</f>
        <v>#REF!</v>
      </c>
      <c r="X135" s="34">
        <f t="shared" si="92"/>
        <v>0</v>
      </c>
      <c r="Y135" s="57">
        <f t="shared" si="91"/>
        <v>67071</v>
      </c>
      <c r="AL135" s="2" t="e">
        <f>IF(AND(Y92&gt;=$W$9,Y92&lt;=$W$9+5),0,IF($C$9&gt;$AF$51,ROUND(AI95*#REF!/(DATEVALUE(CONCATENATE("01/01/",YEAR(Z92)+1))-DATEVALUE(CONCATENATE("01/01/",YEAR(Z92))))*(Z92-Z91),2),0))</f>
        <v>#REF!</v>
      </c>
      <c r="AM135" s="34">
        <f t="shared" si="94"/>
        <v>0</v>
      </c>
      <c r="AN135" s="57">
        <f t="shared" si="93"/>
        <v>65611</v>
      </c>
      <c r="BL135" s="2" t="e">
        <f>IF(AND(G90&gt;=$W$9,G90&lt;=$W$9+5),0,IF($C$9&gt;$AF$51,ROUND(BG89*IF(#REF!="",0,#REF!)/(DATEVALUE(CONCATENATE("01/01/",YEAR(AQ90)+1))-DATEVALUE(CONCATENATE("01/01/",YEAR(AQ90))))*(AQ90-AQ89),2),0))</f>
        <v>#REF!</v>
      </c>
    </row>
    <row r="136" spans="23:64" x14ac:dyDescent="0.25">
      <c r="W136" s="2" t="e">
        <f>IF(AND(G101&gt;=$W$9,G101&lt;=$W$9+5),0,IF($C$9&gt;$AF$51,ROUND(S100*#REF!/(DATEVALUE(CONCATENATE("01/01/",YEAR(H101)+1))-DATEVALUE(CONCATENATE("01/01/",YEAR(H101))))*(H101-H100),2),0))</f>
        <v>#REF!</v>
      </c>
      <c r="X136" s="34">
        <f t="shared" si="92"/>
        <v>0</v>
      </c>
      <c r="Y136" s="57">
        <f t="shared" si="91"/>
        <v>67436</v>
      </c>
      <c r="AL136" s="2" t="e">
        <f>IF(AND(Y93&gt;=$W$9,Y93&lt;=$W$9+5),0,IF($C$9&gt;$AF$51,ROUND(AI96*#REF!/(DATEVALUE(CONCATENATE("01/01/",YEAR(Z93)+1))-DATEVALUE(CONCATENATE("01/01/",YEAR(Z93))))*(Z93-Z92),2),0))</f>
        <v>#REF!</v>
      </c>
      <c r="AM136" s="34">
        <f t="shared" si="94"/>
        <v>0</v>
      </c>
      <c r="AN136" s="57">
        <f t="shared" si="93"/>
        <v>65976</v>
      </c>
      <c r="BL136" s="2" t="e">
        <f>IF(AND(G91&gt;=$W$9,G91&lt;=$W$9+5),0,IF($C$9&gt;$AF$51,ROUND(BG90*IF(#REF!="",0,#REF!)/(DATEVALUE(CONCATENATE("01/01/",YEAR(AQ91)+1))-DATEVALUE(CONCATENATE("01/01/",YEAR(AQ91))))*(AQ91-AQ90),2),0))</f>
        <v>#REF!</v>
      </c>
    </row>
    <row r="137" spans="23:64" x14ac:dyDescent="0.25">
      <c r="W137" s="2" t="e">
        <f>IF(AND(G102&gt;=$W$9,G102&lt;=$W$9+5),0,IF($C$9&gt;$AF$51,ROUND(S101*#REF!/(DATEVALUE(CONCATENATE("01/01/",YEAR(H102)+1))-DATEVALUE(CONCATENATE("01/01/",YEAR(H102))))*(H102-H101),2),0))</f>
        <v>#REF!</v>
      </c>
      <c r="X137" s="34">
        <f t="shared" si="92"/>
        <v>0</v>
      </c>
      <c r="Y137" s="57">
        <f t="shared" si="91"/>
        <v>67801</v>
      </c>
      <c r="AL137" s="2" t="e">
        <f>IF(AND(Y94&gt;=$W$9,Y94&lt;=$W$9+5),0,IF($C$9&gt;$AF$51,ROUND(AI97*#REF!/(DATEVALUE(CONCATENATE("01/01/",YEAR(Z94)+1))-DATEVALUE(CONCATENATE("01/01/",YEAR(Z94))))*(Z94-Z93),2),0))</f>
        <v>#REF!</v>
      </c>
      <c r="AM137" s="34">
        <f t="shared" si="94"/>
        <v>0</v>
      </c>
      <c r="AN137" s="57">
        <f t="shared" si="93"/>
        <v>66341</v>
      </c>
      <c r="BL137" s="2" t="e">
        <f>IF(AND(G92&gt;=$W$9,G92&lt;=$W$9+5),0,IF($C$9&gt;$AF$51,ROUND(BG91*IF(#REF!="",0,#REF!)/(DATEVALUE(CONCATENATE("01/01/",YEAR(AQ92)+1))-DATEVALUE(CONCATENATE("01/01/",YEAR(AQ92))))*(AQ92-AQ91),2),0))</f>
        <v>#REF!</v>
      </c>
    </row>
    <row r="138" spans="23:64" x14ac:dyDescent="0.25">
      <c r="W138" s="2" t="e">
        <f>IF(AND(G103&gt;=$W$9,G103&lt;=$W$9+5),0,IF($C$9&gt;$AF$51,ROUND(S102*#REF!/(DATEVALUE(CONCATENATE("01/01/",YEAR(H103)+1))-DATEVALUE(CONCATENATE("01/01/",YEAR(H103))))*(H103-H102),2),0))</f>
        <v>#REF!</v>
      </c>
      <c r="X138" s="34">
        <f t="shared" si="92"/>
        <v>0</v>
      </c>
      <c r="Y138" s="57">
        <f t="shared" si="91"/>
        <v>68166</v>
      </c>
      <c r="AL138" s="2" t="e">
        <f>IF(AND(Y95&gt;=$W$9,Y95&lt;=$W$9+5),0,IF($C$9&gt;$AF$51,ROUND(AI98*#REF!/(DATEVALUE(CONCATENATE("01/01/",YEAR(Z95)+1))-DATEVALUE(CONCATENATE("01/01/",YEAR(Z95))))*(Z95-Z94),2),0))</f>
        <v>#REF!</v>
      </c>
      <c r="AM138" s="34">
        <f t="shared" si="94"/>
        <v>0</v>
      </c>
      <c r="AN138" s="57">
        <f t="shared" si="93"/>
        <v>66706</v>
      </c>
      <c r="BL138" s="2" t="e">
        <f>IF(AND(G93&gt;=$W$9,G93&lt;=$W$9+5),0,IF($C$9&gt;$AF$51,ROUND(BG92*IF(#REF!="",0,#REF!)/(DATEVALUE(CONCATENATE("01/01/",YEAR(AQ93)+1))-DATEVALUE(CONCATENATE("01/01/",YEAR(AQ93))))*(AQ93-AQ92),2),0))</f>
        <v>#REF!</v>
      </c>
    </row>
    <row r="139" spans="23:64" x14ac:dyDescent="0.25">
      <c r="W139" s="2" t="e">
        <f>IF(AND(G104&gt;=$W$9,G104&lt;=$W$9+5),0,IF($C$9&gt;$AF$51,ROUND(S103*#REF!/(DATEVALUE(CONCATENATE("01/01/",YEAR(H104)+1))-DATEVALUE(CONCATENATE("01/01/",YEAR(H104))))*(H104-H103),2),0))</f>
        <v>#REF!</v>
      </c>
      <c r="X139" s="34">
        <f t="shared" si="92"/>
        <v>0</v>
      </c>
      <c r="Y139" s="57">
        <f t="shared" si="91"/>
        <v>68531</v>
      </c>
      <c r="AL139" s="2" t="e">
        <f>IF(AND(Y96&gt;=$W$9,Y96&lt;=$W$9+5),0,IF($C$9&gt;$AF$51,ROUND(AI99*#REF!/(DATEVALUE(CONCATENATE("01/01/",YEAR(Z96)+1))-DATEVALUE(CONCATENATE("01/01/",YEAR(Z96))))*(Z96-Z95),2),0))</f>
        <v>#REF!</v>
      </c>
      <c r="AM139" s="34">
        <f t="shared" si="94"/>
        <v>0</v>
      </c>
      <c r="AN139" s="57">
        <f t="shared" si="93"/>
        <v>67071</v>
      </c>
      <c r="BL139" s="2" t="e">
        <f>IF(AND(G94&gt;=$W$9,G94&lt;=$W$9+5),0,IF($C$9&gt;$AF$51,ROUND(BG93*IF(#REF!="",0,#REF!)/(DATEVALUE(CONCATENATE("01/01/",YEAR(AQ94)+1))-DATEVALUE(CONCATENATE("01/01/",YEAR(AQ94))))*(AQ94-AQ93),2),0))</f>
        <v>#REF!</v>
      </c>
    </row>
    <row r="140" spans="23:64" x14ac:dyDescent="0.25">
      <c r="W140" s="2" t="e">
        <f>IF(AND(G105&gt;=$W$9,G105&lt;=$W$9+5),0,IF($C$9&gt;$AF$51,ROUND(S104*#REF!/(DATEVALUE(CONCATENATE("01/01/",YEAR(H105)+1))-DATEVALUE(CONCATENATE("01/01/",YEAR(H105))))*(H105-H104),2),0))</f>
        <v>#REF!</v>
      </c>
      <c r="X140" s="34">
        <f t="shared" si="92"/>
        <v>0</v>
      </c>
      <c r="Y140" s="57">
        <f t="shared" si="91"/>
        <v>68896</v>
      </c>
      <c r="AL140" s="2" t="e">
        <f>IF(AND(Y97&gt;=$W$9,Y97&lt;=$W$9+5),0,IF($C$9&gt;$AF$51,ROUND(AI100*#REF!/(DATEVALUE(CONCATENATE("01/01/",YEAR(Z97)+1))-DATEVALUE(CONCATENATE("01/01/",YEAR(Z97))))*(Z97-Z96),2),0))</f>
        <v>#REF!</v>
      </c>
      <c r="AM140" s="34">
        <f t="shared" si="94"/>
        <v>0</v>
      </c>
      <c r="AN140" s="57">
        <f t="shared" si="93"/>
        <v>67436</v>
      </c>
      <c r="BL140" s="2" t="e">
        <f>IF(AND(G95&gt;=$W$9,G95&lt;=$W$9+5),0,IF($C$9&gt;$AF$51,ROUND(BG94*IF(#REF!="",0,#REF!)/(DATEVALUE(CONCATENATE("01/01/",YEAR(AQ95)+1))-DATEVALUE(CONCATENATE("01/01/",YEAR(AQ95))))*(AQ95-AQ94),2),0))</f>
        <v>#REF!</v>
      </c>
    </row>
    <row r="141" spans="23:64" x14ac:dyDescent="0.25">
      <c r="W141" s="2" t="e">
        <f>IF(AND(G106&gt;=$W$9,G106&lt;=$W$9+5),0,IF($C$9&gt;$AF$51,ROUND(S105*#REF!/(DATEVALUE(CONCATENATE("01/01/",YEAR(H106)+1))-DATEVALUE(CONCATENATE("01/01/",YEAR(H106))))*(H106-H105),2),0))</f>
        <v>#REF!</v>
      </c>
      <c r="X141" s="34">
        <f t="shared" si="92"/>
        <v>0</v>
      </c>
      <c r="Y141" s="57">
        <f t="shared" si="91"/>
        <v>69261</v>
      </c>
      <c r="AL141" s="2" t="e">
        <f>IF(AND(Y98&gt;=$W$9,Y98&lt;=$W$9+5),0,IF($C$9&gt;$AF$51,ROUND(AI101*#REF!/(DATEVALUE(CONCATENATE("01/01/",YEAR(Z98)+1))-DATEVALUE(CONCATENATE("01/01/",YEAR(Z98))))*(Z98-Z97),2),0))</f>
        <v>#REF!</v>
      </c>
      <c r="AM141" s="34">
        <f t="shared" si="94"/>
        <v>0</v>
      </c>
      <c r="AN141" s="57">
        <f t="shared" si="93"/>
        <v>67801</v>
      </c>
      <c r="BL141" s="2" t="e">
        <f>IF(AND(G96&gt;=$W$9,G96&lt;=$W$9+5),0,IF($C$9&gt;$AF$51,ROUND(BG95*IF(#REF!="",0,#REF!)/(DATEVALUE(CONCATENATE("01/01/",YEAR(AQ96)+1))-DATEVALUE(CONCATENATE("01/01/",YEAR(AQ96))))*(AQ96-AQ95),2),0))</f>
        <v>#REF!</v>
      </c>
    </row>
    <row r="142" spans="23:64" x14ac:dyDescent="0.25">
      <c r="W142" s="2" t="e">
        <f>IF(AND(G107&gt;=$W$9,G107&lt;=$W$9+5),0,IF($C$9&gt;$AF$51,ROUND(S106*#REF!/(DATEVALUE(CONCATENATE("01/01/",YEAR(H107)+1))-DATEVALUE(CONCATENATE("01/01/",YEAR(H107))))*(H107-H106),2),0))</f>
        <v>#REF!</v>
      </c>
      <c r="X142" s="34">
        <f t="shared" si="92"/>
        <v>0</v>
      </c>
      <c r="Y142" s="57">
        <f t="shared" si="91"/>
        <v>69626</v>
      </c>
      <c r="AL142" s="2" t="e">
        <f>IF(AND(Y99&gt;=$W$9,Y99&lt;=$W$9+5),0,IF($C$9&gt;$AF$51,ROUND(AI102*#REF!/(DATEVALUE(CONCATENATE("01/01/",YEAR(Z99)+1))-DATEVALUE(CONCATENATE("01/01/",YEAR(Z99))))*(Z99-Z98),2),0))</f>
        <v>#REF!</v>
      </c>
      <c r="AM142" s="34">
        <f t="shared" si="94"/>
        <v>0</v>
      </c>
      <c r="AN142" s="57">
        <f t="shared" si="93"/>
        <v>68166</v>
      </c>
      <c r="BL142" s="2" t="e">
        <f>IF(AND(G97&gt;=$W$9,G97&lt;=$W$9+5),0,IF($C$9&gt;$AF$51,ROUND(BG96*IF(#REF!="",0,#REF!)/(DATEVALUE(CONCATENATE("01/01/",YEAR(AQ97)+1))-DATEVALUE(CONCATENATE("01/01/",YEAR(AQ97))))*(AQ97-AQ96),2),0))</f>
        <v>#REF!</v>
      </c>
    </row>
    <row r="143" spans="23:64" x14ac:dyDescent="0.25">
      <c r="W143" s="2" t="e">
        <f>IF(AND(G108&gt;=$W$9,G108&lt;=$W$9+5),0,IF($C$9&gt;$AF$51,ROUND(S107*#REF!/(DATEVALUE(CONCATENATE("01/01/",YEAR(H108)+1))-DATEVALUE(CONCATENATE("01/01/",YEAR(H108))))*(H108-H107),2),0))</f>
        <v>#REF!</v>
      </c>
      <c r="X143" s="34">
        <f>IF(K108 &gt; 0, $K$9, 0)</f>
        <v>0</v>
      </c>
      <c r="Y143" s="57">
        <f t="shared" si="91"/>
        <v>69991</v>
      </c>
      <c r="AL143" s="2" t="e">
        <f>IF(AND(Y100&gt;=$W$9,Y100&lt;=$W$9+5),0,IF($C$9&gt;$AF$51,ROUND(AI103*#REF!/(DATEVALUE(CONCATENATE("01/01/",YEAR(Z100)+1))-DATEVALUE(CONCATENATE("01/01/",YEAR(Z100))))*(Z100-Z99),2),0))</f>
        <v>#REF!</v>
      </c>
      <c r="AM143" s="34">
        <f t="shared" si="94"/>
        <v>0</v>
      </c>
      <c r="AN143" s="57">
        <f t="shared" si="93"/>
        <v>68531</v>
      </c>
      <c r="BL143" s="2" t="e">
        <f>IF(AND(G98&gt;=$W$9,G98&lt;=$W$9+5),0,IF($C$9&gt;$AF$51,ROUND(BG97*IF(#REF!="",0,#REF!)/(DATEVALUE(CONCATENATE("01/01/",YEAR(AQ98)+1))-DATEVALUE(CONCATENATE("01/01/",YEAR(AQ98))))*(AQ98-AQ97),2),0))</f>
        <v>#REF!</v>
      </c>
    </row>
    <row r="144" spans="23:64" x14ac:dyDescent="0.25">
      <c r="W144" s="35" t="e">
        <f>SUM(W44:W143)</f>
        <v>#REF!</v>
      </c>
      <c r="X144" s="35">
        <f>SUM(X44:X143)</f>
        <v>393230.69000000006</v>
      </c>
      <c r="Y144" s="154">
        <f>XIRR(X42:X143,Y42:Y143)*12</f>
        <v>8.081713914871215E-2</v>
      </c>
      <c r="AL144" s="2" t="e">
        <f>IF(AND(Y101&gt;=$W$9,Y101&lt;=$W$9+5),0,IF($C$9&gt;$AF$51,ROUND(AI104*#REF!/(DATEVALUE(CONCATENATE("01/01/",YEAR(Z101)+1))-DATEVALUE(CONCATENATE("01/01/",YEAR(Z101))))*(Z101-Z100),2),0))</f>
        <v>#REF!</v>
      </c>
      <c r="AM144" s="34">
        <f t="shared" si="94"/>
        <v>0</v>
      </c>
      <c r="AN144" s="57">
        <f t="shared" si="93"/>
        <v>68896</v>
      </c>
      <c r="BL144" s="2" t="e">
        <f>IF(AND(G99&gt;=$W$9,G99&lt;=$W$9+5),0,IF($C$9&gt;$AF$51,ROUND(BG98*IF(#REF!="",0,#REF!)/(DATEVALUE(CONCATENATE("01/01/",YEAR(AQ99)+1))-DATEVALUE(CONCATENATE("01/01/",YEAR(AQ99))))*(AQ99-AQ98),2),0))</f>
        <v>#REF!</v>
      </c>
    </row>
    <row r="145" spans="24:64" x14ac:dyDescent="0.25">
      <c r="X145" s="34"/>
      <c r="Y145" s="57"/>
      <c r="AL145" s="2" t="e">
        <f>IF(AND(Y102&gt;=$W$9,Y102&lt;=$W$9+5),0,IF($C$9&gt;$AF$51,ROUND(AI105*#REF!/(DATEVALUE(CONCATENATE("01/01/",YEAR(Z102)+1))-DATEVALUE(CONCATENATE("01/01/",YEAR(Z102))))*(Z102-Z101),2),0))</f>
        <v>#REF!</v>
      </c>
      <c r="AM145" s="34">
        <f t="shared" si="94"/>
        <v>0</v>
      </c>
      <c r="AN145" s="57">
        <f t="shared" si="93"/>
        <v>69261</v>
      </c>
      <c r="BL145" s="2" t="e">
        <f>IF(AND(G100&gt;=$W$9,G100&lt;=$W$9+5),0,IF($C$9&gt;$AF$51,ROUND(BG99*IF(#REF!="",0,#REF!)/(DATEVALUE(CONCATENATE("01/01/",YEAR(AQ100)+1))-DATEVALUE(CONCATENATE("01/01/",YEAR(AQ100))))*(AQ100-AQ99),2),0))</f>
        <v>#REF!</v>
      </c>
    </row>
    <row r="146" spans="24:64" x14ac:dyDescent="0.25">
      <c r="X146" s="34"/>
      <c r="Y146" s="57"/>
      <c r="AL146" s="2" t="e">
        <f>IF(AND(Y103&gt;=$W$9,Y103&lt;=$W$9+5),0,IF($C$9&gt;$AF$51,ROUND(AI106*#REF!/(DATEVALUE(CONCATENATE("01/01/",YEAR(Z103)+1))-DATEVALUE(CONCATENATE("01/01/",YEAR(Z103))))*(Z103-Z102),2),0))</f>
        <v>#REF!</v>
      </c>
      <c r="AM146" s="34">
        <f t="shared" si="94"/>
        <v>0</v>
      </c>
      <c r="AN146" s="57">
        <f t="shared" si="93"/>
        <v>69626</v>
      </c>
      <c r="BL146" s="2" t="e">
        <f>IF(AND(G101&gt;=$W$9,G101&lt;=$W$9+5),0,IF($C$9&gt;$AF$51,ROUND(BG100*IF(#REF!="",0,#REF!)/(DATEVALUE(CONCATENATE("01/01/",YEAR(AQ101)+1))-DATEVALUE(CONCATENATE("01/01/",YEAR(AQ101))))*(AQ101-AQ100),2),0))</f>
        <v>#REF!</v>
      </c>
    </row>
    <row r="147" spans="24:64" x14ac:dyDescent="0.25">
      <c r="X147" s="34"/>
      <c r="Y147" s="57"/>
      <c r="AL147" s="2" t="e">
        <f>IF(AND(Y104&gt;=$W$9,Y104&lt;=$W$9+5),0,IF($C$9&gt;$AF$51,ROUND(AI107*#REF!/(DATEVALUE(CONCATENATE("01/01/",YEAR(Z104)+1))-DATEVALUE(CONCATENATE("01/01/",YEAR(Z104))))*(Z104-Z103),2),0))</f>
        <v>#REF!</v>
      </c>
      <c r="AM147" s="34">
        <f t="shared" si="94"/>
        <v>0</v>
      </c>
      <c r="AN147" s="57">
        <f t="shared" si="93"/>
        <v>69991</v>
      </c>
      <c r="BL147" s="2" t="e">
        <f>IF(AND(G102&gt;=$W$9,G102&lt;=$W$9+5),0,IF($C$9&gt;$AF$51,ROUND(BG101*IF(#REF!="",0,#REF!)/(DATEVALUE(CONCATENATE("01/01/",YEAR(AQ102)+1))-DATEVALUE(CONCATENATE("01/01/",YEAR(AQ102))))*(AQ102-AQ101),2),0))</f>
        <v>#REF!</v>
      </c>
    </row>
    <row r="148" spans="24:64" x14ac:dyDescent="0.25">
      <c r="X148" s="34"/>
      <c r="Y148" s="57"/>
      <c r="AL148" s="35" t="e">
        <f>SUM(AL48:AL147)</f>
        <v>#REF!</v>
      </c>
      <c r="AM148" s="35">
        <f>SUM(AM48:AM147)</f>
        <v>418680</v>
      </c>
      <c r="AN148" s="154">
        <f>XIRR(AM46:AM147,AN46:AN147)*12</f>
        <v>0.14969147443771361</v>
      </c>
      <c r="BL148" s="2" t="e">
        <f>IF(AND(G103&gt;=$W$9,G103&lt;=$W$9+5),0,IF($C$9&gt;$AF$51,ROUND(BG102*IF(#REF!="",0,#REF!)/(DATEVALUE(CONCATENATE("01/01/",YEAR(AQ103)+1))-DATEVALUE(CONCATENATE("01/01/",YEAR(AQ103))))*(AQ103-AQ102),2),0))</f>
        <v>#REF!</v>
      </c>
    </row>
    <row r="149" spans="24:64" x14ac:dyDescent="0.25">
      <c r="BL149" s="2" t="e">
        <f>IF(AND(G104&gt;=$W$9,G104&lt;=$W$9+5),0,IF($C$9&gt;$AF$51,ROUND(BG103*IF(#REF!="",0,#REF!)/(DATEVALUE(CONCATENATE("01/01/",YEAR(AQ104)+1))-DATEVALUE(CONCATENATE("01/01/",YEAR(AQ104))))*(AQ104-AQ103),2),0))</f>
        <v>#REF!</v>
      </c>
    </row>
    <row r="150" spans="24:64" x14ac:dyDescent="0.25">
      <c r="BL150" s="2" t="e">
        <f>IF(AND(G105&gt;=$W$9,G105&lt;=$W$9+5),0,IF($C$9&gt;$AF$51,ROUND(BG104*IF(#REF!="",0,#REF!)/(DATEVALUE(CONCATENATE("01/01/",YEAR(AQ105)+1))-DATEVALUE(CONCATENATE("01/01/",YEAR(AQ105))))*(AQ105-AQ104),2),0))</f>
        <v>#REF!</v>
      </c>
    </row>
    <row r="151" spans="24:64" x14ac:dyDescent="0.25">
      <c r="BL151" s="2" t="e">
        <f>IF(AND(G106&gt;=$W$9,G106&lt;=$W$9+5),0,IF($C$9&gt;$AF$51,ROUND(BG105*IF(#REF!="",0,#REF!)/(DATEVALUE(CONCATENATE("01/01/",YEAR(AQ106)+1))-DATEVALUE(CONCATENATE("01/01/",YEAR(AQ106))))*(AQ106-AQ105),2),0))</f>
        <v>#REF!</v>
      </c>
    </row>
    <row r="152" spans="24:64" x14ac:dyDescent="0.25">
      <c r="BL152" s="2" t="e">
        <f>IF(AND(G107&gt;=$W$9,G107&lt;=$W$9+5),0,IF($C$9&gt;$AF$51,ROUND(BG106*IF(#REF!="",0,#REF!)/(DATEVALUE(CONCATENATE("01/01/",YEAR(AQ107)+1))-DATEVALUE(CONCATENATE("01/01/",YEAR(AQ107))))*(AQ107-AQ106),2),0))</f>
        <v>#REF!</v>
      </c>
    </row>
    <row r="153" spans="24:64" x14ac:dyDescent="0.25">
      <c r="BL153" s="2" t="e">
        <f>IF(AND(G108&gt;=$W$9,G108&lt;=$W$9+5),0,IF($C$9&gt;$AF$51,ROUND(BG107*IF(#REF!="",0,#REF!)/(DATEVALUE(CONCATENATE("01/01/",YEAR(AQ108)+1))-DATEVALUE(CONCATENATE("01/01/",YEAR(AQ108))))*(AQ108-AQ107),2),0))</f>
        <v>#REF!</v>
      </c>
    </row>
    <row r="154" spans="24:64" x14ac:dyDescent="0.25">
      <c r="BL154" s="35" t="e">
        <f>SUM(BL54:BL153)</f>
        <v>#REF!</v>
      </c>
    </row>
  </sheetData>
  <sheetProtection sheet="1" selectLockedCells="1"/>
  <dataConsolidate/>
  <mergeCells count="78">
    <mergeCell ref="A53:B53"/>
    <mergeCell ref="A47:C47"/>
    <mergeCell ref="A48:B48"/>
    <mergeCell ref="C48:E48"/>
    <mergeCell ref="A49:E49"/>
    <mergeCell ref="A50:A51"/>
    <mergeCell ref="A52:B52"/>
    <mergeCell ref="A46:B46"/>
    <mergeCell ref="C46:E46"/>
    <mergeCell ref="A32:B32"/>
    <mergeCell ref="A33:B33"/>
    <mergeCell ref="C33:E33"/>
    <mergeCell ref="A36:B36"/>
    <mergeCell ref="A37:A40"/>
    <mergeCell ref="A41:B41"/>
    <mergeCell ref="C41:E41"/>
    <mergeCell ref="A42:A45"/>
    <mergeCell ref="BN33:BN35"/>
    <mergeCell ref="A34:E34"/>
    <mergeCell ref="A35:B35"/>
    <mergeCell ref="D35:E35"/>
    <mergeCell ref="A26:B26"/>
    <mergeCell ref="A27:B27"/>
    <mergeCell ref="A28:B28"/>
    <mergeCell ref="A29:B29"/>
    <mergeCell ref="A30:B30"/>
    <mergeCell ref="A31:B31"/>
    <mergeCell ref="BO13:BO14"/>
    <mergeCell ref="A14:A15"/>
    <mergeCell ref="A16:A18"/>
    <mergeCell ref="A19:E19"/>
    <mergeCell ref="A20:E20"/>
    <mergeCell ref="L6:L7"/>
    <mergeCell ref="M6:M7"/>
    <mergeCell ref="A25:B25"/>
    <mergeCell ref="A13:B13"/>
    <mergeCell ref="BN13:BN14"/>
    <mergeCell ref="A21:C21"/>
    <mergeCell ref="A22:B22"/>
    <mergeCell ref="A23:B23"/>
    <mergeCell ref="A24:B24"/>
    <mergeCell ref="A9:B9"/>
    <mergeCell ref="A10:B10"/>
    <mergeCell ref="BN10:BN11"/>
    <mergeCell ref="AU6:AU7"/>
    <mergeCell ref="AV6:AV7"/>
    <mergeCell ref="BO10:BO11"/>
    <mergeCell ref="A11:B11"/>
    <mergeCell ref="A12:B12"/>
    <mergeCell ref="BG6:BG7"/>
    <mergeCell ref="BN6:BT6"/>
    <mergeCell ref="A7:B7"/>
    <mergeCell ref="BN7:BN8"/>
    <mergeCell ref="BO7:BO8"/>
    <mergeCell ref="BR7:BR8"/>
    <mergeCell ref="BS7:BS8"/>
    <mergeCell ref="BT7:BT8"/>
    <mergeCell ref="A8:B8"/>
    <mergeCell ref="AP6:AP7"/>
    <mergeCell ref="AQ6:AQ7"/>
    <mergeCell ref="AR6:AR7"/>
    <mergeCell ref="AT6:AT7"/>
    <mergeCell ref="AP3:BH4"/>
    <mergeCell ref="BN3:BT3"/>
    <mergeCell ref="Q6:Q7"/>
    <mergeCell ref="S6:S7"/>
    <mergeCell ref="A1:E2"/>
    <mergeCell ref="A3:E3"/>
    <mergeCell ref="G3:U4"/>
    <mergeCell ref="A5:E5"/>
    <mergeCell ref="T6:T7"/>
    <mergeCell ref="A6:B6"/>
    <mergeCell ref="C6:D6"/>
    <mergeCell ref="G6:G7"/>
    <mergeCell ref="H6:H7"/>
    <mergeCell ref="I6:I7"/>
    <mergeCell ref="J6:J7"/>
    <mergeCell ref="K6:K7"/>
  </mergeCells>
  <conditionalFormatting sqref="D17">
    <cfRule type="cellIs" dxfId="5" priority="1" operator="notEqual">
      <formula>""</formula>
    </cfRule>
  </conditionalFormatting>
  <dataValidations count="5">
    <dataValidation type="list" allowBlank="1" showInputMessage="1" showErrorMessage="1" sqref="C36" xr:uid="{00000000-0002-0000-1200-000000000000}">
      <formula1>"Да,Нет"</formula1>
    </dataValidation>
    <dataValidation type="list" allowBlank="1" showInputMessage="1" showErrorMessage="1" sqref="C8" xr:uid="{00000000-0002-0000-1200-000001000000}">
      <formula1>$AC$59:$AG$59</formula1>
    </dataValidation>
    <dataValidation type="list" allowBlank="1" showInputMessage="1" showErrorMessage="1" sqref="C11" xr:uid="{00000000-0002-0000-1200-000002000000}">
      <formula1>$X$39:$AA$39</formula1>
    </dataValidation>
    <dataValidation type="list" allowBlank="1" showInputMessage="1" showErrorMessage="1" sqref="C14" xr:uid="{00000000-0002-0000-1200-000003000000}">
      <formula1>$Y$28:$Z$28</formula1>
    </dataValidation>
    <dataValidation type="list" allowBlank="1" showInputMessage="1" showErrorMessage="1" sqref="C12" xr:uid="{00000000-0002-0000-1200-000004000000}">
      <formula1>$W$3:$AA$3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1" fitToWidth="2" orientation="portrait" r:id="rId1"/>
  <colBreaks count="1" manualBreakCount="1">
    <brk id="5" max="108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5000000}">
          <x14:formula1>
            <xm:f>'Для Перспективы'!$B$1:$F$1</xm:f>
          </x14:formula1>
          <xm:sqref>C10:D10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ATP160"/>
  <sheetViews>
    <sheetView showGridLines="0" view="pageBreakPreview" zoomScale="70" zoomScaleNormal="90" zoomScaleSheetLayoutView="70" workbookViewId="0">
      <selection activeCell="D11" sqref="D11"/>
    </sheetView>
  </sheetViews>
  <sheetFormatPr defaultColWidth="8.6640625" defaultRowHeight="13.2" x14ac:dyDescent="0.25"/>
  <cols>
    <col min="1" max="1" width="46.6640625" style="2" customWidth="1"/>
    <col min="2" max="2" width="40.109375" style="2" customWidth="1"/>
    <col min="3" max="4" width="20.109375" style="1" bestFit="1" customWidth="1"/>
    <col min="5" max="5" width="26.44140625" style="1" customWidth="1"/>
    <col min="6" max="6" width="9.6640625" style="1" customWidth="1"/>
    <col min="7" max="7" width="6.44140625" style="1" bestFit="1" customWidth="1"/>
    <col min="8" max="8" width="10.6640625" style="1" customWidth="1"/>
    <col min="9" max="9" width="15.44140625" style="1" customWidth="1"/>
    <col min="10" max="10" width="15.44140625" style="2" customWidth="1"/>
    <col min="11" max="11" width="15.44140625" style="1" customWidth="1"/>
    <col min="12" max="16" width="15" style="3" hidden="1" customWidth="1"/>
    <col min="17" max="17" width="13.6640625" style="2" customWidth="1"/>
    <col min="18" max="18" width="11.109375" style="2" hidden="1" customWidth="1"/>
    <col min="19" max="19" width="11.44140625" style="44" hidden="1" customWidth="1"/>
    <col min="20" max="20" width="17.6640625" style="2" hidden="1" customWidth="1"/>
    <col min="21" max="21" width="18.33203125" style="2" hidden="1" customWidth="1"/>
    <col min="22" max="22" width="13.109375" style="2" hidden="1" customWidth="1"/>
    <col min="23" max="23" width="20" style="2" hidden="1" customWidth="1"/>
    <col min="24" max="24" width="19.6640625" style="2" hidden="1" customWidth="1"/>
    <col min="25" max="25" width="47.33203125" style="2" hidden="1" customWidth="1"/>
    <col min="26" max="26" width="33.6640625" style="2" hidden="1" customWidth="1"/>
    <col min="27" max="27" width="19" style="2" hidden="1" customWidth="1"/>
    <col min="28" max="28" width="32.44140625" style="3" hidden="1" customWidth="1"/>
    <col min="29" max="29" width="31.109375" style="3" hidden="1" customWidth="1"/>
    <col min="30" max="30" width="14.44140625" style="3" hidden="1" customWidth="1"/>
    <col min="31" max="31" width="17" style="3" hidden="1" customWidth="1"/>
    <col min="32" max="32" width="13.44140625" style="2" hidden="1" customWidth="1"/>
    <col min="33" max="33" width="14.44140625" style="2" hidden="1" customWidth="1"/>
    <col min="34" max="34" width="14.44140625" style="57" hidden="1" customWidth="1"/>
    <col min="35" max="38" width="14.44140625" style="2" hidden="1" customWidth="1"/>
    <col min="39" max="39" width="6.33203125" style="2" customWidth="1"/>
    <col min="40" max="41" width="14.44140625" style="2" customWidth="1"/>
    <col min="42" max="42" width="13.109375" style="2" customWidth="1"/>
    <col min="43" max="43" width="13.6640625" style="2" customWidth="1"/>
    <col min="44" max="44" width="12" style="2" hidden="1" customWidth="1"/>
    <col min="45" max="46" width="13.6640625" style="2" hidden="1" customWidth="1"/>
    <col min="47" max="53" width="8.6640625" style="2" hidden="1" customWidth="1"/>
    <col min="54" max="54" width="14" style="2" bestFit="1" customWidth="1"/>
    <col min="55" max="56" width="8.6640625" style="2" hidden="1" customWidth="1"/>
    <col min="57" max="57" width="9.6640625" style="1" hidden="1" customWidth="1"/>
    <col min="58" max="58" width="11.44140625" style="2" hidden="1" customWidth="1"/>
    <col min="59" max="59" width="1.109375" style="2" customWidth="1"/>
    <col min="60" max="60" width="3.6640625" style="2" customWidth="1"/>
    <col min="61" max="61" width="24.109375" style="2" customWidth="1"/>
    <col min="62" max="62" width="3.6640625" style="2" customWidth="1"/>
    <col min="63" max="63" width="41.44140625" style="2" customWidth="1"/>
    <col min="64" max="64" width="4.44140625" style="2" customWidth="1"/>
    <col min="65" max="65" width="18" style="2" customWidth="1"/>
    <col min="66" max="66" width="4.6640625" style="2" customWidth="1"/>
    <col min="67" max="67" width="7.6640625" style="2" customWidth="1"/>
    <col min="68" max="68" width="8.6640625" style="2"/>
    <col min="69" max="69" width="8.6640625" style="2" hidden="1" customWidth="1"/>
    <col min="70" max="70" width="12.6640625" style="2" hidden="1" customWidth="1"/>
    <col min="71" max="71" width="10.6640625" style="2" hidden="1" customWidth="1"/>
    <col min="72" max="16384" width="8.6640625" style="2"/>
  </cols>
  <sheetData>
    <row r="1" spans="1:71" ht="12.75" customHeight="1" x14ac:dyDescent="0.2">
      <c r="A1" s="855" t="s">
        <v>225</v>
      </c>
      <c r="B1" s="856"/>
      <c r="C1" s="856"/>
      <c r="D1" s="856"/>
      <c r="E1" s="857"/>
      <c r="F1" s="292"/>
      <c r="G1" s="2"/>
      <c r="H1" s="2"/>
      <c r="I1" s="2"/>
      <c r="K1" s="2"/>
      <c r="L1" s="2"/>
      <c r="M1" s="2"/>
      <c r="N1" s="2"/>
      <c r="O1" s="2"/>
      <c r="P1" s="2"/>
      <c r="S1" s="2"/>
      <c r="AB1" s="2"/>
      <c r="AC1" s="2"/>
      <c r="AD1" s="2"/>
      <c r="AE1" s="2"/>
      <c r="AH1" s="62" t="s">
        <v>52</v>
      </c>
      <c r="AI1" s="86" t="str">
        <f>IF($C$11=$AD$3,$AD$4,IF($C$11=$AE$3,$AE$4,IF($C$11=$AF$3,$AF$4,IF($C$11=$AG$3,$AG$4,IF($C$11=$AH$3,$AH$4,IF($C$11=$AI$3,$AI$4,""))))))</f>
        <v/>
      </c>
      <c r="AK1" s="65"/>
      <c r="BE1" s="2"/>
    </row>
    <row r="2" spans="1:71" ht="31.5" customHeight="1" x14ac:dyDescent="0.2">
      <c r="A2" s="858"/>
      <c r="B2" s="859"/>
      <c r="C2" s="859"/>
      <c r="D2" s="859"/>
      <c r="E2" s="860"/>
      <c r="F2" s="292"/>
      <c r="G2" s="2"/>
      <c r="H2" s="2"/>
      <c r="I2" s="2"/>
      <c r="K2" s="462" t="e">
        <f>IF($C$11=$T$3,$T$5:$T$19,IF($C$11=$U$3,$U$5:$U$19,IF($C$11=$V$3,$V$5:$V$19,IF($C$11=$W$3,$W$5:$W$19,IF($C$11=$X$3,$X$5:$X$19)))))</f>
        <v>#VALUE!</v>
      </c>
      <c r="L2" s="462"/>
      <c r="M2" s="462"/>
      <c r="N2" s="462"/>
      <c r="O2" s="462"/>
      <c r="P2" s="462"/>
      <c r="Q2" s="462" t="e">
        <f>IF($D$11=$T$3,$T$5:$T$19,IF($D$11=$U$3,$U$5:$U$19,IF($D$11=$V$3,$V$5:$V$19,IF($D$11=$W$3,$W$5:$W$19,IF($D$11=$X$3,$X$5:$X$19)))))</f>
        <v>#VALUE!</v>
      </c>
      <c r="S2" s="2"/>
      <c r="AB2" s="2"/>
      <c r="AC2" s="2"/>
      <c r="AD2" s="2"/>
      <c r="AE2" s="2"/>
      <c r="BE2" s="2"/>
    </row>
    <row r="3" spans="1:71" ht="22.2" customHeight="1" x14ac:dyDescent="0.3">
      <c r="A3" s="864" t="s">
        <v>196</v>
      </c>
      <c r="B3" s="865"/>
      <c r="C3" s="865"/>
      <c r="D3" s="865"/>
      <c r="E3" s="866"/>
      <c r="F3" s="310"/>
      <c r="G3" s="823" t="str">
        <f>CONCATENATE("График платежей - Тариф ",C11)</f>
        <v>График платежей - Тариф Базовый</v>
      </c>
      <c r="H3" s="823"/>
      <c r="I3" s="823"/>
      <c r="J3" s="823"/>
      <c r="K3" s="823"/>
      <c r="L3" s="823"/>
      <c r="M3" s="823"/>
      <c r="N3" s="823"/>
      <c r="O3" s="823"/>
      <c r="P3" s="823"/>
      <c r="Q3" s="823"/>
      <c r="R3" s="823"/>
      <c r="S3" s="146"/>
      <c r="T3" s="63" t="s">
        <v>33</v>
      </c>
      <c r="U3" s="63" t="s">
        <v>127</v>
      </c>
      <c r="V3" s="63" t="s">
        <v>72</v>
      </c>
      <c r="W3" s="63" t="s">
        <v>73</v>
      </c>
      <c r="X3" s="63" t="s">
        <v>74</v>
      </c>
      <c r="Y3" s="63"/>
      <c r="Z3" s="63" t="s">
        <v>71</v>
      </c>
      <c r="AA3" s="63"/>
      <c r="AB3" s="63"/>
      <c r="AC3" s="63"/>
      <c r="AD3" s="87"/>
      <c r="AE3" s="87"/>
      <c r="AF3" s="87"/>
      <c r="AG3" s="87"/>
      <c r="AH3" s="87"/>
      <c r="AI3" s="87"/>
      <c r="AJ3" s="63"/>
      <c r="AK3" s="63"/>
      <c r="AL3" s="63"/>
      <c r="AM3" s="823" t="str">
        <f>CONCATENATE("График платежей - Тариф ",D11)</f>
        <v>График платежей - Тариф Базовый</v>
      </c>
      <c r="AN3" s="823"/>
      <c r="AO3" s="823"/>
      <c r="AP3" s="823"/>
      <c r="AQ3" s="823"/>
      <c r="AR3" s="823"/>
      <c r="AS3" s="823"/>
      <c r="AT3" s="823"/>
      <c r="AU3" s="823"/>
      <c r="AV3" s="823"/>
      <c r="AW3" s="823"/>
      <c r="AX3" s="823"/>
      <c r="AY3" s="823"/>
      <c r="AZ3" s="823"/>
      <c r="BA3" s="823"/>
      <c r="BB3" s="823"/>
      <c r="BC3" s="823"/>
      <c r="BD3" s="102"/>
      <c r="BE3" s="102"/>
      <c r="BF3" s="102"/>
      <c r="BI3" s="826" t="s">
        <v>94</v>
      </c>
      <c r="BJ3" s="826"/>
      <c r="BK3" s="826"/>
      <c r="BL3" s="826"/>
      <c r="BM3" s="826"/>
      <c r="BN3" s="826"/>
      <c r="BO3" s="826"/>
    </row>
    <row r="4" spans="1:71" ht="13.5" hidden="1" customHeight="1" x14ac:dyDescent="0.2">
      <c r="A4" s="342"/>
      <c r="B4" s="342"/>
      <c r="C4" s="342"/>
      <c r="D4" s="342"/>
      <c r="E4" s="342"/>
      <c r="F4" s="228"/>
      <c r="G4" s="823"/>
      <c r="H4" s="823"/>
      <c r="I4" s="823"/>
      <c r="J4" s="823"/>
      <c r="K4" s="823"/>
      <c r="L4" s="823"/>
      <c r="M4" s="823"/>
      <c r="N4" s="823"/>
      <c r="O4" s="823"/>
      <c r="P4" s="823"/>
      <c r="Q4" s="823"/>
      <c r="R4" s="823"/>
      <c r="S4" s="146"/>
      <c r="T4" s="15"/>
      <c r="U4" s="15"/>
      <c r="V4" s="15"/>
      <c r="W4" s="15"/>
      <c r="X4" s="15"/>
      <c r="Y4" s="147"/>
      <c r="Z4" s="63" t="s">
        <v>72</v>
      </c>
      <c r="AA4" s="147"/>
      <c r="AB4" s="147"/>
      <c r="AC4" s="147"/>
      <c r="AD4" s="148"/>
      <c r="AE4" s="148"/>
      <c r="AF4" s="148"/>
      <c r="AG4" s="148"/>
      <c r="AH4" s="148"/>
      <c r="AI4" s="148"/>
      <c r="AJ4" s="147"/>
      <c r="AK4" s="147"/>
      <c r="AL4" s="147"/>
      <c r="AM4" s="823"/>
      <c r="AN4" s="823"/>
      <c r="AO4" s="823"/>
      <c r="AP4" s="823"/>
      <c r="AQ4" s="823"/>
      <c r="AR4" s="823"/>
      <c r="AS4" s="823"/>
      <c r="AT4" s="823"/>
      <c r="AU4" s="823"/>
      <c r="AV4" s="823"/>
      <c r="AW4" s="823"/>
      <c r="AX4" s="823"/>
      <c r="AY4" s="823"/>
      <c r="AZ4" s="823"/>
      <c r="BA4" s="823"/>
      <c r="BB4" s="823"/>
      <c r="BC4" s="823"/>
      <c r="BD4" s="102"/>
      <c r="BE4" s="102"/>
      <c r="BF4" s="102"/>
      <c r="BG4" s="57"/>
    </row>
    <row r="5" spans="1:71" ht="12" hidden="1" customHeight="1" thickBot="1" x14ac:dyDescent="0.25">
      <c r="A5" s="861"/>
      <c r="B5" s="861"/>
      <c r="C5" s="861"/>
      <c r="D5" s="861"/>
      <c r="E5" s="861"/>
      <c r="F5" s="229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49"/>
      <c r="T5" s="15">
        <v>5.8999999999999997E-2</v>
      </c>
      <c r="U5" s="15">
        <f>T5</f>
        <v>5.8999999999999997E-2</v>
      </c>
      <c r="V5" s="15">
        <f t="shared" ref="V5:X5" si="0">U5</f>
        <v>5.8999999999999997E-2</v>
      </c>
      <c r="W5" s="15">
        <f t="shared" si="0"/>
        <v>5.8999999999999997E-2</v>
      </c>
      <c r="X5" s="15">
        <f t="shared" si="0"/>
        <v>5.8999999999999997E-2</v>
      </c>
      <c r="Y5" s="15"/>
      <c r="Z5" s="63" t="s">
        <v>73</v>
      </c>
      <c r="AA5" s="147"/>
      <c r="AB5" s="147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2"/>
      <c r="BE5" s="117"/>
      <c r="BF5" s="102"/>
      <c r="BG5" s="57"/>
    </row>
    <row r="6" spans="1:71" ht="31.2" customHeight="1" thickBot="1" x14ac:dyDescent="0.3">
      <c r="A6" s="839" t="s">
        <v>164</v>
      </c>
      <c r="B6" s="839"/>
      <c r="C6" s="839" t="s">
        <v>165</v>
      </c>
      <c r="D6" s="839"/>
      <c r="E6" s="189" t="s">
        <v>166</v>
      </c>
      <c r="F6" s="230"/>
      <c r="G6" s="825" t="s">
        <v>148</v>
      </c>
      <c r="H6" s="825" t="s">
        <v>187</v>
      </c>
      <c r="I6" s="825" t="s">
        <v>216</v>
      </c>
      <c r="J6" s="825" t="s">
        <v>217</v>
      </c>
      <c r="K6" s="825" t="s">
        <v>192</v>
      </c>
      <c r="L6" s="825"/>
      <c r="M6" s="825"/>
      <c r="N6" s="825"/>
      <c r="O6" s="825"/>
      <c r="P6" s="825"/>
      <c r="Q6" s="825" t="s">
        <v>193</v>
      </c>
      <c r="R6" s="117"/>
      <c r="S6" s="49"/>
      <c r="T6" s="15">
        <v>6.9000000000000006E-2</v>
      </c>
      <c r="U6" s="15">
        <f t="shared" ref="U6:X17" si="1">T6</f>
        <v>6.9000000000000006E-2</v>
      </c>
      <c r="V6" s="15">
        <f t="shared" si="1"/>
        <v>6.9000000000000006E-2</v>
      </c>
      <c r="W6" s="15">
        <f t="shared" si="1"/>
        <v>6.9000000000000006E-2</v>
      </c>
      <c r="X6" s="15">
        <f t="shared" si="1"/>
        <v>6.9000000000000006E-2</v>
      </c>
      <c r="Y6" s="15"/>
      <c r="Z6" s="63" t="s">
        <v>74</v>
      </c>
      <c r="AA6" s="147"/>
      <c r="AB6" s="147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824" t="s">
        <v>148</v>
      </c>
      <c r="AN6" s="824" t="s">
        <v>187</v>
      </c>
      <c r="AO6" s="824" t="s">
        <v>216</v>
      </c>
      <c r="AP6" s="824" t="s">
        <v>217</v>
      </c>
      <c r="AQ6" s="824" t="s">
        <v>217</v>
      </c>
      <c r="AR6" s="430"/>
      <c r="AS6" s="430"/>
      <c r="AT6" s="430"/>
      <c r="AU6" s="430"/>
      <c r="AV6" s="430"/>
      <c r="AW6" s="430"/>
      <c r="AX6" s="430"/>
      <c r="AY6" s="430"/>
      <c r="AZ6" s="430"/>
      <c r="BA6" s="430"/>
      <c r="BB6" s="824" t="s">
        <v>193</v>
      </c>
      <c r="BC6" s="103"/>
      <c r="BD6" s="102"/>
      <c r="BE6" s="117"/>
      <c r="BF6" s="102"/>
      <c r="BG6" s="57"/>
      <c r="BI6" s="827" t="s">
        <v>95</v>
      </c>
      <c r="BJ6" s="827"/>
      <c r="BK6" s="827"/>
      <c r="BL6" s="827"/>
      <c r="BM6" s="827"/>
      <c r="BN6" s="827"/>
      <c r="BO6" s="827"/>
      <c r="BQ6" s="2">
        <v>0</v>
      </c>
      <c r="BR6" s="398">
        <f>DATE(YEAR($C$9),MONTH($C$9)+BQ6,1)</f>
        <v>44348</v>
      </c>
      <c r="BS6" s="2">
        <v>1</v>
      </c>
    </row>
    <row r="7" spans="1:71" ht="24" customHeight="1" x14ac:dyDescent="0.6">
      <c r="A7" s="841" t="s">
        <v>200</v>
      </c>
      <c r="B7" s="841"/>
      <c r="C7" s="862">
        <v>1000000</v>
      </c>
      <c r="D7" s="862"/>
      <c r="E7" s="362" t="str">
        <f>IF(AND($C$7&gt;=500000.01,OR(C8="Оптимум_30%СМОТ",D8="Оптимум_30%СМОТ",C8="Максимум_30%СМОТ",D8="Максимум_30%СМОТ")),"Промо-страховка применяется при сумме кредита до 500 000,00 руб. вкл.","")</f>
        <v/>
      </c>
      <c r="F7" s="345"/>
      <c r="G7" s="825"/>
      <c r="H7" s="825"/>
      <c r="I7" s="825"/>
      <c r="J7" s="825"/>
      <c r="K7" s="825"/>
      <c r="L7" s="825" t="s">
        <v>36</v>
      </c>
      <c r="M7" s="825" t="s">
        <v>39</v>
      </c>
      <c r="N7" s="825" t="s">
        <v>38</v>
      </c>
      <c r="O7" s="825" t="s">
        <v>37</v>
      </c>
      <c r="P7" s="825" t="s">
        <v>40</v>
      </c>
      <c r="Q7" s="825"/>
      <c r="R7" s="149" t="s">
        <v>32</v>
      </c>
      <c r="S7" s="150" t="s">
        <v>31</v>
      </c>
      <c r="T7" s="15">
        <v>7.9000000000000001E-2</v>
      </c>
      <c r="U7" s="15">
        <f t="shared" si="1"/>
        <v>7.9000000000000001E-2</v>
      </c>
      <c r="V7" s="15">
        <f t="shared" si="1"/>
        <v>7.9000000000000001E-2</v>
      </c>
      <c r="W7" s="15">
        <f t="shared" si="1"/>
        <v>7.9000000000000001E-2</v>
      </c>
      <c r="X7" s="15">
        <f t="shared" si="1"/>
        <v>7.9000000000000001E-2</v>
      </c>
      <c r="Y7" s="101"/>
      <c r="Z7" s="101"/>
      <c r="AA7" s="147"/>
      <c r="AB7" s="147"/>
      <c r="AC7" s="101"/>
      <c r="AD7" s="101"/>
      <c r="AE7" s="101"/>
      <c r="AF7" s="101"/>
      <c r="AG7" s="101"/>
      <c r="AH7" s="101"/>
      <c r="AI7" s="101"/>
      <c r="AJ7" s="101"/>
      <c r="AK7" s="101"/>
      <c r="AL7" s="151">
        <f>SUM(AL9:AL108)</f>
        <v>60</v>
      </c>
      <c r="AM7" s="824"/>
      <c r="AN7" s="824"/>
      <c r="AO7" s="824"/>
      <c r="AP7" s="824"/>
      <c r="AQ7" s="824"/>
      <c r="AR7" s="431" t="s">
        <v>36</v>
      </c>
      <c r="AS7" s="431" t="s">
        <v>39</v>
      </c>
      <c r="AT7" s="431" t="s">
        <v>38</v>
      </c>
      <c r="AU7" s="431" t="s">
        <v>37</v>
      </c>
      <c r="AV7" s="431" t="s">
        <v>40</v>
      </c>
      <c r="AW7" s="431"/>
      <c r="AX7" s="431"/>
      <c r="AY7" s="431"/>
      <c r="AZ7" s="431"/>
      <c r="BA7" s="431"/>
      <c r="BB7" s="824"/>
      <c r="BC7" s="149" t="s">
        <v>32</v>
      </c>
      <c r="BD7" s="104" t="s">
        <v>31</v>
      </c>
      <c r="BE7" s="153">
        <f>BE8</f>
        <v>44370</v>
      </c>
      <c r="BF7" s="108">
        <f>I8</f>
        <v>-1220900</v>
      </c>
      <c r="BG7" s="61"/>
      <c r="BI7" s="830" t="s">
        <v>84</v>
      </c>
      <c r="BJ7" s="828" t="s">
        <v>85</v>
      </c>
      <c r="BK7" s="127" t="s">
        <v>86</v>
      </c>
      <c r="BL7" s="124" t="s">
        <v>88</v>
      </c>
      <c r="BM7" s="834" t="s">
        <v>9</v>
      </c>
      <c r="BN7" s="836" t="s">
        <v>89</v>
      </c>
      <c r="BO7" s="832">
        <v>1</v>
      </c>
      <c r="BQ7" s="2">
        <f>BQ6+1</f>
        <v>1</v>
      </c>
      <c r="BR7" s="398">
        <f t="shared" ref="BR7:BR18" si="2">DATE(YEAR($C$9),MONTH($C$9)+BQ7,1)</f>
        <v>44378</v>
      </c>
      <c r="BS7" s="2">
        <f>BS6+1</f>
        <v>2</v>
      </c>
    </row>
    <row r="8" spans="1:71" ht="21" customHeight="1" thickBot="1" x14ac:dyDescent="0.65">
      <c r="A8" s="841" t="s">
        <v>276</v>
      </c>
      <c r="B8" s="841"/>
      <c r="C8" s="193" t="s">
        <v>111</v>
      </c>
      <c r="D8" s="193" t="s">
        <v>111</v>
      </c>
      <c r="E8" s="362"/>
      <c r="F8" s="345"/>
      <c r="G8" s="420"/>
      <c r="H8" s="421">
        <f>C9</f>
        <v>44370</v>
      </c>
      <c r="I8" s="422">
        <f>-C23</f>
        <v>-1220900</v>
      </c>
      <c r="J8" s="423"/>
      <c r="K8" s="424"/>
      <c r="L8" s="424"/>
      <c r="M8" s="424"/>
      <c r="N8" s="424"/>
      <c r="O8" s="424"/>
      <c r="P8" s="424"/>
      <c r="Q8" s="425">
        <f>C23</f>
        <v>1220900</v>
      </c>
      <c r="R8" s="25"/>
      <c r="S8" s="36"/>
      <c r="T8" s="15">
        <v>8.8999999999999996E-2</v>
      </c>
      <c r="U8" s="15">
        <f t="shared" si="1"/>
        <v>8.8999999999999996E-2</v>
      </c>
      <c r="V8" s="15">
        <f t="shared" si="1"/>
        <v>8.8999999999999996E-2</v>
      </c>
      <c r="W8" s="15">
        <f t="shared" si="1"/>
        <v>8.8999999999999996E-2</v>
      </c>
      <c r="X8" s="15">
        <f t="shared" si="1"/>
        <v>8.8999999999999996E-2</v>
      </c>
      <c r="Y8" s="15"/>
      <c r="Z8" s="15"/>
      <c r="AA8" s="147"/>
      <c r="AB8" s="147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432"/>
      <c r="AN8" s="433">
        <f>C9</f>
        <v>44370</v>
      </c>
      <c r="AO8" s="434">
        <f>-D23</f>
        <v>-1161900</v>
      </c>
      <c r="AP8" s="435"/>
      <c r="AQ8" s="436"/>
      <c r="AR8" s="436"/>
      <c r="AS8" s="436"/>
      <c r="AT8" s="436"/>
      <c r="AU8" s="436"/>
      <c r="AV8" s="436"/>
      <c r="AW8" s="436"/>
      <c r="AX8" s="436"/>
      <c r="AY8" s="436"/>
      <c r="AZ8" s="436"/>
      <c r="BA8" s="436"/>
      <c r="BB8" s="437">
        <f>D23</f>
        <v>1161900</v>
      </c>
      <c r="BC8" s="106"/>
      <c r="BD8" s="108"/>
      <c r="BE8" s="22">
        <f t="shared" ref="BE8:BE18" si="3">H8</f>
        <v>44370</v>
      </c>
      <c r="BF8" s="104">
        <f>$C$25</f>
        <v>156000</v>
      </c>
      <c r="BI8" s="831"/>
      <c r="BJ8" s="829"/>
      <c r="BK8" s="125" t="s">
        <v>87</v>
      </c>
      <c r="BL8" s="126" t="s">
        <v>88</v>
      </c>
      <c r="BM8" s="835"/>
      <c r="BN8" s="837"/>
      <c r="BO8" s="833"/>
      <c r="BQ8" s="2">
        <f t="shared" ref="BQ8:BQ15" si="4">BQ7+1</f>
        <v>2</v>
      </c>
      <c r="BR8" s="398">
        <f t="shared" si="2"/>
        <v>44409</v>
      </c>
      <c r="BS8" s="2">
        <f t="shared" ref="BS8:BS18" si="5">BS7+1</f>
        <v>3</v>
      </c>
    </row>
    <row r="9" spans="1:71" ht="18" customHeight="1" thickBot="1" x14ac:dyDescent="0.35">
      <c r="A9" s="841" t="s">
        <v>199</v>
      </c>
      <c r="B9" s="841"/>
      <c r="C9" s="842">
        <v>44370</v>
      </c>
      <c r="D9" s="842"/>
      <c r="E9" s="362"/>
      <c r="F9" s="345"/>
      <c r="G9" s="426">
        <f>1</f>
        <v>1</v>
      </c>
      <c r="H9" s="427">
        <f t="shared" ref="H9:H18" si="6">IF((OR(DAY($AA$54)=29,DAY($AA$54)=30,DAY($AA$54)=31)),(EDATE($C$9-3,G9)),(IF((OR(DAY($AA$54)=1,DAY($AA$54)=2,DAY($AA$54)=3)),(EDATE($C$9,G9)+3),EDATE($C$9,G9))))</f>
        <v>44400</v>
      </c>
      <c r="I9" s="423">
        <f t="shared" ref="I9:I40" si="7">IF(AND(G9&gt;=$T$22,G9&lt;=$T$22+2),$T$23,IF(AND(Q8+L9+J9&gt;I8,I8&lt;&gt;0),$C$24,IF(Q8=0,0,Q8+L9+J9+J10)))</f>
        <v>30288</v>
      </c>
      <c r="J9" s="423">
        <f t="shared" ref="J9:J40" si="8">IF(AND(G9&gt;=$T$22,G9&lt;=$T$22+2),0,IF($C$9&gt;$AC$51,ROUND(Q8*$AA$15*((H9-DATE(YEAR(H9),MONTH(H9),1)+1)/(DATE(YEAR(H9)+1,1,1)-DATE(YEAR(H9),1,1))+(EOMONTH(H8,0)-H8)/(DATE(YEAR(H8)+1,1,1)-DATE(YEAR(H8),1,1))),2),0))</f>
        <v>16958.8</v>
      </c>
      <c r="K9" s="423">
        <f>IF(S9=0,0,IF(S9=1,Q8,IF(Q8+L9+J9&gt;I8,I9-J9-L9,Q8)))</f>
        <v>13329.2</v>
      </c>
      <c r="L9" s="423">
        <f>IF(N9&gt;$C$24,$C$24-J9,IF(S9=0,0,P9)+AF51)</f>
        <v>0</v>
      </c>
      <c r="M9" s="423">
        <f>O8-L8</f>
        <v>0</v>
      </c>
      <c r="N9" s="423">
        <f>J9+O9</f>
        <v>16958.8</v>
      </c>
      <c r="O9" s="423">
        <f>IF(S9=0,0,0)</f>
        <v>0</v>
      </c>
      <c r="P9" s="423">
        <f>IF(S9=0,0,0)</f>
        <v>0</v>
      </c>
      <c r="Q9" s="423">
        <f>IF(OR(S9=M151,Q8=0),0,Q8-K9)</f>
        <v>1207570.8</v>
      </c>
      <c r="R9" s="36">
        <f>C10</f>
        <v>60</v>
      </c>
      <c r="S9" s="36">
        <f t="shared" ref="S9:S40" si="9">IF(ISERR(CEILING(FLOOR(NPER($C$12/12,-$AA$55,Q8),0.1),1))=TRUE,0,CEILING(FLOOR(NPER($C$12/12,-$AA$55,Q8),0.1),1))</f>
        <v>60</v>
      </c>
      <c r="T9" s="15">
        <v>9.9000000000000005E-2</v>
      </c>
      <c r="U9" s="15">
        <f t="shared" si="1"/>
        <v>9.9000000000000005E-2</v>
      </c>
      <c r="V9" s="15">
        <f t="shared" si="1"/>
        <v>9.9000000000000005E-2</v>
      </c>
      <c r="W9" s="15">
        <f t="shared" si="1"/>
        <v>9.9000000000000005E-2</v>
      </c>
      <c r="X9" s="15">
        <f t="shared" si="1"/>
        <v>9.9000000000000005E-2</v>
      </c>
      <c r="Y9" s="15"/>
      <c r="Z9" s="132"/>
      <c r="AA9" s="147"/>
      <c r="AB9" s="147"/>
      <c r="AC9" s="15"/>
      <c r="AD9" s="15"/>
      <c r="AE9" s="15"/>
      <c r="AF9" s="15"/>
      <c r="AG9" s="15"/>
      <c r="AH9" s="15"/>
      <c r="AI9" s="15"/>
      <c r="AJ9" s="15"/>
      <c r="AK9" s="15"/>
      <c r="AL9" s="130">
        <f>IF(OR(AO9="",AO9=0),0,1)</f>
        <v>1</v>
      </c>
      <c r="AM9" s="438">
        <f>1</f>
        <v>1</v>
      </c>
      <c r="AN9" s="439">
        <f t="shared" ref="AN9:AN18" si="10">IF((OR(DAY($AA$54)=29,DAY($AA$54)=30,DAY($AA$54)=31)),(EDATE($C$9-3,AM9)),(IF((OR(DAY($AA$54)=1,DAY($AA$54)=2,DAY($AA$54)=3)),(EDATE($C$9,AM9)+3),EDATE($C$9,AM9))))</f>
        <v>44400</v>
      </c>
      <c r="AO9" s="435">
        <f t="shared" ref="AO9:AO40" si="11">IF(AND(G9&gt;=$T$22,G9&lt;=$T$22+2),$T$23,IF(AND(BB8+AR9+AP9&gt;AO8,AO8&lt;&gt;0),$D$24,IF(BB8=0,0,BB8+AR9+AP9+AP10)))</f>
        <v>30731</v>
      </c>
      <c r="AP9" s="435">
        <f t="shared" ref="AP9:AP40" si="12">IF(AND(G9&gt;=$T$22,G9&lt;=$T$22+2),0,IF($C$9&gt;$AC$51,ROUND(BB8*$AB$15*((AN9-DATE(YEAR(AN9),MONTH(AN9),1)+1)/(DATE(YEAR(AN9)+1,1,1)-DATE(YEAR(AN9),1,1))+(EOMONTH(AN8,0)-AN8)/(DATE(YEAR(AN8)+1,1,1)-DATE(YEAR(AN8),1,1))),2),0))</f>
        <v>19004.23</v>
      </c>
      <c r="AQ9" s="435">
        <f>IF(BD9=0,0,IF(BD9=1,BB8,IF(BB8+AR9+AP9&gt;AO8,AO9-AP9-AR9,BB8)))</f>
        <v>11726.77</v>
      </c>
      <c r="AR9" s="435">
        <f t="shared" ref="AR9:AR40" si="13">IF(AT9&gt;$D$24,$D$24-AP9,IF(BD9=0,0,AV9)+BS57)</f>
        <v>0</v>
      </c>
      <c r="AS9" s="435"/>
      <c r="AT9" s="435">
        <f>AP9+AU9</f>
        <v>19004.23</v>
      </c>
      <c r="AU9" s="435">
        <f>IF(BD9=0,0,0)</f>
        <v>0</v>
      </c>
      <c r="AV9" s="435">
        <f>IF(BD9=0,0,0)</f>
        <v>0</v>
      </c>
      <c r="AW9" s="435"/>
      <c r="AX9" s="435"/>
      <c r="AY9" s="435"/>
      <c r="AZ9" s="435"/>
      <c r="BA9" s="435"/>
      <c r="BB9" s="435">
        <f>IF(OR(BD9=1,BB8=0),0,BB8-AQ9)</f>
        <v>1150173.23</v>
      </c>
      <c r="BC9" s="108">
        <f>C10</f>
        <v>60</v>
      </c>
      <c r="BD9" s="108">
        <f t="shared" ref="BD9:BD18" si="14">IF(ISERR(CEILING(FLOOR(NPER($C$12/12,-$AA$55,BB8),0.1),1))=TRUE,0,CEILING(FLOOR(NPER($C$12/12,-$AA$55,BB8),0.1),1))</f>
        <v>56</v>
      </c>
      <c r="BE9" s="22">
        <f t="shared" si="3"/>
        <v>44400</v>
      </c>
      <c r="BF9" s="108">
        <f t="shared" ref="BF9:BF18" si="15">I9</f>
        <v>30288</v>
      </c>
      <c r="BQ9" s="2">
        <f t="shared" si="4"/>
        <v>3</v>
      </c>
      <c r="BR9" s="398">
        <f t="shared" si="2"/>
        <v>44440</v>
      </c>
      <c r="BS9" s="2">
        <f t="shared" si="5"/>
        <v>4</v>
      </c>
    </row>
    <row r="10" spans="1:71" ht="18" customHeight="1" x14ac:dyDescent="0.3">
      <c r="A10" s="841" t="s">
        <v>198</v>
      </c>
      <c r="B10" s="841"/>
      <c r="C10" s="840">
        <v>60</v>
      </c>
      <c r="D10" s="840"/>
      <c r="E10" s="362"/>
      <c r="F10" s="345"/>
      <c r="G10" s="426">
        <f>G9+1</f>
        <v>2</v>
      </c>
      <c r="H10" s="427">
        <f t="shared" si="6"/>
        <v>44431</v>
      </c>
      <c r="I10" s="423">
        <f t="shared" si="7"/>
        <v>30288</v>
      </c>
      <c r="J10" s="423">
        <f t="shared" si="8"/>
        <v>17332.78</v>
      </c>
      <c r="K10" s="423">
        <f t="shared" ref="K10:K40" si="16">IF(S10=0,0,IF(S10=1,Q9,IF(Q9+L10+J10&gt;I9,I10-J10-L10,Q9)))</f>
        <v>12955.220000000001</v>
      </c>
      <c r="L10" s="423">
        <f t="shared" ref="L10:L41" si="17">IF(N10&gt;$C$24,$C$24-J10,IF(S10=0,0,O10))</f>
        <v>0</v>
      </c>
      <c r="M10" s="423">
        <f>O9-L9</f>
        <v>0</v>
      </c>
      <c r="N10" s="423">
        <f t="shared" ref="N10:N85" si="18">J10+O10</f>
        <v>17332.78</v>
      </c>
      <c r="O10" s="423">
        <f t="shared" ref="O10:O67" si="19">IF(S10=0,0,0)</f>
        <v>0</v>
      </c>
      <c r="P10" s="423">
        <f t="shared" ref="P10:P67" si="20">IF(S10=0,0,0)</f>
        <v>0</v>
      </c>
      <c r="Q10" s="423">
        <f t="shared" ref="Q10:Q40" si="21">IF(OR(S10=1,Q9=0),0,Q9-K10)</f>
        <v>1194615.58</v>
      </c>
      <c r="R10" s="36">
        <f>IF((R9-1)&lt;0,0,R9-1)</f>
        <v>59</v>
      </c>
      <c r="S10" s="36">
        <f t="shared" si="9"/>
        <v>59</v>
      </c>
      <c r="T10" s="15">
        <v>0.109</v>
      </c>
      <c r="U10" s="15">
        <f t="shared" si="1"/>
        <v>0.109</v>
      </c>
      <c r="V10" s="15">
        <f t="shared" si="1"/>
        <v>0.109</v>
      </c>
      <c r="W10" s="15">
        <f t="shared" si="1"/>
        <v>0.109</v>
      </c>
      <c r="X10" s="15">
        <f t="shared" si="1"/>
        <v>0.109</v>
      </c>
      <c r="Y10" s="15"/>
      <c r="Z10" s="15"/>
      <c r="AA10" s="147"/>
      <c r="AB10" s="147"/>
      <c r="AC10" s="15"/>
      <c r="AD10" s="15"/>
      <c r="AE10" s="15"/>
      <c r="AF10" s="15"/>
      <c r="AG10" s="15"/>
      <c r="AH10" s="15"/>
      <c r="AI10" s="15"/>
      <c r="AJ10" s="15"/>
      <c r="AK10" s="15"/>
      <c r="AL10" s="130">
        <f t="shared" ref="AL10:AL73" si="22">IF(OR(AO10="",AO10=0),0,1)</f>
        <v>1</v>
      </c>
      <c r="AM10" s="438">
        <f>AM9+1</f>
        <v>2</v>
      </c>
      <c r="AN10" s="439">
        <f t="shared" si="10"/>
        <v>44431</v>
      </c>
      <c r="AO10" s="435">
        <f t="shared" si="11"/>
        <v>30731</v>
      </c>
      <c r="AP10" s="435">
        <f t="shared" si="12"/>
        <v>19439.5</v>
      </c>
      <c r="AQ10" s="435">
        <f t="shared" ref="AQ10:AQ18" si="23">IF(BD10=0,0,IF(BD10=1,BB9,IF(BB9+AR10+AP10&gt;AO9,AO10-AP10-AR10,BB9)))</f>
        <v>11291.5</v>
      </c>
      <c r="AR10" s="435">
        <f t="shared" si="13"/>
        <v>0</v>
      </c>
      <c r="AS10" s="435">
        <f>AU9-AR9</f>
        <v>0</v>
      </c>
      <c r="AT10" s="435">
        <f t="shared" ref="AT10:AT85" si="24">AP10+AU10</f>
        <v>19439.5</v>
      </c>
      <c r="AU10" s="435">
        <f t="shared" ref="AU10:AU18" si="25">IF(BD10=0,0,0)</f>
        <v>0</v>
      </c>
      <c r="AV10" s="435">
        <f t="shared" ref="AV10:AV18" si="26">IF(BD10=0,0,0)</f>
        <v>0</v>
      </c>
      <c r="AW10" s="435"/>
      <c r="AX10" s="435"/>
      <c r="AY10" s="435"/>
      <c r="AZ10" s="435"/>
      <c r="BA10" s="435"/>
      <c r="BB10" s="435">
        <f t="shared" ref="BB10:BB18" si="27">IF(OR(BD10=1,BB9=0),0,BB9-AQ10)</f>
        <v>1138881.73</v>
      </c>
      <c r="BC10" s="108">
        <f>IF((BC9-1)&lt;0,0,BC9-1)</f>
        <v>59</v>
      </c>
      <c r="BD10" s="108">
        <f t="shared" si="14"/>
        <v>55</v>
      </c>
      <c r="BE10" s="22">
        <f t="shared" si="3"/>
        <v>44431</v>
      </c>
      <c r="BF10" s="108">
        <f t="shared" si="15"/>
        <v>30288</v>
      </c>
      <c r="BI10" s="830" t="s">
        <v>90</v>
      </c>
      <c r="BJ10" s="828" t="s">
        <v>85</v>
      </c>
      <c r="BK10" s="129" t="s">
        <v>84</v>
      </c>
      <c r="BQ10" s="2">
        <f t="shared" si="4"/>
        <v>4</v>
      </c>
      <c r="BR10" s="398">
        <f t="shared" si="2"/>
        <v>44470</v>
      </c>
      <c r="BS10" s="2">
        <f t="shared" si="5"/>
        <v>5</v>
      </c>
    </row>
    <row r="11" spans="1:71" ht="18" customHeight="1" thickBot="1" x14ac:dyDescent="0.35">
      <c r="A11" s="841" t="s">
        <v>271</v>
      </c>
      <c r="B11" s="841"/>
      <c r="C11" s="221" t="s">
        <v>33</v>
      </c>
      <c r="D11" s="221" t="s">
        <v>33</v>
      </c>
      <c r="E11" s="363"/>
      <c r="F11" s="346"/>
      <c r="G11" s="426">
        <f>G10+1</f>
        <v>3</v>
      </c>
      <c r="H11" s="427">
        <f t="shared" si="6"/>
        <v>44462</v>
      </c>
      <c r="I11" s="423">
        <f t="shared" si="7"/>
        <v>30288</v>
      </c>
      <c r="J11" s="423">
        <f t="shared" si="8"/>
        <v>17146.82</v>
      </c>
      <c r="K11" s="423">
        <f t="shared" si="16"/>
        <v>13141.18</v>
      </c>
      <c r="L11" s="423">
        <f t="shared" si="17"/>
        <v>0</v>
      </c>
      <c r="M11" s="423">
        <f>O10-L10</f>
        <v>0</v>
      </c>
      <c r="N11" s="423">
        <f t="shared" si="18"/>
        <v>17146.82</v>
      </c>
      <c r="O11" s="423">
        <f t="shared" si="19"/>
        <v>0</v>
      </c>
      <c r="P11" s="423">
        <f t="shared" si="20"/>
        <v>0</v>
      </c>
      <c r="Q11" s="423">
        <f t="shared" si="21"/>
        <v>1181474.4000000001</v>
      </c>
      <c r="R11" s="36">
        <f>IF((R10-1)&lt;0,0,R10-1)</f>
        <v>58</v>
      </c>
      <c r="S11" s="36">
        <f t="shared" si="9"/>
        <v>58</v>
      </c>
      <c r="T11" s="15">
        <v>0.11899999999999999</v>
      </c>
      <c r="U11" s="15">
        <f t="shared" si="1"/>
        <v>0.11899999999999999</v>
      </c>
      <c r="V11" s="15">
        <f t="shared" si="1"/>
        <v>0.11899999999999999</v>
      </c>
      <c r="W11" s="15">
        <f t="shared" si="1"/>
        <v>0.11899999999999999</v>
      </c>
      <c r="X11" s="15">
        <f t="shared" si="1"/>
        <v>0.11899999999999999</v>
      </c>
      <c r="Y11" s="15"/>
      <c r="Z11" s="15"/>
      <c r="AA11" s="147"/>
      <c r="AB11" s="147"/>
      <c r="AC11" s="15"/>
      <c r="AD11" s="15"/>
      <c r="AE11" s="15"/>
      <c r="AF11" s="15"/>
      <c r="AG11" s="15"/>
      <c r="AH11" s="15"/>
      <c r="AI11" s="15"/>
      <c r="AJ11" s="3"/>
      <c r="AK11" s="3"/>
      <c r="AL11" s="130">
        <f t="shared" si="22"/>
        <v>1</v>
      </c>
      <c r="AM11" s="438">
        <f>AM10+1</f>
        <v>3</v>
      </c>
      <c r="AN11" s="439">
        <f t="shared" si="10"/>
        <v>44462</v>
      </c>
      <c r="AO11" s="435">
        <f t="shared" si="11"/>
        <v>30731</v>
      </c>
      <c r="AP11" s="435">
        <f t="shared" si="12"/>
        <v>19248.66</v>
      </c>
      <c r="AQ11" s="435">
        <f t="shared" si="23"/>
        <v>11482.34</v>
      </c>
      <c r="AR11" s="435">
        <f t="shared" si="13"/>
        <v>0</v>
      </c>
      <c r="AS11" s="435">
        <f>AU10-AR10</f>
        <v>0</v>
      </c>
      <c r="AT11" s="435">
        <f t="shared" si="24"/>
        <v>19248.66</v>
      </c>
      <c r="AU11" s="435">
        <f t="shared" si="25"/>
        <v>0</v>
      </c>
      <c r="AV11" s="435">
        <f t="shared" si="26"/>
        <v>0</v>
      </c>
      <c r="AW11" s="435"/>
      <c r="AX11" s="435"/>
      <c r="AY11" s="435"/>
      <c r="AZ11" s="435"/>
      <c r="BA11" s="435"/>
      <c r="BB11" s="435">
        <f t="shared" si="27"/>
        <v>1127399.3899999999</v>
      </c>
      <c r="BC11" s="108">
        <f>IF((BC10-1)&lt;0,0,BC10-1)</f>
        <v>58</v>
      </c>
      <c r="BD11" s="108">
        <f t="shared" si="14"/>
        <v>54</v>
      </c>
      <c r="BE11" s="22">
        <f t="shared" si="3"/>
        <v>44462</v>
      </c>
      <c r="BF11" s="108">
        <f t="shared" si="15"/>
        <v>30288</v>
      </c>
      <c r="BI11" s="831"/>
      <c r="BJ11" s="829"/>
      <c r="BK11" s="128" t="s">
        <v>91</v>
      </c>
      <c r="BQ11" s="2">
        <f t="shared" si="4"/>
        <v>5</v>
      </c>
      <c r="BR11" s="398">
        <f t="shared" si="2"/>
        <v>44501</v>
      </c>
      <c r="BS11" s="2">
        <f t="shared" si="5"/>
        <v>6</v>
      </c>
    </row>
    <row r="12" spans="1:71" ht="19.95" customHeight="1" thickBot="1" x14ac:dyDescent="0.35">
      <c r="A12" s="850" t="s">
        <v>272</v>
      </c>
      <c r="B12" s="851"/>
      <c r="C12" s="220">
        <v>0.16900000000000001</v>
      </c>
      <c r="D12" s="220">
        <v>0.19900000000000001</v>
      </c>
      <c r="E12" s="364">
        <f>$C$12-D12</f>
        <v>-0.03</v>
      </c>
      <c r="F12" s="325"/>
      <c r="G12" s="426">
        <f t="shared" ref="G12:G74" si="28">G11+1</f>
        <v>4</v>
      </c>
      <c r="H12" s="427">
        <f t="shared" si="6"/>
        <v>44492</v>
      </c>
      <c r="I12" s="423">
        <f t="shared" si="7"/>
        <v>30288</v>
      </c>
      <c r="J12" s="423">
        <f t="shared" si="8"/>
        <v>16411.16</v>
      </c>
      <c r="K12" s="423">
        <f t="shared" si="16"/>
        <v>13876.84</v>
      </c>
      <c r="L12" s="423">
        <f t="shared" si="17"/>
        <v>0</v>
      </c>
      <c r="M12" s="423">
        <f t="shared" ref="M12:M85" si="29">O11-L11</f>
        <v>0</v>
      </c>
      <c r="N12" s="423">
        <f t="shared" si="18"/>
        <v>16411.16</v>
      </c>
      <c r="O12" s="423">
        <f t="shared" si="19"/>
        <v>0</v>
      </c>
      <c r="P12" s="423">
        <f t="shared" si="20"/>
        <v>0</v>
      </c>
      <c r="Q12" s="423">
        <f t="shared" si="21"/>
        <v>1167597.56</v>
      </c>
      <c r="R12" s="36">
        <f t="shared" ref="R12:R75" si="30">IF((R11-1)&lt;0,0,R11-1)</f>
        <v>57</v>
      </c>
      <c r="S12" s="36">
        <f t="shared" si="9"/>
        <v>57</v>
      </c>
      <c r="T12" s="15">
        <v>0.129</v>
      </c>
      <c r="U12" s="15">
        <f t="shared" si="1"/>
        <v>0.129</v>
      </c>
      <c r="V12" s="15">
        <f t="shared" si="1"/>
        <v>0.129</v>
      </c>
      <c r="W12" s="15">
        <f t="shared" si="1"/>
        <v>0.129</v>
      </c>
      <c r="X12" s="15">
        <f t="shared" si="1"/>
        <v>0.129</v>
      </c>
      <c r="Y12" s="15"/>
      <c r="Z12" s="15"/>
      <c r="AA12" s="147"/>
      <c r="AB12" s="147"/>
      <c r="AC12" s="15"/>
      <c r="AD12" s="15"/>
      <c r="AE12" s="15"/>
      <c r="AF12" s="15"/>
      <c r="AG12" s="15"/>
      <c r="AH12" s="15"/>
      <c r="AI12" s="15"/>
      <c r="AK12" s="57"/>
      <c r="AL12" s="130">
        <f t="shared" si="22"/>
        <v>1</v>
      </c>
      <c r="AM12" s="438">
        <f t="shared" ref="AM12:AM74" si="31">AM11+1</f>
        <v>4</v>
      </c>
      <c r="AN12" s="439">
        <f t="shared" si="10"/>
        <v>44492</v>
      </c>
      <c r="AO12" s="435">
        <f t="shared" si="11"/>
        <v>30731</v>
      </c>
      <c r="AP12" s="435">
        <f t="shared" si="12"/>
        <v>18439.93</v>
      </c>
      <c r="AQ12" s="435">
        <f t="shared" si="23"/>
        <v>12291.07</v>
      </c>
      <c r="AR12" s="435">
        <f t="shared" si="13"/>
        <v>0</v>
      </c>
      <c r="AS12" s="435">
        <f t="shared" ref="AS12:AS13" si="32">AU11-AR11</f>
        <v>0</v>
      </c>
      <c r="AT12" s="435">
        <f t="shared" si="24"/>
        <v>18439.93</v>
      </c>
      <c r="AU12" s="435">
        <f t="shared" si="25"/>
        <v>0</v>
      </c>
      <c r="AV12" s="435">
        <f t="shared" si="26"/>
        <v>0</v>
      </c>
      <c r="AW12" s="435"/>
      <c r="AX12" s="435"/>
      <c r="AY12" s="435"/>
      <c r="AZ12" s="435"/>
      <c r="BA12" s="435"/>
      <c r="BB12" s="435">
        <f t="shared" si="27"/>
        <v>1115108.3199999998</v>
      </c>
      <c r="BC12" s="108">
        <f t="shared" ref="BC12:BC80" si="33">IF((BC11-1)&lt;0,0,BC11-1)</f>
        <v>57</v>
      </c>
      <c r="BD12" s="108">
        <f t="shared" si="14"/>
        <v>54</v>
      </c>
      <c r="BE12" s="22">
        <f t="shared" si="3"/>
        <v>44492</v>
      </c>
      <c r="BF12" s="108">
        <f t="shared" si="15"/>
        <v>30288</v>
      </c>
      <c r="BQ12" s="2">
        <f t="shared" si="4"/>
        <v>6</v>
      </c>
      <c r="BR12" s="398">
        <f t="shared" si="2"/>
        <v>44531</v>
      </c>
      <c r="BS12" s="2">
        <f t="shared" si="5"/>
        <v>7</v>
      </c>
    </row>
    <row r="13" spans="1:71" ht="16.95" customHeight="1" x14ac:dyDescent="0.25">
      <c r="A13" s="863" t="s">
        <v>220</v>
      </c>
      <c r="B13" s="273" t="s">
        <v>224</v>
      </c>
      <c r="C13" s="397" t="s">
        <v>47</v>
      </c>
      <c r="D13" s="397" t="s">
        <v>35</v>
      </c>
      <c r="E13" s="401" t="s">
        <v>270</v>
      </c>
      <c r="F13" s="191"/>
      <c r="G13" s="426">
        <f>G12+1</f>
        <v>5</v>
      </c>
      <c r="H13" s="427">
        <f t="shared" si="6"/>
        <v>44523</v>
      </c>
      <c r="I13" s="423">
        <f t="shared" si="7"/>
        <v>30288</v>
      </c>
      <c r="J13" s="423">
        <f t="shared" si="8"/>
        <v>16759.02</v>
      </c>
      <c r="K13" s="423">
        <f t="shared" si="16"/>
        <v>13528.98</v>
      </c>
      <c r="L13" s="423">
        <f t="shared" si="17"/>
        <v>0</v>
      </c>
      <c r="M13" s="423">
        <f t="shared" si="29"/>
        <v>0</v>
      </c>
      <c r="N13" s="423">
        <f t="shared" si="18"/>
        <v>16759.02</v>
      </c>
      <c r="O13" s="423">
        <f t="shared" si="19"/>
        <v>0</v>
      </c>
      <c r="P13" s="423">
        <f t="shared" si="20"/>
        <v>0</v>
      </c>
      <c r="Q13" s="423">
        <f>IF(OR(S13=1,Q12=0),0,Q12-K13)</f>
        <v>1154068.58</v>
      </c>
      <c r="R13" s="36">
        <f>IF((R12-1)&lt;0,0,R12-1)</f>
        <v>56</v>
      </c>
      <c r="S13" s="36">
        <f t="shared" si="9"/>
        <v>56</v>
      </c>
      <c r="T13" s="15">
        <v>0.13900000000000001</v>
      </c>
      <c r="U13" s="15">
        <f t="shared" si="1"/>
        <v>0.13900000000000001</v>
      </c>
      <c r="V13" s="15">
        <f t="shared" si="1"/>
        <v>0.13900000000000001</v>
      </c>
      <c r="W13" s="15">
        <f t="shared" si="1"/>
        <v>0.13900000000000001</v>
      </c>
      <c r="X13" s="15">
        <f t="shared" si="1"/>
        <v>0.13900000000000001</v>
      </c>
      <c r="Y13" s="15"/>
      <c r="Z13" s="15"/>
      <c r="AA13" s="62"/>
      <c r="AB13" s="62"/>
      <c r="AC13" s="15"/>
      <c r="AD13" s="15"/>
      <c r="AE13" s="15"/>
      <c r="AF13" s="15"/>
      <c r="AG13" s="15"/>
      <c r="AH13" s="15"/>
      <c r="AI13" s="15"/>
      <c r="AL13" s="130">
        <f t="shared" si="22"/>
        <v>1</v>
      </c>
      <c r="AM13" s="440">
        <f>AM12+1</f>
        <v>5</v>
      </c>
      <c r="AN13" s="441">
        <f t="shared" si="10"/>
        <v>44523</v>
      </c>
      <c r="AO13" s="435">
        <f t="shared" si="11"/>
        <v>30731</v>
      </c>
      <c r="AP13" s="435">
        <f t="shared" si="12"/>
        <v>18846.86</v>
      </c>
      <c r="AQ13" s="435">
        <f t="shared" si="23"/>
        <v>11884.14</v>
      </c>
      <c r="AR13" s="435">
        <f t="shared" si="13"/>
        <v>0</v>
      </c>
      <c r="AS13" s="435">
        <f t="shared" si="32"/>
        <v>0</v>
      </c>
      <c r="AT13" s="435">
        <f t="shared" si="24"/>
        <v>18846.86</v>
      </c>
      <c r="AU13" s="435">
        <f t="shared" si="25"/>
        <v>0</v>
      </c>
      <c r="AV13" s="435">
        <f t="shared" si="26"/>
        <v>0</v>
      </c>
      <c r="AW13" s="435"/>
      <c r="AX13" s="435"/>
      <c r="AY13" s="435"/>
      <c r="AZ13" s="435"/>
      <c r="BA13" s="435"/>
      <c r="BB13" s="435">
        <f t="shared" si="27"/>
        <v>1103224.18</v>
      </c>
      <c r="BC13" s="108">
        <f>IF((BC12-1)&lt;0,0,BC12-1)</f>
        <v>56</v>
      </c>
      <c r="BD13" s="108">
        <f t="shared" si="14"/>
        <v>53</v>
      </c>
      <c r="BE13" s="22">
        <f t="shared" si="3"/>
        <v>44523</v>
      </c>
      <c r="BF13" s="108">
        <f t="shared" si="15"/>
        <v>30288</v>
      </c>
      <c r="BI13" s="830" t="s">
        <v>92</v>
      </c>
      <c r="BJ13" s="828" t="s">
        <v>85</v>
      </c>
      <c r="BK13" s="129" t="s">
        <v>90</v>
      </c>
      <c r="BQ13" s="2">
        <f t="shared" si="4"/>
        <v>7</v>
      </c>
      <c r="BR13" s="398">
        <f t="shared" si="2"/>
        <v>44562</v>
      </c>
      <c r="BS13" s="2">
        <f t="shared" si="5"/>
        <v>8</v>
      </c>
    </row>
    <row r="14" spans="1:71" ht="18" customHeight="1" thickBot="1" x14ac:dyDescent="0.35">
      <c r="A14" s="863"/>
      <c r="B14" s="186" t="s">
        <v>223</v>
      </c>
      <c r="C14" s="402">
        <f>IF(OR(C8="Гарантия стандарт",C8="Гарантия пакет",C8="Гарантия плюс"),"",IF(C12&lt;11.9%,0,IF(C13="Да",IF(C11=$T$3,T28,IF(C11=$V$3,V28,IF(C11=$W$3,W28,IF(C11=$X$3,X28,IF(C11=$U$3,U28,X28)))))-IF(AND(C11&lt;&gt;"Базовый",C12=11.9%),1%,0),"")))</f>
        <v>9.9000000000000005E-2</v>
      </c>
      <c r="D14" s="399" t="str">
        <f>IF(OR(D8="Гарантия стандарт",D8="Гарантия пакет",D8="Гарантия плюс"),"",IF(D12&lt;11.9%,0,IF(D13="Да",IF(D11=$T$3,T28,IF(D11=$U$3,U28,IF(D11=$V$3,V28,IF(D11=$W$3,W28,IF(D11=$X$3,X28,Y21)))))-IF(AND(D11&lt;&gt;"Базовый",D12=11.9%),1%,0),"")))</f>
        <v/>
      </c>
      <c r="E14" s="363">
        <f>IF(OR(D14="",D14=0),C14,IF(OR(C14="",C14=0),D14,C14-D14))</f>
        <v>9.9000000000000005E-2</v>
      </c>
      <c r="F14" s="346"/>
      <c r="G14" s="426">
        <f>G13+1</f>
        <v>6</v>
      </c>
      <c r="H14" s="427">
        <f t="shared" si="6"/>
        <v>44553</v>
      </c>
      <c r="I14" s="423">
        <f t="shared" si="7"/>
        <v>30288</v>
      </c>
      <c r="J14" s="423">
        <f t="shared" si="8"/>
        <v>16030.49</v>
      </c>
      <c r="K14" s="423">
        <f t="shared" si="16"/>
        <v>14257.51</v>
      </c>
      <c r="L14" s="423">
        <f t="shared" si="17"/>
        <v>0</v>
      </c>
      <c r="M14" s="423">
        <f>O13-L13</f>
        <v>0</v>
      </c>
      <c r="N14" s="423">
        <f t="shared" si="18"/>
        <v>16030.49</v>
      </c>
      <c r="O14" s="423">
        <f t="shared" si="19"/>
        <v>0</v>
      </c>
      <c r="P14" s="423">
        <f t="shared" si="20"/>
        <v>0</v>
      </c>
      <c r="Q14" s="423">
        <f t="shared" si="21"/>
        <v>1139811.07</v>
      </c>
      <c r="R14" s="36">
        <f>IF((R13-1)&lt;0,0,R13-1)</f>
        <v>55</v>
      </c>
      <c r="S14" s="36">
        <f t="shared" si="9"/>
        <v>55</v>
      </c>
      <c r="T14" s="101">
        <v>0.14899999999999999</v>
      </c>
      <c r="U14" s="15">
        <f t="shared" si="1"/>
        <v>0.14899999999999999</v>
      </c>
      <c r="V14" s="15">
        <f t="shared" si="1"/>
        <v>0.14899999999999999</v>
      </c>
      <c r="W14" s="15">
        <f t="shared" si="1"/>
        <v>0.14899999999999999</v>
      </c>
      <c r="X14" s="15">
        <f t="shared" si="1"/>
        <v>0.14899999999999999</v>
      </c>
      <c r="Y14" s="15"/>
      <c r="Z14" s="15"/>
      <c r="AA14" s="15">
        <f>$C$12</f>
        <v>0.16900000000000001</v>
      </c>
      <c r="AB14" s="15">
        <f>D12</f>
        <v>0.19900000000000001</v>
      </c>
      <c r="AC14" s="15"/>
      <c r="AD14" s="15"/>
      <c r="AE14" s="15"/>
      <c r="AF14" s="15"/>
      <c r="AG14" s="15"/>
      <c r="AH14" s="15"/>
      <c r="AI14" s="15"/>
      <c r="AK14" s="57"/>
      <c r="AL14" s="130">
        <f t="shared" si="22"/>
        <v>1</v>
      </c>
      <c r="AM14" s="438">
        <f>AM13+1</f>
        <v>6</v>
      </c>
      <c r="AN14" s="439">
        <f t="shared" si="10"/>
        <v>44553</v>
      </c>
      <c r="AO14" s="435">
        <f t="shared" si="11"/>
        <v>30731</v>
      </c>
      <c r="AP14" s="435">
        <f t="shared" si="12"/>
        <v>18044.52</v>
      </c>
      <c r="AQ14" s="435">
        <f t="shared" si="23"/>
        <v>12686.48</v>
      </c>
      <c r="AR14" s="435">
        <f t="shared" si="13"/>
        <v>0</v>
      </c>
      <c r="AS14" s="435">
        <f>AU13-AR13</f>
        <v>0</v>
      </c>
      <c r="AT14" s="435">
        <f t="shared" si="24"/>
        <v>18044.52</v>
      </c>
      <c r="AU14" s="435">
        <f t="shared" si="25"/>
        <v>0</v>
      </c>
      <c r="AV14" s="435">
        <f t="shared" si="26"/>
        <v>0</v>
      </c>
      <c r="AW14" s="435"/>
      <c r="AX14" s="435"/>
      <c r="AY14" s="435"/>
      <c r="AZ14" s="435"/>
      <c r="BA14" s="435"/>
      <c r="BB14" s="435">
        <f t="shared" si="27"/>
        <v>1090537.7</v>
      </c>
      <c r="BC14" s="108">
        <f>IF((BC13-1)&lt;0,0,BC13-1)</f>
        <v>55</v>
      </c>
      <c r="BD14" s="108">
        <f t="shared" si="14"/>
        <v>52</v>
      </c>
      <c r="BE14" s="22">
        <f t="shared" si="3"/>
        <v>44553</v>
      </c>
      <c r="BF14" s="108">
        <f t="shared" si="15"/>
        <v>30288</v>
      </c>
      <c r="BI14" s="831"/>
      <c r="BJ14" s="829"/>
      <c r="BK14" s="128" t="s">
        <v>93</v>
      </c>
      <c r="BQ14" s="2">
        <f t="shared" si="4"/>
        <v>8</v>
      </c>
      <c r="BR14" s="398">
        <f t="shared" si="2"/>
        <v>44593</v>
      </c>
      <c r="BS14" s="2">
        <f t="shared" si="5"/>
        <v>9</v>
      </c>
    </row>
    <row r="15" spans="1:71" ht="18" customHeight="1" x14ac:dyDescent="0.3">
      <c r="A15" s="863"/>
      <c r="B15" s="273" t="s">
        <v>287</v>
      </c>
      <c r="C15" s="360">
        <f>IF(OR(C8="Гарантия стандарт",C8="Гарантия пакет",C8="Гарантия плюс"),"",IF(C12&lt;11.9%,"",IF(C13="Да",IF(C11=$T$3,T29,IF(C11=$V$3,V29,IF(C11=$W$3,W29,IF(C11=$X$3,X29,IF(C11=$U$3,U29,X29))))),"")))</f>
        <v>5.8999999999999997E-2</v>
      </c>
      <c r="D15" s="222" t="str">
        <f>IF(OR(D8="Гарантия стандарт",D8="Гарантия пакет",D8="Гарантия плюс"),"",IF(D12&lt;11.9%,0,IF(D13="Да",IF(D11=$T$3,T38,IF(D11=$U$3,U38,IF(D11=$V$3,V38,IF(D11=$W$3,W38,IF(D11=$X$3,X38,""))))),"")))</f>
        <v/>
      </c>
      <c r="E15" s="364">
        <f t="shared" ref="E15:E18" si="34">IF(D15="",C15,IF(C15="",D15,C15-D15))</f>
        <v>5.8999999999999997E-2</v>
      </c>
      <c r="F15" s="325"/>
      <c r="G15" s="426">
        <f t="shared" si="28"/>
        <v>7</v>
      </c>
      <c r="H15" s="427">
        <f t="shared" si="6"/>
        <v>44584</v>
      </c>
      <c r="I15" s="423">
        <f t="shared" si="7"/>
        <v>30288</v>
      </c>
      <c r="J15" s="423">
        <f t="shared" si="8"/>
        <v>16360.19</v>
      </c>
      <c r="K15" s="423">
        <f>IF(S15=0,0,IF(S15=1,Q14,IF(Q14+L15+J15&gt;I14,I15-J15-L15,Q14)))</f>
        <v>13927.81</v>
      </c>
      <c r="L15" s="423">
        <f t="shared" si="17"/>
        <v>0</v>
      </c>
      <c r="M15" s="423">
        <f t="shared" si="29"/>
        <v>0</v>
      </c>
      <c r="N15" s="423">
        <f t="shared" si="18"/>
        <v>16360.19</v>
      </c>
      <c r="O15" s="423">
        <f t="shared" si="19"/>
        <v>0</v>
      </c>
      <c r="P15" s="423">
        <f t="shared" si="20"/>
        <v>0</v>
      </c>
      <c r="Q15" s="423">
        <f>IF(OR(S15=1,Q14=0),0,Q14-K15)</f>
        <v>1125883.26</v>
      </c>
      <c r="R15" s="36">
        <f t="shared" si="30"/>
        <v>54</v>
      </c>
      <c r="S15" s="36">
        <f t="shared" si="9"/>
        <v>54</v>
      </c>
      <c r="T15" s="15">
        <v>0.159</v>
      </c>
      <c r="U15" s="15">
        <f t="shared" si="1"/>
        <v>0.159</v>
      </c>
      <c r="V15" s="15">
        <f t="shared" si="1"/>
        <v>0.159</v>
      </c>
      <c r="W15" s="15">
        <f t="shared" si="1"/>
        <v>0.159</v>
      </c>
      <c r="X15" s="15">
        <f t="shared" si="1"/>
        <v>0.159</v>
      </c>
      <c r="Y15" s="15"/>
      <c r="Z15" s="15"/>
      <c r="AA15" s="15">
        <f>IF(AND(C8&lt;&gt;"Гарантия стандарт",C8&lt;&gt;"Гарантия пакет",C8&lt;&gt;"Гарантия плюс",C11&lt;&gt;"Базовый"),AA14-2%,AA14)</f>
        <v>0.16900000000000001</v>
      </c>
      <c r="AB15" s="15">
        <f>IF(AND(D8&lt;&gt;"Гарантия стандарт",D8&lt;&gt;"Гарантия пакет",D8&lt;&gt;"Гарантия плюс",D11&lt;&gt;"Базовый"),AB14-2%,AB14)</f>
        <v>0.19900000000000001</v>
      </c>
      <c r="AC15" s="15"/>
      <c r="AD15" s="15"/>
      <c r="AE15" s="15"/>
      <c r="AF15" s="15"/>
      <c r="AG15" s="15"/>
      <c r="AH15" s="15"/>
      <c r="AI15" s="15"/>
      <c r="AL15" s="130">
        <f t="shared" si="22"/>
        <v>1</v>
      </c>
      <c r="AM15" s="438">
        <f t="shared" si="31"/>
        <v>7</v>
      </c>
      <c r="AN15" s="439">
        <f t="shared" si="10"/>
        <v>44584</v>
      </c>
      <c r="AO15" s="435">
        <f t="shared" si="11"/>
        <v>30731</v>
      </c>
      <c r="AP15" s="435">
        <f t="shared" si="12"/>
        <v>18431.580000000002</v>
      </c>
      <c r="AQ15" s="435">
        <f t="shared" si="23"/>
        <v>12299.419999999998</v>
      </c>
      <c r="AR15" s="435">
        <f t="shared" si="13"/>
        <v>0</v>
      </c>
      <c r="AS15" s="435">
        <f t="shared" ref="AS15:AS18" si="35">AU14-AR14</f>
        <v>0</v>
      </c>
      <c r="AT15" s="435">
        <f t="shared" si="24"/>
        <v>18431.580000000002</v>
      </c>
      <c r="AU15" s="435">
        <f t="shared" si="25"/>
        <v>0</v>
      </c>
      <c r="AV15" s="435">
        <f t="shared" si="26"/>
        <v>0</v>
      </c>
      <c r="AW15" s="435"/>
      <c r="AX15" s="435"/>
      <c r="AY15" s="435"/>
      <c r="AZ15" s="435"/>
      <c r="BA15" s="435"/>
      <c r="BB15" s="435">
        <f t="shared" si="27"/>
        <v>1078238.28</v>
      </c>
      <c r="BC15" s="108">
        <f t="shared" si="33"/>
        <v>54</v>
      </c>
      <c r="BD15" s="108">
        <f t="shared" si="14"/>
        <v>51</v>
      </c>
      <c r="BE15" s="22">
        <f t="shared" si="3"/>
        <v>44584</v>
      </c>
      <c r="BF15" s="108">
        <f t="shared" si="15"/>
        <v>30288</v>
      </c>
      <c r="BQ15" s="2">
        <f t="shared" si="4"/>
        <v>9</v>
      </c>
      <c r="BR15" s="398">
        <f t="shared" si="2"/>
        <v>44621</v>
      </c>
      <c r="BS15" s="2">
        <f t="shared" si="5"/>
        <v>10</v>
      </c>
    </row>
    <row r="16" spans="1:71" ht="18" customHeight="1" x14ac:dyDescent="0.3">
      <c r="A16" s="863"/>
      <c r="B16" s="273" t="s">
        <v>221</v>
      </c>
      <c r="C16" s="361">
        <f>IF(OR(C8="Гарантия стандарт",C8="Гарантия пакет",C8="Гарантия плюс"),0,IF(AND(C14&lt;&gt;0,C13&lt;&gt;"нет"),IF(C13="Нет","",ROUND($C$7*C15,2)),""))</f>
        <v>59000</v>
      </c>
      <c r="D16" s="400" t="str">
        <f>IF(OR(D8="Гарантия стандарт",D8="Гарантия пакет",D8="Гарантия плюс"),"",IF(AND(D14&lt;&gt;0,D13&lt;&gt;"нет"),IF(D13="Нет","",ROUND($C$7*D15,2)),""))</f>
        <v/>
      </c>
      <c r="E16" s="365">
        <f t="shared" si="34"/>
        <v>59000</v>
      </c>
      <c r="F16" s="192"/>
      <c r="G16" s="426">
        <f t="shared" si="28"/>
        <v>8</v>
      </c>
      <c r="H16" s="427">
        <f t="shared" si="6"/>
        <v>44615</v>
      </c>
      <c r="I16" s="423">
        <f t="shared" si="7"/>
        <v>30288</v>
      </c>
      <c r="J16" s="423">
        <f t="shared" si="8"/>
        <v>16160.28</v>
      </c>
      <c r="K16" s="423">
        <f t="shared" si="16"/>
        <v>14127.72</v>
      </c>
      <c r="L16" s="423">
        <f t="shared" si="17"/>
        <v>0</v>
      </c>
      <c r="M16" s="423">
        <f t="shared" si="29"/>
        <v>0</v>
      </c>
      <c r="N16" s="423">
        <f t="shared" si="18"/>
        <v>16160.28</v>
      </c>
      <c r="O16" s="423">
        <f t="shared" si="19"/>
        <v>0</v>
      </c>
      <c r="P16" s="423">
        <f t="shared" si="20"/>
        <v>0</v>
      </c>
      <c r="Q16" s="423">
        <f t="shared" si="21"/>
        <v>1111755.54</v>
      </c>
      <c r="R16" s="36">
        <f t="shared" si="30"/>
        <v>53</v>
      </c>
      <c r="S16" s="36">
        <f t="shared" si="9"/>
        <v>53</v>
      </c>
      <c r="T16" s="15">
        <v>0.16900000000000001</v>
      </c>
      <c r="U16" s="15">
        <f t="shared" si="1"/>
        <v>0.16900000000000001</v>
      </c>
      <c r="V16" s="15">
        <f t="shared" si="1"/>
        <v>0.16900000000000001</v>
      </c>
      <c r="W16" s="15">
        <f t="shared" si="1"/>
        <v>0.16900000000000001</v>
      </c>
      <c r="X16" s="15">
        <f t="shared" si="1"/>
        <v>0.16900000000000001</v>
      </c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L16" s="130">
        <f t="shared" si="22"/>
        <v>1</v>
      </c>
      <c r="AM16" s="438">
        <f t="shared" si="31"/>
        <v>8</v>
      </c>
      <c r="AN16" s="439">
        <f t="shared" si="10"/>
        <v>44615</v>
      </c>
      <c r="AO16" s="435">
        <f t="shared" si="11"/>
        <v>30731</v>
      </c>
      <c r="AP16" s="435">
        <f t="shared" si="12"/>
        <v>18223.7</v>
      </c>
      <c r="AQ16" s="435">
        <f t="shared" si="23"/>
        <v>12507.3</v>
      </c>
      <c r="AR16" s="435">
        <f t="shared" si="13"/>
        <v>0</v>
      </c>
      <c r="AS16" s="435">
        <f t="shared" si="35"/>
        <v>0</v>
      </c>
      <c r="AT16" s="435">
        <f t="shared" si="24"/>
        <v>18223.7</v>
      </c>
      <c r="AU16" s="435">
        <f t="shared" si="25"/>
        <v>0</v>
      </c>
      <c r="AV16" s="435">
        <f t="shared" si="26"/>
        <v>0</v>
      </c>
      <c r="AW16" s="435"/>
      <c r="AX16" s="435"/>
      <c r="AY16" s="435"/>
      <c r="AZ16" s="435"/>
      <c r="BA16" s="435"/>
      <c r="BB16" s="435">
        <f t="shared" si="27"/>
        <v>1065730.98</v>
      </c>
      <c r="BC16" s="108">
        <f t="shared" si="33"/>
        <v>53</v>
      </c>
      <c r="BD16" s="108">
        <f t="shared" si="14"/>
        <v>50</v>
      </c>
      <c r="BE16" s="22">
        <f t="shared" si="3"/>
        <v>44615</v>
      </c>
      <c r="BF16" s="108">
        <f t="shared" si="15"/>
        <v>30288</v>
      </c>
      <c r="BQ16" s="2">
        <f>BQ15+1</f>
        <v>10</v>
      </c>
      <c r="BR16" s="398">
        <f t="shared" si="2"/>
        <v>44652</v>
      </c>
      <c r="BS16" s="2">
        <f t="shared" si="5"/>
        <v>11</v>
      </c>
    </row>
    <row r="17" spans="1:388" ht="18" customHeight="1" x14ac:dyDescent="0.3">
      <c r="A17" s="863"/>
      <c r="B17" s="273" t="s">
        <v>222</v>
      </c>
      <c r="C17" s="361">
        <f>IF(OR(C8="Гарантия стандарт",C8="Гарантия пакет",C8="Гарантия плюс"),"",IF(AND($C$14&lt;&gt;0,C13&lt;&gt;"нет"),J109-T156,""))</f>
        <v>246780.94</v>
      </c>
      <c r="D17" s="400" t="str">
        <f>IF(OR(D8="Гарантия стандарт",D8="Гарантия пакет",D8="Гарантия плюс"),"",IF(AND($D$14&lt;&gt;0,$D$13&lt;&gt;"нет"),AP109-BG154,""))</f>
        <v/>
      </c>
      <c r="E17" s="365">
        <f t="shared" si="34"/>
        <v>246780.94</v>
      </c>
      <c r="F17" s="192"/>
      <c r="G17" s="426">
        <f t="shared" si="28"/>
        <v>9</v>
      </c>
      <c r="H17" s="427">
        <f t="shared" si="6"/>
        <v>44643</v>
      </c>
      <c r="I17" s="423">
        <f t="shared" si="7"/>
        <v>30288</v>
      </c>
      <c r="J17" s="423">
        <f t="shared" si="8"/>
        <v>14413.23</v>
      </c>
      <c r="K17" s="423">
        <f t="shared" si="16"/>
        <v>15874.77</v>
      </c>
      <c r="L17" s="423">
        <f t="shared" si="17"/>
        <v>0</v>
      </c>
      <c r="M17" s="423">
        <f t="shared" si="29"/>
        <v>0</v>
      </c>
      <c r="N17" s="423">
        <f t="shared" si="18"/>
        <v>14413.23</v>
      </c>
      <c r="O17" s="423">
        <f t="shared" si="19"/>
        <v>0</v>
      </c>
      <c r="P17" s="423">
        <f t="shared" si="20"/>
        <v>0</v>
      </c>
      <c r="Q17" s="423">
        <f t="shared" si="21"/>
        <v>1095880.77</v>
      </c>
      <c r="R17" s="36">
        <f t="shared" si="30"/>
        <v>52</v>
      </c>
      <c r="S17" s="36">
        <f t="shared" si="9"/>
        <v>52</v>
      </c>
      <c r="T17" s="15">
        <v>0.17499999999999999</v>
      </c>
      <c r="U17" s="15">
        <f t="shared" si="1"/>
        <v>0.17499999999999999</v>
      </c>
      <c r="V17" s="15">
        <f t="shared" si="1"/>
        <v>0.17499999999999999</v>
      </c>
      <c r="W17" s="15">
        <f t="shared" si="1"/>
        <v>0.17499999999999999</v>
      </c>
      <c r="X17" s="15">
        <f t="shared" si="1"/>
        <v>0.17499999999999999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L17" s="130">
        <f t="shared" si="22"/>
        <v>1</v>
      </c>
      <c r="AM17" s="438">
        <f t="shared" si="31"/>
        <v>9</v>
      </c>
      <c r="AN17" s="439">
        <f t="shared" si="10"/>
        <v>44643</v>
      </c>
      <c r="AO17" s="435">
        <f t="shared" si="11"/>
        <v>30731</v>
      </c>
      <c r="AP17" s="435">
        <f t="shared" si="12"/>
        <v>16269.19</v>
      </c>
      <c r="AQ17" s="435">
        <f t="shared" si="23"/>
        <v>14461.81</v>
      </c>
      <c r="AR17" s="435">
        <f t="shared" si="13"/>
        <v>0</v>
      </c>
      <c r="AS17" s="435">
        <f t="shared" si="35"/>
        <v>0</v>
      </c>
      <c r="AT17" s="435">
        <f t="shared" si="24"/>
        <v>16269.19</v>
      </c>
      <c r="AU17" s="435">
        <f t="shared" si="25"/>
        <v>0</v>
      </c>
      <c r="AV17" s="435">
        <f t="shared" si="26"/>
        <v>0</v>
      </c>
      <c r="AW17" s="435"/>
      <c r="AX17" s="435"/>
      <c r="AY17" s="435"/>
      <c r="AZ17" s="435"/>
      <c r="BA17" s="435"/>
      <c r="BB17" s="435">
        <f t="shared" si="27"/>
        <v>1051269.17</v>
      </c>
      <c r="BC17" s="108">
        <f t="shared" si="33"/>
        <v>52</v>
      </c>
      <c r="BD17" s="108">
        <f t="shared" si="14"/>
        <v>49</v>
      </c>
      <c r="BE17" s="22">
        <f t="shared" si="3"/>
        <v>44643</v>
      </c>
      <c r="BF17" s="108">
        <f t="shared" si="15"/>
        <v>30288</v>
      </c>
      <c r="BQ17" s="2">
        <f t="shared" ref="BQ17:BQ18" si="36">BQ16+1</f>
        <v>11</v>
      </c>
      <c r="BR17" s="398">
        <f t="shared" si="2"/>
        <v>44682</v>
      </c>
      <c r="BS17" s="2">
        <f t="shared" si="5"/>
        <v>12</v>
      </c>
    </row>
    <row r="18" spans="1:388" ht="18" customHeight="1" thickBot="1" x14ac:dyDescent="0.35">
      <c r="A18" s="863"/>
      <c r="B18" s="406" t="s">
        <v>77</v>
      </c>
      <c r="C18" s="360">
        <f>IF(OR(C8="Гарантия стандарт",C8="Гарантия пакет",C8="Гарантия плюс"),"",IF(AND($C$14&lt;&gt;0,C13&lt;&gt;"нет"),IF(C13="Нет","",C17/C7),""))</f>
        <v>0.24678094</v>
      </c>
      <c r="D18" s="222" t="str">
        <f>IF(OR(D8="Гарантия стандарт",D8="Гарантия пакет",D8="Гарантия плюс"),"",IF(AND($D$14&lt;&gt;0,$D$13&lt;&gt;"нет"),IF(D13="Нет","",D17/C7),""))</f>
        <v/>
      </c>
      <c r="E18" s="364">
        <f t="shared" si="34"/>
        <v>0.24678094</v>
      </c>
      <c r="F18" s="325"/>
      <c r="G18" s="426">
        <f t="shared" si="28"/>
        <v>10</v>
      </c>
      <c r="H18" s="427">
        <f t="shared" si="6"/>
        <v>44674</v>
      </c>
      <c r="I18" s="423">
        <f t="shared" si="7"/>
        <v>30288</v>
      </c>
      <c r="J18" s="423">
        <f t="shared" si="8"/>
        <v>15729.64</v>
      </c>
      <c r="K18" s="423">
        <f t="shared" si="16"/>
        <v>14558.36</v>
      </c>
      <c r="L18" s="423">
        <f t="shared" si="17"/>
        <v>0</v>
      </c>
      <c r="M18" s="423">
        <f t="shared" si="29"/>
        <v>0</v>
      </c>
      <c r="N18" s="423">
        <f t="shared" si="18"/>
        <v>15729.64</v>
      </c>
      <c r="O18" s="423">
        <f t="shared" si="19"/>
        <v>0</v>
      </c>
      <c r="P18" s="423">
        <f t="shared" si="20"/>
        <v>0</v>
      </c>
      <c r="Q18" s="423">
        <f t="shared" si="21"/>
        <v>1081322.4099999999</v>
      </c>
      <c r="R18" s="36">
        <f t="shared" si="30"/>
        <v>51</v>
      </c>
      <c r="S18" s="36">
        <f t="shared" si="9"/>
        <v>51</v>
      </c>
      <c r="T18" s="15">
        <v>0.17899999999999999</v>
      </c>
      <c r="U18" s="15">
        <f t="shared" ref="U18:U21" si="37">T18</f>
        <v>0.17899999999999999</v>
      </c>
      <c r="V18" s="15">
        <f t="shared" ref="V18:V21" si="38">U18</f>
        <v>0.17899999999999999</v>
      </c>
      <c r="W18" s="15">
        <f t="shared" ref="W18:W21" si="39">V18</f>
        <v>0.17899999999999999</v>
      </c>
      <c r="X18" s="15">
        <f t="shared" ref="X18:X21" si="40">W18</f>
        <v>0.17899999999999999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L18" s="130">
        <f t="shared" si="22"/>
        <v>1</v>
      </c>
      <c r="AM18" s="438">
        <f t="shared" si="31"/>
        <v>10</v>
      </c>
      <c r="AN18" s="439">
        <f t="shared" si="10"/>
        <v>44674</v>
      </c>
      <c r="AO18" s="435">
        <f t="shared" si="11"/>
        <v>30731</v>
      </c>
      <c r="AP18" s="435">
        <f t="shared" si="12"/>
        <v>17767.89</v>
      </c>
      <c r="AQ18" s="435">
        <f t="shared" si="23"/>
        <v>12963.11</v>
      </c>
      <c r="AR18" s="435">
        <f t="shared" si="13"/>
        <v>0</v>
      </c>
      <c r="AS18" s="435">
        <f t="shared" si="35"/>
        <v>0</v>
      </c>
      <c r="AT18" s="435">
        <f t="shared" si="24"/>
        <v>17767.89</v>
      </c>
      <c r="AU18" s="435">
        <f t="shared" si="25"/>
        <v>0</v>
      </c>
      <c r="AV18" s="435">
        <f t="shared" si="26"/>
        <v>0</v>
      </c>
      <c r="AW18" s="435"/>
      <c r="AX18" s="435"/>
      <c r="AY18" s="435"/>
      <c r="AZ18" s="435"/>
      <c r="BA18" s="435"/>
      <c r="BB18" s="435">
        <f t="shared" si="27"/>
        <v>1038306.0599999999</v>
      </c>
      <c r="BC18" s="108">
        <f t="shared" si="33"/>
        <v>51</v>
      </c>
      <c r="BD18" s="108">
        <f t="shared" si="14"/>
        <v>48</v>
      </c>
      <c r="BE18" s="22">
        <f t="shared" si="3"/>
        <v>44674</v>
      </c>
      <c r="BF18" s="108">
        <f t="shared" si="15"/>
        <v>30288</v>
      </c>
      <c r="BQ18" s="2">
        <f t="shared" si="36"/>
        <v>12</v>
      </c>
      <c r="BR18" s="398">
        <f t="shared" si="2"/>
        <v>44713</v>
      </c>
      <c r="BS18" s="2">
        <f t="shared" si="5"/>
        <v>13</v>
      </c>
    </row>
    <row r="19" spans="1:388" ht="19.2" customHeight="1" x14ac:dyDescent="0.3">
      <c r="A19" s="867" t="s">
        <v>218</v>
      </c>
      <c r="B19" s="347" t="s">
        <v>102</v>
      </c>
      <c r="C19" s="359" t="s">
        <v>20</v>
      </c>
      <c r="D19" s="397" t="s">
        <v>20</v>
      </c>
      <c r="E19" s="401" t="s">
        <v>270</v>
      </c>
      <c r="F19" s="345"/>
      <c r="G19" s="426">
        <f>G18+1</f>
        <v>11</v>
      </c>
      <c r="H19" s="427">
        <f t="shared" ref="H19:H20" si="41">IF((OR(DAY($AA$54)=29,DAY($AA$54)=30,DAY($AA$54)=31)),(EDATE($C$9-3,G19)),(IF((OR(DAY($AA$54)=1,DAY($AA$54)=2,DAY($AA$54)=3)),(EDATE($C$9,G19)+3),EDATE($C$9,G19))))</f>
        <v>44704</v>
      </c>
      <c r="I19" s="423">
        <f t="shared" si="7"/>
        <v>30288</v>
      </c>
      <c r="J19" s="423">
        <f t="shared" si="8"/>
        <v>15020.01</v>
      </c>
      <c r="K19" s="423">
        <f t="shared" si="16"/>
        <v>15267.99</v>
      </c>
      <c r="L19" s="423">
        <f t="shared" si="17"/>
        <v>0</v>
      </c>
      <c r="M19" s="423">
        <f>O18-L18</f>
        <v>0</v>
      </c>
      <c r="N19" s="423">
        <f t="shared" si="18"/>
        <v>15020.01</v>
      </c>
      <c r="O19" s="423">
        <f t="shared" si="19"/>
        <v>0</v>
      </c>
      <c r="P19" s="423">
        <f t="shared" si="20"/>
        <v>0</v>
      </c>
      <c r="Q19" s="423">
        <f t="shared" si="21"/>
        <v>1066054.42</v>
      </c>
      <c r="R19" s="36">
        <f>IF((R18-1)&lt;0,0,R18-1)</f>
        <v>50</v>
      </c>
      <c r="S19" s="36">
        <f t="shared" si="9"/>
        <v>50</v>
      </c>
      <c r="T19" s="15">
        <v>0.189</v>
      </c>
      <c r="U19" s="15">
        <f t="shared" si="37"/>
        <v>0.189</v>
      </c>
      <c r="V19" s="15">
        <f t="shared" si="38"/>
        <v>0.189</v>
      </c>
      <c r="W19" s="15">
        <f t="shared" si="39"/>
        <v>0.189</v>
      </c>
      <c r="X19" s="15">
        <f t="shared" si="40"/>
        <v>0.189</v>
      </c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L19" s="130">
        <f t="shared" si="22"/>
        <v>1</v>
      </c>
      <c r="AM19" s="438">
        <f>AM18+1</f>
        <v>11</v>
      </c>
      <c r="AN19" s="439">
        <f t="shared" ref="AN19:AN20" si="42">IF((OR(DAY($AA$54)=29,DAY($AA$54)=30,DAY($AA$54)=31)),(EDATE($C$9-3,AM19)),(IF((OR(DAY($AA$54)=1,DAY($AA$54)=2,DAY($AA$54)=3)),(EDATE($C$9,AM19)+3),EDATE($C$9,AM19))))</f>
        <v>44704</v>
      </c>
      <c r="AO19" s="435">
        <f t="shared" si="11"/>
        <v>30731</v>
      </c>
      <c r="AP19" s="435">
        <f t="shared" si="12"/>
        <v>16982.7</v>
      </c>
      <c r="AQ19" s="435">
        <f t="shared" ref="AQ19:AQ50" si="43">IF(BD25=0,0,IF(BD25=1,BB18,IF(BB18+AR19+AP19&gt;AO18,AO19-AP19-AR19,BB18)))</f>
        <v>13748.3</v>
      </c>
      <c r="AR19" s="435">
        <f t="shared" si="13"/>
        <v>0</v>
      </c>
      <c r="AS19" s="435">
        <f>AU18-AR18</f>
        <v>0</v>
      </c>
      <c r="AT19" s="435">
        <f t="shared" si="24"/>
        <v>16982.7</v>
      </c>
      <c r="AU19" s="435">
        <f t="shared" ref="AU19:AU50" si="44">IF(BD25=0,0,0)</f>
        <v>0</v>
      </c>
      <c r="AV19" s="435">
        <f t="shared" ref="AV19:AV50" si="45">IF(BD25=0,0,0)</f>
        <v>0</v>
      </c>
      <c r="AW19" s="435"/>
      <c r="AX19" s="435"/>
      <c r="AY19" s="435"/>
      <c r="AZ19" s="435"/>
      <c r="BA19" s="435"/>
      <c r="BB19" s="435">
        <f t="shared" ref="BB19:BB50" si="46">IF(OR(BD25=1,BB18=0),0,BB18-AQ19)</f>
        <v>1024557.7599999999</v>
      </c>
      <c r="BC19" s="108"/>
      <c r="BD19" s="108"/>
      <c r="BE19" s="22"/>
      <c r="BF19" s="108"/>
    </row>
    <row r="20" spans="1:388" ht="19.2" customHeight="1" x14ac:dyDescent="0.25">
      <c r="A20" s="868"/>
      <c r="B20" s="347" t="s">
        <v>105</v>
      </c>
      <c r="C20" s="404">
        <f>IF(OR(C8="Гарантия стандарт",C8="Гарантия пакет",C8="Гарантия плюс"),$T$47,$T$46)</f>
        <v>5900</v>
      </c>
      <c r="D20" s="223">
        <f>IF(OR(D8="Гарантия стандарт",D8="Гарантия пакет",D8="Гарантия плюс"),$U$47,$U$46)</f>
        <v>5900</v>
      </c>
      <c r="E20" s="405"/>
      <c r="F20" s="345"/>
      <c r="G20" s="426">
        <f>G19+1</f>
        <v>12</v>
      </c>
      <c r="H20" s="427">
        <f t="shared" si="41"/>
        <v>44735</v>
      </c>
      <c r="I20" s="423">
        <f t="shared" si="7"/>
        <v>30288</v>
      </c>
      <c r="J20" s="423">
        <f t="shared" si="8"/>
        <v>15301.53</v>
      </c>
      <c r="K20" s="423">
        <f t="shared" si="16"/>
        <v>14986.47</v>
      </c>
      <c r="L20" s="423">
        <f t="shared" si="17"/>
        <v>0</v>
      </c>
      <c r="M20" s="423">
        <f>O19-L19</f>
        <v>0</v>
      </c>
      <c r="N20" s="423">
        <f t="shared" si="18"/>
        <v>15301.53</v>
      </c>
      <c r="O20" s="423">
        <f t="shared" si="19"/>
        <v>0</v>
      </c>
      <c r="P20" s="423">
        <f t="shared" si="20"/>
        <v>0</v>
      </c>
      <c r="Q20" s="423">
        <f t="shared" si="21"/>
        <v>1051067.95</v>
      </c>
      <c r="R20" s="36">
        <f>IF((R19-1)&lt;0,0,R19-1)</f>
        <v>49</v>
      </c>
      <c r="S20" s="36">
        <f t="shared" si="9"/>
        <v>49</v>
      </c>
      <c r="T20" s="15">
        <v>0.19900000000000001</v>
      </c>
      <c r="U20" s="15">
        <f t="shared" si="37"/>
        <v>0.19900000000000001</v>
      </c>
      <c r="V20" s="15">
        <f t="shared" si="38"/>
        <v>0.19900000000000001</v>
      </c>
      <c r="W20" s="15">
        <f t="shared" si="39"/>
        <v>0.19900000000000001</v>
      </c>
      <c r="X20" s="15">
        <f t="shared" si="40"/>
        <v>0.19900000000000001</v>
      </c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3"/>
      <c r="AK20" s="113"/>
      <c r="AL20" s="130">
        <f t="shared" si="22"/>
        <v>1</v>
      </c>
      <c r="AM20" s="440">
        <f>AM19+1</f>
        <v>12</v>
      </c>
      <c r="AN20" s="441">
        <f t="shared" si="42"/>
        <v>44735</v>
      </c>
      <c r="AO20" s="435">
        <f t="shared" si="11"/>
        <v>30731</v>
      </c>
      <c r="AP20" s="435">
        <f t="shared" si="12"/>
        <v>17316.43</v>
      </c>
      <c r="AQ20" s="435">
        <f t="shared" si="43"/>
        <v>13414.57</v>
      </c>
      <c r="AR20" s="435">
        <f t="shared" si="13"/>
        <v>0</v>
      </c>
      <c r="AS20" s="435">
        <f>AU19-AR19</f>
        <v>0</v>
      </c>
      <c r="AT20" s="435">
        <f t="shared" si="24"/>
        <v>17316.43</v>
      </c>
      <c r="AU20" s="435">
        <f t="shared" si="44"/>
        <v>0</v>
      </c>
      <c r="AV20" s="435">
        <f t="shared" si="45"/>
        <v>0</v>
      </c>
      <c r="AW20" s="435"/>
      <c r="AX20" s="435"/>
      <c r="AY20" s="435"/>
      <c r="AZ20" s="435"/>
      <c r="BA20" s="435"/>
      <c r="BB20" s="435">
        <f t="shared" si="46"/>
        <v>1011143.19</v>
      </c>
      <c r="BC20" s="108"/>
      <c r="BD20" s="108"/>
      <c r="BE20" s="22"/>
      <c r="BF20" s="108"/>
    </row>
    <row r="21" spans="1:388" ht="45" customHeight="1" x14ac:dyDescent="0.3">
      <c r="A21" s="849" t="str">
        <f>IF(AND($C$8=$D$8,$C$13=$D$13),"3. Рассчитайте выгоду от перехода на иной тарифный план","ПРОВЕДИ СРАВНЕНИЕ ДВУХ ВАРИАНТОВ КРЕДИТА")</f>
        <v>ПРОВЕДИ СРАВНЕНИЕ ДВУХ ВАРИАНТОВ КРЕДИТА</v>
      </c>
      <c r="B21" s="849"/>
      <c r="C21" s="849"/>
      <c r="D21" s="849"/>
      <c r="E21" s="849"/>
      <c r="F21" s="352"/>
      <c r="G21" s="426">
        <f>G20+1</f>
        <v>13</v>
      </c>
      <c r="H21" s="427">
        <f t="shared" ref="H21:H52" si="47">IF((OR(DAY($AA$54)=29,DAY($AA$54)=30,DAY($AA$54)=31)),(EDATE($C$9-3,G21)),(IF((OR(DAY($AA$54)=1,DAY($AA$54)=2,DAY($AA$54)=3)),(EDATE($C$9,G21)+3),EDATE($C$9,G21))))</f>
        <v>44765</v>
      </c>
      <c r="I21" s="423">
        <f t="shared" si="7"/>
        <v>30288</v>
      </c>
      <c r="J21" s="423">
        <f t="shared" si="8"/>
        <v>14599.77</v>
      </c>
      <c r="K21" s="423">
        <f>IF(S21=0,0,IF(S21=1,Q20,IF(Q20+L21+J21&gt;I20,I21-J21-L21,Q20)))</f>
        <v>15688.23</v>
      </c>
      <c r="L21" s="423">
        <f t="shared" si="17"/>
        <v>0</v>
      </c>
      <c r="M21" s="423">
        <f>O20-L20</f>
        <v>0</v>
      </c>
      <c r="N21" s="423">
        <f t="shared" si="18"/>
        <v>14599.77</v>
      </c>
      <c r="O21" s="423">
        <f t="shared" si="19"/>
        <v>0</v>
      </c>
      <c r="P21" s="423">
        <f t="shared" si="20"/>
        <v>0</v>
      </c>
      <c r="Q21" s="423">
        <f>IF(OR(S21=1,Q20=0),0,Q20-K21)</f>
        <v>1035379.72</v>
      </c>
      <c r="R21" s="36">
        <f>IF((R20-1)&lt;0,0,R20-1)</f>
        <v>48</v>
      </c>
      <c r="S21" s="36">
        <f t="shared" si="9"/>
        <v>48</v>
      </c>
      <c r="T21" s="15">
        <v>0.219</v>
      </c>
      <c r="U21" s="15">
        <f t="shared" si="37"/>
        <v>0.219</v>
      </c>
      <c r="V21" s="15">
        <f t="shared" si="38"/>
        <v>0.219</v>
      </c>
      <c r="W21" s="15">
        <f t="shared" si="39"/>
        <v>0.219</v>
      </c>
      <c r="X21" s="15">
        <f t="shared" si="40"/>
        <v>0.219</v>
      </c>
      <c r="Y21" s="84">
        <v>0.129</v>
      </c>
      <c r="Z21" s="84">
        <v>0.129</v>
      </c>
      <c r="AA21" s="84">
        <v>0.129</v>
      </c>
      <c r="AB21" s="84">
        <v>0.129</v>
      </c>
      <c r="AC21" s="84">
        <v>0.129</v>
      </c>
      <c r="AD21" s="84">
        <v>0.129</v>
      </c>
      <c r="AE21" s="84">
        <v>0.129</v>
      </c>
      <c r="AF21" s="84">
        <v>0.129</v>
      </c>
      <c r="AG21" s="84">
        <v>0.129</v>
      </c>
      <c r="AH21" s="84">
        <v>0.129</v>
      </c>
      <c r="AI21" s="84">
        <v>0.129</v>
      </c>
      <c r="AJ21" s="3"/>
      <c r="AK21" s="3"/>
      <c r="AL21" s="130">
        <f t="shared" si="22"/>
        <v>1</v>
      </c>
      <c r="AM21" s="438">
        <f>AM20+1</f>
        <v>13</v>
      </c>
      <c r="AN21" s="439">
        <f t="shared" ref="AN21:AN52" si="48">IF((OR(DAY($AA$54)=29,DAY($AA$54)=30,DAY($AA$54)=31)),(EDATE($C$9-3,AM21)),(IF((OR(DAY($AA$54)=1,DAY($AA$54)=2,DAY($AA$54)=3)),(EDATE($C$9,AM21)+3),EDATE($C$9,AM21))))</f>
        <v>44765</v>
      </c>
      <c r="AO21" s="435">
        <f t="shared" si="11"/>
        <v>30731</v>
      </c>
      <c r="AP21" s="435">
        <f t="shared" si="12"/>
        <v>16538.419999999998</v>
      </c>
      <c r="AQ21" s="435">
        <f>IF(BD27=0,0,IF(BD27=1,BB20,IF(BB20+AR21+AP21&gt;AO20,AO21-AP21-AR21,BB20)))</f>
        <v>14192.580000000002</v>
      </c>
      <c r="AR21" s="435">
        <f t="shared" si="13"/>
        <v>0</v>
      </c>
      <c r="AS21" s="435">
        <f>AU20-AR20</f>
        <v>0</v>
      </c>
      <c r="AT21" s="435">
        <f t="shared" si="24"/>
        <v>16538.419999999998</v>
      </c>
      <c r="AU21" s="435">
        <f t="shared" si="44"/>
        <v>0</v>
      </c>
      <c r="AV21" s="435">
        <f t="shared" si="45"/>
        <v>0</v>
      </c>
      <c r="AW21" s="435"/>
      <c r="AX21" s="435"/>
      <c r="AY21" s="435"/>
      <c r="AZ21" s="435"/>
      <c r="BA21" s="435"/>
      <c r="BB21" s="435">
        <f>IF(OR(BD27=1,BB20=0),0,BB20-AQ21)</f>
        <v>996950.61</v>
      </c>
      <c r="BC21" s="108"/>
      <c r="BD21" s="108"/>
      <c r="BE21" s="22"/>
      <c r="BF21" s="108"/>
    </row>
    <row r="22" spans="1:388" ht="19.95" customHeight="1" x14ac:dyDescent="0.3">
      <c r="A22" s="349"/>
      <c r="B22" s="349"/>
      <c r="C22" s="407" t="s">
        <v>81</v>
      </c>
      <c r="D22" s="407" t="str">
        <f>IF(AND($C$8=$D$8,$C$13=$D$13),"В течение срока кредита","При обращении")</f>
        <v>При обращении</v>
      </c>
      <c r="E22" s="348"/>
      <c r="F22" s="348"/>
      <c r="G22" s="426">
        <f t="shared" si="28"/>
        <v>14</v>
      </c>
      <c r="H22" s="427">
        <f t="shared" si="47"/>
        <v>44796</v>
      </c>
      <c r="I22" s="423">
        <f t="shared" si="7"/>
        <v>30288</v>
      </c>
      <c r="J22" s="423">
        <f t="shared" si="8"/>
        <v>14861.24</v>
      </c>
      <c r="K22" s="423">
        <f t="shared" si="16"/>
        <v>15426.76</v>
      </c>
      <c r="L22" s="423">
        <f t="shared" si="17"/>
        <v>0</v>
      </c>
      <c r="M22" s="423">
        <f t="shared" si="29"/>
        <v>0</v>
      </c>
      <c r="N22" s="423">
        <f t="shared" si="18"/>
        <v>14861.24</v>
      </c>
      <c r="O22" s="423">
        <f t="shared" si="19"/>
        <v>0</v>
      </c>
      <c r="P22" s="423">
        <f t="shared" si="20"/>
        <v>0</v>
      </c>
      <c r="Q22" s="423">
        <f t="shared" si="21"/>
        <v>1019952.96</v>
      </c>
      <c r="R22" s="36">
        <f t="shared" si="30"/>
        <v>47</v>
      </c>
      <c r="S22" s="36">
        <f t="shared" si="9"/>
        <v>47</v>
      </c>
      <c r="T22" s="130">
        <v>100000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L22" s="130">
        <f t="shared" si="22"/>
        <v>1</v>
      </c>
      <c r="AM22" s="438">
        <f t="shared" si="31"/>
        <v>14</v>
      </c>
      <c r="AN22" s="439">
        <f t="shared" si="48"/>
        <v>44796</v>
      </c>
      <c r="AO22" s="435">
        <f t="shared" si="11"/>
        <v>30731</v>
      </c>
      <c r="AP22" s="435">
        <f t="shared" si="12"/>
        <v>16849.830000000002</v>
      </c>
      <c r="AQ22" s="435">
        <f t="shared" si="43"/>
        <v>13881.169999999998</v>
      </c>
      <c r="AR22" s="435">
        <f t="shared" si="13"/>
        <v>0</v>
      </c>
      <c r="AS22" s="435">
        <f t="shared" ref="AS22:AS85" si="49">AU21-AR21</f>
        <v>0</v>
      </c>
      <c r="AT22" s="435">
        <f t="shared" si="24"/>
        <v>16849.830000000002</v>
      </c>
      <c r="AU22" s="435">
        <f t="shared" si="44"/>
        <v>0</v>
      </c>
      <c r="AV22" s="435">
        <f t="shared" si="45"/>
        <v>0</v>
      </c>
      <c r="AW22" s="435"/>
      <c r="AX22" s="435"/>
      <c r="AY22" s="435"/>
      <c r="AZ22" s="435"/>
      <c r="BA22" s="435"/>
      <c r="BB22" s="435">
        <f t="shared" si="46"/>
        <v>983069.44</v>
      </c>
      <c r="BC22" s="108"/>
      <c r="BD22" s="108"/>
      <c r="BE22" s="22"/>
      <c r="BF22" s="108"/>
    </row>
    <row r="23" spans="1:388" ht="24" customHeight="1" x14ac:dyDescent="0.3">
      <c r="A23" s="852" t="str">
        <f>IF(AND(OR($C$8&lt;&gt;"Нет",$D$8&lt;&gt;"Нет"),OR($C$19&lt;&gt;"Нет",D19&lt;&gt;"Нет")),"Сумма кредита + ФЗ +
пакет ВСЕ ПОД КОНТРОЛЕМ, руб.",IF(AND(OR($C$8&lt;&gt;"Нет",$D$8&lt;&gt;"Нет"),$C$19&lt;&gt;"Да",D19&lt;&gt;"Да"),"Сумма кредита + ФЗ, руб.",IF(AND(C8="Нет",$D$8="Нет",OR($C$19&lt;&gt;"Нет",D19&lt;&gt;"Нет")),"Сумма кредита + пакет услуг Всё под контролем, руб.","Сумма кредита, руб.")))</f>
        <v>Сумма кредита + ФЗ +
пакет ВСЕ ПОД КОНТРОЛЕМ, руб.</v>
      </c>
      <c r="B23" s="852"/>
      <c r="C23" s="408">
        <f>$C$7+(IF($C$8="Нет",0,IF($C$25&lt;&gt;"",$C$25,0))+IF(C13="Нет",0,IF($C$16&lt;&gt;"",$C$16,0))+IF(C19="Нет",0,IF(C19="Да",C20,0)))</f>
        <v>1220900</v>
      </c>
      <c r="D23" s="408">
        <f>$C$7+(IF($D$8="Нет",0,IF($D$25&lt;&gt;"",$D$25,0))+IF(D13="Нет",0,IF($D$16&lt;&gt;"",$D$16,0))+IF(D19="Нет",0,IF(D19="Да",D20,0)))</f>
        <v>1161900</v>
      </c>
      <c r="E23" s="350">
        <f t="shared" ref="E23:E40" si="50">C23-D23</f>
        <v>59000</v>
      </c>
      <c r="F23" s="352"/>
      <c r="G23" s="426">
        <f t="shared" si="28"/>
        <v>15</v>
      </c>
      <c r="H23" s="427">
        <f t="shared" si="47"/>
        <v>44827</v>
      </c>
      <c r="I23" s="423">
        <f t="shared" si="7"/>
        <v>30288</v>
      </c>
      <c r="J23" s="423">
        <f t="shared" si="8"/>
        <v>14639.82</v>
      </c>
      <c r="K23" s="423">
        <f t="shared" si="16"/>
        <v>15648.18</v>
      </c>
      <c r="L23" s="423">
        <f t="shared" si="17"/>
        <v>0</v>
      </c>
      <c r="M23" s="423">
        <f t="shared" si="29"/>
        <v>0</v>
      </c>
      <c r="N23" s="423">
        <f t="shared" si="18"/>
        <v>14639.82</v>
      </c>
      <c r="O23" s="423">
        <f t="shared" si="19"/>
        <v>0</v>
      </c>
      <c r="P23" s="423">
        <f t="shared" si="20"/>
        <v>0</v>
      </c>
      <c r="Q23" s="423">
        <f t="shared" si="21"/>
        <v>1004304.7799999999</v>
      </c>
      <c r="R23" s="36">
        <f t="shared" si="30"/>
        <v>46</v>
      </c>
      <c r="S23" s="36">
        <f t="shared" si="9"/>
        <v>46</v>
      </c>
      <c r="T23" s="54">
        <f>ROUND(Q8*0.5%,-2)</f>
        <v>6100</v>
      </c>
      <c r="U23" s="54">
        <f>ROUND(Q8*0.5%,0)</f>
        <v>6105</v>
      </c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L23" s="130">
        <f t="shared" si="22"/>
        <v>1</v>
      </c>
      <c r="AM23" s="438">
        <f t="shared" si="31"/>
        <v>15</v>
      </c>
      <c r="AN23" s="439">
        <f t="shared" si="48"/>
        <v>44827</v>
      </c>
      <c r="AO23" s="435">
        <f t="shared" si="11"/>
        <v>30731</v>
      </c>
      <c r="AP23" s="435">
        <f t="shared" si="12"/>
        <v>16615.22</v>
      </c>
      <c r="AQ23" s="435">
        <f t="shared" si="43"/>
        <v>14115.779999999999</v>
      </c>
      <c r="AR23" s="435">
        <f t="shared" si="13"/>
        <v>0</v>
      </c>
      <c r="AS23" s="435">
        <f t="shared" si="49"/>
        <v>0</v>
      </c>
      <c r="AT23" s="435">
        <f t="shared" si="24"/>
        <v>16615.22</v>
      </c>
      <c r="AU23" s="435">
        <f t="shared" si="44"/>
        <v>0</v>
      </c>
      <c r="AV23" s="435">
        <f t="shared" si="45"/>
        <v>0</v>
      </c>
      <c r="AW23" s="435"/>
      <c r="AX23" s="435"/>
      <c r="AY23" s="435"/>
      <c r="AZ23" s="435"/>
      <c r="BA23" s="435"/>
      <c r="BB23" s="435">
        <f t="shared" si="46"/>
        <v>968953.65999999992</v>
      </c>
      <c r="BC23" s="108"/>
      <c r="BD23" s="108"/>
      <c r="BE23" s="22"/>
      <c r="BF23" s="108"/>
    </row>
    <row r="24" spans="1:388" ht="27" customHeight="1" x14ac:dyDescent="0.3">
      <c r="A24" s="852" t="str">
        <f>IF(AND(OR($C$8&lt;&gt;"Нет",$D$8&lt;&gt;"Нет"),OR($C$19&lt;&gt;"Нет",D19&lt;&gt;"Нет")),"Платёж с учетом ФЗ + 
ВСЕ ПОД КОНТРОЛЕМ, руб.",IF(AND(OR($C$8&lt;&gt;"Нет",$D$8&lt;&gt;"Нет"),$C$19&lt;&gt;"Да",D19&lt;&gt;"Да"),"Платёж с учетом ФЗ, руб.",IF(AND(C8="Нет",$D$8="Нет",OR($C$19&lt;&gt;"Нет",D19&lt;&gt;"Нет")),"Платёж с учетом ВСЕ ПОД КОНТРОЛЕМ, руб.","Сумма кредита, руб.")))</f>
        <v>Платёж с учетом ФЗ + 
ВСЕ ПОД КОНТРОЛЕМ, руб.</v>
      </c>
      <c r="B24" s="852"/>
      <c r="C24" s="408">
        <f>ROUNDUP($AA$55/AD47,0)*AD47</f>
        <v>30288</v>
      </c>
      <c r="D24" s="408">
        <f>ROUNDUP(AC$55/$AD$47,0)*$AD$47</f>
        <v>30731</v>
      </c>
      <c r="E24" s="350">
        <f t="shared" si="50"/>
        <v>-443</v>
      </c>
      <c r="F24" s="348"/>
      <c r="G24" s="426">
        <f t="shared" si="28"/>
        <v>16</v>
      </c>
      <c r="H24" s="427">
        <f t="shared" si="47"/>
        <v>44857</v>
      </c>
      <c r="I24" s="423">
        <f t="shared" si="7"/>
        <v>30288</v>
      </c>
      <c r="J24" s="423">
        <f t="shared" si="8"/>
        <v>13950.21</v>
      </c>
      <c r="K24" s="423">
        <f t="shared" si="16"/>
        <v>16337.79</v>
      </c>
      <c r="L24" s="423">
        <f t="shared" si="17"/>
        <v>0</v>
      </c>
      <c r="M24" s="423">
        <f t="shared" si="29"/>
        <v>0</v>
      </c>
      <c r="N24" s="423">
        <f t="shared" si="18"/>
        <v>13950.21</v>
      </c>
      <c r="O24" s="423">
        <f t="shared" si="19"/>
        <v>0</v>
      </c>
      <c r="P24" s="423">
        <f t="shared" si="20"/>
        <v>0</v>
      </c>
      <c r="Q24" s="423">
        <f t="shared" si="21"/>
        <v>987966.98999999987</v>
      </c>
      <c r="R24" s="36">
        <f t="shared" si="30"/>
        <v>45</v>
      </c>
      <c r="S24" s="36">
        <f t="shared" si="9"/>
        <v>45</v>
      </c>
      <c r="T24" s="15"/>
      <c r="U24" s="15"/>
      <c r="V24" s="15"/>
      <c r="W24" s="15"/>
      <c r="X24" s="15"/>
      <c r="Y24" s="15">
        <v>4.9000000000000002E-2</v>
      </c>
      <c r="Z24" s="15">
        <v>4.9000000000000002E-2</v>
      </c>
      <c r="AA24" s="15">
        <v>4.9000000000000002E-2</v>
      </c>
      <c r="AB24" s="15">
        <v>4.9000000000000002E-2</v>
      </c>
      <c r="AC24" s="80">
        <v>6.9000000000000006E-2</v>
      </c>
      <c r="AD24" s="80">
        <v>6.9000000000000006E-2</v>
      </c>
      <c r="AE24" s="80">
        <v>6.9000000000000006E-2</v>
      </c>
      <c r="AF24" s="80">
        <v>6.9000000000000006E-2</v>
      </c>
      <c r="AG24" s="80">
        <v>6.9000000000000006E-2</v>
      </c>
      <c r="AH24" s="80">
        <v>6.9000000000000006E-2</v>
      </c>
      <c r="AI24" s="80">
        <v>6.9000000000000006E-2</v>
      </c>
      <c r="AL24" s="130">
        <f t="shared" si="22"/>
        <v>1</v>
      </c>
      <c r="AM24" s="438">
        <f t="shared" si="31"/>
        <v>16</v>
      </c>
      <c r="AN24" s="439">
        <f t="shared" si="48"/>
        <v>44857</v>
      </c>
      <c r="AO24" s="435">
        <f t="shared" si="11"/>
        <v>30731</v>
      </c>
      <c r="AP24" s="435">
        <f t="shared" si="12"/>
        <v>15848.37</v>
      </c>
      <c r="AQ24" s="435">
        <f t="shared" si="43"/>
        <v>14882.63</v>
      </c>
      <c r="AR24" s="435">
        <f t="shared" si="13"/>
        <v>0</v>
      </c>
      <c r="AS24" s="435">
        <f t="shared" si="49"/>
        <v>0</v>
      </c>
      <c r="AT24" s="435">
        <f t="shared" si="24"/>
        <v>15848.37</v>
      </c>
      <c r="AU24" s="435">
        <f t="shared" si="44"/>
        <v>0</v>
      </c>
      <c r="AV24" s="435">
        <f t="shared" si="45"/>
        <v>0</v>
      </c>
      <c r="AW24" s="435"/>
      <c r="AX24" s="435"/>
      <c r="AY24" s="435"/>
      <c r="AZ24" s="435"/>
      <c r="BA24" s="435"/>
      <c r="BB24" s="435">
        <f t="shared" si="46"/>
        <v>954071.02999999991</v>
      </c>
      <c r="BC24" s="108"/>
      <c r="BD24" s="108"/>
      <c r="BE24" s="22"/>
      <c r="BF24" s="108"/>
    </row>
    <row r="25" spans="1:388" ht="18" customHeight="1" x14ac:dyDescent="0.25">
      <c r="A25" s="846" t="s">
        <v>275</v>
      </c>
      <c r="B25" s="846"/>
      <c r="C25" s="410">
        <f>IF(C8="Гарантия пакет",(AD65*AD79+AE65*AE79),INDEX($Z$79:$AH$79,MATCH(C$8,$Z$59:$AH$59,0))*C26)*MIN($C$10,60)</f>
        <v>156000</v>
      </c>
      <c r="D25" s="410">
        <f>IF(D8="Гарантия пакет",(AD65*AD79+AE65*AE79),INDEX($Z$79:$AH$79,MATCH(D$8,$Z$59:$AH$59,0))*D26)*MIN($C$10,60)</f>
        <v>156000</v>
      </c>
      <c r="E25" s="226">
        <f>C25-D25</f>
        <v>0</v>
      </c>
      <c r="F25" s="350"/>
      <c r="G25" s="426">
        <f t="shared" si="28"/>
        <v>17</v>
      </c>
      <c r="H25" s="427">
        <f t="shared" si="47"/>
        <v>44888</v>
      </c>
      <c r="I25" s="423">
        <f t="shared" si="7"/>
        <v>30288</v>
      </c>
      <c r="J25" s="423">
        <f t="shared" si="8"/>
        <v>14180.71</v>
      </c>
      <c r="K25" s="423">
        <f t="shared" si="16"/>
        <v>16107.29</v>
      </c>
      <c r="L25" s="423">
        <f t="shared" si="17"/>
        <v>0</v>
      </c>
      <c r="M25" s="423">
        <f t="shared" si="29"/>
        <v>0</v>
      </c>
      <c r="N25" s="423">
        <f t="shared" si="18"/>
        <v>14180.71</v>
      </c>
      <c r="O25" s="423">
        <f t="shared" si="19"/>
        <v>0</v>
      </c>
      <c r="P25" s="423">
        <f t="shared" si="20"/>
        <v>0</v>
      </c>
      <c r="Q25" s="423">
        <f t="shared" si="21"/>
        <v>971859.69999999984</v>
      </c>
      <c r="R25" s="36">
        <f t="shared" si="30"/>
        <v>44</v>
      </c>
      <c r="S25" s="36">
        <f t="shared" si="9"/>
        <v>44</v>
      </c>
      <c r="T25" s="15"/>
      <c r="U25" s="15"/>
      <c r="V25" s="15"/>
      <c r="W25" s="15"/>
      <c r="X25" s="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6"/>
      <c r="AK25" s="116"/>
      <c r="AL25" s="130">
        <f t="shared" si="22"/>
        <v>1</v>
      </c>
      <c r="AM25" s="442">
        <f t="shared" si="31"/>
        <v>17</v>
      </c>
      <c r="AN25" s="441">
        <f t="shared" si="48"/>
        <v>44888</v>
      </c>
      <c r="AO25" s="435">
        <f t="shared" si="11"/>
        <v>30731</v>
      </c>
      <c r="AP25" s="435">
        <f t="shared" si="12"/>
        <v>16125.11</v>
      </c>
      <c r="AQ25" s="435">
        <f t="shared" si="43"/>
        <v>14605.89</v>
      </c>
      <c r="AR25" s="435">
        <f t="shared" si="13"/>
        <v>0</v>
      </c>
      <c r="AS25" s="435">
        <f t="shared" si="49"/>
        <v>0</v>
      </c>
      <c r="AT25" s="435">
        <f t="shared" si="24"/>
        <v>16125.11</v>
      </c>
      <c r="AU25" s="435">
        <f t="shared" si="44"/>
        <v>0</v>
      </c>
      <c r="AV25" s="435">
        <f t="shared" si="45"/>
        <v>0</v>
      </c>
      <c r="AW25" s="435"/>
      <c r="AX25" s="435"/>
      <c r="AY25" s="435"/>
      <c r="AZ25" s="435"/>
      <c r="BA25" s="435"/>
      <c r="BB25" s="435">
        <f t="shared" si="46"/>
        <v>939465.1399999999</v>
      </c>
      <c r="BC25" s="108">
        <f>IF((BC18-1)&lt;0,0,BC18-1)</f>
        <v>50</v>
      </c>
      <c r="BD25" s="108">
        <f t="shared" ref="BD25:BD56" si="51">IF(ISERR(CEILING(FLOOR(NPER($C$12/12,-$AA$55,BB18),0.1),1))=TRUE,0,CEILING(FLOOR(NPER($C$12/12,-$AA$55,BB18),0.1),1))</f>
        <v>48</v>
      </c>
      <c r="BE25" s="22">
        <f>H19</f>
        <v>44704</v>
      </c>
      <c r="BF25" s="108">
        <f>I19</f>
        <v>30288</v>
      </c>
    </row>
    <row r="26" spans="1:388" ht="16.95" customHeight="1" x14ac:dyDescent="0.3">
      <c r="A26" s="846" t="s">
        <v>100</v>
      </c>
      <c r="B26" s="846"/>
      <c r="C26" s="409">
        <f>IF(C8=Z59,Z65,IF(C8=AA59,AA65,IF(C8=AC59,AC65,IF(C8=AD59,AD65,IF(C8=AB59,AB65,IF(C8=AE59,AE65,IF(C8=AF59,AF65,0)))))))</f>
        <v>2E-3</v>
      </c>
      <c r="D26" s="409">
        <f>IF(D8=Z59,Z65,IF(D8=AA59,AA65,IF(D8=AC59,AC65,IF(D8=AD59,AD65,IF(D8=AB59,AB65,IF(D8=AE59,AE65,IF(D8=AF59,AF65,0)))))))</f>
        <v>2E-3</v>
      </c>
      <c r="E26" s="351"/>
      <c r="F26" s="350"/>
      <c r="G26" s="426">
        <f t="shared" si="28"/>
        <v>18</v>
      </c>
      <c r="H26" s="427">
        <f t="shared" si="47"/>
        <v>44918</v>
      </c>
      <c r="I26" s="423">
        <f t="shared" si="7"/>
        <v>30288</v>
      </c>
      <c r="J26" s="423">
        <f t="shared" si="8"/>
        <v>13499.53</v>
      </c>
      <c r="K26" s="423">
        <f t="shared" si="16"/>
        <v>16788.47</v>
      </c>
      <c r="L26" s="423">
        <f t="shared" si="17"/>
        <v>0</v>
      </c>
      <c r="M26" s="423">
        <f t="shared" si="29"/>
        <v>0</v>
      </c>
      <c r="N26" s="423">
        <f t="shared" si="18"/>
        <v>13499.53</v>
      </c>
      <c r="O26" s="423">
        <f t="shared" si="19"/>
        <v>0</v>
      </c>
      <c r="P26" s="423">
        <f t="shared" si="20"/>
        <v>0</v>
      </c>
      <c r="Q26" s="423">
        <f t="shared" si="21"/>
        <v>955071.22999999986</v>
      </c>
      <c r="R26" s="36">
        <f t="shared" si="30"/>
        <v>43</v>
      </c>
      <c r="S26" s="36">
        <f t="shared" si="9"/>
        <v>43</v>
      </c>
      <c r="T26" s="84">
        <v>9.9000000000000005E-2</v>
      </c>
      <c r="U26" s="84">
        <v>6.9000000000000006E-2</v>
      </c>
      <c r="V26" s="84">
        <v>6.9000000000000006E-2</v>
      </c>
      <c r="W26" s="84">
        <v>6.9000000000000006E-2</v>
      </c>
      <c r="X26" s="84">
        <v>6.9000000000000006E-2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L26" s="130">
        <f t="shared" si="22"/>
        <v>1</v>
      </c>
      <c r="AM26" s="438">
        <f t="shared" si="31"/>
        <v>18</v>
      </c>
      <c r="AN26" s="439">
        <f t="shared" si="48"/>
        <v>44918</v>
      </c>
      <c r="AO26" s="435">
        <f t="shared" si="11"/>
        <v>30731</v>
      </c>
      <c r="AP26" s="435">
        <f t="shared" si="12"/>
        <v>15366.05</v>
      </c>
      <c r="AQ26" s="435">
        <f t="shared" si="43"/>
        <v>15364.95</v>
      </c>
      <c r="AR26" s="435">
        <f t="shared" si="13"/>
        <v>0</v>
      </c>
      <c r="AS26" s="435">
        <f t="shared" si="49"/>
        <v>0</v>
      </c>
      <c r="AT26" s="435">
        <f t="shared" si="24"/>
        <v>15366.05</v>
      </c>
      <c r="AU26" s="435">
        <f t="shared" si="44"/>
        <v>0</v>
      </c>
      <c r="AV26" s="435">
        <f t="shared" si="45"/>
        <v>0</v>
      </c>
      <c r="AW26" s="435"/>
      <c r="AX26" s="435"/>
      <c r="AY26" s="435"/>
      <c r="AZ26" s="435"/>
      <c r="BA26" s="435"/>
      <c r="BB26" s="435">
        <f t="shared" si="46"/>
        <v>924100.19</v>
      </c>
      <c r="BC26" s="108">
        <f>IF((BC25-1)&lt;0,0,BC25-1)</f>
        <v>49</v>
      </c>
      <c r="BD26" s="108">
        <f t="shared" si="51"/>
        <v>47</v>
      </c>
      <c r="BE26" s="22">
        <f>H20</f>
        <v>44735</v>
      </c>
      <c r="BF26" s="108">
        <f>I20</f>
        <v>30288</v>
      </c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97"/>
      <c r="DW26" s="97"/>
      <c r="DX26" s="97"/>
      <c r="DY26" s="97"/>
      <c r="DZ26" s="97"/>
      <c r="EA26" s="97"/>
      <c r="EB26" s="97"/>
      <c r="EC26" s="97"/>
      <c r="ED26" s="97"/>
      <c r="EE26" s="97"/>
      <c r="EF26" s="97"/>
      <c r="EG26" s="97"/>
      <c r="EH26" s="97"/>
      <c r="EI26" s="97"/>
      <c r="EJ26" s="97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97"/>
      <c r="FC26" s="97"/>
      <c r="FD26" s="97"/>
      <c r="FE26" s="97"/>
      <c r="FF26" s="97"/>
      <c r="FG26" s="97"/>
      <c r="FH26" s="97"/>
      <c r="FI26" s="97"/>
      <c r="FJ26" s="97"/>
      <c r="FK26" s="97"/>
      <c r="FL26" s="97"/>
      <c r="FM26" s="97"/>
      <c r="FN26" s="97"/>
      <c r="FO26" s="97"/>
      <c r="FP26" s="97"/>
      <c r="FQ26" s="97"/>
      <c r="FR26" s="97"/>
      <c r="FS26" s="97"/>
      <c r="FT26" s="97"/>
      <c r="FU26" s="97"/>
      <c r="FV26" s="97"/>
      <c r="FW26" s="97"/>
      <c r="FX26" s="97"/>
      <c r="FY26" s="97"/>
      <c r="FZ26" s="97"/>
      <c r="GA26" s="97"/>
      <c r="GB26" s="97"/>
      <c r="GC26" s="97"/>
      <c r="GD26" s="97"/>
      <c r="GE26" s="97"/>
      <c r="GF26" s="97"/>
      <c r="GG26" s="97"/>
      <c r="GH26" s="97"/>
      <c r="GI26" s="97"/>
      <c r="GJ26" s="97"/>
      <c r="GK26" s="97"/>
      <c r="GL26" s="97"/>
      <c r="GM26" s="97"/>
      <c r="GN26" s="97"/>
      <c r="GO26" s="97"/>
      <c r="GP26" s="97"/>
      <c r="GQ26" s="97"/>
      <c r="GR26" s="97"/>
      <c r="GS26" s="97"/>
      <c r="GT26" s="97"/>
      <c r="GU26" s="97"/>
      <c r="GV26" s="97"/>
      <c r="GW26" s="97"/>
      <c r="GX26" s="97"/>
      <c r="GY26" s="97"/>
      <c r="GZ26" s="97"/>
      <c r="HA26" s="97"/>
      <c r="HB26" s="97"/>
      <c r="HC26" s="97"/>
      <c r="HD26" s="97"/>
      <c r="HE26" s="97"/>
      <c r="HF26" s="97"/>
      <c r="HG26" s="97"/>
      <c r="HH26" s="97"/>
      <c r="HI26" s="97"/>
      <c r="HJ26" s="97"/>
      <c r="HK26" s="97"/>
      <c r="HL26" s="97"/>
      <c r="HM26" s="97"/>
      <c r="HN26" s="97"/>
      <c r="HO26" s="97"/>
      <c r="HP26" s="97"/>
      <c r="HQ26" s="97"/>
      <c r="HR26" s="97"/>
      <c r="HS26" s="97"/>
      <c r="HT26" s="97"/>
      <c r="HU26" s="97"/>
      <c r="HV26" s="97"/>
      <c r="HW26" s="97"/>
      <c r="HX26" s="97"/>
      <c r="HY26" s="97"/>
      <c r="HZ26" s="97"/>
      <c r="IA26" s="97"/>
      <c r="IB26" s="97"/>
      <c r="IC26" s="97"/>
      <c r="ID26" s="97"/>
      <c r="IE26" s="97"/>
      <c r="IF26" s="97"/>
      <c r="IG26" s="97"/>
      <c r="IH26" s="97"/>
      <c r="II26" s="97"/>
      <c r="IJ26" s="97"/>
      <c r="IK26" s="97"/>
      <c r="IL26" s="97"/>
      <c r="IM26" s="97"/>
      <c r="IN26" s="97"/>
      <c r="IO26" s="97"/>
      <c r="IP26" s="97"/>
      <c r="IQ26" s="97"/>
      <c r="IR26" s="97"/>
      <c r="IS26" s="97"/>
      <c r="IT26" s="97"/>
      <c r="IU26" s="97"/>
      <c r="IV26" s="97"/>
      <c r="IW26" s="97"/>
      <c r="IX26" s="97"/>
      <c r="IY26" s="97"/>
      <c r="IZ26" s="97"/>
      <c r="JA26" s="97"/>
      <c r="JB26" s="97"/>
      <c r="JC26" s="97"/>
      <c r="JD26" s="97"/>
      <c r="JE26" s="97"/>
      <c r="JF26" s="97"/>
      <c r="JG26" s="97"/>
      <c r="JH26" s="97"/>
      <c r="JI26" s="97"/>
      <c r="JJ26" s="97"/>
      <c r="JK26" s="97"/>
      <c r="JL26" s="97"/>
      <c r="JM26" s="97"/>
      <c r="JN26" s="97"/>
      <c r="JO26" s="97"/>
      <c r="JP26" s="97"/>
      <c r="JQ26" s="97"/>
      <c r="JR26" s="97"/>
      <c r="JS26" s="97"/>
      <c r="JT26" s="97"/>
      <c r="JU26" s="97"/>
      <c r="JV26" s="97"/>
      <c r="JW26" s="97"/>
      <c r="JX26" s="97"/>
      <c r="JY26" s="97"/>
      <c r="JZ26" s="97"/>
      <c r="KA26" s="97"/>
      <c r="KB26" s="97"/>
      <c r="KC26" s="97"/>
      <c r="KD26" s="97"/>
      <c r="KE26" s="97"/>
      <c r="KF26" s="97"/>
      <c r="KG26" s="97"/>
      <c r="KH26" s="97"/>
      <c r="KI26" s="97"/>
      <c r="KJ26" s="97"/>
      <c r="KK26" s="97"/>
      <c r="KL26" s="97"/>
      <c r="KM26" s="97"/>
      <c r="KN26" s="97"/>
      <c r="KO26" s="97"/>
      <c r="KP26" s="97"/>
      <c r="KQ26" s="97"/>
      <c r="KR26" s="97"/>
      <c r="KS26" s="97"/>
      <c r="KT26" s="97"/>
      <c r="KU26" s="97"/>
      <c r="KV26" s="97"/>
      <c r="KW26" s="97"/>
      <c r="KX26" s="97"/>
      <c r="KY26" s="97"/>
      <c r="KZ26" s="97"/>
      <c r="LA26" s="97"/>
      <c r="LB26" s="97"/>
      <c r="LC26" s="97"/>
      <c r="LD26" s="97"/>
      <c r="LE26" s="97"/>
      <c r="LF26" s="97"/>
      <c r="LG26" s="97"/>
      <c r="LH26" s="97"/>
      <c r="LI26" s="97"/>
      <c r="LJ26" s="97"/>
      <c r="LK26" s="97"/>
      <c r="LL26" s="97"/>
      <c r="LM26" s="97"/>
      <c r="LN26" s="97"/>
      <c r="LO26" s="97"/>
      <c r="LP26" s="97"/>
      <c r="LQ26" s="97"/>
      <c r="LR26" s="97"/>
      <c r="LS26" s="97"/>
      <c r="LT26" s="97"/>
      <c r="LU26" s="97"/>
      <c r="LV26" s="97"/>
      <c r="LW26" s="97"/>
      <c r="LX26" s="97"/>
      <c r="LY26" s="97"/>
      <c r="LZ26" s="97"/>
      <c r="MA26" s="97"/>
      <c r="MB26" s="97"/>
      <c r="MC26" s="97"/>
      <c r="MD26" s="97"/>
      <c r="ME26" s="97"/>
      <c r="MF26" s="97"/>
      <c r="MG26" s="97"/>
      <c r="MH26" s="97"/>
      <c r="MI26" s="97"/>
      <c r="MJ26" s="97"/>
      <c r="MK26" s="97"/>
      <c r="ML26" s="97"/>
      <c r="MM26" s="97"/>
      <c r="MN26" s="97"/>
      <c r="MO26" s="97"/>
      <c r="MP26" s="97"/>
      <c r="MQ26" s="97"/>
      <c r="MR26" s="97"/>
      <c r="MS26" s="97"/>
      <c r="MT26" s="97"/>
      <c r="MU26" s="97"/>
      <c r="MV26" s="97"/>
      <c r="MW26" s="97"/>
      <c r="MX26" s="97"/>
      <c r="MY26" s="97"/>
      <c r="MZ26" s="97"/>
      <c r="NA26" s="97"/>
      <c r="NB26" s="97"/>
      <c r="NC26" s="97"/>
      <c r="ND26" s="97"/>
      <c r="NE26" s="97"/>
      <c r="NF26" s="97"/>
      <c r="NG26" s="97"/>
      <c r="NH26" s="97"/>
      <c r="NI26" s="97"/>
      <c r="NJ26" s="97"/>
      <c r="NK26" s="97"/>
      <c r="NL26" s="97"/>
      <c r="NM26" s="97"/>
      <c r="NN26" s="97"/>
      <c r="NO26" s="97"/>
      <c r="NP26" s="97"/>
      <c r="NQ26" s="97"/>
      <c r="NR26" s="97"/>
      <c r="NS26" s="97"/>
      <c r="NT26" s="97"/>
      <c r="NU26" s="97"/>
      <c r="NV26" s="97"/>
      <c r="NW26" s="97"/>
      <c r="NX26" s="97"/>
    </row>
    <row r="27" spans="1:388" ht="15.75" customHeight="1" x14ac:dyDescent="0.3">
      <c r="A27" s="846" t="s">
        <v>325</v>
      </c>
      <c r="B27" s="846"/>
      <c r="C27" s="410">
        <f>IF(C8="Гарантия пакет",(AD65*AD79+AE65*AE79),INDEX($Z$79:$AH$79,MATCH(C$8,$Z$59:$AH$59,0)))</f>
        <v>1300000</v>
      </c>
      <c r="D27" s="410">
        <f>IF(D8="Гарантия пакет",(AD65*AD79+AE65*AE79),INDEX($Z$79:$AH$79,MATCH(D$8,$Z$59:$AH$59,0)))</f>
        <v>1300000</v>
      </c>
      <c r="E27" s="226">
        <f>C27-D27</f>
        <v>0</v>
      </c>
      <c r="F27" s="351"/>
      <c r="G27" s="426">
        <f t="shared" si="28"/>
        <v>19</v>
      </c>
      <c r="H27" s="427">
        <f t="shared" si="47"/>
        <v>44949</v>
      </c>
      <c r="I27" s="423">
        <f t="shared" si="7"/>
        <v>30288</v>
      </c>
      <c r="J27" s="423">
        <f t="shared" si="8"/>
        <v>13708.54</v>
      </c>
      <c r="K27" s="423">
        <f t="shared" si="16"/>
        <v>16579.46</v>
      </c>
      <c r="L27" s="423">
        <f t="shared" si="17"/>
        <v>0</v>
      </c>
      <c r="M27" s="423">
        <f t="shared" si="29"/>
        <v>0</v>
      </c>
      <c r="N27" s="423">
        <f t="shared" si="18"/>
        <v>13708.54</v>
      </c>
      <c r="O27" s="423">
        <f t="shared" si="19"/>
        <v>0</v>
      </c>
      <c r="P27" s="423">
        <f t="shared" si="20"/>
        <v>0</v>
      </c>
      <c r="Q27" s="423">
        <f t="shared" si="21"/>
        <v>938491.7699999999</v>
      </c>
      <c r="R27" s="36">
        <f t="shared" si="30"/>
        <v>42</v>
      </c>
      <c r="S27" s="36">
        <f t="shared" si="9"/>
        <v>42</v>
      </c>
      <c r="T27" s="112">
        <v>0</v>
      </c>
      <c r="U27" s="112">
        <v>5.8999999999999997E-2</v>
      </c>
      <c r="V27" s="112">
        <v>5.8999999999999997E-2</v>
      </c>
      <c r="W27" s="112">
        <v>5.8999999999999997E-2</v>
      </c>
      <c r="X27" s="112">
        <v>5.8999999999999997E-2</v>
      </c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L27" s="130">
        <f t="shared" si="22"/>
        <v>1</v>
      </c>
      <c r="AM27" s="438">
        <f t="shared" si="31"/>
        <v>19</v>
      </c>
      <c r="AN27" s="439">
        <f t="shared" si="48"/>
        <v>44949</v>
      </c>
      <c r="AO27" s="435">
        <f t="shared" si="11"/>
        <v>30731</v>
      </c>
      <c r="AP27" s="435">
        <f t="shared" si="12"/>
        <v>15618.56</v>
      </c>
      <c r="AQ27" s="435">
        <f t="shared" si="43"/>
        <v>15112.44</v>
      </c>
      <c r="AR27" s="435">
        <f t="shared" si="13"/>
        <v>0</v>
      </c>
      <c r="AS27" s="435">
        <f t="shared" si="49"/>
        <v>0</v>
      </c>
      <c r="AT27" s="435">
        <f t="shared" si="24"/>
        <v>15618.56</v>
      </c>
      <c r="AU27" s="435">
        <f t="shared" si="44"/>
        <v>0</v>
      </c>
      <c r="AV27" s="435">
        <f t="shared" si="45"/>
        <v>0</v>
      </c>
      <c r="AW27" s="435"/>
      <c r="AX27" s="435"/>
      <c r="AY27" s="435"/>
      <c r="AZ27" s="435"/>
      <c r="BA27" s="435"/>
      <c r="BB27" s="435">
        <f t="shared" si="46"/>
        <v>908987.75</v>
      </c>
      <c r="BC27" s="108">
        <f t="shared" si="33"/>
        <v>48</v>
      </c>
      <c r="BD27" s="108">
        <f t="shared" si="51"/>
        <v>46</v>
      </c>
      <c r="BE27" s="22">
        <f t="shared" ref="BE27:BE56" si="52">H21</f>
        <v>44765</v>
      </c>
      <c r="BF27" s="108">
        <f t="shared" ref="BF27:BF56" si="53">I21</f>
        <v>30288</v>
      </c>
    </row>
    <row r="28" spans="1:388" ht="18" customHeight="1" x14ac:dyDescent="0.3">
      <c r="A28" s="846" t="s">
        <v>277</v>
      </c>
      <c r="B28" s="846"/>
      <c r="C28" s="410">
        <f>C25/$C$10</f>
        <v>2600</v>
      </c>
      <c r="D28" s="410">
        <f>D25/$C$10</f>
        <v>2600</v>
      </c>
      <c r="E28" s="226">
        <f t="shared" si="50"/>
        <v>0</v>
      </c>
      <c r="F28" s="191"/>
      <c r="G28" s="426">
        <f t="shared" si="28"/>
        <v>20</v>
      </c>
      <c r="H28" s="427">
        <f t="shared" si="47"/>
        <v>44980</v>
      </c>
      <c r="I28" s="423">
        <f t="shared" si="7"/>
        <v>30288</v>
      </c>
      <c r="J28" s="423">
        <f t="shared" si="8"/>
        <v>13470.57</v>
      </c>
      <c r="K28" s="423">
        <f t="shared" si="16"/>
        <v>16817.43</v>
      </c>
      <c r="L28" s="423">
        <f t="shared" si="17"/>
        <v>0</v>
      </c>
      <c r="M28" s="423">
        <f t="shared" si="29"/>
        <v>0</v>
      </c>
      <c r="N28" s="423">
        <f t="shared" si="18"/>
        <v>13470.57</v>
      </c>
      <c r="O28" s="423">
        <f t="shared" si="19"/>
        <v>0</v>
      </c>
      <c r="P28" s="423">
        <f t="shared" si="20"/>
        <v>0</v>
      </c>
      <c r="Q28" s="423">
        <f t="shared" si="21"/>
        <v>921674.33999999985</v>
      </c>
      <c r="R28" s="36">
        <f t="shared" si="30"/>
        <v>41</v>
      </c>
      <c r="S28" s="36">
        <f t="shared" si="9"/>
        <v>41</v>
      </c>
      <c r="T28" s="101">
        <v>9.9000000000000005E-2</v>
      </c>
      <c r="U28" s="101">
        <v>6.9000000000000006E-2</v>
      </c>
      <c r="V28" s="101">
        <v>6.9000000000000006E-2</v>
      </c>
      <c r="W28" s="101">
        <v>6.9000000000000006E-2</v>
      </c>
      <c r="X28" s="101">
        <v>6.9000000000000006E-2</v>
      </c>
      <c r="Y28" s="3">
        <v>1</v>
      </c>
      <c r="Z28" s="3">
        <v>1</v>
      </c>
      <c r="AA28" s="3">
        <v>1</v>
      </c>
      <c r="AB28" s="3">
        <v>1</v>
      </c>
      <c r="AC28" s="81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L28" s="130">
        <f t="shared" si="22"/>
        <v>1</v>
      </c>
      <c r="AM28" s="438">
        <f t="shared" si="31"/>
        <v>20</v>
      </c>
      <c r="AN28" s="439">
        <f t="shared" si="48"/>
        <v>44980</v>
      </c>
      <c r="AO28" s="435">
        <f t="shared" si="11"/>
        <v>30731</v>
      </c>
      <c r="AP28" s="435">
        <f t="shared" si="12"/>
        <v>15363.14</v>
      </c>
      <c r="AQ28" s="435">
        <f t="shared" si="43"/>
        <v>15367.86</v>
      </c>
      <c r="AR28" s="435">
        <f t="shared" si="13"/>
        <v>0</v>
      </c>
      <c r="AS28" s="435">
        <f t="shared" si="49"/>
        <v>0</v>
      </c>
      <c r="AT28" s="435">
        <f t="shared" si="24"/>
        <v>15363.14</v>
      </c>
      <c r="AU28" s="435">
        <f t="shared" si="44"/>
        <v>0</v>
      </c>
      <c r="AV28" s="435">
        <f t="shared" si="45"/>
        <v>0</v>
      </c>
      <c r="AW28" s="435"/>
      <c r="AX28" s="435"/>
      <c r="AY28" s="435"/>
      <c r="AZ28" s="435"/>
      <c r="BA28" s="435"/>
      <c r="BB28" s="435">
        <f t="shared" si="46"/>
        <v>893619.89</v>
      </c>
      <c r="BC28" s="108">
        <f t="shared" si="33"/>
        <v>47</v>
      </c>
      <c r="BD28" s="108">
        <f t="shared" si="51"/>
        <v>45</v>
      </c>
      <c r="BE28" s="22">
        <f t="shared" si="52"/>
        <v>44796</v>
      </c>
      <c r="BF28" s="108">
        <f t="shared" si="53"/>
        <v>30288</v>
      </c>
    </row>
    <row r="29" spans="1:388" ht="15.75" customHeight="1" x14ac:dyDescent="0.3">
      <c r="A29" s="846" t="s">
        <v>278</v>
      </c>
      <c r="B29" s="846"/>
      <c r="C29" s="410">
        <f>ROUND($C$28/30.4,2)</f>
        <v>85.53</v>
      </c>
      <c r="D29" s="410">
        <f>ROUND($D$28/30.4,2)</f>
        <v>85.53</v>
      </c>
      <c r="E29" s="226">
        <f t="shared" si="50"/>
        <v>0</v>
      </c>
      <c r="F29" s="191"/>
      <c r="G29" s="426">
        <f t="shared" si="28"/>
        <v>21</v>
      </c>
      <c r="H29" s="427">
        <f t="shared" si="47"/>
        <v>45008</v>
      </c>
      <c r="I29" s="423">
        <f t="shared" si="7"/>
        <v>30288</v>
      </c>
      <c r="J29" s="423">
        <f t="shared" si="8"/>
        <v>11948.94</v>
      </c>
      <c r="K29" s="423">
        <f t="shared" si="16"/>
        <v>18339.059999999998</v>
      </c>
      <c r="L29" s="423">
        <f t="shared" si="17"/>
        <v>0</v>
      </c>
      <c r="M29" s="423">
        <f t="shared" si="29"/>
        <v>0</v>
      </c>
      <c r="N29" s="423">
        <f t="shared" si="18"/>
        <v>11948.94</v>
      </c>
      <c r="O29" s="423">
        <f t="shared" si="19"/>
        <v>0</v>
      </c>
      <c r="P29" s="423">
        <f t="shared" si="20"/>
        <v>0</v>
      </c>
      <c r="Q29" s="423">
        <f t="shared" si="21"/>
        <v>903335.2799999998</v>
      </c>
      <c r="R29" s="36">
        <f t="shared" si="30"/>
        <v>40</v>
      </c>
      <c r="S29" s="36">
        <f t="shared" si="9"/>
        <v>40</v>
      </c>
      <c r="T29" s="101">
        <f>IF($C$12=T11,T30,IF($C$12=T12,T30,IF($C$12=T13,T31,IF($C$12=T14,T31,IF($C$12=T15,T32,IF($C$12=T16,T33,IF($C$12=T17,T33,IF($C$12=T18,T33,IF($C$12=T19,T34,IF($C$12=T21,0,IF($C$12=T20,T34,T30)))))))))))</f>
        <v>5.8999999999999997E-2</v>
      </c>
      <c r="U29" s="101">
        <f>IF($C$12=U11,U30,IF($C$12=U12,U30,IF($C$12=U13,U31,IF($C$12=U14,U31,IF($C$12=U15,U32,IF($C$12=U16,U33,IF($C$12=U17,U33,IF($C$12=U18,U33,IF($C$12=U19,U34,IF($C$12=U21,0,IF($C$12=U20,U34,U30)))))))))))</f>
        <v>5.8999999999999997E-2</v>
      </c>
      <c r="V29" s="101">
        <f>IF($C$12=V11,V30,IF($C$12=V12,V30,IF($C$12=V13,V31,IF($C$12=V14,V31,IF($C$12=V15,V32,IF($C$12=V16,V33,IF($C$12=V17,V33,IF($C$12=V18,V33,IF($C$12=V19,V34,IF($C$12=V21,0,IF($C$12=V20,V34,V30)))))))))))</f>
        <v>5.8999999999999997E-2</v>
      </c>
      <c r="W29" s="101">
        <f>IF($C$12=W11,W30,IF($C$12=W12,W30,IF($C$12=W13,W31,IF($C$12=W14,W31,IF($C$12=W15,W32,IF($C$12=W16,W33,IF($C$12=W17,W33,IF($C$12=W18,W33,IF($C$12=W19,W34,IF($C$12=W21,0,IF($C$12=W20,W34,W30)))))))))))</f>
        <v>5.8999999999999997E-2</v>
      </c>
      <c r="X29" s="101">
        <f>IF($C$12=X11,X30,IF($C$12=X12,X30,IF($C$12=X13,X31,IF($C$12=X14,X31,IF($C$12=X15,X32,IF($C$12=X16,X33,IF($C$12=X17,X33,IF($C$12=X18,X33,IF($C$12=X19,X34,IF($C$12=X21,0,IF($C$12=X20,X34,X30)))))))))))</f>
        <v>5.8999999999999997E-2</v>
      </c>
      <c r="AB29" s="82"/>
      <c r="AC29" s="2"/>
      <c r="AD29" s="2"/>
      <c r="AE29" s="2"/>
      <c r="AF29" s="3"/>
      <c r="AG29" s="3"/>
      <c r="AH29" s="3"/>
      <c r="AI29" s="3"/>
      <c r="AL29" s="130">
        <f t="shared" si="22"/>
        <v>1</v>
      </c>
      <c r="AM29" s="438">
        <f t="shared" si="31"/>
        <v>21</v>
      </c>
      <c r="AN29" s="439">
        <f t="shared" si="48"/>
        <v>45008</v>
      </c>
      <c r="AO29" s="435">
        <f t="shared" si="11"/>
        <v>30731</v>
      </c>
      <c r="AP29" s="435">
        <f t="shared" si="12"/>
        <v>13641.78</v>
      </c>
      <c r="AQ29" s="435">
        <f t="shared" si="43"/>
        <v>17089.22</v>
      </c>
      <c r="AR29" s="435">
        <f t="shared" si="13"/>
        <v>0</v>
      </c>
      <c r="AS29" s="435">
        <f t="shared" si="49"/>
        <v>0</v>
      </c>
      <c r="AT29" s="435">
        <f t="shared" si="24"/>
        <v>13641.78</v>
      </c>
      <c r="AU29" s="435">
        <f t="shared" si="44"/>
        <v>0</v>
      </c>
      <c r="AV29" s="435">
        <f t="shared" si="45"/>
        <v>0</v>
      </c>
      <c r="AW29" s="435"/>
      <c r="AX29" s="435"/>
      <c r="AY29" s="435"/>
      <c r="AZ29" s="435"/>
      <c r="BA29" s="435"/>
      <c r="BB29" s="435">
        <f t="shared" si="46"/>
        <v>876530.67</v>
      </c>
      <c r="BC29" s="108">
        <f t="shared" si="33"/>
        <v>46</v>
      </c>
      <c r="BD29" s="108">
        <f t="shared" si="51"/>
        <v>44</v>
      </c>
      <c r="BE29" s="22">
        <f t="shared" si="52"/>
        <v>44827</v>
      </c>
      <c r="BF29" s="108">
        <f t="shared" si="53"/>
        <v>30288</v>
      </c>
    </row>
    <row r="30" spans="1:388" ht="25.5" customHeight="1" x14ac:dyDescent="0.3">
      <c r="A30" s="846" t="s">
        <v>78</v>
      </c>
      <c r="B30" s="846"/>
      <c r="C30" s="411">
        <f>I109</f>
        <v>1816696.0699999996</v>
      </c>
      <c r="D30" s="411">
        <f>AO109</f>
        <v>1843188.72</v>
      </c>
      <c r="E30" s="190">
        <f>C30-D30</f>
        <v>-26492.650000000373</v>
      </c>
      <c r="F30" s="191"/>
      <c r="G30" s="426">
        <f t="shared" si="28"/>
        <v>22</v>
      </c>
      <c r="H30" s="427">
        <f t="shared" si="47"/>
        <v>45039</v>
      </c>
      <c r="I30" s="423">
        <f t="shared" si="7"/>
        <v>30288</v>
      </c>
      <c r="J30" s="423">
        <f t="shared" si="8"/>
        <v>12965.95</v>
      </c>
      <c r="K30" s="423">
        <f t="shared" si="16"/>
        <v>17322.05</v>
      </c>
      <c r="L30" s="423">
        <f t="shared" si="17"/>
        <v>0</v>
      </c>
      <c r="M30" s="423">
        <f t="shared" si="29"/>
        <v>0</v>
      </c>
      <c r="N30" s="423">
        <f t="shared" si="18"/>
        <v>12965.95</v>
      </c>
      <c r="O30" s="423">
        <f t="shared" si="19"/>
        <v>0</v>
      </c>
      <c r="P30" s="423">
        <f t="shared" si="20"/>
        <v>0</v>
      </c>
      <c r="Q30" s="423">
        <f t="shared" si="21"/>
        <v>886013.22999999975</v>
      </c>
      <c r="R30" s="36">
        <f t="shared" si="30"/>
        <v>39</v>
      </c>
      <c r="S30" s="36">
        <f t="shared" si="9"/>
        <v>39</v>
      </c>
      <c r="T30" s="84">
        <v>2.1999999999999999E-2</v>
      </c>
      <c r="U30" s="84">
        <v>2.1999999999999999E-2</v>
      </c>
      <c r="V30" s="84">
        <v>2.1999999999999999E-2</v>
      </c>
      <c r="W30" s="84">
        <v>2.1999999999999999E-2</v>
      </c>
      <c r="X30" s="84">
        <v>2.1999999999999999E-2</v>
      </c>
      <c r="Y30" s="13"/>
      <c r="Z30" s="13" t="s">
        <v>47</v>
      </c>
      <c r="AA30" s="2" t="s">
        <v>35</v>
      </c>
      <c r="AB30" s="82" t="s">
        <v>35</v>
      </c>
      <c r="AC30" s="2" t="s">
        <v>35</v>
      </c>
      <c r="AD30" s="2" t="s">
        <v>35</v>
      </c>
      <c r="AE30" s="2" t="s">
        <v>35</v>
      </c>
      <c r="AH30" s="2"/>
      <c r="AL30" s="130">
        <f t="shared" si="22"/>
        <v>1</v>
      </c>
      <c r="AM30" s="438">
        <f t="shared" si="31"/>
        <v>22</v>
      </c>
      <c r="AN30" s="439">
        <f t="shared" si="48"/>
        <v>45039</v>
      </c>
      <c r="AO30" s="435">
        <f t="shared" si="11"/>
        <v>30731</v>
      </c>
      <c r="AP30" s="435">
        <f t="shared" si="12"/>
        <v>14814.57</v>
      </c>
      <c r="AQ30" s="435">
        <f t="shared" si="43"/>
        <v>15916.43</v>
      </c>
      <c r="AR30" s="435">
        <f t="shared" si="13"/>
        <v>0</v>
      </c>
      <c r="AS30" s="435">
        <f t="shared" si="49"/>
        <v>0</v>
      </c>
      <c r="AT30" s="435">
        <f t="shared" si="24"/>
        <v>14814.57</v>
      </c>
      <c r="AU30" s="435">
        <f t="shared" si="44"/>
        <v>0</v>
      </c>
      <c r="AV30" s="435">
        <f t="shared" si="45"/>
        <v>0</v>
      </c>
      <c r="AW30" s="435"/>
      <c r="AX30" s="435"/>
      <c r="AY30" s="435"/>
      <c r="AZ30" s="435"/>
      <c r="BA30" s="435"/>
      <c r="BB30" s="435">
        <f t="shared" si="46"/>
        <v>860614.24</v>
      </c>
      <c r="BC30" s="108">
        <f t="shared" si="33"/>
        <v>45</v>
      </c>
      <c r="BD30" s="108">
        <f t="shared" si="51"/>
        <v>43</v>
      </c>
      <c r="BE30" s="22">
        <f t="shared" si="52"/>
        <v>44857</v>
      </c>
      <c r="BF30" s="108">
        <f t="shared" si="53"/>
        <v>30288</v>
      </c>
    </row>
    <row r="31" spans="1:388" ht="21" customHeight="1" x14ac:dyDescent="0.3">
      <c r="A31" s="846" t="s">
        <v>75</v>
      </c>
      <c r="B31" s="846"/>
      <c r="C31" s="412">
        <f>J109</f>
        <v>595796.06999999995</v>
      </c>
      <c r="D31" s="412">
        <f>AP109</f>
        <v>681288.71999999974</v>
      </c>
      <c r="E31" s="192">
        <f>C31-D31</f>
        <v>-85492.64999999979</v>
      </c>
      <c r="F31" s="190"/>
      <c r="G31" s="426">
        <f t="shared" si="28"/>
        <v>23</v>
      </c>
      <c r="H31" s="427">
        <f t="shared" si="47"/>
        <v>45069</v>
      </c>
      <c r="I31" s="423">
        <f t="shared" si="7"/>
        <v>30288</v>
      </c>
      <c r="J31" s="423">
        <f t="shared" si="8"/>
        <v>12307.09</v>
      </c>
      <c r="K31" s="423">
        <f t="shared" si="16"/>
        <v>17980.91</v>
      </c>
      <c r="L31" s="423">
        <f t="shared" si="17"/>
        <v>0</v>
      </c>
      <c r="M31" s="423">
        <f t="shared" si="29"/>
        <v>0</v>
      </c>
      <c r="N31" s="423">
        <f t="shared" si="18"/>
        <v>12307.09</v>
      </c>
      <c r="O31" s="423">
        <f t="shared" si="19"/>
        <v>0</v>
      </c>
      <c r="P31" s="423">
        <f t="shared" si="20"/>
        <v>0</v>
      </c>
      <c r="Q31" s="423">
        <f t="shared" si="21"/>
        <v>868032.31999999972</v>
      </c>
      <c r="R31" s="36">
        <f t="shared" si="30"/>
        <v>38</v>
      </c>
      <c r="S31" s="36">
        <f t="shared" si="9"/>
        <v>38</v>
      </c>
      <c r="T31" s="84">
        <v>2.9000000000000001E-2</v>
      </c>
      <c r="U31" s="84">
        <v>2.9000000000000001E-2</v>
      </c>
      <c r="V31" s="84">
        <v>2.9000000000000001E-2</v>
      </c>
      <c r="W31" s="84">
        <v>2.9000000000000001E-2</v>
      </c>
      <c r="X31" s="84">
        <v>2.9000000000000001E-2</v>
      </c>
      <c r="Y31" s="13" t="s">
        <v>79</v>
      </c>
      <c r="Z31" s="15">
        <f>IF(C11=T3,T29,IF(C11=V3,V29,IF(C11=W3,W29,IF(C11=X3,X29,IF(C11=U3,U29,)))))</f>
        <v>5.8999999999999997E-2</v>
      </c>
      <c r="AA31" s="15">
        <v>0</v>
      </c>
      <c r="AB31" s="2">
        <v>0</v>
      </c>
      <c r="AC31" s="2">
        <v>0</v>
      </c>
      <c r="AD31" s="2">
        <v>0</v>
      </c>
      <c r="AE31" s="2"/>
      <c r="AH31" s="2"/>
      <c r="AL31" s="130">
        <f t="shared" si="22"/>
        <v>1</v>
      </c>
      <c r="AM31" s="438">
        <f t="shared" si="31"/>
        <v>23</v>
      </c>
      <c r="AN31" s="439">
        <f t="shared" si="48"/>
        <v>45069</v>
      </c>
      <c r="AO31" s="435">
        <f t="shared" si="11"/>
        <v>30731</v>
      </c>
      <c r="AP31" s="435">
        <f t="shared" si="12"/>
        <v>14076.35</v>
      </c>
      <c r="AQ31" s="435">
        <f t="shared" si="43"/>
        <v>16654.650000000001</v>
      </c>
      <c r="AR31" s="435">
        <f t="shared" si="13"/>
        <v>0</v>
      </c>
      <c r="AS31" s="435">
        <f t="shared" si="49"/>
        <v>0</v>
      </c>
      <c r="AT31" s="435">
        <f t="shared" si="24"/>
        <v>14076.35</v>
      </c>
      <c r="AU31" s="435">
        <f t="shared" si="44"/>
        <v>0</v>
      </c>
      <c r="AV31" s="435">
        <f t="shared" si="45"/>
        <v>0</v>
      </c>
      <c r="AW31" s="435"/>
      <c r="AX31" s="435"/>
      <c r="AY31" s="435"/>
      <c r="AZ31" s="435"/>
      <c r="BA31" s="435"/>
      <c r="BB31" s="435">
        <f t="shared" si="46"/>
        <v>843959.59</v>
      </c>
      <c r="BC31" s="108">
        <f t="shared" si="33"/>
        <v>44</v>
      </c>
      <c r="BD31" s="108">
        <f t="shared" si="51"/>
        <v>42</v>
      </c>
      <c r="BE31" s="22">
        <f t="shared" si="52"/>
        <v>44888</v>
      </c>
      <c r="BF31" s="108">
        <f t="shared" si="53"/>
        <v>30288</v>
      </c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116"/>
      <c r="FX31" s="116"/>
      <c r="FY31" s="116"/>
      <c r="FZ31" s="116"/>
      <c r="GA31" s="116"/>
      <c r="GB31" s="116"/>
      <c r="GC31" s="116"/>
      <c r="GD31" s="116"/>
      <c r="GE31" s="116"/>
      <c r="GF31" s="116"/>
      <c r="GG31" s="116"/>
      <c r="GH31" s="116"/>
      <c r="GI31" s="116"/>
      <c r="GJ31" s="116"/>
      <c r="GK31" s="116"/>
      <c r="GL31" s="116"/>
      <c r="GM31" s="116"/>
      <c r="GN31" s="116"/>
      <c r="GO31" s="116"/>
      <c r="GP31" s="116"/>
      <c r="GQ31" s="116"/>
      <c r="GR31" s="116"/>
      <c r="GS31" s="116"/>
      <c r="GT31" s="116"/>
      <c r="GU31" s="116"/>
      <c r="GV31" s="116"/>
      <c r="GW31" s="116"/>
      <c r="GX31" s="116"/>
      <c r="GY31" s="116"/>
      <c r="GZ31" s="116"/>
      <c r="HA31" s="116"/>
      <c r="HB31" s="116"/>
      <c r="HC31" s="116"/>
      <c r="HD31" s="116"/>
      <c r="HE31" s="116"/>
      <c r="HF31" s="116"/>
      <c r="HG31" s="116"/>
      <c r="HH31" s="116"/>
      <c r="HI31" s="116"/>
      <c r="HJ31" s="116"/>
      <c r="HK31" s="116"/>
      <c r="HL31" s="116"/>
      <c r="HM31" s="116"/>
      <c r="HN31" s="116"/>
      <c r="HO31" s="116"/>
      <c r="HP31" s="116"/>
      <c r="HQ31" s="116"/>
      <c r="HR31" s="116"/>
      <c r="HS31" s="116"/>
      <c r="HT31" s="116"/>
      <c r="HU31" s="116"/>
      <c r="HV31" s="116"/>
      <c r="HW31" s="116"/>
      <c r="HX31" s="116"/>
      <c r="HY31" s="116"/>
      <c r="HZ31" s="116"/>
      <c r="IA31" s="116"/>
      <c r="IB31" s="116"/>
      <c r="IC31" s="116"/>
      <c r="ID31" s="116"/>
      <c r="IE31" s="116"/>
      <c r="IF31" s="116"/>
      <c r="IG31" s="116"/>
      <c r="IH31" s="116"/>
      <c r="II31" s="116"/>
      <c r="IJ31" s="116"/>
      <c r="IK31" s="116"/>
      <c r="IL31" s="116"/>
      <c r="IM31" s="116"/>
      <c r="IN31" s="116"/>
      <c r="IO31" s="116"/>
      <c r="IP31" s="116"/>
      <c r="IQ31" s="116"/>
      <c r="IR31" s="116"/>
      <c r="IS31" s="116"/>
      <c r="IT31" s="116"/>
      <c r="IU31" s="116"/>
      <c r="IV31" s="116"/>
      <c r="IW31" s="116"/>
      <c r="IX31" s="116"/>
      <c r="IY31" s="116"/>
      <c r="IZ31" s="116"/>
      <c r="JA31" s="116"/>
      <c r="JB31" s="116"/>
      <c r="JC31" s="116"/>
      <c r="JD31" s="116"/>
      <c r="JE31" s="116"/>
      <c r="JF31" s="116"/>
      <c r="JG31" s="116"/>
      <c r="JH31" s="116"/>
      <c r="JI31" s="116"/>
      <c r="JJ31" s="116"/>
      <c r="JK31" s="116"/>
      <c r="JL31" s="116"/>
      <c r="JM31" s="116"/>
      <c r="JN31" s="116"/>
      <c r="JO31" s="116"/>
      <c r="JP31" s="116"/>
      <c r="JQ31" s="116"/>
      <c r="JR31" s="116"/>
      <c r="JS31" s="116"/>
      <c r="JT31" s="116"/>
      <c r="JU31" s="116"/>
      <c r="JV31" s="116"/>
      <c r="JW31" s="116"/>
      <c r="JX31" s="116"/>
      <c r="JY31" s="116"/>
      <c r="JZ31" s="116"/>
      <c r="KA31" s="116"/>
      <c r="KB31" s="116"/>
      <c r="KC31" s="116"/>
      <c r="KD31" s="116"/>
      <c r="KE31" s="116"/>
      <c r="KF31" s="116"/>
      <c r="KG31" s="116"/>
      <c r="KH31" s="116"/>
      <c r="KI31" s="116"/>
      <c r="KJ31" s="116"/>
      <c r="KK31" s="116"/>
      <c r="KL31" s="116"/>
      <c r="KM31" s="116"/>
      <c r="KN31" s="116"/>
      <c r="KO31" s="116"/>
      <c r="KP31" s="116"/>
      <c r="KQ31" s="116"/>
      <c r="KR31" s="116"/>
      <c r="KS31" s="116"/>
      <c r="KT31" s="116"/>
      <c r="KU31" s="116"/>
      <c r="KV31" s="116"/>
      <c r="KW31" s="116"/>
      <c r="KX31" s="116"/>
      <c r="KY31" s="116"/>
      <c r="KZ31" s="116"/>
      <c r="LA31" s="116"/>
      <c r="LB31" s="116"/>
      <c r="LC31" s="116"/>
      <c r="LD31" s="116"/>
      <c r="LE31" s="116"/>
      <c r="LF31" s="116"/>
      <c r="LG31" s="116"/>
      <c r="LH31" s="116"/>
      <c r="LI31" s="116"/>
      <c r="LJ31" s="116"/>
      <c r="LK31" s="116"/>
      <c r="LL31" s="116"/>
      <c r="LM31" s="116"/>
      <c r="LN31" s="116"/>
      <c r="LO31" s="116"/>
      <c r="LP31" s="116"/>
      <c r="LQ31" s="116"/>
      <c r="LR31" s="116"/>
      <c r="LS31" s="116"/>
      <c r="LT31" s="116"/>
      <c r="LU31" s="116"/>
      <c r="LV31" s="116"/>
      <c r="LW31" s="116"/>
      <c r="LX31" s="116"/>
      <c r="LY31" s="116"/>
      <c r="LZ31" s="116"/>
      <c r="MA31" s="116"/>
      <c r="MB31" s="116"/>
      <c r="MC31" s="116"/>
      <c r="MD31" s="116"/>
      <c r="ME31" s="116"/>
      <c r="MF31" s="116"/>
      <c r="MG31" s="116"/>
      <c r="MH31" s="116"/>
      <c r="MI31" s="116"/>
      <c r="MJ31" s="116"/>
      <c r="MK31" s="116"/>
      <c r="ML31" s="116"/>
      <c r="MM31" s="116"/>
      <c r="MN31" s="116"/>
      <c r="MO31" s="116"/>
      <c r="MP31" s="116"/>
      <c r="MQ31" s="116"/>
      <c r="MR31" s="116"/>
      <c r="MS31" s="116"/>
      <c r="MT31" s="116"/>
      <c r="MU31" s="116"/>
      <c r="MV31" s="116"/>
      <c r="MW31" s="116"/>
      <c r="MX31" s="116"/>
      <c r="MY31" s="116"/>
      <c r="MZ31" s="116"/>
      <c r="NA31" s="116"/>
      <c r="NB31" s="116"/>
      <c r="NC31" s="116"/>
      <c r="ND31" s="116"/>
      <c r="NE31" s="116"/>
      <c r="NF31" s="116"/>
      <c r="NG31" s="116"/>
      <c r="NH31" s="116"/>
      <c r="NI31" s="116"/>
      <c r="NJ31" s="116"/>
      <c r="NK31" s="116"/>
      <c r="NL31" s="116"/>
    </row>
    <row r="32" spans="1:388" ht="33" customHeight="1" x14ac:dyDescent="0.3">
      <c r="A32" s="854" t="s">
        <v>279</v>
      </c>
      <c r="B32" s="854"/>
      <c r="C32" s="428">
        <f>C31+IF(C16&lt;&gt;"",C16,0)-IF(C17&lt;&gt;"",C17,0)</f>
        <v>408015.12999999995</v>
      </c>
      <c r="D32" s="428">
        <f>D31+IF(D16&lt;&gt;"",D16,0)-IF(D17&lt;&gt;"",D17,0)</f>
        <v>681288.71999999974</v>
      </c>
      <c r="E32" s="429">
        <f>C32-D32</f>
        <v>-273273.58999999979</v>
      </c>
      <c r="F32" s="192"/>
      <c r="G32" s="426">
        <f t="shared" si="28"/>
        <v>24</v>
      </c>
      <c r="H32" s="427">
        <f t="shared" si="47"/>
        <v>45100</v>
      </c>
      <c r="I32" s="423">
        <f t="shared" si="7"/>
        <v>30288</v>
      </c>
      <c r="J32" s="423">
        <f t="shared" si="8"/>
        <v>12459.24</v>
      </c>
      <c r="K32" s="423">
        <f t="shared" si="16"/>
        <v>17828.760000000002</v>
      </c>
      <c r="L32" s="423">
        <f t="shared" si="17"/>
        <v>0</v>
      </c>
      <c r="M32" s="423">
        <f t="shared" si="29"/>
        <v>0</v>
      </c>
      <c r="N32" s="423">
        <f t="shared" si="18"/>
        <v>12459.24</v>
      </c>
      <c r="O32" s="423">
        <f t="shared" si="19"/>
        <v>0</v>
      </c>
      <c r="P32" s="423">
        <f t="shared" si="20"/>
        <v>0</v>
      </c>
      <c r="Q32" s="423">
        <f t="shared" si="21"/>
        <v>850203.55999999971</v>
      </c>
      <c r="R32" s="36">
        <f t="shared" si="30"/>
        <v>37</v>
      </c>
      <c r="S32" s="36">
        <f t="shared" si="9"/>
        <v>37</v>
      </c>
      <c r="T32" s="122">
        <v>3.9E-2</v>
      </c>
      <c r="U32" s="122">
        <v>3.9E-2</v>
      </c>
      <c r="V32" s="122">
        <v>3.9E-2</v>
      </c>
      <c r="W32" s="122">
        <v>3.9E-2</v>
      </c>
      <c r="X32" s="122">
        <v>3.9E-2</v>
      </c>
      <c r="Y32" s="13" t="s">
        <v>80</v>
      </c>
      <c r="Z32" s="15">
        <f>IF(D11=T3,T29,IF(D11=V3,V29,IF(D11=W3,W29,IF(D11=X3,X29,IF(D11=U3,U29,)))))</f>
        <v>5.8999999999999997E-2</v>
      </c>
      <c r="AA32" s="15">
        <v>0</v>
      </c>
      <c r="AB32" s="15"/>
      <c r="AC32" s="2"/>
      <c r="AD32" s="2"/>
      <c r="AE32" s="2"/>
      <c r="AH32" s="2"/>
      <c r="AK32" s="16"/>
      <c r="AL32" s="130">
        <f t="shared" si="22"/>
        <v>1</v>
      </c>
      <c r="AM32" s="438">
        <f t="shared" si="31"/>
        <v>24</v>
      </c>
      <c r="AN32" s="439">
        <f t="shared" si="48"/>
        <v>45100</v>
      </c>
      <c r="AO32" s="435">
        <f t="shared" si="11"/>
        <v>30731</v>
      </c>
      <c r="AP32" s="435">
        <f t="shared" si="12"/>
        <v>14264.07</v>
      </c>
      <c r="AQ32" s="435">
        <f t="shared" si="43"/>
        <v>16466.93</v>
      </c>
      <c r="AR32" s="435">
        <f t="shared" si="13"/>
        <v>0</v>
      </c>
      <c r="AS32" s="435">
        <f t="shared" si="49"/>
        <v>0</v>
      </c>
      <c r="AT32" s="435">
        <f t="shared" si="24"/>
        <v>14264.07</v>
      </c>
      <c r="AU32" s="435">
        <f t="shared" si="44"/>
        <v>0</v>
      </c>
      <c r="AV32" s="435">
        <f t="shared" si="45"/>
        <v>0</v>
      </c>
      <c r="AW32" s="435"/>
      <c r="AX32" s="435"/>
      <c r="AY32" s="435"/>
      <c r="AZ32" s="435"/>
      <c r="BA32" s="435"/>
      <c r="BB32" s="435">
        <f t="shared" si="46"/>
        <v>827492.65999999992</v>
      </c>
      <c r="BC32" s="108">
        <f t="shared" si="33"/>
        <v>43</v>
      </c>
      <c r="BD32" s="108">
        <f t="shared" si="51"/>
        <v>41</v>
      </c>
      <c r="BE32" s="22">
        <f t="shared" si="52"/>
        <v>44918</v>
      </c>
      <c r="BF32" s="108">
        <f t="shared" si="53"/>
        <v>30288</v>
      </c>
    </row>
    <row r="33" spans="1:1212" ht="19.95" customHeight="1" x14ac:dyDescent="0.3">
      <c r="A33" s="848" t="s">
        <v>280</v>
      </c>
      <c r="B33" s="848"/>
      <c r="C33" s="415"/>
      <c r="D33" s="415"/>
      <c r="E33" s="415"/>
      <c r="F33" s="234"/>
      <c r="G33" s="426">
        <f t="shared" si="28"/>
        <v>25</v>
      </c>
      <c r="H33" s="427">
        <f t="shared" si="47"/>
        <v>45130</v>
      </c>
      <c r="I33" s="423">
        <f t="shared" si="7"/>
        <v>30288</v>
      </c>
      <c r="J33" s="423">
        <f t="shared" si="8"/>
        <v>11809.68</v>
      </c>
      <c r="K33" s="423">
        <f t="shared" si="16"/>
        <v>18478.32</v>
      </c>
      <c r="L33" s="423">
        <f t="shared" si="17"/>
        <v>0</v>
      </c>
      <c r="M33" s="423">
        <f t="shared" si="29"/>
        <v>0</v>
      </c>
      <c r="N33" s="423">
        <f t="shared" si="18"/>
        <v>11809.68</v>
      </c>
      <c r="O33" s="423">
        <f t="shared" si="19"/>
        <v>0</v>
      </c>
      <c r="P33" s="423">
        <f t="shared" si="20"/>
        <v>0</v>
      </c>
      <c r="Q33" s="423">
        <f t="shared" si="21"/>
        <v>831725.23999999976</v>
      </c>
      <c r="R33" s="36">
        <f t="shared" si="30"/>
        <v>36</v>
      </c>
      <c r="S33" s="36">
        <f t="shared" si="9"/>
        <v>36</v>
      </c>
      <c r="T33" s="84">
        <v>5.8999999999999997E-2</v>
      </c>
      <c r="U33" s="84">
        <v>5.8999999999999997E-2</v>
      </c>
      <c r="V33" s="84">
        <v>5.8999999999999997E-2</v>
      </c>
      <c r="W33" s="84">
        <v>5.8999999999999997E-2</v>
      </c>
      <c r="X33" s="84">
        <v>5.8999999999999997E-2</v>
      </c>
      <c r="AB33" s="15"/>
      <c r="AJ33" s="16"/>
      <c r="AK33" s="16"/>
      <c r="AL33" s="130">
        <f t="shared" si="22"/>
        <v>1</v>
      </c>
      <c r="AM33" s="438">
        <f t="shared" si="31"/>
        <v>25</v>
      </c>
      <c r="AN33" s="439">
        <f t="shared" si="48"/>
        <v>45130</v>
      </c>
      <c r="AO33" s="435">
        <f t="shared" si="11"/>
        <v>30731</v>
      </c>
      <c r="AP33" s="435">
        <f t="shared" si="12"/>
        <v>13534.61</v>
      </c>
      <c r="AQ33" s="435">
        <f t="shared" si="43"/>
        <v>17196.39</v>
      </c>
      <c r="AR33" s="435">
        <f t="shared" si="13"/>
        <v>0</v>
      </c>
      <c r="AS33" s="435">
        <f t="shared" si="49"/>
        <v>0</v>
      </c>
      <c r="AT33" s="435">
        <f t="shared" si="24"/>
        <v>13534.61</v>
      </c>
      <c r="AU33" s="435">
        <f t="shared" si="44"/>
        <v>0</v>
      </c>
      <c r="AV33" s="435">
        <f t="shared" si="45"/>
        <v>0</v>
      </c>
      <c r="AW33" s="435"/>
      <c r="AX33" s="435"/>
      <c r="AY33" s="435"/>
      <c r="AZ33" s="435"/>
      <c r="BA33" s="435"/>
      <c r="BB33" s="435">
        <f t="shared" si="46"/>
        <v>810296.2699999999</v>
      </c>
      <c r="BC33" s="108">
        <f t="shared" si="33"/>
        <v>42</v>
      </c>
      <c r="BD33" s="108">
        <f t="shared" si="51"/>
        <v>41</v>
      </c>
      <c r="BE33" s="22">
        <f t="shared" si="52"/>
        <v>44949</v>
      </c>
      <c r="BF33" s="108">
        <f t="shared" si="53"/>
        <v>30288</v>
      </c>
      <c r="BI33" s="853" t="str">
        <f>IF(AL7&lt;C10,CONCATENATE("← Срок с учетом перехода на иной тарифный план равен ",AL7," мес."),"")</f>
        <v/>
      </c>
      <c r="BK33" s="131"/>
    </row>
    <row r="34" spans="1:1212" ht="19.95" customHeight="1" x14ac:dyDescent="0.3">
      <c r="A34" s="846" t="s">
        <v>281</v>
      </c>
      <c r="B34" s="846"/>
      <c r="C34" s="410">
        <f>IF(OR(C8="Гарантия стандарт",C8="Гарантия пакет"),0,Z56)</f>
        <v>23376</v>
      </c>
      <c r="D34" s="410">
        <f>IF(OR(D8="Гарантия стандарт",D8="Гарантия пакет"),0,AD57)</f>
        <v>30718.629288286247</v>
      </c>
      <c r="E34" s="191">
        <f t="shared" si="50"/>
        <v>-7342.6292882862472</v>
      </c>
      <c r="F34" s="191"/>
      <c r="G34" s="426">
        <f t="shared" si="28"/>
        <v>26</v>
      </c>
      <c r="H34" s="427">
        <f t="shared" si="47"/>
        <v>45161</v>
      </c>
      <c r="I34" s="423">
        <f t="shared" si="7"/>
        <v>30288</v>
      </c>
      <c r="J34" s="423">
        <f t="shared" si="8"/>
        <v>11938.11</v>
      </c>
      <c r="K34" s="423">
        <f t="shared" si="16"/>
        <v>18349.89</v>
      </c>
      <c r="L34" s="423">
        <f t="shared" si="17"/>
        <v>0</v>
      </c>
      <c r="M34" s="423">
        <f t="shared" si="29"/>
        <v>0</v>
      </c>
      <c r="N34" s="423">
        <f t="shared" si="18"/>
        <v>11938.11</v>
      </c>
      <c r="O34" s="423">
        <f t="shared" si="19"/>
        <v>0</v>
      </c>
      <c r="P34" s="423">
        <f t="shared" si="20"/>
        <v>0</v>
      </c>
      <c r="Q34" s="423">
        <f t="shared" si="21"/>
        <v>813375.34999999974</v>
      </c>
      <c r="R34" s="36">
        <f t="shared" si="30"/>
        <v>35</v>
      </c>
      <c r="S34" s="36">
        <f t="shared" si="9"/>
        <v>35</v>
      </c>
      <c r="T34" s="84">
        <v>7.9000000000000001E-2</v>
      </c>
      <c r="U34" s="84">
        <v>7.9000000000000001E-2</v>
      </c>
      <c r="V34" s="84">
        <v>7.9000000000000001E-2</v>
      </c>
      <c r="W34" s="84">
        <v>7.9000000000000001E-2</v>
      </c>
      <c r="X34" s="84">
        <v>7.9000000000000001E-2</v>
      </c>
      <c r="AB34" s="2"/>
      <c r="AJ34" s="16"/>
      <c r="AK34" s="16"/>
      <c r="AL34" s="130">
        <f t="shared" si="22"/>
        <v>1</v>
      </c>
      <c r="AM34" s="438">
        <f t="shared" si="31"/>
        <v>26</v>
      </c>
      <c r="AN34" s="439">
        <f t="shared" si="48"/>
        <v>45161</v>
      </c>
      <c r="AO34" s="435">
        <f t="shared" si="11"/>
        <v>30731</v>
      </c>
      <c r="AP34" s="435">
        <f t="shared" si="12"/>
        <v>13695.12</v>
      </c>
      <c r="AQ34" s="435">
        <f t="shared" si="43"/>
        <v>17035.879999999997</v>
      </c>
      <c r="AR34" s="435">
        <f t="shared" si="13"/>
        <v>0</v>
      </c>
      <c r="AS34" s="435">
        <f t="shared" si="49"/>
        <v>0</v>
      </c>
      <c r="AT34" s="435">
        <f t="shared" si="24"/>
        <v>13695.12</v>
      </c>
      <c r="AU34" s="435">
        <f t="shared" si="44"/>
        <v>0</v>
      </c>
      <c r="AV34" s="435">
        <f t="shared" si="45"/>
        <v>0</v>
      </c>
      <c r="AW34" s="435"/>
      <c r="AX34" s="435"/>
      <c r="AY34" s="435"/>
      <c r="AZ34" s="435"/>
      <c r="BA34" s="435"/>
      <c r="BB34" s="435">
        <f t="shared" si="46"/>
        <v>793260.3899999999</v>
      </c>
      <c r="BC34" s="108">
        <f t="shared" si="33"/>
        <v>41</v>
      </c>
      <c r="BD34" s="108">
        <f t="shared" si="51"/>
        <v>40</v>
      </c>
      <c r="BE34" s="22">
        <f t="shared" si="52"/>
        <v>44980</v>
      </c>
      <c r="BF34" s="108">
        <f t="shared" si="53"/>
        <v>30288</v>
      </c>
      <c r="BI34" s="853"/>
    </row>
    <row r="35" spans="1:1212" ht="21" customHeight="1" x14ac:dyDescent="0.3">
      <c r="A35" s="846" t="s">
        <v>282</v>
      </c>
      <c r="B35" s="846"/>
      <c r="C35" s="413">
        <f>IF(OR(C8="Гарантия стандарт",C8="Гарантия пакет"),0,$C$10+$AA$57)</f>
        <v>96</v>
      </c>
      <c r="D35" s="413">
        <f>IF(OR(D8="Гарантия стандарт",D8="Гарантия пакет"),0,$C$10+$AA$57)</f>
        <v>96</v>
      </c>
      <c r="E35" s="191"/>
      <c r="F35" s="191"/>
      <c r="G35" s="426">
        <f t="shared" si="28"/>
        <v>27</v>
      </c>
      <c r="H35" s="427">
        <f t="shared" si="47"/>
        <v>45192</v>
      </c>
      <c r="I35" s="423">
        <f t="shared" si="7"/>
        <v>30288</v>
      </c>
      <c r="J35" s="423">
        <f t="shared" si="8"/>
        <v>11674.72</v>
      </c>
      <c r="K35" s="423">
        <f t="shared" si="16"/>
        <v>18613.28</v>
      </c>
      <c r="L35" s="423">
        <f t="shared" si="17"/>
        <v>0</v>
      </c>
      <c r="M35" s="423">
        <f t="shared" si="29"/>
        <v>0</v>
      </c>
      <c r="N35" s="423">
        <f t="shared" si="18"/>
        <v>11674.72</v>
      </c>
      <c r="O35" s="423">
        <f t="shared" si="19"/>
        <v>0</v>
      </c>
      <c r="P35" s="423">
        <f t="shared" si="20"/>
        <v>0</v>
      </c>
      <c r="Q35" s="423">
        <f t="shared" si="21"/>
        <v>794762.06999999972</v>
      </c>
      <c r="R35" s="36">
        <f t="shared" si="30"/>
        <v>34</v>
      </c>
      <c r="S35" s="36">
        <f t="shared" si="9"/>
        <v>34</v>
      </c>
      <c r="T35" s="2">
        <v>1</v>
      </c>
      <c r="U35" s="2">
        <v>1</v>
      </c>
      <c r="V35" s="3">
        <v>1</v>
      </c>
      <c r="W35" s="2">
        <v>1</v>
      </c>
      <c r="X35" s="3">
        <v>1</v>
      </c>
      <c r="AB35" s="15"/>
      <c r="AJ35" s="16"/>
      <c r="AK35" s="16"/>
      <c r="AL35" s="130">
        <f t="shared" si="22"/>
        <v>1</v>
      </c>
      <c r="AM35" s="438">
        <f t="shared" si="31"/>
        <v>27</v>
      </c>
      <c r="AN35" s="439">
        <f t="shared" si="48"/>
        <v>45192</v>
      </c>
      <c r="AO35" s="435">
        <f t="shared" si="11"/>
        <v>30731</v>
      </c>
      <c r="AP35" s="435">
        <f t="shared" si="12"/>
        <v>13407.19</v>
      </c>
      <c r="AQ35" s="435">
        <f t="shared" si="43"/>
        <v>17323.809999999998</v>
      </c>
      <c r="AR35" s="435">
        <f t="shared" si="13"/>
        <v>0</v>
      </c>
      <c r="AS35" s="435">
        <f t="shared" si="49"/>
        <v>0</v>
      </c>
      <c r="AT35" s="435">
        <f t="shared" si="24"/>
        <v>13407.19</v>
      </c>
      <c r="AU35" s="435">
        <f t="shared" si="44"/>
        <v>0</v>
      </c>
      <c r="AV35" s="435">
        <f t="shared" si="45"/>
        <v>0</v>
      </c>
      <c r="AW35" s="435"/>
      <c r="AX35" s="435"/>
      <c r="AY35" s="435"/>
      <c r="AZ35" s="435"/>
      <c r="BA35" s="435"/>
      <c r="BB35" s="435">
        <f t="shared" si="46"/>
        <v>775936.57999999984</v>
      </c>
      <c r="BC35" s="108">
        <f t="shared" si="33"/>
        <v>40</v>
      </c>
      <c r="BD35" s="108">
        <f t="shared" si="51"/>
        <v>39</v>
      </c>
      <c r="BE35" s="22">
        <f t="shared" si="52"/>
        <v>45008</v>
      </c>
      <c r="BF35" s="108">
        <f t="shared" si="53"/>
        <v>30288</v>
      </c>
      <c r="BI35" s="853"/>
    </row>
    <row r="36" spans="1:1212" ht="22.5" customHeight="1" x14ac:dyDescent="0.3">
      <c r="A36" s="846" t="s">
        <v>283</v>
      </c>
      <c r="B36" s="846"/>
      <c r="C36" s="414">
        <f>IF(OR(C8="Гарантия стандарт",C8="Гарантия пакет"),0,Z57)</f>
        <v>0.16900000000000001</v>
      </c>
      <c r="D36" s="414">
        <f>IF(OR(D8="Гарантия стандарт",D8="Гарантия пакет"),0,AC57)</f>
        <v>0.19900000000000001</v>
      </c>
      <c r="E36" s="351">
        <f t="shared" si="50"/>
        <v>-0.03</v>
      </c>
      <c r="F36" s="351"/>
      <c r="G36" s="426">
        <f t="shared" si="28"/>
        <v>28</v>
      </c>
      <c r="H36" s="427">
        <f t="shared" si="47"/>
        <v>45222</v>
      </c>
      <c r="I36" s="423">
        <f t="shared" si="7"/>
        <v>30288</v>
      </c>
      <c r="J36" s="423">
        <f t="shared" si="8"/>
        <v>11039.57</v>
      </c>
      <c r="K36" s="423">
        <f t="shared" si="16"/>
        <v>19248.43</v>
      </c>
      <c r="L36" s="423">
        <f t="shared" si="17"/>
        <v>0</v>
      </c>
      <c r="M36" s="423">
        <f t="shared" si="29"/>
        <v>0</v>
      </c>
      <c r="N36" s="423">
        <f t="shared" si="18"/>
        <v>11039.57</v>
      </c>
      <c r="O36" s="423">
        <f t="shared" si="19"/>
        <v>0</v>
      </c>
      <c r="P36" s="423">
        <f t="shared" si="20"/>
        <v>0</v>
      </c>
      <c r="Q36" s="423">
        <f t="shared" si="21"/>
        <v>775513.63999999966</v>
      </c>
      <c r="R36" s="36">
        <f t="shared" si="30"/>
        <v>33</v>
      </c>
      <c r="S36" s="36">
        <f t="shared" si="9"/>
        <v>33</v>
      </c>
      <c r="T36" s="2">
        <v>0</v>
      </c>
      <c r="U36" s="2">
        <v>1</v>
      </c>
      <c r="V36" s="2">
        <v>2</v>
      </c>
      <c r="W36" s="2">
        <v>3</v>
      </c>
      <c r="X36" s="2">
        <v>4</v>
      </c>
      <c r="AB36" s="15"/>
      <c r="AJ36" s="16"/>
      <c r="AK36" s="16"/>
      <c r="AL36" s="130">
        <f t="shared" si="22"/>
        <v>1</v>
      </c>
      <c r="AM36" s="438">
        <f t="shared" si="31"/>
        <v>28</v>
      </c>
      <c r="AN36" s="439">
        <f t="shared" si="48"/>
        <v>45222</v>
      </c>
      <c r="AO36" s="435">
        <f t="shared" si="11"/>
        <v>30731</v>
      </c>
      <c r="AP36" s="435">
        <f t="shared" si="12"/>
        <v>12691.35</v>
      </c>
      <c r="AQ36" s="435">
        <f t="shared" si="43"/>
        <v>18039.650000000001</v>
      </c>
      <c r="AR36" s="435">
        <f t="shared" si="13"/>
        <v>0</v>
      </c>
      <c r="AS36" s="435">
        <f t="shared" si="49"/>
        <v>0</v>
      </c>
      <c r="AT36" s="435">
        <f t="shared" si="24"/>
        <v>12691.35</v>
      </c>
      <c r="AU36" s="435">
        <f t="shared" si="44"/>
        <v>0</v>
      </c>
      <c r="AV36" s="435">
        <f t="shared" si="45"/>
        <v>0</v>
      </c>
      <c r="AW36" s="435"/>
      <c r="AX36" s="435"/>
      <c r="AY36" s="435"/>
      <c r="AZ36" s="435"/>
      <c r="BA36" s="435"/>
      <c r="BB36" s="435">
        <f t="shared" si="46"/>
        <v>757896.92999999982</v>
      </c>
      <c r="BC36" s="108">
        <f t="shared" si="33"/>
        <v>39</v>
      </c>
      <c r="BD36" s="108">
        <f t="shared" si="51"/>
        <v>38</v>
      </c>
      <c r="BE36" s="22">
        <f t="shared" si="52"/>
        <v>45039</v>
      </c>
      <c r="BF36" s="108">
        <f t="shared" si="53"/>
        <v>30288</v>
      </c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  <c r="AMK36" s="16"/>
      <c r="AML36" s="16"/>
      <c r="AMM36" s="16"/>
      <c r="AMN36" s="16"/>
      <c r="AMO36" s="16"/>
      <c r="AMP36" s="16"/>
      <c r="AMQ36" s="16"/>
      <c r="AMR36" s="16"/>
      <c r="AMS36" s="16"/>
      <c r="AMT36" s="16"/>
      <c r="AMU36" s="16"/>
      <c r="AMV36" s="16"/>
      <c r="AMW36" s="16"/>
      <c r="AMX36" s="16"/>
      <c r="AMY36" s="16"/>
      <c r="AMZ36" s="16"/>
      <c r="ANA36" s="16"/>
      <c r="ANB36" s="16"/>
      <c r="ANC36" s="16"/>
      <c r="AND36" s="16"/>
      <c r="ANE36" s="16"/>
      <c r="ANF36" s="16"/>
      <c r="ANG36" s="16"/>
      <c r="ANH36" s="16"/>
      <c r="ANI36" s="16"/>
      <c r="ANJ36" s="16"/>
      <c r="ANK36" s="16"/>
      <c r="ANL36" s="16"/>
      <c r="ANM36" s="16"/>
      <c r="ANN36" s="16"/>
      <c r="ANO36" s="16"/>
      <c r="ANP36" s="16"/>
      <c r="ANQ36" s="16"/>
      <c r="ANR36" s="16"/>
      <c r="ANS36" s="16"/>
      <c r="ANT36" s="16"/>
      <c r="ANU36" s="16"/>
      <c r="ANV36" s="16"/>
      <c r="ANW36" s="16"/>
      <c r="ANX36" s="16"/>
      <c r="ANY36" s="16"/>
      <c r="ANZ36" s="16"/>
      <c r="AOA36" s="16"/>
      <c r="AOB36" s="16"/>
      <c r="AOC36" s="16"/>
      <c r="AOD36" s="16"/>
      <c r="AOE36" s="16"/>
      <c r="AOF36" s="16"/>
      <c r="AOG36" s="16"/>
      <c r="AOH36" s="16"/>
      <c r="AOI36" s="16"/>
      <c r="AOJ36" s="16"/>
      <c r="AOK36" s="16"/>
      <c r="AOL36" s="16"/>
      <c r="AOM36" s="16"/>
      <c r="AON36" s="16"/>
      <c r="AOO36" s="16"/>
      <c r="AOP36" s="16"/>
      <c r="AOQ36" s="16"/>
      <c r="AOR36" s="16"/>
      <c r="AOS36" s="16"/>
      <c r="AOT36" s="16"/>
      <c r="AOU36" s="16"/>
      <c r="AOV36" s="16"/>
      <c r="AOW36" s="16"/>
      <c r="AOX36" s="16"/>
      <c r="AOY36" s="16"/>
      <c r="AOZ36" s="16"/>
      <c r="APA36" s="16"/>
      <c r="APB36" s="16"/>
      <c r="APC36" s="16"/>
      <c r="APD36" s="16"/>
      <c r="APE36" s="16"/>
      <c r="APF36" s="16"/>
      <c r="APG36" s="16"/>
      <c r="APH36" s="16"/>
      <c r="API36" s="16"/>
      <c r="APJ36" s="16"/>
      <c r="APK36" s="16"/>
      <c r="APL36" s="16"/>
      <c r="APM36" s="16"/>
      <c r="APN36" s="16"/>
      <c r="APO36" s="16"/>
      <c r="APP36" s="16"/>
      <c r="APQ36" s="16"/>
      <c r="APR36" s="16"/>
      <c r="APS36" s="16"/>
      <c r="APT36" s="16"/>
      <c r="APU36" s="16"/>
      <c r="APV36" s="16"/>
      <c r="APW36" s="16"/>
      <c r="APX36" s="16"/>
      <c r="APY36" s="16"/>
      <c r="APZ36" s="16"/>
      <c r="AQA36" s="16"/>
      <c r="AQB36" s="16"/>
      <c r="AQC36" s="16"/>
      <c r="AQD36" s="16"/>
      <c r="AQE36" s="16"/>
      <c r="AQF36" s="16"/>
      <c r="AQG36" s="16"/>
      <c r="AQH36" s="16"/>
      <c r="AQI36" s="16"/>
      <c r="AQJ36" s="16"/>
      <c r="AQK36" s="16"/>
      <c r="AQL36" s="16"/>
      <c r="AQM36" s="16"/>
      <c r="AQN36" s="16"/>
      <c r="AQO36" s="16"/>
      <c r="AQP36" s="16"/>
      <c r="AQQ36" s="16"/>
      <c r="AQR36" s="16"/>
      <c r="AQS36" s="16"/>
      <c r="AQT36" s="16"/>
      <c r="AQU36" s="16"/>
      <c r="AQV36" s="16"/>
      <c r="AQW36" s="16"/>
      <c r="AQX36" s="16"/>
      <c r="AQY36" s="16"/>
      <c r="AQZ36" s="16"/>
      <c r="ARA36" s="16"/>
      <c r="ARB36" s="16"/>
      <c r="ARC36" s="16"/>
      <c r="ARD36" s="16"/>
      <c r="ARE36" s="16"/>
      <c r="ARF36" s="16"/>
      <c r="ARG36" s="16"/>
      <c r="ARH36" s="16"/>
      <c r="ARI36" s="16"/>
      <c r="ARJ36" s="16"/>
      <c r="ARK36" s="16"/>
      <c r="ARL36" s="16"/>
      <c r="ARM36" s="16"/>
      <c r="ARN36" s="16"/>
      <c r="ARO36" s="16"/>
      <c r="ARP36" s="16"/>
      <c r="ARQ36" s="16"/>
      <c r="ARR36" s="16"/>
      <c r="ARS36" s="16"/>
      <c r="ART36" s="16"/>
      <c r="ARU36" s="16"/>
      <c r="ARV36" s="16"/>
      <c r="ARW36" s="16"/>
      <c r="ARX36" s="16"/>
      <c r="ARY36" s="16"/>
      <c r="ARZ36" s="16"/>
      <c r="ASA36" s="16"/>
      <c r="ASB36" s="16"/>
      <c r="ASC36" s="16"/>
      <c r="ASD36" s="16"/>
      <c r="ASE36" s="16"/>
      <c r="ASF36" s="16"/>
      <c r="ASG36" s="16"/>
      <c r="ASH36" s="16"/>
      <c r="ASI36" s="16"/>
      <c r="ASJ36" s="16"/>
      <c r="ASK36" s="16"/>
      <c r="ASL36" s="16"/>
      <c r="ASM36" s="16"/>
      <c r="ASN36" s="16"/>
      <c r="ASO36" s="16"/>
      <c r="ASP36" s="16"/>
      <c r="ASQ36" s="16"/>
      <c r="ASR36" s="16"/>
      <c r="ASS36" s="16"/>
      <c r="AST36" s="16"/>
      <c r="ASU36" s="16"/>
      <c r="ASV36" s="16"/>
      <c r="ASW36" s="16"/>
      <c r="ASX36" s="16"/>
      <c r="ASY36" s="16"/>
      <c r="ASZ36" s="16"/>
      <c r="ATA36" s="16"/>
      <c r="ATB36" s="16"/>
      <c r="ATC36" s="16"/>
      <c r="ATD36" s="16"/>
      <c r="ATE36" s="16"/>
      <c r="ATF36" s="16"/>
      <c r="ATG36" s="16"/>
      <c r="ATH36" s="16"/>
      <c r="ATI36" s="16"/>
      <c r="ATJ36" s="16"/>
      <c r="ATK36" s="16"/>
      <c r="ATL36" s="16"/>
      <c r="ATM36" s="16"/>
      <c r="ATN36" s="16"/>
      <c r="ATO36" s="16"/>
      <c r="ATP36" s="16"/>
    </row>
    <row r="37" spans="1:1212" s="16" customFormat="1" ht="19.95" customHeight="1" x14ac:dyDescent="0.3">
      <c r="A37" s="844" t="s">
        <v>175</v>
      </c>
      <c r="B37" s="844"/>
      <c r="C37" s="845"/>
      <c r="D37" s="845"/>
      <c r="E37" s="844"/>
      <c r="F37" s="353"/>
      <c r="G37" s="426">
        <f t="shared" si="28"/>
        <v>29</v>
      </c>
      <c r="H37" s="427">
        <f t="shared" si="47"/>
        <v>45253</v>
      </c>
      <c r="I37" s="423">
        <f t="shared" si="7"/>
        <v>30288</v>
      </c>
      <c r="J37" s="423">
        <f t="shared" si="8"/>
        <v>11131.28</v>
      </c>
      <c r="K37" s="423">
        <f t="shared" si="16"/>
        <v>19156.72</v>
      </c>
      <c r="L37" s="423">
        <f t="shared" si="17"/>
        <v>0</v>
      </c>
      <c r="M37" s="423">
        <f t="shared" si="29"/>
        <v>0</v>
      </c>
      <c r="N37" s="423">
        <f t="shared" si="18"/>
        <v>11131.28</v>
      </c>
      <c r="O37" s="423">
        <f t="shared" si="19"/>
        <v>0</v>
      </c>
      <c r="P37" s="423">
        <f t="shared" si="20"/>
        <v>0</v>
      </c>
      <c r="Q37" s="423">
        <f t="shared" si="21"/>
        <v>756356.91999999969</v>
      </c>
      <c r="R37" s="36">
        <f t="shared" si="30"/>
        <v>32</v>
      </c>
      <c r="S37" s="36">
        <f t="shared" si="9"/>
        <v>32</v>
      </c>
      <c r="Y37" s="2"/>
      <c r="Z37" s="2"/>
      <c r="AA37" s="2"/>
      <c r="AB37" s="15"/>
      <c r="AC37" s="3"/>
      <c r="AD37" s="3"/>
      <c r="AE37" s="3"/>
      <c r="AF37" s="2"/>
      <c r="AG37" s="2"/>
      <c r="AH37" s="57"/>
      <c r="AI37" s="2"/>
      <c r="AL37" s="130">
        <f t="shared" si="22"/>
        <v>1</v>
      </c>
      <c r="AM37" s="438">
        <f t="shared" si="31"/>
        <v>29</v>
      </c>
      <c r="AN37" s="439">
        <f t="shared" si="48"/>
        <v>45253</v>
      </c>
      <c r="AO37" s="435">
        <f t="shared" si="11"/>
        <v>30731</v>
      </c>
      <c r="AP37" s="435">
        <f t="shared" si="12"/>
        <v>12809.5</v>
      </c>
      <c r="AQ37" s="435">
        <f t="shared" si="43"/>
        <v>17921.5</v>
      </c>
      <c r="AR37" s="435">
        <f t="shared" si="13"/>
        <v>0</v>
      </c>
      <c r="AS37" s="435">
        <f t="shared" si="49"/>
        <v>0</v>
      </c>
      <c r="AT37" s="435">
        <f t="shared" si="24"/>
        <v>12809.5</v>
      </c>
      <c r="AU37" s="435">
        <f t="shared" si="44"/>
        <v>0</v>
      </c>
      <c r="AV37" s="435">
        <f t="shared" si="45"/>
        <v>0</v>
      </c>
      <c r="AW37" s="435"/>
      <c r="AX37" s="435"/>
      <c r="AY37" s="435"/>
      <c r="AZ37" s="435"/>
      <c r="BA37" s="435"/>
      <c r="BB37" s="435">
        <f t="shared" si="46"/>
        <v>739975.42999999982</v>
      </c>
      <c r="BC37" s="108">
        <f t="shared" si="33"/>
        <v>38</v>
      </c>
      <c r="BD37" s="108">
        <f t="shared" si="51"/>
        <v>37</v>
      </c>
      <c r="BE37" s="22">
        <f t="shared" si="52"/>
        <v>45069</v>
      </c>
      <c r="BF37" s="108">
        <f t="shared" si="53"/>
        <v>30288</v>
      </c>
    </row>
    <row r="38" spans="1:1212" s="16" customFormat="1" ht="19.95" customHeight="1" x14ac:dyDescent="0.3">
      <c r="A38" s="847" t="s">
        <v>284</v>
      </c>
      <c r="B38" s="213" t="s">
        <v>180</v>
      </c>
      <c r="C38" s="410">
        <f>C32/($C$10/12)</f>
        <v>81603.025999999983</v>
      </c>
      <c r="D38" s="410">
        <f>D32/($C$10/12)</f>
        <v>136257.74399999995</v>
      </c>
      <c r="E38" s="191">
        <f t="shared" si="50"/>
        <v>-54654.717999999964</v>
      </c>
      <c r="F38" s="191"/>
      <c r="G38" s="426">
        <f t="shared" si="28"/>
        <v>30</v>
      </c>
      <c r="H38" s="427">
        <f t="shared" si="47"/>
        <v>45283</v>
      </c>
      <c r="I38" s="423">
        <f t="shared" si="7"/>
        <v>30288</v>
      </c>
      <c r="J38" s="423">
        <f t="shared" si="8"/>
        <v>10506.11</v>
      </c>
      <c r="K38" s="423">
        <f t="shared" si="16"/>
        <v>19781.89</v>
      </c>
      <c r="L38" s="423">
        <f t="shared" si="17"/>
        <v>0</v>
      </c>
      <c r="M38" s="423">
        <f t="shared" si="29"/>
        <v>0</v>
      </c>
      <c r="N38" s="423">
        <f t="shared" si="18"/>
        <v>10506.11</v>
      </c>
      <c r="O38" s="423">
        <f t="shared" si="19"/>
        <v>0</v>
      </c>
      <c r="P38" s="423">
        <f t="shared" si="20"/>
        <v>0</v>
      </c>
      <c r="Q38" s="423">
        <f t="shared" si="21"/>
        <v>736575.02999999968</v>
      </c>
      <c r="R38" s="36">
        <f t="shared" si="30"/>
        <v>31</v>
      </c>
      <c r="S38" s="36">
        <f t="shared" si="9"/>
        <v>31</v>
      </c>
      <c r="T38" s="101">
        <f>IF($D$12=T11,T30,IF($D$12=T12,T30,IF($D$12=T13,T31,IF($D$12=T14,T31,IF($D$12=T15,T32,IF($D$12=T16,T33,IF($D$12=T17,T33,IF($D$12=T18,T33,IF($D$12=T19,T34,IF($D$12=T21,0,IF($D$12=T20,T34,T30)))))))))))</f>
        <v>7.9000000000000001E-2</v>
      </c>
      <c r="U38" s="101">
        <f>IF($D$12=U11,U30,IF($D$12=U12,U30,IF($D$12=U13,U31,IF($D$12=U14,U31,IF($D$12=U15,U32,IF($D$12=U16,U33,IF($D$12=U17,U33,IF($D$12=U18,U33,IF($D$12=U19,U34,IF($D$12=U21,0,IF($D$12=U20,U34,U30)))))))))))</f>
        <v>7.9000000000000001E-2</v>
      </c>
      <c r="V38" s="101">
        <f>IF($D$12=V11,V30,IF($D$12=V12,V30,IF($D$12=V13,V31,IF($D$12=V14,V31,IF($D$12=V15,V32,IF($D$12=V16,V33,IF($D$12=V17,V33,IF($D$12=V18,V33,IF($D$12=V19,V34,IF($D$12=V21,0,IF($D$12=V20,V34,V30)))))))))))</f>
        <v>7.9000000000000001E-2</v>
      </c>
      <c r="W38" s="101">
        <f>IF($D$12=W11,W30,IF($D$12=W12,W30,IF($D$12=W13,W31,IF($D$12=W14,W31,IF($D$12=W15,W32,IF($D$12=W16,W33,IF($D$12=W17,W33,IF($D$12=W18,W33,IF($D$12=W19,W34,IF($D$12=W21,0,IF($D$12=W20,W34,W30)))))))))))</f>
        <v>7.9000000000000001E-2</v>
      </c>
      <c r="X38" s="101">
        <f>IF($D$12=X11,X30,IF($D$12=X12,X30,IF($D$12=X13,X31,IF($D$12=X14,X31,IF($D$12=X15,X32,IF($D$12=X16,X33,IF($D$12=X17,X33,IF($D$12=X18,X33,IF($D$12=X19,X34,IF($D$12=X21,0,IF($D$12=X20,X34,X30)))))))))))</f>
        <v>7.9000000000000001E-2</v>
      </c>
      <c r="Y38" s="2"/>
      <c r="Z38" s="2"/>
      <c r="AA38" s="2"/>
      <c r="AB38" s="3"/>
      <c r="AC38" s="3"/>
      <c r="AD38" s="3"/>
      <c r="AE38" s="3"/>
      <c r="AF38" s="2"/>
      <c r="AG38" s="2"/>
      <c r="AH38" s="57"/>
      <c r="AI38" s="2"/>
      <c r="AK38" s="63"/>
      <c r="AL38" s="130">
        <f t="shared" si="22"/>
        <v>1</v>
      </c>
      <c r="AM38" s="438">
        <f t="shared" si="31"/>
        <v>30</v>
      </c>
      <c r="AN38" s="439">
        <f t="shared" si="48"/>
        <v>45283</v>
      </c>
      <c r="AO38" s="435">
        <f t="shared" si="11"/>
        <v>30731</v>
      </c>
      <c r="AP38" s="435">
        <f t="shared" si="12"/>
        <v>12103.16</v>
      </c>
      <c r="AQ38" s="435">
        <f t="shared" si="43"/>
        <v>18627.84</v>
      </c>
      <c r="AR38" s="435">
        <f t="shared" si="13"/>
        <v>0</v>
      </c>
      <c r="AS38" s="435">
        <f t="shared" si="49"/>
        <v>0</v>
      </c>
      <c r="AT38" s="435">
        <f t="shared" si="24"/>
        <v>12103.16</v>
      </c>
      <c r="AU38" s="435">
        <f t="shared" si="44"/>
        <v>0</v>
      </c>
      <c r="AV38" s="435">
        <f t="shared" si="45"/>
        <v>0</v>
      </c>
      <c r="AW38" s="435"/>
      <c r="AX38" s="435"/>
      <c r="AY38" s="435"/>
      <c r="AZ38" s="435"/>
      <c r="BA38" s="435"/>
      <c r="BB38" s="435">
        <f t="shared" si="46"/>
        <v>721347.58999999985</v>
      </c>
      <c r="BC38" s="108">
        <f t="shared" si="33"/>
        <v>37</v>
      </c>
      <c r="BD38" s="108">
        <f t="shared" si="51"/>
        <v>36</v>
      </c>
      <c r="BE38" s="22">
        <f t="shared" si="52"/>
        <v>45100</v>
      </c>
      <c r="BF38" s="108">
        <f t="shared" si="53"/>
        <v>30288</v>
      </c>
    </row>
    <row r="39" spans="1:1212" s="16" customFormat="1" ht="19.95" customHeight="1" x14ac:dyDescent="0.3">
      <c r="A39" s="847"/>
      <c r="B39" s="213" t="s">
        <v>181</v>
      </c>
      <c r="C39" s="416">
        <f>C38/C23</f>
        <v>6.6838419198951574E-2</v>
      </c>
      <c r="D39" s="416">
        <f>D38/D23</f>
        <v>0.11727148980118766</v>
      </c>
      <c r="E39" s="191"/>
      <c r="F39" s="191"/>
      <c r="G39" s="426">
        <f t="shared" si="28"/>
        <v>31</v>
      </c>
      <c r="H39" s="427">
        <f t="shared" si="47"/>
        <v>45314</v>
      </c>
      <c r="I39" s="423">
        <f t="shared" si="7"/>
        <v>30288</v>
      </c>
      <c r="J39" s="423">
        <f t="shared" si="8"/>
        <v>10550.94</v>
      </c>
      <c r="K39" s="423">
        <f t="shared" si="16"/>
        <v>19737.059999999998</v>
      </c>
      <c r="L39" s="423">
        <f t="shared" si="17"/>
        <v>0</v>
      </c>
      <c r="M39" s="423">
        <f t="shared" si="29"/>
        <v>0</v>
      </c>
      <c r="N39" s="423">
        <f t="shared" si="18"/>
        <v>10550.94</v>
      </c>
      <c r="O39" s="423">
        <f t="shared" si="19"/>
        <v>0</v>
      </c>
      <c r="P39" s="423">
        <f t="shared" si="20"/>
        <v>0</v>
      </c>
      <c r="Q39" s="423">
        <f t="shared" si="21"/>
        <v>716837.96999999974</v>
      </c>
      <c r="R39" s="36">
        <f t="shared" si="30"/>
        <v>30</v>
      </c>
      <c r="S39" s="36">
        <f t="shared" si="9"/>
        <v>30</v>
      </c>
      <c r="V39" s="57"/>
      <c r="W39" s="2"/>
      <c r="X39" s="2"/>
      <c r="Y39" s="2"/>
      <c r="Z39" s="2"/>
      <c r="AA39" s="2"/>
      <c r="AB39" s="3"/>
      <c r="AC39" s="3"/>
      <c r="AD39" s="3"/>
      <c r="AE39" s="3"/>
      <c r="AF39" s="2"/>
      <c r="AG39" s="2"/>
      <c r="AH39" s="57"/>
      <c r="AI39" s="2"/>
      <c r="AJ39" s="63"/>
      <c r="AK39" s="15"/>
      <c r="AL39" s="130">
        <f t="shared" si="22"/>
        <v>1</v>
      </c>
      <c r="AM39" s="438">
        <f t="shared" si="31"/>
        <v>31</v>
      </c>
      <c r="AN39" s="439">
        <f t="shared" si="48"/>
        <v>45314</v>
      </c>
      <c r="AO39" s="435">
        <f t="shared" si="11"/>
        <v>30731</v>
      </c>
      <c r="AP39" s="435">
        <f t="shared" si="12"/>
        <v>12167.05</v>
      </c>
      <c r="AQ39" s="435">
        <f t="shared" si="43"/>
        <v>18563.95</v>
      </c>
      <c r="AR39" s="435">
        <f t="shared" si="13"/>
        <v>0</v>
      </c>
      <c r="AS39" s="435">
        <f t="shared" si="49"/>
        <v>0</v>
      </c>
      <c r="AT39" s="435">
        <f t="shared" si="24"/>
        <v>12167.05</v>
      </c>
      <c r="AU39" s="435">
        <f t="shared" si="44"/>
        <v>0</v>
      </c>
      <c r="AV39" s="435">
        <f t="shared" si="45"/>
        <v>0</v>
      </c>
      <c r="AW39" s="435"/>
      <c r="AX39" s="435"/>
      <c r="AY39" s="435"/>
      <c r="AZ39" s="435"/>
      <c r="BA39" s="435"/>
      <c r="BB39" s="435">
        <f t="shared" si="46"/>
        <v>702783.6399999999</v>
      </c>
      <c r="BC39" s="108">
        <f t="shared" si="33"/>
        <v>36</v>
      </c>
      <c r="BD39" s="108">
        <f t="shared" si="51"/>
        <v>35</v>
      </c>
      <c r="BE39" s="22">
        <f t="shared" si="52"/>
        <v>45130</v>
      </c>
      <c r="BF39" s="108">
        <f t="shared" si="53"/>
        <v>30288</v>
      </c>
    </row>
    <row r="40" spans="1:1212" s="16" customFormat="1" ht="20.25" customHeight="1" x14ac:dyDescent="0.3">
      <c r="A40" s="846" t="s">
        <v>177</v>
      </c>
      <c r="B40" s="846"/>
      <c r="C40" s="410">
        <f>C38/12</f>
        <v>6800.2521666666653</v>
      </c>
      <c r="D40" s="410">
        <f>D38/12</f>
        <v>11354.811999999996</v>
      </c>
      <c r="E40" s="191">
        <f t="shared" si="50"/>
        <v>-4554.559833333331</v>
      </c>
      <c r="F40" s="191"/>
      <c r="G40" s="426">
        <f t="shared" si="28"/>
        <v>32</v>
      </c>
      <c r="H40" s="427">
        <f t="shared" si="47"/>
        <v>45345</v>
      </c>
      <c r="I40" s="423">
        <f t="shared" si="7"/>
        <v>30288</v>
      </c>
      <c r="J40" s="423">
        <f t="shared" si="8"/>
        <v>10260.969999999999</v>
      </c>
      <c r="K40" s="423">
        <f t="shared" si="16"/>
        <v>20027.03</v>
      </c>
      <c r="L40" s="423">
        <f t="shared" si="17"/>
        <v>0</v>
      </c>
      <c r="M40" s="423">
        <f t="shared" si="29"/>
        <v>0</v>
      </c>
      <c r="N40" s="423">
        <f t="shared" si="18"/>
        <v>10260.969999999999</v>
      </c>
      <c r="O40" s="423">
        <f t="shared" si="19"/>
        <v>0</v>
      </c>
      <c r="P40" s="423">
        <f t="shared" si="20"/>
        <v>0</v>
      </c>
      <c r="Q40" s="423">
        <f t="shared" si="21"/>
        <v>696810.93999999971</v>
      </c>
      <c r="R40" s="36">
        <f t="shared" si="30"/>
        <v>29</v>
      </c>
      <c r="S40" s="36">
        <f t="shared" si="9"/>
        <v>29</v>
      </c>
      <c r="T40" s="138" t="s">
        <v>104</v>
      </c>
      <c r="U40" s="139"/>
      <c r="V40" s="139" t="s">
        <v>20</v>
      </c>
      <c r="W40" s="139" t="s">
        <v>29</v>
      </c>
      <c r="X40" s="139"/>
      <c r="Y40" s="139"/>
      <c r="Z40" s="139"/>
      <c r="AA40" s="2"/>
      <c r="AB40" s="3"/>
      <c r="AC40" s="3"/>
      <c r="AD40" s="3"/>
      <c r="AE40" s="3"/>
      <c r="AF40" s="2"/>
      <c r="AG40" s="2"/>
      <c r="AH40" s="57"/>
      <c r="AI40" s="2"/>
      <c r="AJ40" s="15"/>
      <c r="AK40" s="15"/>
      <c r="AL40" s="130">
        <f t="shared" si="22"/>
        <v>1</v>
      </c>
      <c r="AM40" s="438">
        <f t="shared" si="31"/>
        <v>32</v>
      </c>
      <c r="AN40" s="439">
        <f t="shared" si="48"/>
        <v>45345</v>
      </c>
      <c r="AO40" s="435">
        <f t="shared" si="11"/>
        <v>30731</v>
      </c>
      <c r="AP40" s="435">
        <f t="shared" si="12"/>
        <v>11845.55</v>
      </c>
      <c r="AQ40" s="435">
        <f t="shared" si="43"/>
        <v>18885.45</v>
      </c>
      <c r="AR40" s="435">
        <f t="shared" si="13"/>
        <v>0</v>
      </c>
      <c r="AS40" s="435">
        <f t="shared" si="49"/>
        <v>0</v>
      </c>
      <c r="AT40" s="435">
        <f t="shared" si="24"/>
        <v>11845.55</v>
      </c>
      <c r="AU40" s="435">
        <f t="shared" si="44"/>
        <v>0</v>
      </c>
      <c r="AV40" s="435">
        <f t="shared" si="45"/>
        <v>0</v>
      </c>
      <c r="AW40" s="435"/>
      <c r="AX40" s="435"/>
      <c r="AY40" s="435"/>
      <c r="AZ40" s="435"/>
      <c r="BA40" s="435"/>
      <c r="BB40" s="435">
        <f t="shared" si="46"/>
        <v>683898.19</v>
      </c>
      <c r="BC40" s="108">
        <f t="shared" si="33"/>
        <v>35</v>
      </c>
      <c r="BD40" s="108">
        <f t="shared" si="51"/>
        <v>34</v>
      </c>
      <c r="BE40" s="22">
        <f t="shared" si="52"/>
        <v>45161</v>
      </c>
      <c r="BF40" s="108">
        <f t="shared" si="53"/>
        <v>30288</v>
      </c>
    </row>
    <row r="41" spans="1:1212" s="16" customFormat="1" ht="23.25" customHeight="1" thickBot="1" x14ac:dyDescent="0.35">
      <c r="A41" s="843" t="s">
        <v>176</v>
      </c>
      <c r="B41" s="843"/>
      <c r="C41" s="417">
        <f>C40/30</f>
        <v>226.67507222222218</v>
      </c>
      <c r="D41" s="417">
        <f>D40/30</f>
        <v>378.49373333333318</v>
      </c>
      <c r="E41" s="202">
        <f t="shared" ref="E41" si="54">C41-D41</f>
        <v>-151.818661111111</v>
      </c>
      <c r="F41" s="191"/>
      <c r="G41" s="426">
        <f t="shared" si="28"/>
        <v>33</v>
      </c>
      <c r="H41" s="427">
        <f t="shared" si="47"/>
        <v>45374</v>
      </c>
      <c r="I41" s="423">
        <f t="shared" ref="I41:I72" si="55">IF(AND(G41&gt;=$T$22,G41&lt;=$T$22+2),$T$23,IF(AND(Q40+L41+J41&gt;I40,I40&lt;&gt;0),$C$24,IF(Q40=0,0,Q40+L41+J41+J42)))</f>
        <v>30288</v>
      </c>
      <c r="J41" s="423">
        <f t="shared" ref="J41:J72" si="56">IF(AND(G41&gt;=$T$22,G41&lt;=$T$22+2),0,IF($C$9&gt;$AC$51,ROUND(Q40*$AA$15*((H41-DATE(YEAR(H41),MONTH(H41),1)+1)/(DATE(YEAR(H41)+1,1,1)-DATE(YEAR(H41),1,1))+(EOMONTH(H40,0)-H40)/(DATE(YEAR(H40)+1,1,1)-DATE(YEAR(H40),1,1))),2),0))</f>
        <v>9330.7900000000009</v>
      </c>
      <c r="K41" s="423">
        <f t="shared" ref="K41:K72" si="57">IF(S41=0,0,IF(S41=1,Q40,IF(Q40+L41+J41&gt;I40,I41-J41-L41,Q40)))</f>
        <v>20957.21</v>
      </c>
      <c r="L41" s="423">
        <f t="shared" si="17"/>
        <v>0</v>
      </c>
      <c r="M41" s="423">
        <f t="shared" si="29"/>
        <v>0</v>
      </c>
      <c r="N41" s="423">
        <f t="shared" si="18"/>
        <v>9330.7900000000009</v>
      </c>
      <c r="O41" s="423">
        <f t="shared" si="19"/>
        <v>0</v>
      </c>
      <c r="P41" s="423">
        <f t="shared" si="20"/>
        <v>0</v>
      </c>
      <c r="Q41" s="423">
        <f t="shared" ref="Q41:Q72" si="58">IF(OR(S41=1,Q40=0),0,Q40-K41)</f>
        <v>675853.72999999975</v>
      </c>
      <c r="R41" s="36">
        <f t="shared" si="30"/>
        <v>28</v>
      </c>
      <c r="S41" s="36">
        <f t="shared" ref="S41:S72" si="59">IF(ISERR(CEILING(FLOOR(NPER($C$12/12,-$AA$55,Q40),0.1),1))=TRUE,0,CEILING(FLOOR(NPER($C$12/12,-$AA$55,Q40),0.1),1))</f>
        <v>28</v>
      </c>
      <c r="T41" s="140" t="s">
        <v>106</v>
      </c>
      <c r="U41" s="140" t="s">
        <v>107</v>
      </c>
      <c r="V41" s="140" t="s">
        <v>108</v>
      </c>
      <c r="W41" s="140" t="s">
        <v>109</v>
      </c>
      <c r="X41" s="140" t="s">
        <v>110</v>
      </c>
      <c r="Y41" s="140" t="s">
        <v>326</v>
      </c>
      <c r="Z41" s="140" t="s">
        <v>327</v>
      </c>
      <c r="AA41" s="2"/>
      <c r="AB41" s="3"/>
      <c r="AC41" s="3"/>
      <c r="AD41" s="3"/>
      <c r="AE41" s="3"/>
      <c r="AF41" s="2"/>
      <c r="AG41" s="2"/>
      <c r="AH41" s="57"/>
      <c r="AI41" s="2"/>
      <c r="AJ41" s="15"/>
      <c r="AK41" s="15"/>
      <c r="AL41" s="130">
        <f t="shared" si="22"/>
        <v>1</v>
      </c>
      <c r="AM41" s="438">
        <f t="shared" si="31"/>
        <v>33</v>
      </c>
      <c r="AN41" s="439">
        <f t="shared" si="48"/>
        <v>45374</v>
      </c>
      <c r="AO41" s="435">
        <f t="shared" ref="AO41:AO72" si="60">IF(AND(G41&gt;=$T$22,G41&lt;=$T$22+2),$T$23,IF(AND(BB40+AR41+AP41&gt;AO40,AO40&lt;&gt;0),$D$24,IF(BB40=0,0,BB40+AR41+AP41+AP42)))</f>
        <v>30731</v>
      </c>
      <c r="AP41" s="435">
        <f t="shared" ref="AP41:AP72" si="61">IF(AND(G41&gt;=$T$22,G41&lt;=$T$22+2),0,IF($C$9&gt;$AC$51,ROUND(BB40*$AB$15*((AN41-DATE(YEAR(AN41),MONTH(AN41),1)+1)/(DATE(YEAR(AN41)+1,1,1)-DATE(YEAR(AN41),1,1))+(EOMONTH(AN40,0)-AN40)/(DATE(YEAR(AN40)+1,1,1)-DATE(YEAR(AN40),1,1))),2),0))</f>
        <v>10783.54</v>
      </c>
      <c r="AQ41" s="435">
        <f t="shared" si="43"/>
        <v>19947.46</v>
      </c>
      <c r="AR41" s="435">
        <f t="shared" ref="AR41:AR72" si="62">IF(AT41&gt;$D$24,$D$24-AP41,IF(BD41=0,0,AV41)+BS89)</f>
        <v>0</v>
      </c>
      <c r="AS41" s="435">
        <f t="shared" si="49"/>
        <v>0</v>
      </c>
      <c r="AT41" s="435">
        <f t="shared" si="24"/>
        <v>10783.54</v>
      </c>
      <c r="AU41" s="435">
        <f t="shared" si="44"/>
        <v>0</v>
      </c>
      <c r="AV41" s="435">
        <f t="shared" si="45"/>
        <v>0</v>
      </c>
      <c r="AW41" s="435"/>
      <c r="AX41" s="435"/>
      <c r="AY41" s="435"/>
      <c r="AZ41" s="435"/>
      <c r="BA41" s="435"/>
      <c r="BB41" s="435">
        <f t="shared" si="46"/>
        <v>663950.73</v>
      </c>
      <c r="BC41" s="108">
        <f t="shared" si="33"/>
        <v>34</v>
      </c>
      <c r="BD41" s="108">
        <f t="shared" si="51"/>
        <v>33</v>
      </c>
      <c r="BE41" s="22">
        <f t="shared" si="52"/>
        <v>45192</v>
      </c>
      <c r="BF41" s="108">
        <f t="shared" si="53"/>
        <v>30288</v>
      </c>
    </row>
    <row r="42" spans="1:1212" s="16" customFormat="1" ht="19.95" customHeight="1" x14ac:dyDescent="0.3">
      <c r="A42" s="178"/>
      <c r="B42" s="178"/>
      <c r="C42" s="178"/>
      <c r="D42" s="178"/>
      <c r="E42" s="178"/>
      <c r="F42" s="178"/>
      <c r="G42" s="426">
        <f t="shared" si="28"/>
        <v>34</v>
      </c>
      <c r="H42" s="427">
        <f t="shared" si="47"/>
        <v>45405</v>
      </c>
      <c r="I42" s="423">
        <f t="shared" si="55"/>
        <v>30288</v>
      </c>
      <c r="J42" s="423">
        <f t="shared" si="56"/>
        <v>9674.31</v>
      </c>
      <c r="K42" s="423">
        <f t="shared" si="57"/>
        <v>20613.690000000002</v>
      </c>
      <c r="L42" s="423">
        <f t="shared" ref="L42:L73" si="63">IF(N42&gt;$C$24,$C$24-J42,IF(S42=0,0,O42))</f>
        <v>0</v>
      </c>
      <c r="M42" s="423">
        <f t="shared" si="29"/>
        <v>0</v>
      </c>
      <c r="N42" s="423">
        <f t="shared" si="18"/>
        <v>9674.31</v>
      </c>
      <c r="O42" s="423">
        <f t="shared" si="19"/>
        <v>0</v>
      </c>
      <c r="P42" s="423">
        <f t="shared" si="20"/>
        <v>0</v>
      </c>
      <c r="Q42" s="423">
        <f t="shared" si="58"/>
        <v>655240.0399999998</v>
      </c>
      <c r="R42" s="36">
        <f t="shared" si="30"/>
        <v>27</v>
      </c>
      <c r="S42" s="36">
        <f t="shared" si="59"/>
        <v>27</v>
      </c>
      <c r="T42" s="141">
        <v>13</v>
      </c>
      <c r="U42" s="142">
        <v>19</v>
      </c>
      <c r="V42" s="142">
        <v>31</v>
      </c>
      <c r="W42" s="141">
        <v>43</v>
      </c>
      <c r="X42" s="141">
        <v>55</v>
      </c>
      <c r="Y42" s="141">
        <v>67</v>
      </c>
      <c r="Z42" s="141">
        <v>79</v>
      </c>
      <c r="AA42" s="2"/>
      <c r="AB42" s="2"/>
      <c r="AC42" s="2"/>
      <c r="AD42" s="2"/>
      <c r="AE42" s="2"/>
      <c r="AF42" s="2"/>
      <c r="AG42" s="2"/>
      <c r="AH42" s="57"/>
      <c r="AI42" s="2"/>
      <c r="AJ42" s="15"/>
      <c r="AK42" s="15"/>
      <c r="AL42" s="130">
        <f t="shared" si="22"/>
        <v>1</v>
      </c>
      <c r="AM42" s="438">
        <f t="shared" si="31"/>
        <v>34</v>
      </c>
      <c r="AN42" s="439">
        <f t="shared" si="48"/>
        <v>45405</v>
      </c>
      <c r="AO42" s="435">
        <f t="shared" si="60"/>
        <v>30731</v>
      </c>
      <c r="AP42" s="435">
        <f t="shared" si="61"/>
        <v>11191.02</v>
      </c>
      <c r="AQ42" s="435">
        <f t="shared" si="43"/>
        <v>19539.98</v>
      </c>
      <c r="AR42" s="435">
        <f t="shared" si="62"/>
        <v>0</v>
      </c>
      <c r="AS42" s="435">
        <f t="shared" si="49"/>
        <v>0</v>
      </c>
      <c r="AT42" s="435">
        <f t="shared" si="24"/>
        <v>11191.02</v>
      </c>
      <c r="AU42" s="435">
        <f t="shared" si="44"/>
        <v>0</v>
      </c>
      <c r="AV42" s="435">
        <f t="shared" si="45"/>
        <v>0</v>
      </c>
      <c r="AW42" s="435"/>
      <c r="AX42" s="435"/>
      <c r="AY42" s="435"/>
      <c r="AZ42" s="435"/>
      <c r="BA42" s="435"/>
      <c r="BB42" s="435">
        <f t="shared" si="46"/>
        <v>644410.75</v>
      </c>
      <c r="BC42" s="108">
        <f t="shared" si="33"/>
        <v>33</v>
      </c>
      <c r="BD42" s="108">
        <f t="shared" si="51"/>
        <v>32</v>
      </c>
      <c r="BE42" s="22">
        <f t="shared" si="52"/>
        <v>45222</v>
      </c>
      <c r="BF42" s="108">
        <f t="shared" si="53"/>
        <v>30288</v>
      </c>
    </row>
    <row r="43" spans="1:1212" s="16" customFormat="1" ht="25.2" customHeight="1" x14ac:dyDescent="0.3">
      <c r="A43" s="178"/>
      <c r="B43" s="178"/>
      <c r="C43" s="343"/>
      <c r="D43" s="838" t="str">
        <f>IF(AL7&lt;C10,CONCATENATE("Срок с учетом перехода на иной тарифный план равен ",AL7," мес."),"")</f>
        <v/>
      </c>
      <c r="E43" s="178"/>
      <c r="F43" s="178"/>
      <c r="G43" s="426">
        <f t="shared" si="28"/>
        <v>35</v>
      </c>
      <c r="H43" s="427">
        <f t="shared" si="47"/>
        <v>45435</v>
      </c>
      <c r="I43" s="423">
        <f t="shared" si="55"/>
        <v>30288</v>
      </c>
      <c r="J43" s="423">
        <f t="shared" si="56"/>
        <v>9076.69</v>
      </c>
      <c r="K43" s="423">
        <f t="shared" si="57"/>
        <v>21211.309999999998</v>
      </c>
      <c r="L43" s="423">
        <f t="shared" si="63"/>
        <v>0</v>
      </c>
      <c r="M43" s="423">
        <f t="shared" si="29"/>
        <v>0</v>
      </c>
      <c r="N43" s="423">
        <f t="shared" si="18"/>
        <v>9076.69</v>
      </c>
      <c r="O43" s="423">
        <f t="shared" si="19"/>
        <v>0</v>
      </c>
      <c r="P43" s="423">
        <f t="shared" si="20"/>
        <v>0</v>
      </c>
      <c r="Q43" s="423">
        <f t="shared" si="58"/>
        <v>634028.72999999975</v>
      </c>
      <c r="R43" s="36">
        <f t="shared" si="30"/>
        <v>26</v>
      </c>
      <c r="S43" s="36">
        <f t="shared" si="59"/>
        <v>26</v>
      </c>
      <c r="T43" s="142">
        <v>18</v>
      </c>
      <c r="U43" s="142">
        <v>30</v>
      </c>
      <c r="V43" s="142">
        <v>42</v>
      </c>
      <c r="W43" s="142">
        <v>54</v>
      </c>
      <c r="X43" s="142">
        <v>60</v>
      </c>
      <c r="Y43" s="142">
        <v>78</v>
      </c>
      <c r="Z43" s="142">
        <v>84</v>
      </c>
      <c r="AA43" s="2"/>
      <c r="AB43" s="2"/>
      <c r="AC43" s="2"/>
      <c r="AD43" s="2"/>
      <c r="AE43" s="2"/>
      <c r="AF43" s="2"/>
      <c r="AG43" s="2"/>
      <c r="AH43" s="57"/>
      <c r="AI43" s="2"/>
      <c r="AJ43" s="15"/>
      <c r="AK43" s="15"/>
      <c r="AL43" s="130">
        <f t="shared" si="22"/>
        <v>1</v>
      </c>
      <c r="AM43" s="438">
        <f t="shared" si="31"/>
        <v>35</v>
      </c>
      <c r="AN43" s="439">
        <f t="shared" si="48"/>
        <v>45435</v>
      </c>
      <c r="AO43" s="435">
        <f t="shared" si="60"/>
        <v>30731</v>
      </c>
      <c r="AP43" s="435">
        <f t="shared" si="61"/>
        <v>10511.29</v>
      </c>
      <c r="AQ43" s="435">
        <f t="shared" si="43"/>
        <v>20219.71</v>
      </c>
      <c r="AR43" s="435">
        <f t="shared" si="62"/>
        <v>0</v>
      </c>
      <c r="AS43" s="435">
        <f t="shared" si="49"/>
        <v>0</v>
      </c>
      <c r="AT43" s="435">
        <f t="shared" si="24"/>
        <v>10511.29</v>
      </c>
      <c r="AU43" s="435">
        <f t="shared" si="44"/>
        <v>0</v>
      </c>
      <c r="AV43" s="435">
        <f t="shared" si="45"/>
        <v>0</v>
      </c>
      <c r="AW43" s="435"/>
      <c r="AX43" s="435"/>
      <c r="AY43" s="435"/>
      <c r="AZ43" s="435"/>
      <c r="BA43" s="435"/>
      <c r="BB43" s="435">
        <f t="shared" si="46"/>
        <v>624191.04</v>
      </c>
      <c r="BC43" s="108">
        <f t="shared" si="33"/>
        <v>32</v>
      </c>
      <c r="BD43" s="108">
        <f t="shared" si="51"/>
        <v>31</v>
      </c>
      <c r="BE43" s="22">
        <f t="shared" si="52"/>
        <v>45253</v>
      </c>
      <c r="BF43" s="108">
        <f t="shared" si="53"/>
        <v>30288</v>
      </c>
    </row>
    <row r="44" spans="1:1212" s="16" customFormat="1" ht="25.95" customHeight="1" x14ac:dyDescent="0.3">
      <c r="A44" s="178"/>
      <c r="B44" s="178"/>
      <c r="C44" s="344"/>
      <c r="D44" s="838"/>
      <c r="E44" s="178"/>
      <c r="F44" s="178"/>
      <c r="G44" s="426">
        <f t="shared" si="28"/>
        <v>36</v>
      </c>
      <c r="H44" s="427">
        <f t="shared" si="47"/>
        <v>45466</v>
      </c>
      <c r="I44" s="423">
        <f t="shared" si="55"/>
        <v>30288</v>
      </c>
      <c r="J44" s="423">
        <f t="shared" si="56"/>
        <v>9075.6200000000008</v>
      </c>
      <c r="K44" s="423">
        <f t="shared" si="57"/>
        <v>21212.379999999997</v>
      </c>
      <c r="L44" s="423">
        <f t="shared" si="63"/>
        <v>0</v>
      </c>
      <c r="M44" s="423">
        <f t="shared" si="29"/>
        <v>0</v>
      </c>
      <c r="N44" s="423">
        <f t="shared" si="18"/>
        <v>9075.6200000000008</v>
      </c>
      <c r="O44" s="423">
        <f t="shared" si="19"/>
        <v>0</v>
      </c>
      <c r="P44" s="423">
        <f t="shared" si="20"/>
        <v>0</v>
      </c>
      <c r="Q44" s="423">
        <f t="shared" si="58"/>
        <v>612816.34999999974</v>
      </c>
      <c r="R44" s="36">
        <f t="shared" si="30"/>
        <v>25</v>
      </c>
      <c r="S44" s="36">
        <f t="shared" si="59"/>
        <v>25</v>
      </c>
      <c r="T44" s="142">
        <v>2400</v>
      </c>
      <c r="U44" s="142">
        <v>2900</v>
      </c>
      <c r="V44" s="142">
        <v>3900</v>
      </c>
      <c r="W44" s="142">
        <v>4900</v>
      </c>
      <c r="X44" s="142">
        <v>5900</v>
      </c>
      <c r="Y44" s="142">
        <v>6900</v>
      </c>
      <c r="Z44" s="142">
        <v>7900</v>
      </c>
      <c r="AA44" s="2"/>
      <c r="AB44" s="3"/>
      <c r="AC44" s="3"/>
      <c r="AD44" s="3"/>
      <c r="AE44" s="3"/>
      <c r="AF44" s="2"/>
      <c r="AG44" s="2"/>
      <c r="AH44" s="57"/>
      <c r="AI44" s="2"/>
      <c r="AJ44" s="15"/>
      <c r="AK44" s="3"/>
      <c r="AL44" s="130">
        <f t="shared" si="22"/>
        <v>1</v>
      </c>
      <c r="AM44" s="438">
        <f t="shared" si="31"/>
        <v>36</v>
      </c>
      <c r="AN44" s="439">
        <f t="shared" si="48"/>
        <v>45466</v>
      </c>
      <c r="AO44" s="435">
        <f t="shared" si="60"/>
        <v>30731</v>
      </c>
      <c r="AP44" s="435">
        <f t="shared" si="61"/>
        <v>10520.86</v>
      </c>
      <c r="AQ44" s="435">
        <f t="shared" si="43"/>
        <v>20210.14</v>
      </c>
      <c r="AR44" s="435">
        <f t="shared" si="62"/>
        <v>0</v>
      </c>
      <c r="AS44" s="435">
        <f t="shared" si="49"/>
        <v>0</v>
      </c>
      <c r="AT44" s="435">
        <f t="shared" si="24"/>
        <v>10520.86</v>
      </c>
      <c r="AU44" s="435">
        <f t="shared" si="44"/>
        <v>0</v>
      </c>
      <c r="AV44" s="435">
        <f t="shared" si="45"/>
        <v>0</v>
      </c>
      <c r="AW44" s="435"/>
      <c r="AX44" s="435"/>
      <c r="AY44" s="435"/>
      <c r="AZ44" s="435"/>
      <c r="BA44" s="435"/>
      <c r="BB44" s="435">
        <f t="shared" si="46"/>
        <v>603980.9</v>
      </c>
      <c r="BC44" s="108">
        <f t="shared" si="33"/>
        <v>31</v>
      </c>
      <c r="BD44" s="108">
        <f t="shared" si="51"/>
        <v>31</v>
      </c>
      <c r="BE44" s="22">
        <f t="shared" si="52"/>
        <v>45283</v>
      </c>
      <c r="BF44" s="108">
        <f t="shared" si="53"/>
        <v>30288</v>
      </c>
    </row>
    <row r="45" spans="1:1212" s="16" customFormat="1" ht="13.8" x14ac:dyDescent="0.3">
      <c r="A45" s="178"/>
      <c r="B45" s="178"/>
      <c r="C45" s="182"/>
      <c r="D45" s="838"/>
      <c r="E45" s="178"/>
      <c r="F45" s="178"/>
      <c r="G45" s="426">
        <f t="shared" si="28"/>
        <v>37</v>
      </c>
      <c r="H45" s="427">
        <f t="shared" si="47"/>
        <v>45496</v>
      </c>
      <c r="I45" s="423">
        <f t="shared" si="55"/>
        <v>30288</v>
      </c>
      <c r="J45" s="423">
        <f t="shared" si="56"/>
        <v>8489.01</v>
      </c>
      <c r="K45" s="423">
        <f t="shared" si="57"/>
        <v>21798.989999999998</v>
      </c>
      <c r="L45" s="423">
        <f t="shared" si="63"/>
        <v>0</v>
      </c>
      <c r="M45" s="423">
        <f t="shared" si="29"/>
        <v>0</v>
      </c>
      <c r="N45" s="423">
        <f t="shared" si="18"/>
        <v>8489.01</v>
      </c>
      <c r="O45" s="423">
        <f t="shared" si="19"/>
        <v>0</v>
      </c>
      <c r="P45" s="423">
        <f t="shared" si="20"/>
        <v>0</v>
      </c>
      <c r="Q45" s="423">
        <f t="shared" si="58"/>
        <v>591017.35999999975</v>
      </c>
      <c r="R45" s="36">
        <f t="shared" si="30"/>
        <v>24</v>
      </c>
      <c r="S45" s="36">
        <f t="shared" si="59"/>
        <v>24</v>
      </c>
      <c r="T45" s="158">
        <v>1400</v>
      </c>
      <c r="U45" s="158">
        <v>1900</v>
      </c>
      <c r="V45" s="158">
        <v>2900</v>
      </c>
      <c r="W45" s="158">
        <v>3900</v>
      </c>
      <c r="X45" s="158">
        <v>4900</v>
      </c>
      <c r="Y45" s="158">
        <v>5900</v>
      </c>
      <c r="Z45" s="158">
        <v>6900</v>
      </c>
      <c r="AA45" s="2"/>
      <c r="AB45" s="3"/>
      <c r="AC45" s="3"/>
      <c r="AD45" s="3"/>
      <c r="AE45" s="3"/>
      <c r="AF45" s="2"/>
      <c r="AG45" s="2"/>
      <c r="AH45" s="57"/>
      <c r="AI45" s="2"/>
      <c r="AJ45" s="3"/>
      <c r="AL45" s="130">
        <f t="shared" si="22"/>
        <v>1</v>
      </c>
      <c r="AM45" s="438">
        <f t="shared" si="31"/>
        <v>37</v>
      </c>
      <c r="AN45" s="439">
        <f t="shared" si="48"/>
        <v>45496</v>
      </c>
      <c r="AO45" s="435">
        <f t="shared" si="60"/>
        <v>30731</v>
      </c>
      <c r="AP45" s="435">
        <f t="shared" si="61"/>
        <v>9851.82</v>
      </c>
      <c r="AQ45" s="435">
        <f t="shared" si="43"/>
        <v>20879.18</v>
      </c>
      <c r="AR45" s="435">
        <f t="shared" si="62"/>
        <v>0</v>
      </c>
      <c r="AS45" s="435">
        <f t="shared" si="49"/>
        <v>0</v>
      </c>
      <c r="AT45" s="435">
        <f t="shared" si="24"/>
        <v>9851.82</v>
      </c>
      <c r="AU45" s="435">
        <f t="shared" si="44"/>
        <v>0</v>
      </c>
      <c r="AV45" s="435">
        <f t="shared" si="45"/>
        <v>0</v>
      </c>
      <c r="AW45" s="435"/>
      <c r="AX45" s="435"/>
      <c r="AY45" s="435"/>
      <c r="AZ45" s="435"/>
      <c r="BA45" s="435"/>
      <c r="BB45" s="435">
        <f t="shared" si="46"/>
        <v>583101.72</v>
      </c>
      <c r="BC45" s="108">
        <f t="shared" si="33"/>
        <v>30</v>
      </c>
      <c r="BD45" s="108">
        <f t="shared" si="51"/>
        <v>30</v>
      </c>
      <c r="BE45" s="22">
        <f t="shared" si="52"/>
        <v>45314</v>
      </c>
      <c r="BF45" s="108">
        <f t="shared" si="53"/>
        <v>30288</v>
      </c>
    </row>
    <row r="46" spans="1:1212" s="16" customFormat="1" ht="13.8" x14ac:dyDescent="0.3">
      <c r="A46" s="178"/>
      <c r="B46" s="178"/>
      <c r="C46" s="178"/>
      <c r="D46" s="838"/>
      <c r="E46" s="178"/>
      <c r="F46" s="178"/>
      <c r="G46" s="426">
        <f t="shared" si="28"/>
        <v>38</v>
      </c>
      <c r="H46" s="427">
        <f t="shared" si="47"/>
        <v>45527</v>
      </c>
      <c r="I46" s="423">
        <f t="shared" si="55"/>
        <v>30288</v>
      </c>
      <c r="J46" s="423">
        <f t="shared" si="56"/>
        <v>8459.9500000000007</v>
      </c>
      <c r="K46" s="423">
        <f t="shared" si="57"/>
        <v>21828.05</v>
      </c>
      <c r="L46" s="423">
        <f t="shared" si="63"/>
        <v>0</v>
      </c>
      <c r="M46" s="423">
        <f t="shared" si="29"/>
        <v>0</v>
      </c>
      <c r="N46" s="423">
        <f t="shared" si="18"/>
        <v>8459.9500000000007</v>
      </c>
      <c r="O46" s="423">
        <f t="shared" si="19"/>
        <v>0</v>
      </c>
      <c r="P46" s="423">
        <f t="shared" si="20"/>
        <v>0</v>
      </c>
      <c r="Q46" s="423">
        <f t="shared" si="58"/>
        <v>569189.30999999971</v>
      </c>
      <c r="R46" s="36">
        <f t="shared" si="30"/>
        <v>23</v>
      </c>
      <c r="S46" s="36">
        <f t="shared" si="59"/>
        <v>23</v>
      </c>
      <c r="T46" s="2">
        <f>IF(C19="Да",IF($C$10&gt;=79,$Z$44,IF($C$10&gt;=67,$Y$44,IF($C$10&gt;=55,$X$44,IF($C$10&gt;=43,$W$44,IF($C$10&gt;=31,$V$44,IF($C$10&gt;=19,$U$44,$T$44)))))),"")</f>
        <v>5900</v>
      </c>
      <c r="U46" s="2">
        <f>IF(D19="Да",IF($C$10&gt;=79,$Z$44,IF($C$10&gt;=67,$Y$44,IF($C$10&gt;=55,$X$44,IF($C$10&gt;=43,$W$44,IF($C$10&gt;=31,$V$44,IF($C$10&gt;=19,$U$44,$T$44)))))),"")</f>
        <v>5900</v>
      </c>
      <c r="V46" s="2"/>
      <c r="W46" s="2"/>
      <c r="X46" s="2"/>
      <c r="Y46" s="2"/>
      <c r="Z46" s="2"/>
      <c r="AA46" s="2"/>
      <c r="AB46" s="3"/>
      <c r="AC46" s="3"/>
      <c r="AD46" s="3"/>
      <c r="AE46" s="3"/>
      <c r="AF46" s="2"/>
      <c r="AG46" s="2"/>
      <c r="AH46" s="57"/>
      <c r="AI46" s="2"/>
      <c r="AJ46" s="18">
        <f>AO8</f>
        <v>-1161900</v>
      </c>
      <c r="AK46" s="57">
        <f>AN8</f>
        <v>44370</v>
      </c>
      <c r="AL46" s="130">
        <f t="shared" si="22"/>
        <v>1</v>
      </c>
      <c r="AM46" s="438">
        <f t="shared" si="31"/>
        <v>38</v>
      </c>
      <c r="AN46" s="439">
        <f t="shared" si="48"/>
        <v>45527</v>
      </c>
      <c r="AO46" s="435">
        <f t="shared" si="60"/>
        <v>30731</v>
      </c>
      <c r="AP46" s="435">
        <f t="shared" si="61"/>
        <v>9828.2900000000009</v>
      </c>
      <c r="AQ46" s="435">
        <f t="shared" si="43"/>
        <v>20902.71</v>
      </c>
      <c r="AR46" s="435">
        <f t="shared" si="62"/>
        <v>0</v>
      </c>
      <c r="AS46" s="435">
        <f t="shared" si="49"/>
        <v>0</v>
      </c>
      <c r="AT46" s="435">
        <f t="shared" si="24"/>
        <v>9828.2900000000009</v>
      </c>
      <c r="AU46" s="435">
        <f t="shared" si="44"/>
        <v>0</v>
      </c>
      <c r="AV46" s="435">
        <f t="shared" si="45"/>
        <v>0</v>
      </c>
      <c r="AW46" s="435"/>
      <c r="AX46" s="435"/>
      <c r="AY46" s="435"/>
      <c r="AZ46" s="435"/>
      <c r="BA46" s="435"/>
      <c r="BB46" s="435">
        <f t="shared" si="46"/>
        <v>562199.01</v>
      </c>
      <c r="BC46" s="108">
        <f t="shared" si="33"/>
        <v>29</v>
      </c>
      <c r="BD46" s="108">
        <f t="shared" si="51"/>
        <v>29</v>
      </c>
      <c r="BE46" s="22">
        <f t="shared" si="52"/>
        <v>45345</v>
      </c>
      <c r="BF46" s="108">
        <f t="shared" si="53"/>
        <v>30288</v>
      </c>
    </row>
    <row r="47" spans="1:1212" s="16" customFormat="1" x14ac:dyDescent="0.3">
      <c r="A47" s="178"/>
      <c r="B47" s="178"/>
      <c r="C47" s="178"/>
      <c r="D47" s="838"/>
      <c r="E47" s="178"/>
      <c r="F47" s="178"/>
      <c r="G47" s="426">
        <f t="shared" si="28"/>
        <v>39</v>
      </c>
      <c r="H47" s="427">
        <f t="shared" si="47"/>
        <v>45558</v>
      </c>
      <c r="I47" s="423">
        <f t="shared" si="55"/>
        <v>30288</v>
      </c>
      <c r="J47" s="423">
        <f t="shared" si="56"/>
        <v>8147.49</v>
      </c>
      <c r="K47" s="423">
        <f t="shared" si="57"/>
        <v>22140.510000000002</v>
      </c>
      <c r="L47" s="423">
        <f t="shared" si="63"/>
        <v>0</v>
      </c>
      <c r="M47" s="423">
        <f t="shared" si="29"/>
        <v>0</v>
      </c>
      <c r="N47" s="423">
        <f t="shared" si="18"/>
        <v>8147.49</v>
      </c>
      <c r="O47" s="423">
        <f t="shared" si="19"/>
        <v>0</v>
      </c>
      <c r="P47" s="423">
        <f t="shared" si="20"/>
        <v>0</v>
      </c>
      <c r="Q47" s="423">
        <f t="shared" si="58"/>
        <v>547048.7999999997</v>
      </c>
      <c r="R47" s="36">
        <f t="shared" si="30"/>
        <v>22</v>
      </c>
      <c r="S47" s="36">
        <f t="shared" si="59"/>
        <v>22</v>
      </c>
      <c r="T47" s="2">
        <f>IF(C19="Да",IF($C$10&gt;=79,$Z$45,IF($C$10&gt;=67,$Y$45,IF($C$10&gt;=55,$X$45,IF($C$10&gt;=43,$W$45,IF($C$10&gt;=31,$V$45,IF($C$10&gt;=19,$U$45,$T$45)))))),"")</f>
        <v>4900</v>
      </c>
      <c r="U47" s="2">
        <f>IF(D19="Да",IF($C$10&gt;=79,$Z$45,IF($C$10&gt;=67,$Y$45,IF($C$10&gt;=55,$X$45,IF($C$10&gt;=43,$W$45,IF($C$10&gt;=31,$V$45,IF($C$10&gt;=19,$U$45,$T$45)))))),"")</f>
        <v>4900</v>
      </c>
      <c r="V47" s="2"/>
      <c r="W47" s="2"/>
      <c r="X47" s="2"/>
      <c r="Y47" s="37"/>
      <c r="Z47" s="38">
        <v>0</v>
      </c>
      <c r="AA47" s="1" t="s">
        <v>20</v>
      </c>
      <c r="AB47" s="6" t="s">
        <v>15</v>
      </c>
      <c r="AC47" s="6"/>
      <c r="AD47" s="6">
        <f>IF(C11=T3,T35,IF(C11=U3,U35,IF(C11=V3,V35,IF(C11=W3,W35,IF(C11=X3,X35,IF(C11=AB3,AB28,IF(C11=AC3,AC28,IF(C11=AD3,AD28,IF(C11=AE3,AE28,IF(C11=AF3,AF28,IF(C11=AG3,AG28,IF(C11=AH3,AH28,IF(C11=AI3,AI28,IF(C11=AJ3,AJ11,IF(C11=AK3,AK11,IF(C11=AL3,AL11,IF(C11=AM3,AM11,IF(C11=AN3,AN11,IF(C11=AQ3,AQ11,IF(C11=Y3,Y28,IF(C11=Z3,Z28,IF(C11=AA3,AA28,IF(C11=AO3,AO11,IF(C11=AP3,AP11,X35))))))))))))))))))))))))</f>
        <v>1</v>
      </c>
      <c r="AE47" s="27">
        <v>41274</v>
      </c>
      <c r="AF47" s="2">
        <v>6</v>
      </c>
      <c r="AG47" s="2"/>
      <c r="AH47" s="2"/>
      <c r="AJ47" s="34">
        <f>IF(OR(D8="Гарантия стандарт",D8="Гарантия пакет"),D25,0)</f>
        <v>0</v>
      </c>
      <c r="AK47" s="57">
        <f>AN8</f>
        <v>44370</v>
      </c>
      <c r="AL47" s="130">
        <f t="shared" si="22"/>
        <v>1</v>
      </c>
      <c r="AM47" s="438">
        <f t="shared" si="31"/>
        <v>39</v>
      </c>
      <c r="AN47" s="439">
        <f t="shared" si="48"/>
        <v>45558</v>
      </c>
      <c r="AO47" s="435">
        <f t="shared" si="60"/>
        <v>30731</v>
      </c>
      <c r="AP47" s="435">
        <f t="shared" si="61"/>
        <v>9475.9699999999993</v>
      </c>
      <c r="AQ47" s="435">
        <f t="shared" si="43"/>
        <v>21255.03</v>
      </c>
      <c r="AR47" s="435">
        <f t="shared" si="62"/>
        <v>0</v>
      </c>
      <c r="AS47" s="435">
        <f t="shared" si="49"/>
        <v>0</v>
      </c>
      <c r="AT47" s="435">
        <f t="shared" si="24"/>
        <v>9475.9699999999993</v>
      </c>
      <c r="AU47" s="435">
        <f t="shared" si="44"/>
        <v>0</v>
      </c>
      <c r="AV47" s="435">
        <f t="shared" si="45"/>
        <v>0</v>
      </c>
      <c r="AW47" s="435"/>
      <c r="AX47" s="435"/>
      <c r="AY47" s="435"/>
      <c r="AZ47" s="435"/>
      <c r="BA47" s="435"/>
      <c r="BB47" s="435">
        <f t="shared" si="46"/>
        <v>540943.98</v>
      </c>
      <c r="BC47" s="108">
        <f t="shared" si="33"/>
        <v>28</v>
      </c>
      <c r="BD47" s="108">
        <f t="shared" si="51"/>
        <v>28</v>
      </c>
      <c r="BE47" s="22">
        <f t="shared" si="52"/>
        <v>45374</v>
      </c>
      <c r="BF47" s="108">
        <f t="shared" si="53"/>
        <v>30288</v>
      </c>
    </row>
    <row r="48" spans="1:1212" s="16" customFormat="1" ht="12" customHeight="1" x14ac:dyDescent="0.3">
      <c r="A48" s="178"/>
      <c r="B48" s="178"/>
      <c r="C48" s="178"/>
      <c r="D48" s="838"/>
      <c r="E48" s="178"/>
      <c r="F48" s="178"/>
      <c r="G48" s="426">
        <f t="shared" si="28"/>
        <v>40</v>
      </c>
      <c r="H48" s="427">
        <f t="shared" si="47"/>
        <v>45588</v>
      </c>
      <c r="I48" s="423">
        <f t="shared" si="55"/>
        <v>30288</v>
      </c>
      <c r="J48" s="423">
        <f t="shared" si="56"/>
        <v>7577.97</v>
      </c>
      <c r="K48" s="423">
        <f t="shared" si="57"/>
        <v>22710.03</v>
      </c>
      <c r="L48" s="423">
        <f t="shared" si="63"/>
        <v>0</v>
      </c>
      <c r="M48" s="423">
        <f t="shared" si="29"/>
        <v>0</v>
      </c>
      <c r="N48" s="423">
        <f t="shared" si="18"/>
        <v>7577.97</v>
      </c>
      <c r="O48" s="423">
        <f t="shared" si="19"/>
        <v>0</v>
      </c>
      <c r="P48" s="423">
        <f t="shared" si="20"/>
        <v>0</v>
      </c>
      <c r="Q48" s="423">
        <f t="shared" si="58"/>
        <v>524338.76999999967</v>
      </c>
      <c r="R48" s="36">
        <f t="shared" si="30"/>
        <v>21</v>
      </c>
      <c r="S48" s="36">
        <f t="shared" si="59"/>
        <v>21</v>
      </c>
      <c r="T48" s="2"/>
      <c r="U48" s="2"/>
      <c r="V48" s="2"/>
      <c r="W48" s="2"/>
      <c r="X48" s="2"/>
      <c r="Y48" s="37"/>
      <c r="Z48" s="39">
        <f>C7*(1-Z47)</f>
        <v>1000000</v>
      </c>
      <c r="AA48" s="9" t="s">
        <v>29</v>
      </c>
      <c r="AB48" s="2" t="s">
        <v>17</v>
      </c>
      <c r="AC48" s="2"/>
      <c r="AD48" s="2">
        <v>7.4000000000000003E-3</v>
      </c>
      <c r="AE48" s="59">
        <v>41750</v>
      </c>
      <c r="AF48" s="2">
        <v>72</v>
      </c>
      <c r="AG48" s="2"/>
      <c r="AH48" s="2"/>
      <c r="AI48" s="2">
        <f t="shared" ref="AI48:AI67" si="64">IF(AND(V16&gt;=$T$22,V16&lt;=$T$22+5),0,IF($C$9&gt;$AC$51,ROUND(AF8*$C$14/(DATEVALUE(CONCATENATE("01/01/",YEAR(W16)+1))-DATEVALUE(CONCATENATE("01/01/",YEAR(W16))))*(W16-W15),2),0))</f>
        <v>0</v>
      </c>
      <c r="AJ48" s="34">
        <f t="shared" ref="AJ48:AJ59" si="65">AO9</f>
        <v>30731</v>
      </c>
      <c r="AK48" s="57">
        <f>AK47+365</f>
        <v>44735</v>
      </c>
      <c r="AL48" s="130">
        <f t="shared" si="22"/>
        <v>1</v>
      </c>
      <c r="AM48" s="438">
        <f t="shared" si="31"/>
        <v>40</v>
      </c>
      <c r="AN48" s="439">
        <f t="shared" si="48"/>
        <v>45588</v>
      </c>
      <c r="AO48" s="435">
        <f t="shared" si="60"/>
        <v>30731</v>
      </c>
      <c r="AP48" s="435">
        <f t="shared" si="61"/>
        <v>8823.59</v>
      </c>
      <c r="AQ48" s="435">
        <f t="shared" si="43"/>
        <v>21907.41</v>
      </c>
      <c r="AR48" s="435">
        <f t="shared" si="62"/>
        <v>0</v>
      </c>
      <c r="AS48" s="435">
        <f t="shared" si="49"/>
        <v>0</v>
      </c>
      <c r="AT48" s="435">
        <f t="shared" si="24"/>
        <v>8823.59</v>
      </c>
      <c r="AU48" s="435">
        <f t="shared" si="44"/>
        <v>0</v>
      </c>
      <c r="AV48" s="435">
        <f t="shared" si="45"/>
        <v>0</v>
      </c>
      <c r="AW48" s="435"/>
      <c r="AX48" s="435"/>
      <c r="AY48" s="435"/>
      <c r="AZ48" s="435"/>
      <c r="BA48" s="435"/>
      <c r="BB48" s="435">
        <f t="shared" si="46"/>
        <v>519036.57</v>
      </c>
      <c r="BC48" s="108">
        <f t="shared" si="33"/>
        <v>27</v>
      </c>
      <c r="BD48" s="108">
        <f t="shared" si="51"/>
        <v>27</v>
      </c>
      <c r="BE48" s="22">
        <f t="shared" si="52"/>
        <v>45405</v>
      </c>
      <c r="BF48" s="108">
        <f t="shared" si="53"/>
        <v>30288</v>
      </c>
    </row>
    <row r="49" spans="1:59" s="16" customFormat="1" ht="12" customHeight="1" x14ac:dyDescent="0.3">
      <c r="A49" s="178"/>
      <c r="B49" s="178"/>
      <c r="C49" s="178"/>
      <c r="D49" s="838"/>
      <c r="E49" s="178"/>
      <c r="F49" s="178"/>
      <c r="G49" s="426">
        <f t="shared" si="28"/>
        <v>41</v>
      </c>
      <c r="H49" s="427">
        <f t="shared" si="47"/>
        <v>45619</v>
      </c>
      <c r="I49" s="423">
        <f t="shared" si="55"/>
        <v>30288</v>
      </c>
      <c r="J49" s="423">
        <f t="shared" si="56"/>
        <v>7505.49</v>
      </c>
      <c r="K49" s="423">
        <f t="shared" si="57"/>
        <v>22782.510000000002</v>
      </c>
      <c r="L49" s="423">
        <f t="shared" si="63"/>
        <v>0</v>
      </c>
      <c r="M49" s="423">
        <f t="shared" si="29"/>
        <v>0</v>
      </c>
      <c r="N49" s="423">
        <f t="shared" si="18"/>
        <v>7505.49</v>
      </c>
      <c r="O49" s="423">
        <f t="shared" si="19"/>
        <v>0</v>
      </c>
      <c r="P49" s="423">
        <f t="shared" si="20"/>
        <v>0</v>
      </c>
      <c r="Q49" s="423">
        <f t="shared" si="58"/>
        <v>501556.25999999966</v>
      </c>
      <c r="R49" s="36">
        <f t="shared" si="30"/>
        <v>20</v>
      </c>
      <c r="S49" s="36">
        <f t="shared" si="59"/>
        <v>20</v>
      </c>
      <c r="T49" s="2"/>
      <c r="U49" s="2"/>
      <c r="V49" s="2"/>
      <c r="W49" s="2"/>
      <c r="X49" s="2"/>
      <c r="Y49" s="37"/>
      <c r="Z49" s="41">
        <f>ROUNDUP(C7*AA49,0)</f>
        <v>0</v>
      </c>
      <c r="AA49" s="12">
        <v>0</v>
      </c>
      <c r="AB49" s="1">
        <v>15000</v>
      </c>
      <c r="AC49" s="53">
        <v>41365</v>
      </c>
      <c r="AD49" s="1">
        <v>500</v>
      </c>
      <c r="AE49" s="2">
        <f>ROUNDUP(($AA$55)/AD47,0)*AD47</f>
        <v>30288</v>
      </c>
      <c r="AF49" s="2"/>
      <c r="AG49" s="2"/>
      <c r="AH49" s="2"/>
      <c r="AI49" s="2">
        <f t="shared" si="64"/>
        <v>0</v>
      </c>
      <c r="AJ49" s="34">
        <f t="shared" si="65"/>
        <v>30731</v>
      </c>
      <c r="AK49" s="57">
        <f t="shared" ref="AK49:AK112" si="66">AK48+365</f>
        <v>45100</v>
      </c>
      <c r="AL49" s="130">
        <f t="shared" si="22"/>
        <v>1</v>
      </c>
      <c r="AM49" s="438">
        <f t="shared" si="31"/>
        <v>41</v>
      </c>
      <c r="AN49" s="439">
        <f t="shared" si="48"/>
        <v>45619</v>
      </c>
      <c r="AO49" s="435">
        <f t="shared" si="60"/>
        <v>30731</v>
      </c>
      <c r="AP49" s="435">
        <f t="shared" si="61"/>
        <v>8748.4599999999991</v>
      </c>
      <c r="AQ49" s="435">
        <f t="shared" si="43"/>
        <v>21982.54</v>
      </c>
      <c r="AR49" s="435">
        <f t="shared" si="62"/>
        <v>0</v>
      </c>
      <c r="AS49" s="435">
        <f t="shared" si="49"/>
        <v>0</v>
      </c>
      <c r="AT49" s="435">
        <f t="shared" si="24"/>
        <v>8748.4599999999991</v>
      </c>
      <c r="AU49" s="435">
        <f t="shared" si="44"/>
        <v>0</v>
      </c>
      <c r="AV49" s="435">
        <f t="shared" si="45"/>
        <v>0</v>
      </c>
      <c r="AW49" s="435"/>
      <c r="AX49" s="435"/>
      <c r="AY49" s="435"/>
      <c r="AZ49" s="435"/>
      <c r="BA49" s="435"/>
      <c r="BB49" s="435">
        <f t="shared" si="46"/>
        <v>497054.03</v>
      </c>
      <c r="BC49" s="108">
        <f t="shared" si="33"/>
        <v>26</v>
      </c>
      <c r="BD49" s="108">
        <f t="shared" si="51"/>
        <v>26</v>
      </c>
      <c r="BE49" s="22">
        <f t="shared" si="52"/>
        <v>45435</v>
      </c>
      <c r="BF49" s="108">
        <f t="shared" si="53"/>
        <v>30288</v>
      </c>
    </row>
    <row r="50" spans="1:59" s="16" customFormat="1" ht="12.75" customHeight="1" thickBot="1" x14ac:dyDescent="0.35">
      <c r="A50" s="178"/>
      <c r="B50" s="178"/>
      <c r="C50" s="178"/>
      <c r="D50" s="178"/>
      <c r="E50" s="178"/>
      <c r="F50" s="178"/>
      <c r="G50" s="426">
        <f t="shared" si="28"/>
        <v>42</v>
      </c>
      <c r="H50" s="427">
        <f t="shared" si="47"/>
        <v>45649</v>
      </c>
      <c r="I50" s="423">
        <f t="shared" si="55"/>
        <v>30288</v>
      </c>
      <c r="J50" s="423">
        <f t="shared" si="56"/>
        <v>6947.79</v>
      </c>
      <c r="K50" s="423">
        <f t="shared" si="57"/>
        <v>23340.21</v>
      </c>
      <c r="L50" s="423">
        <f t="shared" si="63"/>
        <v>0</v>
      </c>
      <c r="M50" s="423">
        <f t="shared" si="29"/>
        <v>0</v>
      </c>
      <c r="N50" s="423">
        <f t="shared" si="18"/>
        <v>6947.79</v>
      </c>
      <c r="O50" s="423">
        <f t="shared" si="19"/>
        <v>0</v>
      </c>
      <c r="P50" s="423">
        <f t="shared" si="20"/>
        <v>0</v>
      </c>
      <c r="Q50" s="423">
        <f t="shared" si="58"/>
        <v>478216.04999999964</v>
      </c>
      <c r="R50" s="36">
        <f t="shared" si="30"/>
        <v>19</v>
      </c>
      <c r="S50" s="36">
        <f t="shared" si="59"/>
        <v>19</v>
      </c>
      <c r="T50" s="2"/>
      <c r="U50" s="2"/>
      <c r="V50" s="2"/>
      <c r="W50" s="2"/>
      <c r="X50" s="2"/>
      <c r="Y50" s="40"/>
      <c r="Z50" s="42">
        <v>24</v>
      </c>
      <c r="AA50" s="14"/>
      <c r="AB50" s="1">
        <f>IF(C9&lt;AC49,300000,1000000)</f>
        <v>1000000</v>
      </c>
      <c r="AC50" s="53">
        <v>41501</v>
      </c>
      <c r="AD50" s="53">
        <v>41882</v>
      </c>
      <c r="AE50" s="2" t="e">
        <f>IF(C9&gt;AD50,XIRR(U55:U134,V55:V134)*12,XIRR(U55:U133,H8:H86))</f>
        <v>#NUM!</v>
      </c>
      <c r="AF50" s="2"/>
      <c r="AG50" s="2"/>
      <c r="AH50" s="2"/>
      <c r="AI50" s="2">
        <f t="shared" si="64"/>
        <v>0</v>
      </c>
      <c r="AJ50" s="34">
        <f t="shared" si="65"/>
        <v>30731</v>
      </c>
      <c r="AK50" s="57">
        <f t="shared" si="66"/>
        <v>45465</v>
      </c>
      <c r="AL50" s="130">
        <f t="shared" si="22"/>
        <v>1</v>
      </c>
      <c r="AM50" s="438">
        <f t="shared" si="31"/>
        <v>42</v>
      </c>
      <c r="AN50" s="439">
        <f t="shared" si="48"/>
        <v>45649</v>
      </c>
      <c r="AO50" s="435">
        <f t="shared" si="60"/>
        <v>30731</v>
      </c>
      <c r="AP50" s="435">
        <f t="shared" si="61"/>
        <v>8107.68</v>
      </c>
      <c r="AQ50" s="435">
        <f t="shared" si="43"/>
        <v>22623.32</v>
      </c>
      <c r="AR50" s="435">
        <f t="shared" si="62"/>
        <v>0</v>
      </c>
      <c r="AS50" s="435">
        <f t="shared" si="49"/>
        <v>0</v>
      </c>
      <c r="AT50" s="435">
        <f t="shared" si="24"/>
        <v>8107.68</v>
      </c>
      <c r="AU50" s="435">
        <f t="shared" si="44"/>
        <v>0</v>
      </c>
      <c r="AV50" s="435">
        <f t="shared" si="45"/>
        <v>0</v>
      </c>
      <c r="AW50" s="435"/>
      <c r="AX50" s="435"/>
      <c r="AY50" s="435"/>
      <c r="AZ50" s="435"/>
      <c r="BA50" s="435"/>
      <c r="BB50" s="435">
        <f t="shared" si="46"/>
        <v>474430.71</v>
      </c>
      <c r="BC50" s="108">
        <f t="shared" si="33"/>
        <v>25</v>
      </c>
      <c r="BD50" s="108">
        <f t="shared" si="51"/>
        <v>25</v>
      </c>
      <c r="BE50" s="22">
        <f t="shared" si="52"/>
        <v>45466</v>
      </c>
      <c r="BF50" s="108">
        <f t="shared" si="53"/>
        <v>30288</v>
      </c>
    </row>
    <row r="51" spans="1:59" s="16" customFormat="1" ht="12.75" customHeight="1" x14ac:dyDescent="0.3">
      <c r="A51" s="178"/>
      <c r="B51" s="178"/>
      <c r="C51" s="178"/>
      <c r="D51" s="178"/>
      <c r="E51" s="178"/>
      <c r="F51" s="178"/>
      <c r="G51" s="426">
        <f t="shared" si="28"/>
        <v>43</v>
      </c>
      <c r="H51" s="427">
        <f t="shared" si="47"/>
        <v>45680</v>
      </c>
      <c r="I51" s="423">
        <f t="shared" si="55"/>
        <v>30288</v>
      </c>
      <c r="J51" s="423">
        <f t="shared" si="56"/>
        <v>6859.2</v>
      </c>
      <c r="K51" s="423">
        <f t="shared" si="57"/>
        <v>23428.799999999999</v>
      </c>
      <c r="L51" s="423">
        <f t="shared" si="63"/>
        <v>0</v>
      </c>
      <c r="M51" s="423">
        <f t="shared" si="29"/>
        <v>0</v>
      </c>
      <c r="N51" s="423">
        <f t="shared" si="18"/>
        <v>6859.2</v>
      </c>
      <c r="O51" s="423">
        <f t="shared" si="19"/>
        <v>0</v>
      </c>
      <c r="P51" s="423">
        <f t="shared" si="20"/>
        <v>0</v>
      </c>
      <c r="Q51" s="423">
        <f t="shared" si="58"/>
        <v>454787.24999999965</v>
      </c>
      <c r="R51" s="36">
        <f t="shared" si="30"/>
        <v>18</v>
      </c>
      <c r="S51" s="36">
        <f t="shared" si="59"/>
        <v>18</v>
      </c>
      <c r="T51" s="2"/>
      <c r="U51" s="2"/>
      <c r="V51" s="2"/>
      <c r="W51" s="2"/>
      <c r="X51" s="2"/>
      <c r="Y51" s="17">
        <f>Z51/C7</f>
        <v>0.84318872</v>
      </c>
      <c r="Z51" s="42">
        <f>(D30-C7)</f>
        <v>843188.72</v>
      </c>
      <c r="AA51" s="58"/>
      <c r="AB51" s="53">
        <v>41632</v>
      </c>
      <c r="AC51" s="53">
        <v>41820</v>
      </c>
      <c r="AD51" s="53">
        <v>41857</v>
      </c>
      <c r="AE51" s="46">
        <v>41991</v>
      </c>
      <c r="AF51" s="18">
        <v>0</v>
      </c>
      <c r="AG51" s="3"/>
      <c r="AH51" s="3"/>
      <c r="AI51" s="2">
        <f t="shared" si="64"/>
        <v>0</v>
      </c>
      <c r="AJ51" s="34">
        <f t="shared" si="65"/>
        <v>30731</v>
      </c>
      <c r="AK51" s="57">
        <f t="shared" si="66"/>
        <v>45830</v>
      </c>
      <c r="AL51" s="130">
        <f t="shared" si="22"/>
        <v>1</v>
      </c>
      <c r="AM51" s="438">
        <f t="shared" si="31"/>
        <v>43</v>
      </c>
      <c r="AN51" s="439">
        <f t="shared" si="48"/>
        <v>45680</v>
      </c>
      <c r="AO51" s="435">
        <f t="shared" si="60"/>
        <v>30731</v>
      </c>
      <c r="AP51" s="435">
        <f t="shared" si="61"/>
        <v>8012.88</v>
      </c>
      <c r="AQ51" s="435">
        <f t="shared" ref="AQ51:AQ74" si="67">IF(BD57=0,0,IF(BD57=1,BB50,IF(BB50+AR51+AP51&gt;AO50,AO51-AP51-AR51,BB50)))</f>
        <v>22718.12</v>
      </c>
      <c r="AR51" s="435">
        <f t="shared" si="62"/>
        <v>0</v>
      </c>
      <c r="AS51" s="435">
        <f t="shared" si="49"/>
        <v>0</v>
      </c>
      <c r="AT51" s="435">
        <f t="shared" si="24"/>
        <v>8012.88</v>
      </c>
      <c r="AU51" s="435">
        <f t="shared" ref="AU51:AU73" si="68">IF(BD57=0,0,0)</f>
        <v>0</v>
      </c>
      <c r="AV51" s="435">
        <f t="shared" ref="AV51:AV73" si="69">IF(BD57=0,0,0)</f>
        <v>0</v>
      </c>
      <c r="AW51" s="435"/>
      <c r="AX51" s="435"/>
      <c r="AY51" s="435"/>
      <c r="AZ51" s="435"/>
      <c r="BA51" s="435"/>
      <c r="BB51" s="435">
        <f t="shared" ref="BB51:BB74" si="70">IF(OR(BD57=1,BB50=0),0,BB50-AQ51)</f>
        <v>451712.59</v>
      </c>
      <c r="BC51" s="108">
        <f t="shared" si="33"/>
        <v>24</v>
      </c>
      <c r="BD51" s="108">
        <f t="shared" si="51"/>
        <v>24</v>
      </c>
      <c r="BE51" s="22">
        <f t="shared" si="52"/>
        <v>45496</v>
      </c>
      <c r="BF51" s="108">
        <f t="shared" si="53"/>
        <v>30288</v>
      </c>
    </row>
    <row r="52" spans="1:59" s="16" customFormat="1" ht="12.75" customHeight="1" x14ac:dyDescent="0.3">
      <c r="A52" s="178"/>
      <c r="B52" s="178"/>
      <c r="C52" s="180"/>
      <c r="D52" s="181"/>
      <c r="E52" s="178"/>
      <c r="F52" s="178"/>
      <c r="G52" s="426">
        <f t="shared" si="28"/>
        <v>44</v>
      </c>
      <c r="H52" s="427">
        <f t="shared" si="47"/>
        <v>45711</v>
      </c>
      <c r="I52" s="423">
        <f t="shared" si="55"/>
        <v>30288</v>
      </c>
      <c r="J52" s="423">
        <f t="shared" si="56"/>
        <v>6527.75</v>
      </c>
      <c r="K52" s="423">
        <f t="shared" si="57"/>
        <v>23760.25</v>
      </c>
      <c r="L52" s="423">
        <f t="shared" si="63"/>
        <v>0</v>
      </c>
      <c r="M52" s="423">
        <f t="shared" si="29"/>
        <v>0</v>
      </c>
      <c r="N52" s="423">
        <f t="shared" si="18"/>
        <v>6527.75</v>
      </c>
      <c r="O52" s="423">
        <f t="shared" si="19"/>
        <v>0</v>
      </c>
      <c r="P52" s="423">
        <f t="shared" si="20"/>
        <v>0</v>
      </c>
      <c r="Q52" s="423">
        <f t="shared" si="58"/>
        <v>431026.99999999965</v>
      </c>
      <c r="R52" s="36">
        <f t="shared" si="30"/>
        <v>17</v>
      </c>
      <c r="S52" s="36">
        <f t="shared" si="59"/>
        <v>17</v>
      </c>
      <c r="T52" s="2"/>
      <c r="U52" s="2"/>
      <c r="V52" s="2"/>
      <c r="W52" s="2"/>
      <c r="X52" s="2"/>
      <c r="Y52" s="17">
        <f>IF(C8=Z59,Z65,IF(C8=AA59,AA65,IF(C8=AC59,AC65,IF(C8=AD59,AD65,IF(C8=AB59,AB65,IF(C8=AE59,AE65,IF(C8=AF59,AF65,IF(C8=#REF!,AG65,V35))))))))</f>
        <v>2E-3</v>
      </c>
      <c r="Z52" s="42"/>
      <c r="AA52" s="58"/>
      <c r="AB52" s="53">
        <v>42124</v>
      </c>
      <c r="AC52" s="53"/>
      <c r="AD52" s="53"/>
      <c r="AE52" s="46"/>
      <c r="AF52" s="2"/>
      <c r="AG52" s="3"/>
      <c r="AH52" s="3"/>
      <c r="AI52" s="2">
        <f t="shared" si="64"/>
        <v>0</v>
      </c>
      <c r="AJ52" s="34">
        <f t="shared" si="65"/>
        <v>30731</v>
      </c>
      <c r="AK52" s="57">
        <f t="shared" si="66"/>
        <v>46195</v>
      </c>
      <c r="AL52" s="130">
        <f t="shared" si="22"/>
        <v>1</v>
      </c>
      <c r="AM52" s="438">
        <f t="shared" si="31"/>
        <v>44</v>
      </c>
      <c r="AN52" s="439">
        <f t="shared" si="48"/>
        <v>45711</v>
      </c>
      <c r="AO52" s="435">
        <f t="shared" si="60"/>
        <v>30731</v>
      </c>
      <c r="AP52" s="435">
        <f t="shared" si="61"/>
        <v>7634.56</v>
      </c>
      <c r="AQ52" s="435">
        <f t="shared" si="67"/>
        <v>23096.44</v>
      </c>
      <c r="AR52" s="435">
        <f t="shared" si="62"/>
        <v>0</v>
      </c>
      <c r="AS52" s="435">
        <f t="shared" si="49"/>
        <v>0</v>
      </c>
      <c r="AT52" s="435">
        <f t="shared" si="24"/>
        <v>7634.56</v>
      </c>
      <c r="AU52" s="435">
        <f t="shared" si="68"/>
        <v>0</v>
      </c>
      <c r="AV52" s="435">
        <f t="shared" si="69"/>
        <v>0</v>
      </c>
      <c r="AW52" s="435"/>
      <c r="AX52" s="435"/>
      <c r="AY52" s="435"/>
      <c r="AZ52" s="435"/>
      <c r="BA52" s="435"/>
      <c r="BB52" s="435">
        <f t="shared" si="70"/>
        <v>428616.15</v>
      </c>
      <c r="BC52" s="108">
        <f t="shared" si="33"/>
        <v>23</v>
      </c>
      <c r="BD52" s="108">
        <f t="shared" si="51"/>
        <v>23</v>
      </c>
      <c r="BE52" s="22">
        <f t="shared" si="52"/>
        <v>45527</v>
      </c>
      <c r="BF52" s="108">
        <f t="shared" si="53"/>
        <v>30288</v>
      </c>
    </row>
    <row r="53" spans="1:59" s="16" customFormat="1" ht="12" customHeight="1" x14ac:dyDescent="0.3">
      <c r="A53" s="178"/>
      <c r="B53" s="178"/>
      <c r="C53" s="182"/>
      <c r="D53" s="182"/>
      <c r="E53" s="178"/>
      <c r="F53" s="178"/>
      <c r="G53" s="426">
        <f t="shared" si="28"/>
        <v>45</v>
      </c>
      <c r="H53" s="427">
        <f t="shared" ref="H53:H84" si="71">IF((OR(DAY($AA$54)=29,DAY($AA$54)=30,DAY($AA$54)=31)),(EDATE($C$9-3,G53)),(IF((OR(DAY($AA$54)=1,DAY($AA$54)=2,DAY($AA$54)=3)),(EDATE($C$9,G53)+3),EDATE($C$9,G53))))</f>
        <v>45739</v>
      </c>
      <c r="I53" s="423">
        <f t="shared" si="55"/>
        <v>30288</v>
      </c>
      <c r="J53" s="423">
        <f t="shared" si="56"/>
        <v>5588</v>
      </c>
      <c r="K53" s="423">
        <f t="shared" si="57"/>
        <v>24700</v>
      </c>
      <c r="L53" s="423">
        <f t="shared" si="63"/>
        <v>0</v>
      </c>
      <c r="M53" s="423">
        <f t="shared" si="29"/>
        <v>0</v>
      </c>
      <c r="N53" s="423">
        <f t="shared" si="18"/>
        <v>5588</v>
      </c>
      <c r="O53" s="423">
        <f t="shared" si="19"/>
        <v>0</v>
      </c>
      <c r="P53" s="423">
        <f t="shared" si="20"/>
        <v>0</v>
      </c>
      <c r="Q53" s="423">
        <f t="shared" si="58"/>
        <v>406326.99999999965</v>
      </c>
      <c r="R53" s="36">
        <f t="shared" si="30"/>
        <v>16</v>
      </c>
      <c r="S53" s="36">
        <f t="shared" si="59"/>
        <v>16</v>
      </c>
      <c r="T53" s="2"/>
      <c r="U53" s="2"/>
      <c r="V53" s="2"/>
      <c r="W53" s="2"/>
      <c r="X53" s="2"/>
      <c r="Y53" s="15">
        <f>IF(D8=Z59,Z65,IF(D8=AA59,AA65,IF(D8=AC59,AC65,IF(D8=AD59,AD65,IF(D8=AB59,AB65,IF(D8=AE59,AE65,IF(D8=AF59,AF65,V35)))))))</f>
        <v>2E-3</v>
      </c>
      <c r="Z53" s="2"/>
      <c r="AA53" s="2"/>
      <c r="AB53" s="2"/>
      <c r="AC53" s="2"/>
      <c r="AD53" s="2"/>
      <c r="AE53" s="2"/>
      <c r="AF53" s="2"/>
      <c r="AG53" s="2"/>
      <c r="AH53" s="2"/>
      <c r="AI53" s="2">
        <f t="shared" si="64"/>
        <v>0</v>
      </c>
      <c r="AJ53" s="34">
        <f t="shared" si="65"/>
        <v>30731</v>
      </c>
      <c r="AK53" s="57">
        <f t="shared" si="66"/>
        <v>46560</v>
      </c>
      <c r="AL53" s="130">
        <f t="shared" si="22"/>
        <v>1</v>
      </c>
      <c r="AM53" s="438">
        <f t="shared" si="31"/>
        <v>45</v>
      </c>
      <c r="AN53" s="439">
        <f t="shared" ref="AN53:AN84" si="72">IF((OR(DAY($AA$54)=29,DAY($AA$54)=30,DAY($AA$54)=31)),(EDATE($C$9-3,AM53)),(IF((OR(DAY($AA$54)=1,DAY($AA$54)=2,DAY($AA$54)=3)),(EDATE($C$9,AM53)+3),EDATE($C$9,AM53))))</f>
        <v>45739</v>
      </c>
      <c r="AO53" s="435">
        <f t="shared" si="60"/>
        <v>30731</v>
      </c>
      <c r="AP53" s="435">
        <f t="shared" si="61"/>
        <v>6543.15</v>
      </c>
      <c r="AQ53" s="435">
        <f t="shared" si="67"/>
        <v>24187.85</v>
      </c>
      <c r="AR53" s="435">
        <f t="shared" si="62"/>
        <v>0</v>
      </c>
      <c r="AS53" s="435">
        <f t="shared" si="49"/>
        <v>0</v>
      </c>
      <c r="AT53" s="435">
        <f t="shared" si="24"/>
        <v>6543.15</v>
      </c>
      <c r="AU53" s="435">
        <f t="shared" si="68"/>
        <v>0</v>
      </c>
      <c r="AV53" s="435">
        <f t="shared" si="69"/>
        <v>0</v>
      </c>
      <c r="AW53" s="435"/>
      <c r="AX53" s="435"/>
      <c r="AY53" s="435"/>
      <c r="AZ53" s="435"/>
      <c r="BA53" s="435"/>
      <c r="BB53" s="435">
        <f t="shared" si="70"/>
        <v>404428.30000000005</v>
      </c>
      <c r="BC53" s="108">
        <f t="shared" si="33"/>
        <v>22</v>
      </c>
      <c r="BD53" s="108">
        <f t="shared" si="51"/>
        <v>22</v>
      </c>
      <c r="BE53" s="22">
        <f t="shared" si="52"/>
        <v>45558</v>
      </c>
      <c r="BF53" s="108">
        <f t="shared" si="53"/>
        <v>30288</v>
      </c>
    </row>
    <row r="54" spans="1:59" s="16" customFormat="1" ht="12" customHeight="1" x14ac:dyDescent="0.3">
      <c r="A54" s="178"/>
      <c r="B54" s="178"/>
      <c r="C54" s="178"/>
      <c r="D54" s="182"/>
      <c r="E54" s="180"/>
      <c r="F54" s="178"/>
      <c r="G54" s="426">
        <f t="shared" si="28"/>
        <v>46</v>
      </c>
      <c r="H54" s="427">
        <f t="shared" si="71"/>
        <v>45770</v>
      </c>
      <c r="I54" s="423">
        <f t="shared" si="55"/>
        <v>30288</v>
      </c>
      <c r="J54" s="423">
        <f t="shared" si="56"/>
        <v>5832.18</v>
      </c>
      <c r="K54" s="423">
        <f t="shared" si="57"/>
        <v>24455.82</v>
      </c>
      <c r="L54" s="423">
        <f t="shared" si="63"/>
        <v>0</v>
      </c>
      <c r="M54" s="423">
        <f t="shared" si="29"/>
        <v>0</v>
      </c>
      <c r="N54" s="423">
        <f t="shared" si="18"/>
        <v>5832.18</v>
      </c>
      <c r="O54" s="423">
        <f t="shared" si="19"/>
        <v>0</v>
      </c>
      <c r="P54" s="423">
        <f t="shared" si="20"/>
        <v>0</v>
      </c>
      <c r="Q54" s="423">
        <f t="shared" si="58"/>
        <v>381871.17999999964</v>
      </c>
      <c r="R54" s="36">
        <f t="shared" si="30"/>
        <v>15</v>
      </c>
      <c r="S54" s="36">
        <f t="shared" si="59"/>
        <v>15</v>
      </c>
      <c r="T54" s="2"/>
      <c r="U54" s="18">
        <f>I8</f>
        <v>-1220900</v>
      </c>
      <c r="V54" s="57">
        <f>H8</f>
        <v>44370</v>
      </c>
      <c r="W54" s="2"/>
      <c r="X54" s="2"/>
      <c r="Y54" s="6"/>
      <c r="Z54" s="1"/>
      <c r="AA54" s="7">
        <f>H8</f>
        <v>44370</v>
      </c>
      <c r="AB54" s="47">
        <f>(C23+AF51)*AA14/12*(1+AA14/12)^(C10)/((1+AA14/12)^(C10)-1)+C23/10000*IF(C10&lt;11,20,IF(C10&lt;20,2.5,IF(C10&lt;37,1.5,IF(C10&lt;60,0.7,0.5))))*IF(AA14&lt;0.3,AA14/0.2,AA14/0.1)</f>
        <v>30328.484254795025</v>
      </c>
      <c r="AC54" s="2"/>
      <c r="AD54" s="47">
        <f>(D23+AF51)*AB14/12*(1+AB14/12)^(C10)/((1+AB14/12)^(C10)-1)+D23/10000*IF(C10&lt;11,20,IF(C10&lt;20,2.5,IF(C10&lt;37,1.5,IF(C10&lt;60,0.7,0.5))))*IF(AB14&lt;0.3,AB14/0.2,AB14/0.1)</f>
        <v>30776.433813286247</v>
      </c>
      <c r="AE54" s="2"/>
      <c r="AF54" s="2"/>
      <c r="AG54" s="2"/>
      <c r="AH54" s="2"/>
      <c r="AI54" s="2">
        <f t="shared" si="64"/>
        <v>0</v>
      </c>
      <c r="AJ54" s="34">
        <f t="shared" si="65"/>
        <v>30731</v>
      </c>
      <c r="AK54" s="57">
        <f t="shared" si="66"/>
        <v>46925</v>
      </c>
      <c r="AL54" s="130">
        <f t="shared" si="22"/>
        <v>1</v>
      </c>
      <c r="AM54" s="438">
        <f t="shared" si="31"/>
        <v>46</v>
      </c>
      <c r="AN54" s="439">
        <f t="shared" si="72"/>
        <v>45770</v>
      </c>
      <c r="AO54" s="435">
        <f t="shared" si="60"/>
        <v>30731</v>
      </c>
      <c r="AP54" s="435">
        <f t="shared" si="61"/>
        <v>6835.39</v>
      </c>
      <c r="AQ54" s="435">
        <f t="shared" si="67"/>
        <v>23895.61</v>
      </c>
      <c r="AR54" s="435">
        <f t="shared" si="62"/>
        <v>0</v>
      </c>
      <c r="AS54" s="435">
        <f t="shared" si="49"/>
        <v>0</v>
      </c>
      <c r="AT54" s="435">
        <f t="shared" si="24"/>
        <v>6835.39</v>
      </c>
      <c r="AU54" s="435">
        <f t="shared" si="68"/>
        <v>0</v>
      </c>
      <c r="AV54" s="435">
        <f t="shared" si="69"/>
        <v>0</v>
      </c>
      <c r="AW54" s="435"/>
      <c r="AX54" s="435"/>
      <c r="AY54" s="435"/>
      <c r="AZ54" s="435"/>
      <c r="BA54" s="435"/>
      <c r="BB54" s="435">
        <f t="shared" si="70"/>
        <v>380532.69000000006</v>
      </c>
      <c r="BC54" s="108">
        <f t="shared" si="33"/>
        <v>21</v>
      </c>
      <c r="BD54" s="108">
        <f t="shared" si="51"/>
        <v>21</v>
      </c>
      <c r="BE54" s="22">
        <f t="shared" si="52"/>
        <v>45588</v>
      </c>
      <c r="BF54" s="108">
        <f t="shared" si="53"/>
        <v>30288</v>
      </c>
      <c r="BG54" s="2">
        <f t="shared" ref="BG54:BG85" si="73">IF(AND(G9&gt;=$T$22,G9&lt;=$T$22+5),0,IF($C$9&gt;$AC$51,ROUND(BB8*IF($D$14="",0,$D$14)/(DATEVALUE(CONCATENATE("01/01/",YEAR(AN9)+1))-DATEVALUE(CONCATENATE("01/01/",YEAR(AN9))))*(AN9-AN8),2),0))</f>
        <v>0</v>
      </c>
    </row>
    <row r="55" spans="1:59" s="16" customFormat="1" x14ac:dyDescent="0.3">
      <c r="A55" s="178"/>
      <c r="B55" s="178"/>
      <c r="C55" s="182"/>
      <c r="D55" s="182"/>
      <c r="E55" s="180"/>
      <c r="F55" s="180"/>
      <c r="G55" s="426">
        <f t="shared" si="28"/>
        <v>47</v>
      </c>
      <c r="H55" s="427">
        <f t="shared" si="71"/>
        <v>45800</v>
      </c>
      <c r="I55" s="423">
        <f t="shared" si="55"/>
        <v>30288</v>
      </c>
      <c r="J55" s="423">
        <f t="shared" si="56"/>
        <v>5304.35</v>
      </c>
      <c r="K55" s="423">
        <f t="shared" si="57"/>
        <v>24983.65</v>
      </c>
      <c r="L55" s="423">
        <f t="shared" si="63"/>
        <v>0</v>
      </c>
      <c r="M55" s="423">
        <f t="shared" si="29"/>
        <v>0</v>
      </c>
      <c r="N55" s="423">
        <f t="shared" si="18"/>
        <v>5304.35</v>
      </c>
      <c r="O55" s="423">
        <f t="shared" si="19"/>
        <v>0</v>
      </c>
      <c r="P55" s="423">
        <f t="shared" si="20"/>
        <v>0</v>
      </c>
      <c r="Q55" s="423">
        <f t="shared" si="58"/>
        <v>356887.52999999962</v>
      </c>
      <c r="R55" s="36">
        <f t="shared" si="30"/>
        <v>14</v>
      </c>
      <c r="S55" s="36">
        <f t="shared" si="59"/>
        <v>14</v>
      </c>
      <c r="U55" s="34">
        <f>IF(OR(C8="Гарантия стандарт",C8="Гарантия пакет"),C25,0)</f>
        <v>0</v>
      </c>
      <c r="V55" s="57">
        <f>H8</f>
        <v>44370</v>
      </c>
      <c r="W55" s="5" t="s">
        <v>11</v>
      </c>
      <c r="X55" s="4"/>
      <c r="Y55" s="11"/>
      <c r="Z55" s="10"/>
      <c r="AA55" s="13">
        <f>IF(DAY(C9)&lt;4,AB54,IF(DAY(C9)&gt;28,AB56,AB55))</f>
        <v>30287.217834795025</v>
      </c>
      <c r="AB55" s="156">
        <f>(C23+AF51)*AA14/12*(1+AA14/12)^(C10)/((1+AA14/12)^(C10)-1)+C23/10000*IF(C10&lt;11,20,IF(C10&lt;34,0.7,IF(C10&lt;58,0.3,0.1)))*IF(AA14&lt;0.3,AA14/0.2,AA14/0.1)</f>
        <v>30287.217834795025</v>
      </c>
      <c r="AC55" s="13">
        <f>IF(DAY(C9)&lt;4,AD54,IF(DAY(C9)&gt;28,AD56,AD55))</f>
        <v>30730.190193286246</v>
      </c>
      <c r="AD55" s="156">
        <f>(D23+AF51)*AB14/12*(1+AB14/12)^(C10)/((1+AB14/12)^(C10)-1)+D23/10000*IF(C10&lt;11,20,IF(C10&lt;34,0.7,IF(C10&lt;58,0.3,0.1)))*IF(AB14&lt;0.3,AB14/0.2,AB14/0.1)</f>
        <v>30730.190193286246</v>
      </c>
      <c r="AE55" s="2"/>
      <c r="AF55" s="2"/>
      <c r="AG55" s="2"/>
      <c r="AH55" s="2"/>
      <c r="AI55" s="2">
        <f t="shared" si="64"/>
        <v>0</v>
      </c>
      <c r="AJ55" s="34">
        <f t="shared" si="65"/>
        <v>30731</v>
      </c>
      <c r="AK55" s="57">
        <f t="shared" si="66"/>
        <v>47290</v>
      </c>
      <c r="AL55" s="130">
        <f t="shared" si="22"/>
        <v>1</v>
      </c>
      <c r="AM55" s="438">
        <f t="shared" si="31"/>
        <v>47</v>
      </c>
      <c r="AN55" s="439">
        <f t="shared" si="72"/>
        <v>45800</v>
      </c>
      <c r="AO55" s="435">
        <f t="shared" si="60"/>
        <v>30731</v>
      </c>
      <c r="AP55" s="435">
        <f t="shared" si="61"/>
        <v>6224.06</v>
      </c>
      <c r="AQ55" s="435">
        <f t="shared" si="67"/>
        <v>24506.94</v>
      </c>
      <c r="AR55" s="435">
        <f t="shared" si="62"/>
        <v>0</v>
      </c>
      <c r="AS55" s="435">
        <f t="shared" si="49"/>
        <v>0</v>
      </c>
      <c r="AT55" s="435">
        <f t="shared" si="24"/>
        <v>6224.06</v>
      </c>
      <c r="AU55" s="435">
        <f t="shared" si="68"/>
        <v>0</v>
      </c>
      <c r="AV55" s="435">
        <f t="shared" si="69"/>
        <v>0</v>
      </c>
      <c r="AW55" s="435"/>
      <c r="AX55" s="435"/>
      <c r="AY55" s="435"/>
      <c r="AZ55" s="435"/>
      <c r="BA55" s="435"/>
      <c r="BB55" s="435">
        <f t="shared" si="70"/>
        <v>356025.75000000006</v>
      </c>
      <c r="BC55" s="108">
        <f t="shared" si="33"/>
        <v>20</v>
      </c>
      <c r="BD55" s="108">
        <f t="shared" si="51"/>
        <v>20</v>
      </c>
      <c r="BE55" s="22">
        <f t="shared" si="52"/>
        <v>45619</v>
      </c>
      <c r="BF55" s="108">
        <f t="shared" si="53"/>
        <v>30288</v>
      </c>
      <c r="BG55" s="2">
        <f t="shared" si="73"/>
        <v>0</v>
      </c>
    </row>
    <row r="56" spans="1:59" s="16" customFormat="1" ht="13.8" x14ac:dyDescent="0.3">
      <c r="A56" s="178"/>
      <c r="B56" s="178"/>
      <c r="C56" s="178"/>
      <c r="D56" s="182"/>
      <c r="E56" s="178"/>
      <c r="F56" s="180"/>
      <c r="G56" s="426">
        <f t="shared" si="28"/>
        <v>48</v>
      </c>
      <c r="H56" s="427">
        <f t="shared" si="71"/>
        <v>45831</v>
      </c>
      <c r="I56" s="423">
        <f t="shared" si="55"/>
        <v>30288</v>
      </c>
      <c r="J56" s="423">
        <f t="shared" si="56"/>
        <v>5122.5600000000004</v>
      </c>
      <c r="K56" s="423">
        <f t="shared" si="57"/>
        <v>25165.439999999999</v>
      </c>
      <c r="L56" s="423">
        <f t="shared" si="63"/>
        <v>0</v>
      </c>
      <c r="M56" s="423">
        <f t="shared" si="29"/>
        <v>0</v>
      </c>
      <c r="N56" s="423">
        <f t="shared" si="18"/>
        <v>5122.5600000000004</v>
      </c>
      <c r="O56" s="423">
        <f t="shared" si="19"/>
        <v>0</v>
      </c>
      <c r="P56" s="423">
        <f t="shared" si="20"/>
        <v>0</v>
      </c>
      <c r="Q56" s="423">
        <f t="shared" si="58"/>
        <v>331722.08999999962</v>
      </c>
      <c r="R56" s="36">
        <f t="shared" si="30"/>
        <v>13</v>
      </c>
      <c r="S56" s="36">
        <f t="shared" si="59"/>
        <v>13</v>
      </c>
      <c r="T56" s="2">
        <f t="shared" ref="T56:T87" si="74">IF(AND(G9&gt;=$T$22,G9&lt;=$T$22+5),0,IF($C$9&gt;$AC$51,ROUND(Q8*$C$14/(DATEVALUE(CONCATENATE("01/01/",YEAR(H9)+1))-DATEVALUE(CONCATENATE("01/01/",YEAR(H9))))*(H9-H8),2),0))</f>
        <v>9934.4500000000007</v>
      </c>
      <c r="U56" s="34">
        <f t="shared" ref="U56:U87" si="75">J9+K9+L9-P9</f>
        <v>30288</v>
      </c>
      <c r="V56" s="57">
        <f>V55+365</f>
        <v>44735</v>
      </c>
      <c r="W56" s="8" t="s">
        <v>10</v>
      </c>
      <c r="X56" s="8"/>
      <c r="Y56" s="3"/>
      <c r="Z56" s="118">
        <f>ROUNDUP(AA56/AD47,0)*AD47</f>
        <v>23376</v>
      </c>
      <c r="AA56" s="13">
        <f>(C23+AF51)*Z57/12*(1+Z57/12)^(C10+AA57)/((1+Z57/12)^(C10+AA57)-1)+10*C23/100000*IF(C10+AA57&lt;24,4,IF(C10+AA57&lt;36,3,IF(C10+AA57&lt;48,2,IF(C10+AA57&lt;60,1.5,1))))*Z57/0.2</f>
        <v>23375.686972519845</v>
      </c>
      <c r="AB56" s="157">
        <f>(C23+AF51)*AA14/12*(1+AA14/12)^(C10)/((1+AA14/12)^(C10)-1)+C23/10000*IF(C10&lt;11,20,IF(C10&lt;34,0.7,IF(C10&lt;48,0.3,0)))*IF(AA14&lt;0.3,AA14/0.2,AA14/0.1)</f>
        <v>30276.901229795025</v>
      </c>
      <c r="AC56" s="13">
        <f>(D23+AF51)*AC57/12*(1+AC57/12)^(C10+AA57)/((1+AC57/12)^(C10+AA57)-1)+10*D23/100000*IF(C10+AA57&lt;24,4,IF(C10+AA57&lt;36,3,IF(C10+AA57&lt;48,2,IF(C10+AA57&lt;60,1.5,1))))*AC57/0.2</f>
        <v>24388.72482064601</v>
      </c>
      <c r="AD56" s="157">
        <f>(D23+AF51)*AB14/12*(1+AB14/12)^(C10)/((1+AB14/12)^(C10)-1)+D23/10000*IF(C10&lt;11,20,IF(C10&lt;34,0.7,IF(C10&lt;48,0.3,0)))*IF(AB14&lt;0.3,AB14/0.2,AB14/0.1)</f>
        <v>30718.629288286247</v>
      </c>
      <c r="AE56" s="2"/>
      <c r="AF56" s="2"/>
      <c r="AG56" s="2"/>
      <c r="AH56" s="2"/>
      <c r="AI56" s="2">
        <f t="shared" si="64"/>
        <v>0</v>
      </c>
      <c r="AJ56" s="34">
        <f t="shared" si="65"/>
        <v>30731</v>
      </c>
      <c r="AK56" s="57">
        <f t="shared" si="66"/>
        <v>47655</v>
      </c>
      <c r="AL56" s="130">
        <f t="shared" si="22"/>
        <v>1</v>
      </c>
      <c r="AM56" s="438">
        <f t="shared" si="31"/>
        <v>48</v>
      </c>
      <c r="AN56" s="439">
        <f t="shared" si="72"/>
        <v>45831</v>
      </c>
      <c r="AO56" s="435">
        <f t="shared" si="60"/>
        <v>30731</v>
      </c>
      <c r="AP56" s="435">
        <f t="shared" si="61"/>
        <v>6017.32</v>
      </c>
      <c r="AQ56" s="435">
        <f t="shared" si="67"/>
        <v>24713.68</v>
      </c>
      <c r="AR56" s="435">
        <f t="shared" si="62"/>
        <v>0</v>
      </c>
      <c r="AS56" s="435">
        <f t="shared" si="49"/>
        <v>0</v>
      </c>
      <c r="AT56" s="435">
        <f t="shared" si="24"/>
        <v>6017.32</v>
      </c>
      <c r="AU56" s="435">
        <f t="shared" si="68"/>
        <v>0</v>
      </c>
      <c r="AV56" s="435">
        <f t="shared" si="69"/>
        <v>0</v>
      </c>
      <c r="AW56" s="435"/>
      <c r="AX56" s="435"/>
      <c r="AY56" s="435"/>
      <c r="AZ56" s="435"/>
      <c r="BA56" s="435"/>
      <c r="BB56" s="435">
        <f t="shared" si="70"/>
        <v>331312.07000000007</v>
      </c>
      <c r="BC56" s="108">
        <f t="shared" si="33"/>
        <v>19</v>
      </c>
      <c r="BD56" s="108">
        <f t="shared" si="51"/>
        <v>19</v>
      </c>
      <c r="BE56" s="22">
        <f t="shared" si="52"/>
        <v>45649</v>
      </c>
      <c r="BF56" s="108">
        <f t="shared" si="53"/>
        <v>30288</v>
      </c>
      <c r="BG56" s="2">
        <f t="shared" si="73"/>
        <v>0</v>
      </c>
    </row>
    <row r="57" spans="1:59" s="16" customFormat="1" ht="13.8" x14ac:dyDescent="0.3">
      <c r="A57" s="178"/>
      <c r="B57" s="178"/>
      <c r="C57" s="178"/>
      <c r="D57" s="178"/>
      <c r="E57" s="178"/>
      <c r="F57" s="178"/>
      <c r="G57" s="426">
        <f t="shared" si="28"/>
        <v>49</v>
      </c>
      <c r="H57" s="427">
        <f t="shared" si="71"/>
        <v>45861</v>
      </c>
      <c r="I57" s="423">
        <f t="shared" si="55"/>
        <v>30288</v>
      </c>
      <c r="J57" s="423">
        <f t="shared" si="56"/>
        <v>4607.76</v>
      </c>
      <c r="K57" s="423">
        <f t="shared" si="57"/>
        <v>25680.239999999998</v>
      </c>
      <c r="L57" s="423">
        <f t="shared" si="63"/>
        <v>0</v>
      </c>
      <c r="M57" s="423">
        <f t="shared" si="29"/>
        <v>0</v>
      </c>
      <c r="N57" s="423">
        <f t="shared" si="18"/>
        <v>4607.76</v>
      </c>
      <c r="O57" s="423">
        <f t="shared" si="19"/>
        <v>0</v>
      </c>
      <c r="P57" s="423">
        <f t="shared" si="20"/>
        <v>0</v>
      </c>
      <c r="Q57" s="423">
        <f t="shared" si="58"/>
        <v>306041.84999999963</v>
      </c>
      <c r="R57" s="36">
        <f t="shared" si="30"/>
        <v>12</v>
      </c>
      <c r="S57" s="36">
        <f t="shared" si="59"/>
        <v>12</v>
      </c>
      <c r="T57" s="2">
        <f t="shared" si="74"/>
        <v>10153.52</v>
      </c>
      <c r="U57" s="34">
        <f t="shared" si="75"/>
        <v>30288</v>
      </c>
      <c r="V57" s="57">
        <f t="shared" ref="V57:V120" si="76">V56+365</f>
        <v>45100</v>
      </c>
      <c r="W57" s="8" t="s">
        <v>8</v>
      </c>
      <c r="X57" s="8"/>
      <c r="Y57" s="3"/>
      <c r="Z57" s="15">
        <f>IF(C9&gt;AE48,C12,C12+0.05)</f>
        <v>0.16900000000000001</v>
      </c>
      <c r="AA57" s="2">
        <f xml:space="preserve"> IF(C9&gt;AE48,36,24)</f>
        <v>36</v>
      </c>
      <c r="AB57" s="44">
        <f>(C23+AF51)*AA14/12*(1+AA14/12)^(C10)/((1+AA14/12)^(C10)-1)</f>
        <v>30276.901229795025</v>
      </c>
      <c r="AC57" s="15">
        <f>IF(C9&gt;AE48,D12,D12+0.05)</f>
        <v>0.19900000000000001</v>
      </c>
      <c r="AD57" s="118">
        <f>(D23+AF51)*AB14/12*(1+AB14/12)^(C10)/((1+AB14/12)^(C10)-1)</f>
        <v>30718.629288286247</v>
      </c>
      <c r="AE57" s="2"/>
      <c r="AF57" s="2"/>
      <c r="AG57" s="2"/>
      <c r="AH57" s="2"/>
      <c r="AI57" s="2">
        <f t="shared" si="64"/>
        <v>0</v>
      </c>
      <c r="AJ57" s="34">
        <f t="shared" si="65"/>
        <v>30731</v>
      </c>
      <c r="AK57" s="57">
        <f t="shared" si="66"/>
        <v>48020</v>
      </c>
      <c r="AL57" s="130">
        <f t="shared" si="22"/>
        <v>1</v>
      </c>
      <c r="AM57" s="438">
        <f t="shared" si="31"/>
        <v>49</v>
      </c>
      <c r="AN57" s="439">
        <f t="shared" si="72"/>
        <v>45861</v>
      </c>
      <c r="AO57" s="435">
        <f t="shared" si="60"/>
        <v>30731</v>
      </c>
      <c r="AP57" s="435">
        <f t="shared" si="61"/>
        <v>5418.99</v>
      </c>
      <c r="AQ57" s="435">
        <f t="shared" si="67"/>
        <v>25312.010000000002</v>
      </c>
      <c r="AR57" s="435">
        <f t="shared" si="62"/>
        <v>0</v>
      </c>
      <c r="AS57" s="435">
        <f t="shared" si="49"/>
        <v>0</v>
      </c>
      <c r="AT57" s="435">
        <f t="shared" si="24"/>
        <v>5418.99</v>
      </c>
      <c r="AU57" s="435">
        <f t="shared" si="68"/>
        <v>0</v>
      </c>
      <c r="AV57" s="435">
        <f t="shared" si="69"/>
        <v>0</v>
      </c>
      <c r="AW57" s="435"/>
      <c r="AX57" s="435"/>
      <c r="AY57" s="435"/>
      <c r="AZ57" s="435"/>
      <c r="BA57" s="435"/>
      <c r="BB57" s="435">
        <f t="shared" si="70"/>
        <v>306000.06000000006</v>
      </c>
      <c r="BC57" s="108">
        <f t="shared" si="33"/>
        <v>18</v>
      </c>
      <c r="BD57" s="108">
        <f t="shared" ref="BD57:BD88" si="77">IF(ISERR(CEILING(FLOOR(NPER($C$12/12,-$AA$55,BB50),0.1),1))=TRUE,0,CEILING(FLOOR(NPER($C$12/12,-$AA$55,BB50),0.1),1))</f>
        <v>18</v>
      </c>
      <c r="BE57" s="22">
        <f t="shared" ref="BE57:BE88" si="78">H51</f>
        <v>45680</v>
      </c>
      <c r="BF57" s="108">
        <f t="shared" ref="BF57:BF88" si="79">I51</f>
        <v>30288</v>
      </c>
      <c r="BG57" s="2">
        <f t="shared" si="73"/>
        <v>0</v>
      </c>
    </row>
    <row r="58" spans="1:59" s="16" customFormat="1" ht="15.75" customHeight="1" x14ac:dyDescent="0.3">
      <c r="A58" s="178"/>
      <c r="B58" s="178"/>
      <c r="C58" s="178"/>
      <c r="D58" s="178"/>
      <c r="E58" s="178"/>
      <c r="F58" s="178"/>
      <c r="G58" s="426">
        <f t="shared" si="28"/>
        <v>50</v>
      </c>
      <c r="H58" s="427">
        <f t="shared" si="71"/>
        <v>45892</v>
      </c>
      <c r="I58" s="423">
        <f t="shared" si="55"/>
        <v>30288</v>
      </c>
      <c r="J58" s="423">
        <f t="shared" si="56"/>
        <v>4392.75</v>
      </c>
      <c r="K58" s="423">
        <f t="shared" si="57"/>
        <v>25895.25</v>
      </c>
      <c r="L58" s="423">
        <f t="shared" si="63"/>
        <v>0</v>
      </c>
      <c r="M58" s="423">
        <f t="shared" si="29"/>
        <v>0</v>
      </c>
      <c r="N58" s="423">
        <f t="shared" si="18"/>
        <v>4392.75</v>
      </c>
      <c r="O58" s="423">
        <f t="shared" si="19"/>
        <v>0</v>
      </c>
      <c r="P58" s="423">
        <f t="shared" si="20"/>
        <v>0</v>
      </c>
      <c r="Q58" s="423">
        <f t="shared" si="58"/>
        <v>280146.59999999963</v>
      </c>
      <c r="R58" s="36">
        <f t="shared" si="30"/>
        <v>11</v>
      </c>
      <c r="S58" s="36">
        <f t="shared" si="59"/>
        <v>11</v>
      </c>
      <c r="T58" s="2">
        <f t="shared" si="74"/>
        <v>10044.59</v>
      </c>
      <c r="U58" s="34">
        <f t="shared" si="75"/>
        <v>30288</v>
      </c>
      <c r="V58" s="57">
        <f t="shared" si="76"/>
        <v>45465</v>
      </c>
      <c r="W58" s="5" t="s">
        <v>1</v>
      </c>
      <c r="X58" s="8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>
        <f t="shared" si="64"/>
        <v>0</v>
      </c>
      <c r="AJ58" s="34">
        <f t="shared" si="65"/>
        <v>30731</v>
      </c>
      <c r="AK58" s="57">
        <f t="shared" si="66"/>
        <v>48385</v>
      </c>
      <c r="AL58" s="130">
        <f t="shared" si="22"/>
        <v>1</v>
      </c>
      <c r="AM58" s="438">
        <f t="shared" si="31"/>
        <v>50</v>
      </c>
      <c r="AN58" s="439">
        <f t="shared" si="72"/>
        <v>45892</v>
      </c>
      <c r="AO58" s="435">
        <f t="shared" si="60"/>
        <v>30731</v>
      </c>
      <c r="AP58" s="435">
        <f t="shared" si="61"/>
        <v>5171.82</v>
      </c>
      <c r="AQ58" s="435">
        <f t="shared" si="67"/>
        <v>25559.18</v>
      </c>
      <c r="AR58" s="435">
        <f t="shared" si="62"/>
        <v>0</v>
      </c>
      <c r="AS58" s="435">
        <f t="shared" si="49"/>
        <v>0</v>
      </c>
      <c r="AT58" s="435">
        <f t="shared" si="24"/>
        <v>5171.82</v>
      </c>
      <c r="AU58" s="435">
        <f t="shared" si="68"/>
        <v>0</v>
      </c>
      <c r="AV58" s="435">
        <f t="shared" si="69"/>
        <v>0</v>
      </c>
      <c r="AW58" s="435"/>
      <c r="AX58" s="435"/>
      <c r="AY58" s="435"/>
      <c r="AZ58" s="435"/>
      <c r="BA58" s="435"/>
      <c r="BB58" s="435">
        <f t="shared" si="70"/>
        <v>280440.88000000006</v>
      </c>
      <c r="BC58" s="108">
        <f t="shared" si="33"/>
        <v>17</v>
      </c>
      <c r="BD58" s="108">
        <f t="shared" si="77"/>
        <v>17</v>
      </c>
      <c r="BE58" s="22">
        <f t="shared" si="78"/>
        <v>45711</v>
      </c>
      <c r="BF58" s="108">
        <f t="shared" si="79"/>
        <v>30288</v>
      </c>
      <c r="BG58" s="2">
        <f t="shared" si="73"/>
        <v>0</v>
      </c>
    </row>
    <row r="59" spans="1:59" s="16" customFormat="1" x14ac:dyDescent="0.3">
      <c r="A59" s="178"/>
      <c r="B59" s="178"/>
      <c r="C59" s="178"/>
      <c r="D59" s="178"/>
      <c r="E59" s="178"/>
      <c r="F59" s="178"/>
      <c r="G59" s="426">
        <f t="shared" si="28"/>
        <v>51</v>
      </c>
      <c r="H59" s="427">
        <f t="shared" si="71"/>
        <v>45923</v>
      </c>
      <c r="I59" s="423">
        <f t="shared" si="55"/>
        <v>30288</v>
      </c>
      <c r="J59" s="423">
        <f t="shared" si="56"/>
        <v>4021.06</v>
      </c>
      <c r="K59" s="423">
        <f t="shared" si="57"/>
        <v>26266.94</v>
      </c>
      <c r="L59" s="423">
        <f t="shared" si="63"/>
        <v>0</v>
      </c>
      <c r="M59" s="423">
        <f t="shared" si="29"/>
        <v>0</v>
      </c>
      <c r="N59" s="423">
        <f t="shared" si="18"/>
        <v>4021.06</v>
      </c>
      <c r="O59" s="423">
        <f t="shared" si="19"/>
        <v>0</v>
      </c>
      <c r="P59" s="423">
        <f t="shared" si="20"/>
        <v>0</v>
      </c>
      <c r="Q59" s="423">
        <f t="shared" si="58"/>
        <v>253879.65999999963</v>
      </c>
      <c r="R59" s="36">
        <f t="shared" si="30"/>
        <v>10</v>
      </c>
      <c r="S59" s="36">
        <f t="shared" si="59"/>
        <v>10</v>
      </c>
      <c r="T59" s="2">
        <f t="shared" si="74"/>
        <v>9613.64</v>
      </c>
      <c r="U59" s="34">
        <f t="shared" si="75"/>
        <v>30288</v>
      </c>
      <c r="V59" s="57">
        <f t="shared" si="76"/>
        <v>45830</v>
      </c>
      <c r="W59" s="5" t="s">
        <v>42</v>
      </c>
      <c r="X59" s="8"/>
      <c r="Z59" s="144" t="s">
        <v>330</v>
      </c>
      <c r="AA59" s="144" t="s">
        <v>111</v>
      </c>
      <c r="AB59" s="145" t="s">
        <v>114</v>
      </c>
      <c r="AC59" s="144" t="s">
        <v>115</v>
      </c>
      <c r="AD59" s="144" t="s">
        <v>118</v>
      </c>
      <c r="AE59" s="144" t="s">
        <v>119</v>
      </c>
      <c r="AF59" s="145" t="s">
        <v>120</v>
      </c>
      <c r="AG59" s="2" t="s">
        <v>35</v>
      </c>
      <c r="AI59" s="2">
        <f t="shared" si="64"/>
        <v>0</v>
      </c>
      <c r="AJ59" s="34">
        <f t="shared" si="65"/>
        <v>30731</v>
      </c>
      <c r="AK59" s="57">
        <f t="shared" si="66"/>
        <v>48750</v>
      </c>
      <c r="AL59" s="130">
        <f t="shared" si="22"/>
        <v>1</v>
      </c>
      <c r="AM59" s="438">
        <f t="shared" si="31"/>
        <v>51</v>
      </c>
      <c r="AN59" s="439">
        <f t="shared" si="72"/>
        <v>45923</v>
      </c>
      <c r="AO59" s="435">
        <f t="shared" si="60"/>
        <v>30731</v>
      </c>
      <c r="AP59" s="435">
        <f t="shared" si="61"/>
        <v>4739.84</v>
      </c>
      <c r="AQ59" s="435">
        <f t="shared" si="67"/>
        <v>25991.16</v>
      </c>
      <c r="AR59" s="435">
        <f t="shared" si="62"/>
        <v>0</v>
      </c>
      <c r="AS59" s="435">
        <f t="shared" si="49"/>
        <v>0</v>
      </c>
      <c r="AT59" s="435">
        <f t="shared" si="24"/>
        <v>4739.84</v>
      </c>
      <c r="AU59" s="435">
        <f t="shared" si="68"/>
        <v>0</v>
      </c>
      <c r="AV59" s="435">
        <f t="shared" si="69"/>
        <v>0</v>
      </c>
      <c r="AW59" s="435"/>
      <c r="AX59" s="435"/>
      <c r="AY59" s="435"/>
      <c r="AZ59" s="435"/>
      <c r="BA59" s="435"/>
      <c r="BB59" s="435">
        <f t="shared" si="70"/>
        <v>254449.72000000006</v>
      </c>
      <c r="BC59" s="108">
        <f t="shared" si="33"/>
        <v>16</v>
      </c>
      <c r="BD59" s="108">
        <f t="shared" si="77"/>
        <v>16</v>
      </c>
      <c r="BE59" s="22">
        <f t="shared" si="78"/>
        <v>45739</v>
      </c>
      <c r="BF59" s="108">
        <f t="shared" si="79"/>
        <v>30288</v>
      </c>
      <c r="BG59" s="2">
        <f t="shared" si="73"/>
        <v>0</v>
      </c>
    </row>
    <row r="60" spans="1:59" s="16" customFormat="1" x14ac:dyDescent="0.3">
      <c r="A60" s="178"/>
      <c r="B60" s="178"/>
      <c r="C60" s="178"/>
      <c r="D60" s="178"/>
      <c r="E60" s="178"/>
      <c r="F60" s="178"/>
      <c r="G60" s="426">
        <f t="shared" si="28"/>
        <v>52</v>
      </c>
      <c r="H60" s="427">
        <f t="shared" si="71"/>
        <v>45953</v>
      </c>
      <c r="I60" s="423">
        <f t="shared" si="55"/>
        <v>30288</v>
      </c>
      <c r="J60" s="423">
        <f t="shared" si="56"/>
        <v>3526.49</v>
      </c>
      <c r="K60" s="423">
        <f t="shared" si="57"/>
        <v>26761.510000000002</v>
      </c>
      <c r="L60" s="423">
        <f t="shared" si="63"/>
        <v>0</v>
      </c>
      <c r="M60" s="423">
        <f t="shared" si="29"/>
        <v>0</v>
      </c>
      <c r="N60" s="423">
        <f t="shared" si="18"/>
        <v>3526.49</v>
      </c>
      <c r="O60" s="423">
        <f t="shared" si="19"/>
        <v>0</v>
      </c>
      <c r="P60" s="423">
        <f t="shared" si="20"/>
        <v>0</v>
      </c>
      <c r="Q60" s="423">
        <f t="shared" si="58"/>
        <v>227118.14999999962</v>
      </c>
      <c r="R60" s="36">
        <f t="shared" si="30"/>
        <v>9</v>
      </c>
      <c r="S60" s="36">
        <f t="shared" si="59"/>
        <v>9</v>
      </c>
      <c r="T60" s="2">
        <f t="shared" si="74"/>
        <v>9817.42</v>
      </c>
      <c r="U60" s="34">
        <f t="shared" si="75"/>
        <v>30288</v>
      </c>
      <c r="V60" s="57">
        <f t="shared" si="76"/>
        <v>46195</v>
      </c>
      <c r="W60" s="5"/>
      <c r="X60" s="8"/>
      <c r="Y60" s="133" t="s">
        <v>97</v>
      </c>
      <c r="Z60" s="133" t="s">
        <v>125</v>
      </c>
      <c r="AA60" s="155"/>
      <c r="AB60" s="155"/>
      <c r="AC60" s="155"/>
      <c r="AD60" s="155"/>
      <c r="AE60" s="155"/>
      <c r="AF60" s="155"/>
      <c r="AG60" s="155"/>
      <c r="AH60" s="2"/>
      <c r="AI60" s="2">
        <f t="shared" si="64"/>
        <v>0</v>
      </c>
      <c r="AJ60" s="34">
        <f t="shared" ref="AJ60:AJ112" si="80">AO21</f>
        <v>30731</v>
      </c>
      <c r="AK60" s="57">
        <f t="shared" si="66"/>
        <v>49115</v>
      </c>
      <c r="AL60" s="130">
        <f t="shared" si="22"/>
        <v>1</v>
      </c>
      <c r="AM60" s="438">
        <f t="shared" si="31"/>
        <v>52</v>
      </c>
      <c r="AN60" s="439">
        <f t="shared" si="72"/>
        <v>45953</v>
      </c>
      <c r="AO60" s="435">
        <f t="shared" si="60"/>
        <v>30731</v>
      </c>
      <c r="AP60" s="435">
        <f t="shared" si="61"/>
        <v>4161.82</v>
      </c>
      <c r="AQ60" s="435">
        <f t="shared" si="67"/>
        <v>26569.18</v>
      </c>
      <c r="AR60" s="435">
        <f t="shared" si="62"/>
        <v>0</v>
      </c>
      <c r="AS60" s="435">
        <f t="shared" si="49"/>
        <v>0</v>
      </c>
      <c r="AT60" s="435">
        <f t="shared" si="24"/>
        <v>4161.82</v>
      </c>
      <c r="AU60" s="435">
        <f t="shared" si="68"/>
        <v>0</v>
      </c>
      <c r="AV60" s="435">
        <f t="shared" si="69"/>
        <v>0</v>
      </c>
      <c r="AW60" s="435"/>
      <c r="AX60" s="435"/>
      <c r="AY60" s="435"/>
      <c r="AZ60" s="435"/>
      <c r="BA60" s="435"/>
      <c r="BB60" s="435">
        <f t="shared" si="70"/>
        <v>227880.54000000007</v>
      </c>
      <c r="BC60" s="108">
        <f t="shared" si="33"/>
        <v>15</v>
      </c>
      <c r="BD60" s="108">
        <f t="shared" si="77"/>
        <v>15</v>
      </c>
      <c r="BE60" s="22">
        <f t="shared" si="78"/>
        <v>45770</v>
      </c>
      <c r="BF60" s="108">
        <f t="shared" si="79"/>
        <v>30288</v>
      </c>
      <c r="BG60" s="2">
        <f t="shared" si="73"/>
        <v>0</v>
      </c>
    </row>
    <row r="61" spans="1:59" s="16" customFormat="1" ht="15.75" customHeight="1" x14ac:dyDescent="0.3">
      <c r="A61" s="178"/>
      <c r="B61" s="178"/>
      <c r="C61" s="178"/>
      <c r="D61" s="178"/>
      <c r="E61" s="178"/>
      <c r="F61" s="178"/>
      <c r="G61" s="426">
        <f t="shared" si="28"/>
        <v>53</v>
      </c>
      <c r="H61" s="427">
        <f t="shared" si="71"/>
        <v>45984</v>
      </c>
      <c r="I61" s="423">
        <f t="shared" si="55"/>
        <v>30288</v>
      </c>
      <c r="J61" s="423">
        <f t="shared" si="56"/>
        <v>3259.92</v>
      </c>
      <c r="K61" s="423">
        <f t="shared" si="57"/>
        <v>27028.080000000002</v>
      </c>
      <c r="L61" s="423">
        <f t="shared" si="63"/>
        <v>0</v>
      </c>
      <c r="M61" s="423">
        <f t="shared" si="29"/>
        <v>0</v>
      </c>
      <c r="N61" s="423">
        <f t="shared" si="18"/>
        <v>3259.92</v>
      </c>
      <c r="O61" s="423">
        <f t="shared" si="19"/>
        <v>0</v>
      </c>
      <c r="P61" s="423">
        <f t="shared" si="20"/>
        <v>0</v>
      </c>
      <c r="Q61" s="423">
        <f t="shared" si="58"/>
        <v>200090.0699999996</v>
      </c>
      <c r="R61" s="36">
        <f t="shared" si="30"/>
        <v>8</v>
      </c>
      <c r="S61" s="36">
        <f t="shared" si="59"/>
        <v>8</v>
      </c>
      <c r="T61" s="2">
        <f t="shared" si="74"/>
        <v>9390.64</v>
      </c>
      <c r="U61" s="34">
        <f t="shared" si="75"/>
        <v>30288</v>
      </c>
      <c r="V61" s="57">
        <f t="shared" si="76"/>
        <v>46560</v>
      </c>
      <c r="W61" s="2"/>
      <c r="X61" s="2"/>
      <c r="Y61" s="135">
        <v>200000</v>
      </c>
      <c r="Z61" s="133">
        <v>3.5000000000000001E-3</v>
      </c>
      <c r="AA61" s="133">
        <v>3.5000000000000001E-3</v>
      </c>
      <c r="AB61" s="133">
        <v>2.5000000000000001E-3</v>
      </c>
      <c r="AC61" s="133">
        <v>3.0000000000000001E-3</v>
      </c>
      <c r="AD61" s="133">
        <v>1E-3</v>
      </c>
      <c r="AE61" s="133">
        <v>4.0000000000000001E-3</v>
      </c>
      <c r="AF61" s="133">
        <v>0</v>
      </c>
      <c r="AG61" s="133"/>
      <c r="AH61" s="2"/>
      <c r="AI61" s="2">
        <f t="shared" si="64"/>
        <v>0</v>
      </c>
      <c r="AJ61" s="34">
        <f t="shared" si="80"/>
        <v>30731</v>
      </c>
      <c r="AK61" s="57">
        <f t="shared" si="66"/>
        <v>49480</v>
      </c>
      <c r="AL61" s="130">
        <f t="shared" si="22"/>
        <v>1</v>
      </c>
      <c r="AM61" s="438">
        <f t="shared" si="31"/>
        <v>53</v>
      </c>
      <c r="AN61" s="439">
        <f t="shared" si="72"/>
        <v>45984</v>
      </c>
      <c r="AO61" s="435">
        <f t="shared" si="60"/>
        <v>30731</v>
      </c>
      <c r="AP61" s="435">
        <f t="shared" si="61"/>
        <v>3851.49</v>
      </c>
      <c r="AQ61" s="435">
        <f t="shared" si="67"/>
        <v>26879.510000000002</v>
      </c>
      <c r="AR61" s="435">
        <f t="shared" si="62"/>
        <v>0</v>
      </c>
      <c r="AS61" s="435">
        <f t="shared" si="49"/>
        <v>0</v>
      </c>
      <c r="AT61" s="435">
        <f t="shared" si="24"/>
        <v>3851.49</v>
      </c>
      <c r="AU61" s="435">
        <f t="shared" si="68"/>
        <v>0</v>
      </c>
      <c r="AV61" s="435">
        <f t="shared" si="69"/>
        <v>0</v>
      </c>
      <c r="AW61" s="435"/>
      <c r="AX61" s="435"/>
      <c r="AY61" s="435"/>
      <c r="AZ61" s="435"/>
      <c r="BA61" s="435"/>
      <c r="BB61" s="435">
        <f t="shared" si="70"/>
        <v>201001.03000000006</v>
      </c>
      <c r="BC61" s="108">
        <f t="shared" si="33"/>
        <v>14</v>
      </c>
      <c r="BD61" s="108">
        <f t="shared" si="77"/>
        <v>14</v>
      </c>
      <c r="BE61" s="22">
        <f t="shared" si="78"/>
        <v>45800</v>
      </c>
      <c r="BF61" s="108">
        <f t="shared" si="79"/>
        <v>30288</v>
      </c>
      <c r="BG61" s="2">
        <f t="shared" si="73"/>
        <v>0</v>
      </c>
    </row>
    <row r="62" spans="1:59" s="16" customFormat="1" x14ac:dyDescent="0.3">
      <c r="A62" s="178"/>
      <c r="B62" s="178"/>
      <c r="C62" s="178"/>
      <c r="D62" s="178"/>
      <c r="E62" s="178"/>
      <c r="F62" s="178"/>
      <c r="G62" s="426">
        <f t="shared" si="28"/>
        <v>54</v>
      </c>
      <c r="H62" s="427">
        <f t="shared" si="71"/>
        <v>46014</v>
      </c>
      <c r="I62" s="423">
        <f t="shared" si="55"/>
        <v>30288</v>
      </c>
      <c r="J62" s="423">
        <f t="shared" si="56"/>
        <v>2779.33</v>
      </c>
      <c r="K62" s="423">
        <f t="shared" si="57"/>
        <v>27508.67</v>
      </c>
      <c r="L62" s="423">
        <f t="shared" si="63"/>
        <v>0</v>
      </c>
      <c r="M62" s="423">
        <f t="shared" si="29"/>
        <v>0</v>
      </c>
      <c r="N62" s="423">
        <f t="shared" si="18"/>
        <v>2779.33</v>
      </c>
      <c r="O62" s="423">
        <f t="shared" si="19"/>
        <v>0</v>
      </c>
      <c r="P62" s="423">
        <f t="shared" si="20"/>
        <v>0</v>
      </c>
      <c r="Q62" s="423">
        <f t="shared" si="58"/>
        <v>172581.39999999962</v>
      </c>
      <c r="R62" s="36">
        <f t="shared" si="30"/>
        <v>7</v>
      </c>
      <c r="S62" s="36">
        <f t="shared" si="59"/>
        <v>7</v>
      </c>
      <c r="T62" s="2">
        <f t="shared" si="74"/>
        <v>9583.7800000000007</v>
      </c>
      <c r="U62" s="34">
        <f t="shared" si="75"/>
        <v>30288</v>
      </c>
      <c r="V62" s="57">
        <f t="shared" si="76"/>
        <v>46925</v>
      </c>
      <c r="W62" s="6" t="s">
        <v>0</v>
      </c>
      <c r="X62" s="6"/>
      <c r="Y62" s="135">
        <v>600000</v>
      </c>
      <c r="Z62" s="133">
        <v>3.0000000000000001E-3</v>
      </c>
      <c r="AA62" s="133">
        <v>3.0000000000000001E-3</v>
      </c>
      <c r="AB62" s="133">
        <v>2.5000000000000001E-3</v>
      </c>
      <c r="AC62" s="133">
        <v>3.0000000000000001E-3</v>
      </c>
      <c r="AD62" s="133">
        <v>1E-3</v>
      </c>
      <c r="AE62" s="133">
        <v>4.0000000000000001E-3</v>
      </c>
      <c r="AF62" s="133">
        <v>0</v>
      </c>
      <c r="AG62" s="133"/>
      <c r="AH62" s="2"/>
      <c r="AI62" s="2">
        <f t="shared" si="64"/>
        <v>0</v>
      </c>
      <c r="AJ62" s="34">
        <f t="shared" si="80"/>
        <v>30731</v>
      </c>
      <c r="AK62" s="57">
        <f t="shared" si="66"/>
        <v>49845</v>
      </c>
      <c r="AL62" s="130">
        <f t="shared" si="22"/>
        <v>1</v>
      </c>
      <c r="AM62" s="438">
        <f t="shared" si="31"/>
        <v>54</v>
      </c>
      <c r="AN62" s="439">
        <f t="shared" si="72"/>
        <v>46014</v>
      </c>
      <c r="AO62" s="435">
        <f t="shared" si="60"/>
        <v>30731</v>
      </c>
      <c r="AP62" s="435">
        <f t="shared" si="61"/>
        <v>3287.61</v>
      </c>
      <c r="AQ62" s="435">
        <f t="shared" si="67"/>
        <v>27443.39</v>
      </c>
      <c r="AR62" s="435">
        <f t="shared" si="62"/>
        <v>0</v>
      </c>
      <c r="AS62" s="435">
        <f t="shared" si="49"/>
        <v>0</v>
      </c>
      <c r="AT62" s="435">
        <f t="shared" si="24"/>
        <v>3287.61</v>
      </c>
      <c r="AU62" s="435">
        <f t="shared" si="68"/>
        <v>0</v>
      </c>
      <c r="AV62" s="435">
        <f t="shared" si="69"/>
        <v>0</v>
      </c>
      <c r="AW62" s="435"/>
      <c r="AX62" s="435"/>
      <c r="AY62" s="435"/>
      <c r="AZ62" s="435"/>
      <c r="BA62" s="435"/>
      <c r="BB62" s="435">
        <f t="shared" si="70"/>
        <v>173557.64000000007</v>
      </c>
      <c r="BC62" s="108">
        <f t="shared" si="33"/>
        <v>13</v>
      </c>
      <c r="BD62" s="108">
        <f t="shared" si="77"/>
        <v>13</v>
      </c>
      <c r="BE62" s="22">
        <f t="shared" si="78"/>
        <v>45831</v>
      </c>
      <c r="BF62" s="108">
        <f t="shared" si="79"/>
        <v>30288</v>
      </c>
      <c r="BG62" s="2">
        <f t="shared" si="73"/>
        <v>0</v>
      </c>
    </row>
    <row r="63" spans="1:59" s="16" customFormat="1" x14ac:dyDescent="0.3">
      <c r="A63" s="178"/>
      <c r="B63" s="178"/>
      <c r="C63" s="178"/>
      <c r="D63" s="178"/>
      <c r="E63" s="178"/>
      <c r="F63" s="178"/>
      <c r="G63" s="426">
        <f t="shared" si="28"/>
        <v>55</v>
      </c>
      <c r="H63" s="427">
        <f t="shared" si="71"/>
        <v>46045</v>
      </c>
      <c r="I63" s="423">
        <f t="shared" si="55"/>
        <v>30288</v>
      </c>
      <c r="J63" s="423">
        <f t="shared" si="56"/>
        <v>2477.13</v>
      </c>
      <c r="K63" s="423">
        <f t="shared" si="57"/>
        <v>27810.87</v>
      </c>
      <c r="L63" s="423">
        <f t="shared" si="63"/>
        <v>0</v>
      </c>
      <c r="M63" s="423">
        <f t="shared" si="29"/>
        <v>0</v>
      </c>
      <c r="N63" s="423">
        <f t="shared" si="18"/>
        <v>2477.13</v>
      </c>
      <c r="O63" s="423">
        <f t="shared" si="19"/>
        <v>0</v>
      </c>
      <c r="P63" s="423">
        <f t="shared" si="20"/>
        <v>0</v>
      </c>
      <c r="Q63" s="423">
        <f t="shared" si="58"/>
        <v>144770.52999999962</v>
      </c>
      <c r="R63" s="36">
        <f t="shared" si="30"/>
        <v>6</v>
      </c>
      <c r="S63" s="36">
        <f t="shared" si="59"/>
        <v>6</v>
      </c>
      <c r="T63" s="2">
        <f t="shared" si="74"/>
        <v>9466.67</v>
      </c>
      <c r="U63" s="34">
        <f t="shared" si="75"/>
        <v>30288</v>
      </c>
      <c r="V63" s="57">
        <f t="shared" si="76"/>
        <v>47290</v>
      </c>
      <c r="W63" s="11" t="s">
        <v>18</v>
      </c>
      <c r="X63" s="11"/>
      <c r="Y63" s="135">
        <v>1000000</v>
      </c>
      <c r="Z63" s="133">
        <v>2.5000000000000001E-3</v>
      </c>
      <c r="AA63" s="133">
        <v>2.5000000000000001E-3</v>
      </c>
      <c r="AB63" s="133">
        <v>2.5000000000000001E-3</v>
      </c>
      <c r="AC63" s="133">
        <v>3.0000000000000001E-3</v>
      </c>
      <c r="AD63" s="133">
        <v>1E-3</v>
      </c>
      <c r="AE63" s="133">
        <v>3.2000000000000002E-3</v>
      </c>
      <c r="AF63" s="133">
        <v>0</v>
      </c>
      <c r="AG63" s="133"/>
      <c r="AI63" s="2">
        <f t="shared" si="64"/>
        <v>0</v>
      </c>
      <c r="AJ63" s="34">
        <f t="shared" si="80"/>
        <v>30731</v>
      </c>
      <c r="AK63" s="57">
        <f t="shared" si="66"/>
        <v>50210</v>
      </c>
      <c r="AL63" s="130">
        <f t="shared" si="22"/>
        <v>1</v>
      </c>
      <c r="AM63" s="438">
        <f t="shared" si="31"/>
        <v>55</v>
      </c>
      <c r="AN63" s="439">
        <f t="shared" si="72"/>
        <v>46045</v>
      </c>
      <c r="AO63" s="435">
        <f t="shared" si="60"/>
        <v>30731</v>
      </c>
      <c r="AP63" s="435">
        <f t="shared" si="61"/>
        <v>2933.36</v>
      </c>
      <c r="AQ63" s="435">
        <f t="shared" si="67"/>
        <v>27797.64</v>
      </c>
      <c r="AR63" s="435">
        <f t="shared" si="62"/>
        <v>0</v>
      </c>
      <c r="AS63" s="435">
        <f t="shared" si="49"/>
        <v>0</v>
      </c>
      <c r="AT63" s="435">
        <f t="shared" si="24"/>
        <v>2933.36</v>
      </c>
      <c r="AU63" s="435">
        <f t="shared" si="68"/>
        <v>0</v>
      </c>
      <c r="AV63" s="435">
        <f t="shared" si="69"/>
        <v>0</v>
      </c>
      <c r="AW63" s="435"/>
      <c r="AX63" s="435"/>
      <c r="AY63" s="435"/>
      <c r="AZ63" s="435"/>
      <c r="BA63" s="435"/>
      <c r="BB63" s="435">
        <f t="shared" si="70"/>
        <v>145760.00000000006</v>
      </c>
      <c r="BC63" s="108">
        <f t="shared" si="33"/>
        <v>12</v>
      </c>
      <c r="BD63" s="108">
        <f t="shared" si="77"/>
        <v>12</v>
      </c>
      <c r="BE63" s="22">
        <f t="shared" si="78"/>
        <v>45861</v>
      </c>
      <c r="BF63" s="108">
        <f t="shared" si="79"/>
        <v>30288</v>
      </c>
      <c r="BG63" s="2">
        <f t="shared" si="73"/>
        <v>0</v>
      </c>
    </row>
    <row r="64" spans="1:59" s="16" customFormat="1" ht="13.8" x14ac:dyDescent="0.3">
      <c r="A64" s="178"/>
      <c r="B64" s="178"/>
      <c r="C64" s="178"/>
      <c r="D64" s="178"/>
      <c r="E64" s="178"/>
      <c r="F64" s="178"/>
      <c r="G64" s="426">
        <f t="shared" si="28"/>
        <v>56</v>
      </c>
      <c r="H64" s="427">
        <f t="shared" si="71"/>
        <v>46076</v>
      </c>
      <c r="I64" s="423">
        <f t="shared" si="55"/>
        <v>30288</v>
      </c>
      <c r="J64" s="423">
        <f t="shared" si="56"/>
        <v>2077.9499999999998</v>
      </c>
      <c r="K64" s="423">
        <f t="shared" si="57"/>
        <v>28210.05</v>
      </c>
      <c r="L64" s="423">
        <f t="shared" si="63"/>
        <v>0</v>
      </c>
      <c r="M64" s="423">
        <f t="shared" si="29"/>
        <v>0</v>
      </c>
      <c r="N64" s="423">
        <f t="shared" si="18"/>
        <v>2077.9499999999998</v>
      </c>
      <c r="O64" s="423">
        <f t="shared" si="19"/>
        <v>0</v>
      </c>
      <c r="P64" s="423">
        <f t="shared" si="20"/>
        <v>0</v>
      </c>
      <c r="Q64" s="423">
        <f t="shared" si="58"/>
        <v>116560.47999999962</v>
      </c>
      <c r="R64" s="36">
        <f t="shared" si="30"/>
        <v>5</v>
      </c>
      <c r="S64" s="36">
        <f t="shared" si="59"/>
        <v>5</v>
      </c>
      <c r="T64" s="2">
        <f t="shared" si="74"/>
        <v>8443.25</v>
      </c>
      <c r="U64" s="34">
        <f t="shared" si="75"/>
        <v>30288</v>
      </c>
      <c r="V64" s="57">
        <f t="shared" si="76"/>
        <v>47655</v>
      </c>
      <c r="W64" s="3" t="s">
        <v>22</v>
      </c>
      <c r="X64" s="3"/>
      <c r="Y64" s="135">
        <v>3000000</v>
      </c>
      <c r="Z64" s="133">
        <v>2E-3</v>
      </c>
      <c r="AA64" s="133">
        <v>2E-3</v>
      </c>
      <c r="AB64" s="155"/>
      <c r="AC64" s="155"/>
      <c r="AD64" s="133">
        <v>1E-3</v>
      </c>
      <c r="AE64" s="133">
        <v>2E-3</v>
      </c>
      <c r="AF64" s="133">
        <v>0</v>
      </c>
      <c r="AG64" s="133"/>
      <c r="AI64" s="2">
        <f t="shared" si="64"/>
        <v>0</v>
      </c>
      <c r="AJ64" s="34">
        <f t="shared" si="80"/>
        <v>30731</v>
      </c>
      <c r="AK64" s="57">
        <f t="shared" si="66"/>
        <v>50575</v>
      </c>
      <c r="AL64" s="130">
        <f t="shared" si="22"/>
        <v>1</v>
      </c>
      <c r="AM64" s="438">
        <f t="shared" si="31"/>
        <v>56</v>
      </c>
      <c r="AN64" s="439">
        <f t="shared" si="72"/>
        <v>46076</v>
      </c>
      <c r="AO64" s="435">
        <f t="shared" si="60"/>
        <v>30731</v>
      </c>
      <c r="AP64" s="435">
        <f t="shared" si="61"/>
        <v>2463.54</v>
      </c>
      <c r="AQ64" s="435">
        <f t="shared" si="67"/>
        <v>28267.46</v>
      </c>
      <c r="AR64" s="435">
        <f t="shared" si="62"/>
        <v>0</v>
      </c>
      <c r="AS64" s="435">
        <f t="shared" si="49"/>
        <v>0</v>
      </c>
      <c r="AT64" s="435">
        <f t="shared" si="24"/>
        <v>2463.54</v>
      </c>
      <c r="AU64" s="435">
        <f t="shared" si="68"/>
        <v>0</v>
      </c>
      <c r="AV64" s="435">
        <f t="shared" si="69"/>
        <v>0</v>
      </c>
      <c r="AW64" s="435"/>
      <c r="AX64" s="435"/>
      <c r="AY64" s="435"/>
      <c r="AZ64" s="435"/>
      <c r="BA64" s="435"/>
      <c r="BB64" s="435">
        <f t="shared" si="70"/>
        <v>117492.54000000007</v>
      </c>
      <c r="BC64" s="108">
        <f t="shared" si="33"/>
        <v>11</v>
      </c>
      <c r="BD64" s="108">
        <f t="shared" si="77"/>
        <v>11</v>
      </c>
      <c r="BE64" s="22">
        <f t="shared" si="78"/>
        <v>45892</v>
      </c>
      <c r="BF64" s="108">
        <f t="shared" si="79"/>
        <v>30288</v>
      </c>
      <c r="BG64" s="2">
        <f t="shared" si="73"/>
        <v>0</v>
      </c>
    </row>
    <row r="65" spans="1:59" s="16" customFormat="1" ht="13.8" x14ac:dyDescent="0.3">
      <c r="A65" s="178"/>
      <c r="B65" s="178"/>
      <c r="C65" s="182"/>
      <c r="D65" s="182"/>
      <c r="E65" s="178"/>
      <c r="F65" s="178"/>
      <c r="G65" s="426">
        <f t="shared" si="28"/>
        <v>57</v>
      </c>
      <c r="H65" s="427">
        <f t="shared" si="71"/>
        <v>46104</v>
      </c>
      <c r="I65" s="423">
        <f t="shared" si="55"/>
        <v>30288</v>
      </c>
      <c r="J65" s="423">
        <f t="shared" si="56"/>
        <v>1511.13</v>
      </c>
      <c r="K65" s="423">
        <f t="shared" si="57"/>
        <v>28776.87</v>
      </c>
      <c r="L65" s="423">
        <f t="shared" si="63"/>
        <v>0</v>
      </c>
      <c r="M65" s="423">
        <f t="shared" si="29"/>
        <v>0</v>
      </c>
      <c r="N65" s="423">
        <f t="shared" si="18"/>
        <v>1511.13</v>
      </c>
      <c r="O65" s="423">
        <f t="shared" si="19"/>
        <v>0</v>
      </c>
      <c r="P65" s="423">
        <f t="shared" si="20"/>
        <v>0</v>
      </c>
      <c r="Q65" s="423">
        <f t="shared" si="58"/>
        <v>87783.609999999622</v>
      </c>
      <c r="R65" s="36">
        <f t="shared" si="30"/>
        <v>4</v>
      </c>
      <c r="S65" s="36">
        <f t="shared" si="59"/>
        <v>4</v>
      </c>
      <c r="T65" s="2">
        <f t="shared" si="74"/>
        <v>9214.41</v>
      </c>
      <c r="U65" s="34">
        <f t="shared" si="75"/>
        <v>30288</v>
      </c>
      <c r="V65" s="57">
        <f t="shared" si="76"/>
        <v>48020</v>
      </c>
      <c r="W65" s="3"/>
      <c r="X65" s="3"/>
      <c r="Z65" s="15">
        <f>IF($Z$79&gt;1000000,Z64,IF($Z$79&gt;600000,Z63,IF($Z$79&gt;200000,Z62,Z61)))</f>
        <v>2.5000000000000001E-3</v>
      </c>
      <c r="AA65" s="15">
        <f>IF($AA$79&gt;1000000,AA64,IF($AA$79&gt;600000,AA63,IF($AA$79&gt;200000,AA62,AA61)))</f>
        <v>2E-3</v>
      </c>
      <c r="AB65" s="15">
        <f>IF($AB$79&gt;300000,AB63,IF($AB$79&gt;100000,AB62,AB61))</f>
        <v>2.5000000000000001E-3</v>
      </c>
      <c r="AC65" s="15">
        <f>IF($AC$79&gt;300000,AC63,IF($AC$79&gt;100000,AC62,AC61))</f>
        <v>3.0000000000000001E-3</v>
      </c>
      <c r="AD65" s="15">
        <f>IF($AD$79&gt;1000000,AD64,IF($AD$79&gt;600000,AD63,IF($AD$79&gt;200000,AD62,AD61)))</f>
        <v>1E-3</v>
      </c>
      <c r="AE65" s="15">
        <f>IF($AE$79&gt;Y63,AE64,IF($AE$79&gt;Y62,AE63,IF($AE$79&gt;Y61,AE62,AE61)))</f>
        <v>2E-3</v>
      </c>
      <c r="AF65" s="15" t="s">
        <v>126</v>
      </c>
      <c r="AG65" s="15"/>
      <c r="AI65" s="2">
        <f t="shared" si="64"/>
        <v>0</v>
      </c>
      <c r="AJ65" s="34">
        <f t="shared" si="80"/>
        <v>30731</v>
      </c>
      <c r="AK65" s="57">
        <f t="shared" si="66"/>
        <v>50940</v>
      </c>
      <c r="AL65" s="130">
        <f t="shared" si="22"/>
        <v>1</v>
      </c>
      <c r="AM65" s="438">
        <f t="shared" si="31"/>
        <v>57</v>
      </c>
      <c r="AN65" s="439">
        <f t="shared" si="72"/>
        <v>46104</v>
      </c>
      <c r="AO65" s="435">
        <f t="shared" si="60"/>
        <v>30731</v>
      </c>
      <c r="AP65" s="435">
        <f t="shared" si="61"/>
        <v>1793.61</v>
      </c>
      <c r="AQ65" s="435">
        <f t="shared" si="67"/>
        <v>28937.39</v>
      </c>
      <c r="AR65" s="435">
        <f t="shared" si="62"/>
        <v>0</v>
      </c>
      <c r="AS65" s="435">
        <f t="shared" si="49"/>
        <v>0</v>
      </c>
      <c r="AT65" s="435">
        <f t="shared" si="24"/>
        <v>1793.61</v>
      </c>
      <c r="AU65" s="435">
        <f t="shared" si="68"/>
        <v>0</v>
      </c>
      <c r="AV65" s="435">
        <f t="shared" si="69"/>
        <v>0</v>
      </c>
      <c r="AW65" s="435"/>
      <c r="AX65" s="435"/>
      <c r="AY65" s="435"/>
      <c r="AZ65" s="435"/>
      <c r="BA65" s="435"/>
      <c r="BB65" s="435">
        <f t="shared" si="70"/>
        <v>88555.150000000067</v>
      </c>
      <c r="BC65" s="108">
        <f t="shared" si="33"/>
        <v>10</v>
      </c>
      <c r="BD65" s="108">
        <f t="shared" si="77"/>
        <v>10</v>
      </c>
      <c r="BE65" s="22">
        <f t="shared" si="78"/>
        <v>45923</v>
      </c>
      <c r="BF65" s="108">
        <f t="shared" si="79"/>
        <v>30288</v>
      </c>
      <c r="BG65" s="2">
        <f t="shared" si="73"/>
        <v>0</v>
      </c>
    </row>
    <row r="66" spans="1:59" s="16" customFormat="1" x14ac:dyDescent="0.3">
      <c r="A66" s="178"/>
      <c r="B66" s="178"/>
      <c r="C66" s="178"/>
      <c r="D66" s="182"/>
      <c r="E66" s="178"/>
      <c r="F66" s="178"/>
      <c r="G66" s="426">
        <f t="shared" si="28"/>
        <v>58</v>
      </c>
      <c r="H66" s="427">
        <f t="shared" si="71"/>
        <v>46135</v>
      </c>
      <c r="I66" s="423">
        <f t="shared" si="55"/>
        <v>30288</v>
      </c>
      <c r="J66" s="423">
        <f t="shared" si="56"/>
        <v>1260</v>
      </c>
      <c r="K66" s="423">
        <f t="shared" si="57"/>
        <v>29028</v>
      </c>
      <c r="L66" s="423">
        <f t="shared" si="63"/>
        <v>0</v>
      </c>
      <c r="M66" s="423">
        <f t="shared" si="29"/>
        <v>0</v>
      </c>
      <c r="N66" s="423">
        <f t="shared" si="18"/>
        <v>1260</v>
      </c>
      <c r="O66" s="423">
        <f t="shared" si="19"/>
        <v>0</v>
      </c>
      <c r="P66" s="423">
        <f t="shared" si="20"/>
        <v>0</v>
      </c>
      <c r="Q66" s="423">
        <f t="shared" si="58"/>
        <v>58755.609999999622</v>
      </c>
      <c r="R66" s="36">
        <f t="shared" si="30"/>
        <v>3</v>
      </c>
      <c r="S66" s="36">
        <f t="shared" si="59"/>
        <v>3</v>
      </c>
      <c r="T66" s="2">
        <f t="shared" si="74"/>
        <v>8798.7099999999991</v>
      </c>
      <c r="U66" s="34">
        <f t="shared" si="75"/>
        <v>30288</v>
      </c>
      <c r="V66" s="57">
        <f t="shared" si="76"/>
        <v>48385</v>
      </c>
      <c r="W66" s="2"/>
      <c r="X66" s="2"/>
      <c r="AI66" s="2">
        <f t="shared" si="64"/>
        <v>0</v>
      </c>
      <c r="AJ66" s="34">
        <f t="shared" si="80"/>
        <v>30731</v>
      </c>
      <c r="AK66" s="57">
        <f t="shared" si="66"/>
        <v>51305</v>
      </c>
      <c r="AL66" s="130">
        <f t="shared" si="22"/>
        <v>1</v>
      </c>
      <c r="AM66" s="438">
        <f t="shared" si="31"/>
        <v>58</v>
      </c>
      <c r="AN66" s="439">
        <f t="shared" si="72"/>
        <v>46135</v>
      </c>
      <c r="AO66" s="435">
        <f t="shared" si="60"/>
        <v>30731</v>
      </c>
      <c r="AP66" s="435">
        <f t="shared" si="61"/>
        <v>1496.7</v>
      </c>
      <c r="AQ66" s="435">
        <f t="shared" si="67"/>
        <v>29234.3</v>
      </c>
      <c r="AR66" s="435">
        <f t="shared" si="62"/>
        <v>0</v>
      </c>
      <c r="AS66" s="435">
        <f t="shared" si="49"/>
        <v>0</v>
      </c>
      <c r="AT66" s="435">
        <f t="shared" si="24"/>
        <v>1496.7</v>
      </c>
      <c r="AU66" s="435">
        <f t="shared" si="68"/>
        <v>0</v>
      </c>
      <c r="AV66" s="435">
        <f t="shared" si="69"/>
        <v>0</v>
      </c>
      <c r="AW66" s="435"/>
      <c r="AX66" s="435"/>
      <c r="AY66" s="435"/>
      <c r="AZ66" s="435"/>
      <c r="BA66" s="435"/>
      <c r="BB66" s="435">
        <f t="shared" si="70"/>
        <v>59320.850000000064</v>
      </c>
      <c r="BC66" s="108">
        <f t="shared" si="33"/>
        <v>9</v>
      </c>
      <c r="BD66" s="108">
        <f t="shared" si="77"/>
        <v>9</v>
      </c>
      <c r="BE66" s="22">
        <f t="shared" si="78"/>
        <v>45953</v>
      </c>
      <c r="BF66" s="108">
        <f t="shared" si="79"/>
        <v>30288</v>
      </c>
      <c r="BG66" s="2">
        <f t="shared" si="73"/>
        <v>0</v>
      </c>
    </row>
    <row r="67" spans="1:59" s="16" customFormat="1" x14ac:dyDescent="0.3">
      <c r="A67" s="178"/>
      <c r="B67" s="178"/>
      <c r="C67" s="178"/>
      <c r="D67" s="178"/>
      <c r="E67" s="178"/>
      <c r="F67" s="178"/>
      <c r="G67" s="426">
        <f t="shared" si="28"/>
        <v>59</v>
      </c>
      <c r="H67" s="427">
        <f t="shared" si="71"/>
        <v>46165</v>
      </c>
      <c r="I67" s="423">
        <f t="shared" si="55"/>
        <v>30288</v>
      </c>
      <c r="J67" s="423">
        <f t="shared" si="56"/>
        <v>816.14</v>
      </c>
      <c r="K67" s="423">
        <f t="shared" si="57"/>
        <v>29471.86</v>
      </c>
      <c r="L67" s="423">
        <f t="shared" si="63"/>
        <v>0</v>
      </c>
      <c r="M67" s="423">
        <f t="shared" si="29"/>
        <v>0</v>
      </c>
      <c r="N67" s="423">
        <f t="shared" si="18"/>
        <v>816.14</v>
      </c>
      <c r="O67" s="423">
        <f t="shared" si="19"/>
        <v>0</v>
      </c>
      <c r="P67" s="423">
        <f t="shared" si="20"/>
        <v>0</v>
      </c>
      <c r="Q67" s="423">
        <f t="shared" si="58"/>
        <v>29283.749999999622</v>
      </c>
      <c r="R67" s="36">
        <f t="shared" si="30"/>
        <v>2</v>
      </c>
      <c r="S67" s="36">
        <f t="shared" si="59"/>
        <v>2</v>
      </c>
      <c r="T67" s="2">
        <f t="shared" si="74"/>
        <v>8963.6200000000008</v>
      </c>
      <c r="U67" s="34">
        <f t="shared" si="75"/>
        <v>30288</v>
      </c>
      <c r="V67" s="57">
        <f t="shared" si="76"/>
        <v>48750</v>
      </c>
      <c r="AI67" s="2">
        <f t="shared" si="64"/>
        <v>0</v>
      </c>
      <c r="AJ67" s="34">
        <f t="shared" si="80"/>
        <v>30731</v>
      </c>
      <c r="AK67" s="57">
        <f t="shared" si="66"/>
        <v>51670</v>
      </c>
      <c r="AL67" s="130">
        <f t="shared" si="22"/>
        <v>1</v>
      </c>
      <c r="AM67" s="438">
        <f t="shared" si="31"/>
        <v>59</v>
      </c>
      <c r="AN67" s="439">
        <f t="shared" si="72"/>
        <v>46165</v>
      </c>
      <c r="AO67" s="435">
        <f t="shared" si="60"/>
        <v>30731</v>
      </c>
      <c r="AP67" s="435">
        <f t="shared" si="61"/>
        <v>970.26</v>
      </c>
      <c r="AQ67" s="435">
        <f t="shared" si="67"/>
        <v>29760.74</v>
      </c>
      <c r="AR67" s="435">
        <f t="shared" si="62"/>
        <v>0</v>
      </c>
      <c r="AS67" s="435">
        <f t="shared" si="49"/>
        <v>0</v>
      </c>
      <c r="AT67" s="435">
        <f t="shared" si="24"/>
        <v>970.26</v>
      </c>
      <c r="AU67" s="435">
        <f t="shared" si="68"/>
        <v>0</v>
      </c>
      <c r="AV67" s="435">
        <f t="shared" si="69"/>
        <v>0</v>
      </c>
      <c r="AW67" s="435"/>
      <c r="AX67" s="435"/>
      <c r="AY67" s="435"/>
      <c r="AZ67" s="435"/>
      <c r="BA67" s="435"/>
      <c r="BB67" s="435">
        <f t="shared" si="70"/>
        <v>29560.110000000062</v>
      </c>
      <c r="BC67" s="108">
        <f t="shared" si="33"/>
        <v>8</v>
      </c>
      <c r="BD67" s="108">
        <f t="shared" si="77"/>
        <v>8</v>
      </c>
      <c r="BE67" s="22">
        <f t="shared" si="78"/>
        <v>45984</v>
      </c>
      <c r="BF67" s="108">
        <f t="shared" si="79"/>
        <v>30288</v>
      </c>
      <c r="BG67" s="2">
        <f t="shared" si="73"/>
        <v>0</v>
      </c>
    </row>
    <row r="68" spans="1:59" s="16" customFormat="1" x14ac:dyDescent="0.3">
      <c r="A68" s="178"/>
      <c r="B68" s="178"/>
      <c r="C68" s="178"/>
      <c r="D68" s="178"/>
      <c r="E68" s="178"/>
      <c r="F68" s="178"/>
      <c r="G68" s="426">
        <f t="shared" si="28"/>
        <v>60</v>
      </c>
      <c r="H68" s="427">
        <f t="shared" si="71"/>
        <v>46196</v>
      </c>
      <c r="I68" s="423">
        <f t="shared" si="55"/>
        <v>29704.069999999621</v>
      </c>
      <c r="J68" s="423">
        <f t="shared" si="56"/>
        <v>420.32</v>
      </c>
      <c r="K68" s="423">
        <f t="shared" si="57"/>
        <v>29283.749999999622</v>
      </c>
      <c r="L68" s="423">
        <f t="shared" si="63"/>
        <v>0</v>
      </c>
      <c r="M68" s="423">
        <f t="shared" ref="M68:M76" si="81">O67-L67</f>
        <v>0</v>
      </c>
      <c r="N68" s="423">
        <f t="shared" ref="N68:N76" si="82">J68+O68</f>
        <v>420.32</v>
      </c>
      <c r="O68" s="423">
        <f t="shared" ref="O68:O76" si="83">IF(S68=0,0,0)</f>
        <v>0</v>
      </c>
      <c r="P68" s="423">
        <f t="shared" ref="P68:P76" si="84">IF(S68=0,0,0)</f>
        <v>0</v>
      </c>
      <c r="Q68" s="423">
        <f t="shared" si="58"/>
        <v>0</v>
      </c>
      <c r="R68" s="36">
        <f t="shared" si="30"/>
        <v>1</v>
      </c>
      <c r="S68" s="36">
        <f t="shared" si="59"/>
        <v>1</v>
      </c>
      <c r="T68" s="2">
        <f t="shared" si="74"/>
        <v>8552.5300000000007</v>
      </c>
      <c r="U68" s="34">
        <f t="shared" si="75"/>
        <v>30288</v>
      </c>
      <c r="V68" s="57">
        <f t="shared" si="76"/>
        <v>49115</v>
      </c>
      <c r="X68" s="133" t="s">
        <v>96</v>
      </c>
      <c r="AI68" s="2" t="e">
        <f>IF(AND(#REF!&gt;=$T$22,#REF!&lt;=$T$22+5),0,IF($C$9&gt;$AC$51,ROUND(AF28*$C$14/(DATEVALUE(CONCATENATE("01/01/",YEAR(#REF!)+1))-DATEVALUE(CONCATENATE("01/01/",YEAR(#REF!))))*(#REF!-W35),2),0))</f>
        <v>#REF!</v>
      </c>
      <c r="AJ68" s="34">
        <f t="shared" si="80"/>
        <v>30731</v>
      </c>
      <c r="AK68" s="57">
        <f t="shared" si="66"/>
        <v>52035</v>
      </c>
      <c r="AL68" s="130">
        <f t="shared" si="22"/>
        <v>1</v>
      </c>
      <c r="AM68" s="438">
        <f t="shared" si="31"/>
        <v>60</v>
      </c>
      <c r="AN68" s="439">
        <f t="shared" si="72"/>
        <v>46196</v>
      </c>
      <c r="AO68" s="435">
        <f t="shared" si="60"/>
        <v>30059.720000000063</v>
      </c>
      <c r="AP68" s="435">
        <f t="shared" si="61"/>
        <v>499.61</v>
      </c>
      <c r="AQ68" s="435">
        <f t="shared" si="67"/>
        <v>29560.110000000062</v>
      </c>
      <c r="AR68" s="435">
        <f t="shared" si="62"/>
        <v>0</v>
      </c>
      <c r="AS68" s="435">
        <f t="shared" si="49"/>
        <v>0</v>
      </c>
      <c r="AT68" s="435">
        <f t="shared" si="24"/>
        <v>499.61</v>
      </c>
      <c r="AU68" s="435">
        <f t="shared" si="68"/>
        <v>0</v>
      </c>
      <c r="AV68" s="435">
        <f t="shared" si="69"/>
        <v>0</v>
      </c>
      <c r="AW68" s="435"/>
      <c r="AX68" s="435"/>
      <c r="AY68" s="435"/>
      <c r="AZ68" s="435"/>
      <c r="BA68" s="435"/>
      <c r="BB68" s="435">
        <f t="shared" si="70"/>
        <v>0</v>
      </c>
      <c r="BC68" s="108">
        <f t="shared" si="33"/>
        <v>7</v>
      </c>
      <c r="BD68" s="108">
        <f t="shared" si="77"/>
        <v>7</v>
      </c>
      <c r="BE68" s="22">
        <f t="shared" si="78"/>
        <v>46014</v>
      </c>
      <c r="BF68" s="108">
        <f t="shared" si="79"/>
        <v>30288</v>
      </c>
      <c r="BG68" s="2">
        <f t="shared" si="73"/>
        <v>0</v>
      </c>
    </row>
    <row r="69" spans="1:59" s="16" customFormat="1" x14ac:dyDescent="0.3">
      <c r="A69" s="2"/>
      <c r="B69" s="2"/>
      <c r="C69" s="2"/>
      <c r="D69" s="2"/>
      <c r="E69" s="2"/>
      <c r="F69" s="178"/>
      <c r="G69" s="426">
        <f t="shared" si="28"/>
        <v>61</v>
      </c>
      <c r="H69" s="427">
        <f t="shared" si="71"/>
        <v>46226</v>
      </c>
      <c r="I69" s="423">
        <f t="shared" si="55"/>
        <v>0</v>
      </c>
      <c r="J69" s="423">
        <f t="shared" si="56"/>
        <v>0</v>
      </c>
      <c r="K69" s="423">
        <f t="shared" si="57"/>
        <v>0</v>
      </c>
      <c r="L69" s="423">
        <f t="shared" si="63"/>
        <v>0</v>
      </c>
      <c r="M69" s="423">
        <f t="shared" si="81"/>
        <v>0</v>
      </c>
      <c r="N69" s="423">
        <f t="shared" si="82"/>
        <v>0</v>
      </c>
      <c r="O69" s="423">
        <f t="shared" si="83"/>
        <v>0</v>
      </c>
      <c r="P69" s="423">
        <f t="shared" si="84"/>
        <v>0</v>
      </c>
      <c r="Q69" s="423">
        <f t="shared" si="58"/>
        <v>0</v>
      </c>
      <c r="R69" s="36">
        <f t="shared" si="30"/>
        <v>0</v>
      </c>
      <c r="S69" s="36">
        <f t="shared" si="59"/>
        <v>0</v>
      </c>
      <c r="T69" s="2">
        <f t="shared" si="74"/>
        <v>8705.7000000000007</v>
      </c>
      <c r="U69" s="34">
        <f t="shared" si="75"/>
        <v>30288</v>
      </c>
      <c r="V69" s="57">
        <f t="shared" si="76"/>
        <v>49480</v>
      </c>
      <c r="X69" s="133" t="s">
        <v>99</v>
      </c>
      <c r="Y69" s="2"/>
      <c r="AA69" s="2"/>
      <c r="AB69" s="2"/>
      <c r="AC69" s="2"/>
      <c r="AD69" s="2"/>
      <c r="AE69" s="2"/>
      <c r="AF69" s="63"/>
      <c r="AG69" s="63"/>
      <c r="AH69" s="63"/>
      <c r="AI69" s="2" t="e">
        <f>IF(AND(V36&gt;=$T$22,V36&lt;=$T$22+5),0,IF($C$9&gt;$AC$51,ROUND(AF29*$C$14/(DATEVALUE(CONCATENATE("01/01/",YEAR(W36)+1))-DATEVALUE(CONCATENATE("01/01/",YEAR(W36))))*(W36-#REF!),2),0))</f>
        <v>#REF!</v>
      </c>
      <c r="AJ69" s="34">
        <f t="shared" si="80"/>
        <v>30731</v>
      </c>
      <c r="AK69" s="57">
        <f t="shared" si="66"/>
        <v>52400</v>
      </c>
      <c r="AL69" s="130">
        <f t="shared" si="22"/>
        <v>0</v>
      </c>
      <c r="AM69" s="438">
        <f t="shared" si="31"/>
        <v>61</v>
      </c>
      <c r="AN69" s="439">
        <f t="shared" si="72"/>
        <v>46226</v>
      </c>
      <c r="AO69" s="435">
        <f t="shared" si="60"/>
        <v>0</v>
      </c>
      <c r="AP69" s="435">
        <f t="shared" si="61"/>
        <v>0</v>
      </c>
      <c r="AQ69" s="435">
        <f t="shared" si="67"/>
        <v>0</v>
      </c>
      <c r="AR69" s="435">
        <f t="shared" si="62"/>
        <v>0</v>
      </c>
      <c r="AS69" s="435">
        <f t="shared" si="49"/>
        <v>0</v>
      </c>
      <c r="AT69" s="435">
        <f t="shared" si="24"/>
        <v>0</v>
      </c>
      <c r="AU69" s="435">
        <f t="shared" si="68"/>
        <v>0</v>
      </c>
      <c r="AV69" s="435">
        <f t="shared" si="69"/>
        <v>0</v>
      </c>
      <c r="AW69" s="435"/>
      <c r="AX69" s="435"/>
      <c r="AY69" s="435"/>
      <c r="AZ69" s="435"/>
      <c r="BA69" s="435"/>
      <c r="BB69" s="435">
        <f t="shared" si="70"/>
        <v>0</v>
      </c>
      <c r="BC69" s="108">
        <f t="shared" si="33"/>
        <v>6</v>
      </c>
      <c r="BD69" s="108">
        <f t="shared" si="77"/>
        <v>6</v>
      </c>
      <c r="BE69" s="22">
        <f t="shared" si="78"/>
        <v>46045</v>
      </c>
      <c r="BF69" s="108">
        <f t="shared" si="79"/>
        <v>30288</v>
      </c>
      <c r="BG69" s="2">
        <f t="shared" si="73"/>
        <v>0</v>
      </c>
    </row>
    <row r="70" spans="1:59" s="16" customFormat="1" ht="14.25" customHeight="1" x14ac:dyDescent="0.3">
      <c r="A70" s="2"/>
      <c r="B70" s="2"/>
      <c r="C70" s="2"/>
      <c r="D70" s="2"/>
      <c r="E70" s="2"/>
      <c r="F70" s="178"/>
      <c r="G70" s="426">
        <f t="shared" si="28"/>
        <v>62</v>
      </c>
      <c r="H70" s="427">
        <f t="shared" si="71"/>
        <v>46257</v>
      </c>
      <c r="I70" s="423">
        <f t="shared" si="55"/>
        <v>0</v>
      </c>
      <c r="J70" s="423">
        <f t="shared" si="56"/>
        <v>0</v>
      </c>
      <c r="K70" s="423">
        <f t="shared" si="57"/>
        <v>0</v>
      </c>
      <c r="L70" s="423">
        <f t="shared" si="63"/>
        <v>0</v>
      </c>
      <c r="M70" s="423">
        <f t="shared" si="81"/>
        <v>0</v>
      </c>
      <c r="N70" s="423">
        <f t="shared" si="82"/>
        <v>0</v>
      </c>
      <c r="O70" s="423">
        <f t="shared" si="83"/>
        <v>0</v>
      </c>
      <c r="P70" s="423">
        <f t="shared" si="84"/>
        <v>0</v>
      </c>
      <c r="Q70" s="423">
        <f t="shared" si="58"/>
        <v>0</v>
      </c>
      <c r="R70" s="36">
        <f t="shared" si="30"/>
        <v>0</v>
      </c>
      <c r="S70" s="36">
        <f t="shared" si="59"/>
        <v>0</v>
      </c>
      <c r="T70" s="2">
        <f t="shared" si="74"/>
        <v>8575.99</v>
      </c>
      <c r="U70" s="34">
        <f t="shared" si="75"/>
        <v>30288</v>
      </c>
      <c r="V70" s="57">
        <f t="shared" si="76"/>
        <v>49845</v>
      </c>
      <c r="X70" s="133" t="s">
        <v>123</v>
      </c>
      <c r="Y70" s="15"/>
      <c r="Z70" s="145" t="s">
        <v>330</v>
      </c>
      <c r="AA70" s="145" t="s">
        <v>111</v>
      </c>
      <c r="AB70" s="145" t="s">
        <v>114</v>
      </c>
      <c r="AC70" s="144" t="s">
        <v>115</v>
      </c>
      <c r="AD70" s="144" t="s">
        <v>118</v>
      </c>
      <c r="AE70" s="144" t="s">
        <v>119</v>
      </c>
      <c r="AF70" s="145" t="s">
        <v>120</v>
      </c>
      <c r="AG70" s="2" t="s">
        <v>35</v>
      </c>
      <c r="AI70" s="2">
        <f>IF(AND(V38&gt;=$T$22,V38&lt;=$T$22+5),0,IF($C$9&gt;$AC$51,ROUND(AF30*$C$14/(DATEVALUE(CONCATENATE("01/01/",YEAR(W38)+1))-DATEVALUE(CONCATENATE("01/01/",YEAR(W38))))*(W38-W36),2),0))</f>
        <v>0</v>
      </c>
      <c r="AJ70" s="34">
        <f t="shared" si="80"/>
        <v>30731</v>
      </c>
      <c r="AK70" s="57">
        <f t="shared" si="66"/>
        <v>52765</v>
      </c>
      <c r="AL70" s="130">
        <f t="shared" si="22"/>
        <v>0</v>
      </c>
      <c r="AM70" s="438">
        <f t="shared" si="31"/>
        <v>62</v>
      </c>
      <c r="AN70" s="439">
        <f t="shared" si="72"/>
        <v>46257</v>
      </c>
      <c r="AO70" s="435">
        <f t="shared" si="60"/>
        <v>0</v>
      </c>
      <c r="AP70" s="435">
        <f t="shared" si="61"/>
        <v>0</v>
      </c>
      <c r="AQ70" s="435">
        <f t="shared" si="67"/>
        <v>0</v>
      </c>
      <c r="AR70" s="435">
        <f t="shared" si="62"/>
        <v>0</v>
      </c>
      <c r="AS70" s="435">
        <f t="shared" si="49"/>
        <v>0</v>
      </c>
      <c r="AT70" s="435">
        <f t="shared" si="24"/>
        <v>0</v>
      </c>
      <c r="AU70" s="435">
        <f t="shared" si="68"/>
        <v>0</v>
      </c>
      <c r="AV70" s="435">
        <f t="shared" si="69"/>
        <v>0</v>
      </c>
      <c r="AW70" s="435"/>
      <c r="AX70" s="435"/>
      <c r="AY70" s="435"/>
      <c r="AZ70" s="435"/>
      <c r="BA70" s="435"/>
      <c r="BB70" s="435">
        <f t="shared" si="70"/>
        <v>0</v>
      </c>
      <c r="BC70" s="108">
        <f t="shared" si="33"/>
        <v>5</v>
      </c>
      <c r="BD70" s="108">
        <f t="shared" si="77"/>
        <v>5</v>
      </c>
      <c r="BE70" s="22">
        <f t="shared" si="78"/>
        <v>46076</v>
      </c>
      <c r="BF70" s="108">
        <f t="shared" si="79"/>
        <v>30288</v>
      </c>
      <c r="BG70" s="2">
        <f t="shared" si="73"/>
        <v>0</v>
      </c>
    </row>
    <row r="71" spans="1:59" s="16" customFormat="1" x14ac:dyDescent="0.3">
      <c r="A71" s="2"/>
      <c r="B71" s="2"/>
      <c r="C71" s="2"/>
      <c r="D71" s="2"/>
      <c r="E71" s="2"/>
      <c r="F71" s="178"/>
      <c r="G71" s="426">
        <f t="shared" si="28"/>
        <v>63</v>
      </c>
      <c r="H71" s="427">
        <f t="shared" si="71"/>
        <v>46288</v>
      </c>
      <c r="I71" s="423">
        <f t="shared" si="55"/>
        <v>0</v>
      </c>
      <c r="J71" s="423">
        <f t="shared" si="56"/>
        <v>0</v>
      </c>
      <c r="K71" s="423">
        <f t="shared" si="57"/>
        <v>0</v>
      </c>
      <c r="L71" s="423">
        <f t="shared" si="63"/>
        <v>0</v>
      </c>
      <c r="M71" s="423">
        <f t="shared" si="81"/>
        <v>0</v>
      </c>
      <c r="N71" s="423">
        <f t="shared" si="82"/>
        <v>0</v>
      </c>
      <c r="O71" s="423">
        <f t="shared" si="83"/>
        <v>0</v>
      </c>
      <c r="P71" s="423">
        <f t="shared" si="84"/>
        <v>0</v>
      </c>
      <c r="Q71" s="423">
        <f t="shared" si="58"/>
        <v>0</v>
      </c>
      <c r="R71" s="36">
        <f t="shared" si="30"/>
        <v>0</v>
      </c>
      <c r="S71" s="36">
        <f t="shared" si="59"/>
        <v>0</v>
      </c>
      <c r="T71" s="2">
        <f t="shared" si="74"/>
        <v>8172.01</v>
      </c>
      <c r="U71" s="34">
        <f t="shared" si="75"/>
        <v>30288</v>
      </c>
      <c r="V71" s="57">
        <f t="shared" si="76"/>
        <v>50210</v>
      </c>
      <c r="X71" s="133" t="s">
        <v>124</v>
      </c>
      <c r="Y71" s="133" t="s">
        <v>334</v>
      </c>
      <c r="Z71" s="133" t="s">
        <v>98</v>
      </c>
      <c r="AA71" s="134"/>
      <c r="AB71" s="134"/>
      <c r="AC71" s="134"/>
      <c r="AD71" s="134"/>
      <c r="AE71" s="134"/>
      <c r="AF71" s="134"/>
      <c r="AG71" s="134"/>
      <c r="AH71" s="15"/>
      <c r="AI71" s="2">
        <f t="shared" ref="AI71:AI76" si="85">IF(AND(V39&gt;=$T$22,V39&lt;=$T$22+5),0,IF($C$9&gt;$AC$51,ROUND(AF31*$C$14/(DATEVALUE(CONCATENATE("01/01/",YEAR(W39)+1))-DATEVALUE(CONCATENATE("01/01/",YEAR(W39))))*(W39-W38),2),0))</f>
        <v>0</v>
      </c>
      <c r="AJ71" s="34">
        <f t="shared" si="80"/>
        <v>30731</v>
      </c>
      <c r="AK71" s="57">
        <f t="shared" si="66"/>
        <v>53130</v>
      </c>
      <c r="AL71" s="130">
        <f t="shared" si="22"/>
        <v>0</v>
      </c>
      <c r="AM71" s="438">
        <f t="shared" si="31"/>
        <v>63</v>
      </c>
      <c r="AN71" s="439">
        <f t="shared" si="72"/>
        <v>46288</v>
      </c>
      <c r="AO71" s="435">
        <f t="shared" si="60"/>
        <v>0</v>
      </c>
      <c r="AP71" s="435">
        <f t="shared" si="61"/>
        <v>0</v>
      </c>
      <c r="AQ71" s="435">
        <f t="shared" si="67"/>
        <v>0</v>
      </c>
      <c r="AR71" s="435">
        <f t="shared" si="62"/>
        <v>0</v>
      </c>
      <c r="AS71" s="435">
        <f t="shared" si="49"/>
        <v>0</v>
      </c>
      <c r="AT71" s="435">
        <f t="shared" si="24"/>
        <v>0</v>
      </c>
      <c r="AU71" s="435">
        <f t="shared" si="68"/>
        <v>0</v>
      </c>
      <c r="AV71" s="435">
        <f t="shared" si="69"/>
        <v>0</v>
      </c>
      <c r="AW71" s="435"/>
      <c r="AX71" s="435"/>
      <c r="AY71" s="435"/>
      <c r="AZ71" s="435"/>
      <c r="BA71" s="435"/>
      <c r="BB71" s="435">
        <f t="shared" si="70"/>
        <v>0</v>
      </c>
      <c r="BC71" s="108">
        <f t="shared" si="33"/>
        <v>4</v>
      </c>
      <c r="BD71" s="108">
        <f t="shared" si="77"/>
        <v>4</v>
      </c>
      <c r="BE71" s="22">
        <f t="shared" si="78"/>
        <v>46104</v>
      </c>
      <c r="BF71" s="108">
        <f t="shared" si="79"/>
        <v>30288</v>
      </c>
      <c r="BG71" s="2">
        <f t="shared" si="73"/>
        <v>0</v>
      </c>
    </row>
    <row r="72" spans="1:59" s="16" customFormat="1" x14ac:dyDescent="0.3">
      <c r="A72" s="2"/>
      <c r="B72" s="2"/>
      <c r="C72" s="2"/>
      <c r="D72" s="2"/>
      <c r="E72" s="2"/>
      <c r="F72" s="2"/>
      <c r="G72" s="426">
        <f t="shared" si="28"/>
        <v>64</v>
      </c>
      <c r="H72" s="427">
        <f t="shared" si="71"/>
        <v>46318</v>
      </c>
      <c r="I72" s="423">
        <f t="shared" si="55"/>
        <v>0</v>
      </c>
      <c r="J72" s="423">
        <f t="shared" si="56"/>
        <v>0</v>
      </c>
      <c r="K72" s="423">
        <f t="shared" si="57"/>
        <v>0</v>
      </c>
      <c r="L72" s="423">
        <f t="shared" si="63"/>
        <v>0</v>
      </c>
      <c r="M72" s="423">
        <f t="shared" si="81"/>
        <v>0</v>
      </c>
      <c r="N72" s="423">
        <f t="shared" si="82"/>
        <v>0</v>
      </c>
      <c r="O72" s="423">
        <f t="shared" si="83"/>
        <v>0</v>
      </c>
      <c r="P72" s="423">
        <f t="shared" si="84"/>
        <v>0</v>
      </c>
      <c r="Q72" s="423">
        <f t="shared" si="58"/>
        <v>0</v>
      </c>
      <c r="R72" s="36">
        <f t="shared" si="30"/>
        <v>0</v>
      </c>
      <c r="S72" s="36">
        <f t="shared" si="59"/>
        <v>0</v>
      </c>
      <c r="T72" s="2">
        <f t="shared" si="74"/>
        <v>8307.0400000000009</v>
      </c>
      <c r="U72" s="34">
        <f t="shared" si="75"/>
        <v>30288</v>
      </c>
      <c r="V72" s="57">
        <f t="shared" si="76"/>
        <v>50575</v>
      </c>
      <c r="X72" s="135">
        <v>1000001</v>
      </c>
      <c r="Y72" s="135">
        <v>160000</v>
      </c>
      <c r="Z72" s="134">
        <v>1</v>
      </c>
      <c r="AA72" s="134">
        <v>1.25</v>
      </c>
      <c r="AB72" s="134">
        <v>1.5</v>
      </c>
      <c r="AC72" s="134">
        <v>1.3</v>
      </c>
      <c r="AD72" s="134">
        <v>1</v>
      </c>
      <c r="AE72" s="134">
        <v>2</v>
      </c>
      <c r="AF72" s="134">
        <v>2</v>
      </c>
      <c r="AG72" s="134"/>
      <c r="AH72" s="15"/>
      <c r="AI72" s="2" t="e">
        <f t="shared" si="85"/>
        <v>#VALUE!</v>
      </c>
      <c r="AJ72" s="34">
        <f t="shared" si="80"/>
        <v>30731</v>
      </c>
      <c r="AK72" s="57">
        <f t="shared" si="66"/>
        <v>53495</v>
      </c>
      <c r="AL72" s="130">
        <f t="shared" si="22"/>
        <v>0</v>
      </c>
      <c r="AM72" s="438">
        <f t="shared" si="31"/>
        <v>64</v>
      </c>
      <c r="AN72" s="439">
        <f t="shared" si="72"/>
        <v>46318</v>
      </c>
      <c r="AO72" s="435">
        <f t="shared" si="60"/>
        <v>0</v>
      </c>
      <c r="AP72" s="435">
        <f t="shared" si="61"/>
        <v>0</v>
      </c>
      <c r="AQ72" s="435">
        <f t="shared" si="67"/>
        <v>0</v>
      </c>
      <c r="AR72" s="435">
        <f t="shared" si="62"/>
        <v>0</v>
      </c>
      <c r="AS72" s="435">
        <f t="shared" si="49"/>
        <v>0</v>
      </c>
      <c r="AT72" s="435">
        <f t="shared" si="24"/>
        <v>0</v>
      </c>
      <c r="AU72" s="435">
        <f t="shared" si="68"/>
        <v>0</v>
      </c>
      <c r="AV72" s="435">
        <f t="shared" si="69"/>
        <v>0</v>
      </c>
      <c r="AW72" s="435"/>
      <c r="AX72" s="435"/>
      <c r="AY72" s="435"/>
      <c r="AZ72" s="435"/>
      <c r="BA72" s="435"/>
      <c r="BB72" s="435">
        <f t="shared" si="70"/>
        <v>0</v>
      </c>
      <c r="BC72" s="108">
        <f t="shared" si="33"/>
        <v>3</v>
      </c>
      <c r="BD72" s="108">
        <f t="shared" si="77"/>
        <v>3</v>
      </c>
      <c r="BE72" s="22">
        <f t="shared" si="78"/>
        <v>46135</v>
      </c>
      <c r="BF72" s="108">
        <f t="shared" si="79"/>
        <v>30288</v>
      </c>
      <c r="BG72" s="2">
        <f t="shared" si="73"/>
        <v>0</v>
      </c>
    </row>
    <row r="73" spans="1:59" s="16" customFormat="1" ht="12" x14ac:dyDescent="0.25">
      <c r="A73" s="2"/>
      <c r="B73" s="2"/>
      <c r="C73" s="13"/>
      <c r="D73" s="13"/>
      <c r="E73" s="2"/>
      <c r="F73" s="2"/>
      <c r="G73" s="114">
        <f t="shared" si="28"/>
        <v>65</v>
      </c>
      <c r="H73" s="111">
        <f t="shared" si="71"/>
        <v>46349</v>
      </c>
      <c r="I73" s="24">
        <f>IF(AND(G73&gt;=$T$22,G73&lt;=$T$22+5),$T$23,IF(AND(Q72+L73+J73&gt;I72,I72&lt;&gt;0),$C$24,IF(Q72=0,0,Q72+L73+J73+J74)))</f>
        <v>0</v>
      </c>
      <c r="J73" s="24">
        <f t="shared" ref="J73:J107" si="86">IF(AND(G73&gt;=$T$22,G73&lt;=$T$22+5),0,IF($C$9&gt;$AC$51,ROUND(Q72*$AA$15*((H73-DATE(YEAR(H73),MONTH(H73),1)+1)/(DATE(YEAR(H73)+1,1,1)-DATE(YEAR(H73),1,1))+(EOMONTH(H72,0)-H72)/(DATE(YEAR(H72)+1,1,1)-DATE(YEAR(H72),1,1))),2),0))</f>
        <v>0</v>
      </c>
      <c r="K73" s="24">
        <f t="shared" ref="K73:K104" si="87">IF(S73=0,0,IF(S73=1,Q72,IF(Q72+L73+J73&gt;I72,I73-J73-L73,Q72)))</f>
        <v>0</v>
      </c>
      <c r="L73" s="24">
        <f t="shared" si="63"/>
        <v>0</v>
      </c>
      <c r="M73" s="24">
        <f t="shared" si="81"/>
        <v>0</v>
      </c>
      <c r="N73" s="24">
        <f t="shared" si="82"/>
        <v>0</v>
      </c>
      <c r="O73" s="24">
        <f t="shared" si="83"/>
        <v>0</v>
      </c>
      <c r="P73" s="24">
        <f t="shared" si="84"/>
        <v>0</v>
      </c>
      <c r="Q73" s="24">
        <f t="shared" ref="Q73:Q108" si="88">IF(OR(S73=1,Q72=0),0,Q72-K73)</f>
        <v>0</v>
      </c>
      <c r="R73" s="36">
        <f t="shared" si="30"/>
        <v>0</v>
      </c>
      <c r="S73" s="36">
        <f t="shared" ref="S73:S108" si="89">IF(ISERR(CEILING(FLOOR(NPER($C$12/12,-$AA$55,Q72),0.1),1))=TRUE,0,CEILING(FLOOR(NPER($C$12/12,-$AA$55,Q72),0.1),1))</f>
        <v>0</v>
      </c>
      <c r="T73" s="2">
        <f t="shared" si="74"/>
        <v>7908.01</v>
      </c>
      <c r="U73" s="34">
        <f t="shared" si="75"/>
        <v>30288</v>
      </c>
      <c r="V73" s="57">
        <f t="shared" si="76"/>
        <v>50940</v>
      </c>
      <c r="Y73" s="135">
        <v>400000</v>
      </c>
      <c r="Z73" s="134">
        <v>1.1000000000000001</v>
      </c>
      <c r="AA73" s="134">
        <v>1.35</v>
      </c>
      <c r="AB73" s="134">
        <v>1.5</v>
      </c>
      <c r="AC73" s="134">
        <v>1.3</v>
      </c>
      <c r="AD73" s="134">
        <v>1</v>
      </c>
      <c r="AE73" s="134">
        <v>2</v>
      </c>
      <c r="AF73" s="134">
        <v>2</v>
      </c>
      <c r="AG73" s="134"/>
      <c r="AH73" s="15"/>
      <c r="AI73" s="2" t="e">
        <f t="shared" si="85"/>
        <v>#VALUE!</v>
      </c>
      <c r="AJ73" s="34">
        <f t="shared" si="80"/>
        <v>30731</v>
      </c>
      <c r="AK73" s="57">
        <f t="shared" si="66"/>
        <v>53860</v>
      </c>
      <c r="AL73" s="130">
        <f t="shared" si="22"/>
        <v>0</v>
      </c>
      <c r="AM73" s="109">
        <f t="shared" si="31"/>
        <v>65</v>
      </c>
      <c r="AN73" s="110">
        <f t="shared" si="72"/>
        <v>46349</v>
      </c>
      <c r="AO73" s="105">
        <f>IF(AND(G73&gt;=$T$22,G73&lt;=$T$22+5),$T$23,IF(AND(BB72+AR73+AP73&gt;AO72,AO72&lt;&gt;0),$D$24,IF(BB72=0,0,BB72+AR73+AP73+AP74)))</f>
        <v>0</v>
      </c>
      <c r="AP73" s="105">
        <f t="shared" ref="AP73:AP108" si="90">IF(AND(G73&gt;=$T$22,G73&lt;=$T$22+5),0,IF($C$9&gt;$AC$51,ROUND(BB72*$AB$15*((AN73-DATE(YEAR(AN73),MONTH(AN73),1)+1)/(DATE(YEAR(AN73)+1,1,1)-DATE(YEAR(AN73),1,1))+(EOMONTH(AN72,0)-AN72)/(DATE(YEAR(AN72)+1,1,1)-DATE(YEAR(AN72),1,1))),2),0))</f>
        <v>0</v>
      </c>
      <c r="AQ73" s="105">
        <f t="shared" si="67"/>
        <v>0</v>
      </c>
      <c r="AR73" s="105">
        <f t="shared" ref="AR73:AR104" si="91">IF(AT73&gt;$D$24,$D$24-AP73,IF(BD73=0,0,AV73)+BS121)</f>
        <v>0</v>
      </c>
      <c r="AS73" s="105">
        <f t="shared" si="49"/>
        <v>0</v>
      </c>
      <c r="AT73" s="105">
        <f t="shared" si="24"/>
        <v>0</v>
      </c>
      <c r="AU73" s="105">
        <f t="shared" si="68"/>
        <v>0</v>
      </c>
      <c r="AV73" s="105">
        <f t="shared" si="69"/>
        <v>0</v>
      </c>
      <c r="AW73" s="105"/>
      <c r="AX73" s="105"/>
      <c r="AY73" s="105"/>
      <c r="AZ73" s="105"/>
      <c r="BA73" s="105"/>
      <c r="BB73" s="105">
        <f t="shared" si="70"/>
        <v>0</v>
      </c>
      <c r="BC73" s="108">
        <f t="shared" si="33"/>
        <v>2</v>
      </c>
      <c r="BD73" s="108">
        <f t="shared" si="77"/>
        <v>2</v>
      </c>
      <c r="BE73" s="22">
        <f t="shared" si="78"/>
        <v>46165</v>
      </c>
      <c r="BF73" s="108">
        <f t="shared" si="79"/>
        <v>30288</v>
      </c>
      <c r="BG73" s="2">
        <f t="shared" si="73"/>
        <v>0</v>
      </c>
    </row>
    <row r="74" spans="1:59" s="16" customFormat="1" ht="12" x14ac:dyDescent="0.25">
      <c r="A74" s="2"/>
      <c r="B74" s="2"/>
      <c r="C74" s="2"/>
      <c r="D74" s="13"/>
      <c r="E74" s="2"/>
      <c r="F74" s="2"/>
      <c r="G74" s="114">
        <f t="shared" si="28"/>
        <v>66</v>
      </c>
      <c r="H74" s="111">
        <f t="shared" si="71"/>
        <v>46379</v>
      </c>
      <c r="I74" s="24">
        <f>IF(AND(G74&gt;=$T$22,G74&lt;=$T$22+5),$T$23,IF(AND(Q73+L74+J74&gt;I73,I73&lt;&gt;0),$C$24,IF(Q73=0,0,Q73+L74+J74+J75)))</f>
        <v>0</v>
      </c>
      <c r="J74" s="24">
        <f t="shared" si="86"/>
        <v>0</v>
      </c>
      <c r="K74" s="24">
        <f t="shared" si="87"/>
        <v>0</v>
      </c>
      <c r="L74" s="24">
        <f t="shared" ref="L74:L108" si="92">IF(N74&gt;$C$24,$C$24-J74,IF(S74=0,0,O74))</f>
        <v>0</v>
      </c>
      <c r="M74" s="24">
        <f t="shared" si="81"/>
        <v>0</v>
      </c>
      <c r="N74" s="24">
        <f t="shared" si="82"/>
        <v>0</v>
      </c>
      <c r="O74" s="24">
        <f t="shared" si="83"/>
        <v>0</v>
      </c>
      <c r="P74" s="24">
        <f t="shared" si="84"/>
        <v>0</v>
      </c>
      <c r="Q74" s="24">
        <f t="shared" si="88"/>
        <v>0</v>
      </c>
      <c r="R74" s="36">
        <f t="shared" si="30"/>
        <v>0</v>
      </c>
      <c r="S74" s="36">
        <f t="shared" si="89"/>
        <v>0</v>
      </c>
      <c r="T74" s="2">
        <f t="shared" si="74"/>
        <v>8030.45</v>
      </c>
      <c r="U74" s="34">
        <f t="shared" si="75"/>
        <v>30288</v>
      </c>
      <c r="V74" s="57">
        <f t="shared" si="76"/>
        <v>51305</v>
      </c>
      <c r="Y74" s="135">
        <v>500000</v>
      </c>
      <c r="Z74" s="134">
        <v>1.2</v>
      </c>
      <c r="AA74" s="134">
        <v>1.5</v>
      </c>
      <c r="AB74" s="134">
        <v>1.5</v>
      </c>
      <c r="AC74" s="134">
        <v>1.3</v>
      </c>
      <c r="AD74" s="134">
        <v>1</v>
      </c>
      <c r="AE74" s="134">
        <v>1.5</v>
      </c>
      <c r="AF74" s="134">
        <v>1.5</v>
      </c>
      <c r="AG74" s="134"/>
      <c r="AH74" s="15"/>
      <c r="AI74" s="2" t="e">
        <f t="shared" si="85"/>
        <v>#VALUE!</v>
      </c>
      <c r="AJ74" s="34">
        <f t="shared" si="80"/>
        <v>30731</v>
      </c>
      <c r="AK74" s="57">
        <f t="shared" si="66"/>
        <v>54225</v>
      </c>
      <c r="AL74" s="130">
        <f t="shared" ref="AL74:AL85" si="93">IF(OR(AO74="",AO74=0),0,1)</f>
        <v>0</v>
      </c>
      <c r="AM74" s="109">
        <f t="shared" si="31"/>
        <v>66</v>
      </c>
      <c r="AN74" s="110">
        <f t="shared" si="72"/>
        <v>46379</v>
      </c>
      <c r="AO74" s="105">
        <f>IF(AND(G74&gt;=$T$22,G74&lt;=$T$22+5),$T$23,IF(AND(BB73+AR74+AP74&gt;AO73,AO73&lt;&gt;0),$D$24,IF(BB73=0,0,BB73+AR74+AP74+AP75)))</f>
        <v>0</v>
      </c>
      <c r="AP74" s="105">
        <f t="shared" si="90"/>
        <v>0</v>
      </c>
      <c r="AQ74" s="105">
        <f t="shared" si="67"/>
        <v>0</v>
      </c>
      <c r="AR74" s="105">
        <f t="shared" si="91"/>
        <v>0</v>
      </c>
      <c r="AS74" s="105">
        <f t="shared" si="49"/>
        <v>0</v>
      </c>
      <c r="AT74" s="105">
        <f t="shared" si="24"/>
        <v>0</v>
      </c>
      <c r="AU74" s="105">
        <f t="shared" ref="AU74:AU85" si="94">IF(BD80=0,0,0)</f>
        <v>0</v>
      </c>
      <c r="AV74" s="105">
        <f t="shared" ref="AV74:AV85" si="95">IF(BD80=0,0,0)</f>
        <v>0</v>
      </c>
      <c r="AW74" s="105"/>
      <c r="AX74" s="105"/>
      <c r="AY74" s="105"/>
      <c r="AZ74" s="105"/>
      <c r="BA74" s="105"/>
      <c r="BB74" s="105">
        <f t="shared" si="70"/>
        <v>0</v>
      </c>
      <c r="BC74" s="108">
        <f t="shared" si="33"/>
        <v>1</v>
      </c>
      <c r="BD74" s="108">
        <f t="shared" si="77"/>
        <v>1</v>
      </c>
      <c r="BE74" s="22">
        <f t="shared" si="78"/>
        <v>46196</v>
      </c>
      <c r="BF74" s="108">
        <f t="shared" si="79"/>
        <v>29704.069999999621</v>
      </c>
      <c r="BG74" s="2">
        <f t="shared" si="73"/>
        <v>0</v>
      </c>
    </row>
    <row r="75" spans="1:59" s="16" customFormat="1" ht="12" x14ac:dyDescent="0.25">
      <c r="A75" s="2"/>
      <c r="B75" s="2"/>
      <c r="C75" s="2"/>
      <c r="D75" s="2"/>
      <c r="E75" s="2"/>
      <c r="F75" s="2"/>
      <c r="G75" s="114">
        <f t="shared" ref="G75:G108" si="96">G74+1</f>
        <v>67</v>
      </c>
      <c r="H75" s="111">
        <f t="shared" si="71"/>
        <v>46410</v>
      </c>
      <c r="I75" s="24">
        <f>IF(AND(G75&gt;=$T$22,G75&lt;=$T$22+5),$T$23,IF(AND(Q74+L75+J75&gt;I74,I74&lt;&gt;0),$C$24,IF(Q74=0,0,Q74+L75+J75+J76)))</f>
        <v>0</v>
      </c>
      <c r="J75" s="24">
        <f t="shared" si="86"/>
        <v>0</v>
      </c>
      <c r="K75" s="24">
        <f t="shared" si="87"/>
        <v>0</v>
      </c>
      <c r="L75" s="24">
        <f t="shared" si="92"/>
        <v>0</v>
      </c>
      <c r="M75" s="24">
        <f t="shared" si="81"/>
        <v>0</v>
      </c>
      <c r="N75" s="24">
        <f t="shared" si="82"/>
        <v>0</v>
      </c>
      <c r="O75" s="24">
        <f t="shared" si="83"/>
        <v>0</v>
      </c>
      <c r="P75" s="24">
        <f t="shared" si="84"/>
        <v>0</v>
      </c>
      <c r="Q75" s="24">
        <f t="shared" si="88"/>
        <v>0</v>
      </c>
      <c r="R75" s="36">
        <f t="shared" si="30"/>
        <v>0</v>
      </c>
      <c r="S75" s="36">
        <f t="shared" si="89"/>
        <v>0</v>
      </c>
      <c r="T75" s="2">
        <f t="shared" si="74"/>
        <v>7891.04</v>
      </c>
      <c r="U75" s="34">
        <f t="shared" si="75"/>
        <v>30288</v>
      </c>
      <c r="V75" s="57">
        <f t="shared" si="76"/>
        <v>51670</v>
      </c>
      <c r="Y75" s="135">
        <v>800000</v>
      </c>
      <c r="Z75" s="134">
        <v>1.1000000000000001</v>
      </c>
      <c r="AA75" s="134">
        <v>1.25</v>
      </c>
      <c r="AB75" s="134">
        <v>1.3</v>
      </c>
      <c r="AC75" s="134">
        <v>1.2</v>
      </c>
      <c r="AD75" s="134">
        <v>1</v>
      </c>
      <c r="AE75" s="134">
        <v>1.3</v>
      </c>
      <c r="AF75" s="134">
        <v>1.3</v>
      </c>
      <c r="AG75" s="134"/>
      <c r="AH75" s="2"/>
      <c r="AI75" s="2">
        <f t="shared" si="85"/>
        <v>0</v>
      </c>
      <c r="AJ75" s="34">
        <f t="shared" si="80"/>
        <v>30731</v>
      </c>
      <c r="AK75" s="57">
        <f t="shared" si="66"/>
        <v>54590</v>
      </c>
      <c r="AL75" s="130">
        <f t="shared" si="93"/>
        <v>0</v>
      </c>
      <c r="AM75" s="109">
        <f t="shared" ref="AM75:AM108" si="97">AM74+1</f>
        <v>67</v>
      </c>
      <c r="AN75" s="110">
        <f t="shared" si="72"/>
        <v>46410</v>
      </c>
      <c r="AO75" s="105">
        <f>IF(BC81=1,AR75+AP75+AQ75,IF(BB74+AR75+AP75&gt;AO74,$D$24,IF(BB74=0,0,BB74+AR75+AP75+AP76)))</f>
        <v>0</v>
      </c>
      <c r="AP75" s="105">
        <f t="shared" si="90"/>
        <v>0</v>
      </c>
      <c r="AQ75" s="105">
        <f t="shared" ref="AQ75:AQ108" si="98">IF(BC81=0,0,IF(BC81=1,BB74,IF(BB74+AR75+AP75&gt;AO74,AO75-AP75-AR75,BB74)))</f>
        <v>0</v>
      </c>
      <c r="AR75" s="105">
        <f t="shared" si="91"/>
        <v>0</v>
      </c>
      <c r="AS75" s="105">
        <f t="shared" si="49"/>
        <v>0</v>
      </c>
      <c r="AT75" s="105">
        <f t="shared" si="24"/>
        <v>0</v>
      </c>
      <c r="AU75" s="105">
        <f t="shared" si="94"/>
        <v>0</v>
      </c>
      <c r="AV75" s="105">
        <f t="shared" si="95"/>
        <v>0</v>
      </c>
      <c r="AW75" s="105"/>
      <c r="AX75" s="105"/>
      <c r="AY75" s="105"/>
      <c r="AZ75" s="105"/>
      <c r="BA75" s="105"/>
      <c r="BB75" s="105">
        <f t="shared" ref="BB75:BB108" si="99">IF(OR(BC81=1,BB74=0),0,BB74-AQ75)</f>
        <v>0</v>
      </c>
      <c r="BC75" s="108">
        <f t="shared" si="33"/>
        <v>0</v>
      </c>
      <c r="BD75" s="108">
        <f t="shared" si="77"/>
        <v>0</v>
      </c>
      <c r="BE75" s="22">
        <f t="shared" si="78"/>
        <v>46226</v>
      </c>
      <c r="BF75" s="108">
        <f t="shared" si="79"/>
        <v>0</v>
      </c>
      <c r="BG75" s="2">
        <f t="shared" si="73"/>
        <v>0</v>
      </c>
    </row>
    <row r="76" spans="1:59" s="16" customFormat="1" ht="12" x14ac:dyDescent="0.25">
      <c r="A76" s="2"/>
      <c r="B76" s="2"/>
      <c r="C76" s="2"/>
      <c r="D76" s="2"/>
      <c r="E76" s="2"/>
      <c r="F76" s="2"/>
      <c r="G76" s="114">
        <f t="shared" si="96"/>
        <v>68</v>
      </c>
      <c r="H76" s="111">
        <f t="shared" si="71"/>
        <v>46441</v>
      </c>
      <c r="I76" s="24">
        <f>IF(AND(G76&gt;=$T$22,G76&lt;=$T$22+5),$T$23,IF(AND(Q75+L76+J76&gt;I75,I75&lt;&gt;0),$C$24,IF(Q75=0,0,Q75+L76+J76+J77)))</f>
        <v>0</v>
      </c>
      <c r="J76" s="24">
        <f t="shared" si="86"/>
        <v>0</v>
      </c>
      <c r="K76" s="24">
        <f t="shared" si="87"/>
        <v>0</v>
      </c>
      <c r="L76" s="24">
        <f t="shared" si="92"/>
        <v>0</v>
      </c>
      <c r="M76" s="24">
        <f t="shared" si="81"/>
        <v>0</v>
      </c>
      <c r="N76" s="24">
        <f t="shared" si="82"/>
        <v>0</v>
      </c>
      <c r="O76" s="24">
        <f t="shared" si="83"/>
        <v>0</v>
      </c>
      <c r="P76" s="24">
        <f t="shared" si="84"/>
        <v>0</v>
      </c>
      <c r="Q76" s="24">
        <f t="shared" si="88"/>
        <v>0</v>
      </c>
      <c r="R76" s="36">
        <f t="shared" ref="R76" si="100">IF((R75-1)&lt;0,0,R75-1)</f>
        <v>0</v>
      </c>
      <c r="S76" s="36">
        <f t="shared" si="89"/>
        <v>0</v>
      </c>
      <c r="T76" s="2">
        <f t="shared" si="74"/>
        <v>6999.67</v>
      </c>
      <c r="U76" s="34">
        <f t="shared" si="75"/>
        <v>30288</v>
      </c>
      <c r="V76" s="57">
        <f t="shared" si="76"/>
        <v>52035</v>
      </c>
      <c r="Y76" s="135">
        <v>900000</v>
      </c>
      <c r="Z76" s="134">
        <v>1</v>
      </c>
      <c r="AA76" s="134">
        <v>1.1000000000000001</v>
      </c>
      <c r="AB76" s="134">
        <v>1.3</v>
      </c>
      <c r="AC76" s="134">
        <v>1.2</v>
      </c>
      <c r="AD76" s="134">
        <v>1</v>
      </c>
      <c r="AE76" s="134">
        <v>1</v>
      </c>
      <c r="AF76" s="134">
        <v>1</v>
      </c>
      <c r="AG76" s="134"/>
      <c r="AI76" s="2">
        <f t="shared" si="85"/>
        <v>0</v>
      </c>
      <c r="AJ76" s="34">
        <f t="shared" si="80"/>
        <v>30731</v>
      </c>
      <c r="AK76" s="57">
        <f t="shared" si="66"/>
        <v>54955</v>
      </c>
      <c r="AL76" s="130">
        <f t="shared" si="93"/>
        <v>0</v>
      </c>
      <c r="AM76" s="109">
        <f t="shared" si="97"/>
        <v>68</v>
      </c>
      <c r="AN76" s="110">
        <f t="shared" si="72"/>
        <v>46441</v>
      </c>
      <c r="AO76" s="105">
        <f>IF(BC82=1,AR76+AP76+AQ76,IF(BB75+AR76+AP76&gt;AO75,$D$24,IF(BB75=0,0,BB75+AR76+AP76+AP77)))</f>
        <v>0</v>
      </c>
      <c r="AP76" s="105">
        <f t="shared" si="90"/>
        <v>0</v>
      </c>
      <c r="AQ76" s="105">
        <f t="shared" si="98"/>
        <v>0</v>
      </c>
      <c r="AR76" s="105">
        <f t="shared" si="91"/>
        <v>0</v>
      </c>
      <c r="AS76" s="105">
        <f t="shared" si="49"/>
        <v>0</v>
      </c>
      <c r="AT76" s="105">
        <f t="shared" si="24"/>
        <v>0</v>
      </c>
      <c r="AU76" s="105">
        <f t="shared" si="94"/>
        <v>0</v>
      </c>
      <c r="AV76" s="105">
        <f t="shared" si="95"/>
        <v>0</v>
      </c>
      <c r="AW76" s="105"/>
      <c r="AX76" s="105"/>
      <c r="AY76" s="105"/>
      <c r="AZ76" s="105"/>
      <c r="BA76" s="105"/>
      <c r="BB76" s="105">
        <f t="shared" si="99"/>
        <v>0</v>
      </c>
      <c r="BC76" s="108">
        <f t="shared" si="33"/>
        <v>0</v>
      </c>
      <c r="BD76" s="108">
        <f t="shared" si="77"/>
        <v>0</v>
      </c>
      <c r="BE76" s="22">
        <f t="shared" si="78"/>
        <v>46257</v>
      </c>
      <c r="BF76" s="108">
        <f t="shared" si="79"/>
        <v>0</v>
      </c>
      <c r="BG76" s="2">
        <f t="shared" si="73"/>
        <v>0</v>
      </c>
    </row>
    <row r="77" spans="1:59" s="16" customFormat="1" ht="12" x14ac:dyDescent="0.25">
      <c r="A77" s="2"/>
      <c r="B77" s="2"/>
      <c r="C77" s="2"/>
      <c r="D77" s="2"/>
      <c r="E77" s="2"/>
      <c r="F77" s="2"/>
      <c r="G77" s="114">
        <f t="shared" si="96"/>
        <v>69</v>
      </c>
      <c r="H77" s="111">
        <f t="shared" si="71"/>
        <v>46469</v>
      </c>
      <c r="I77" s="24">
        <f>IF(R77=1,L77+J77+K77,IF(Q76+L77+J77&gt;I76,$C$24,IF(Q76=0,0,Q76+L77+J77+J78)))</f>
        <v>0</v>
      </c>
      <c r="J77" s="24">
        <f t="shared" si="86"/>
        <v>0</v>
      </c>
      <c r="K77" s="24">
        <f t="shared" si="87"/>
        <v>0</v>
      </c>
      <c r="L77" s="24">
        <f t="shared" si="92"/>
        <v>0</v>
      </c>
      <c r="M77" s="24">
        <f t="shared" si="29"/>
        <v>0</v>
      </c>
      <c r="N77" s="24">
        <f t="shared" si="18"/>
        <v>0</v>
      </c>
      <c r="O77" s="24">
        <f t="shared" ref="O77:O108" si="101">IF(S77=0,0,0)</f>
        <v>0</v>
      </c>
      <c r="P77" s="24">
        <f t="shared" ref="P77:P85" si="102">IF(S77=0,0,0)</f>
        <v>0</v>
      </c>
      <c r="Q77" s="24">
        <f t="shared" si="88"/>
        <v>0</v>
      </c>
      <c r="R77" s="36">
        <f t="shared" ref="R77:R108" si="103">IF((R76-1)&lt;0,0,R76-1)</f>
        <v>0</v>
      </c>
      <c r="S77" s="36">
        <f t="shared" si="89"/>
        <v>0</v>
      </c>
      <c r="T77" s="2">
        <f t="shared" si="74"/>
        <v>7595.44</v>
      </c>
      <c r="U77" s="34">
        <f t="shared" si="75"/>
        <v>30288</v>
      </c>
      <c r="V77" s="57">
        <f t="shared" si="76"/>
        <v>52400</v>
      </c>
      <c r="Y77" s="16">
        <v>5000000</v>
      </c>
      <c r="Z77" s="16">
        <v>1</v>
      </c>
      <c r="AA77" s="16">
        <v>1.3</v>
      </c>
      <c r="AB77" s="134">
        <v>1.3</v>
      </c>
      <c r="AC77" s="134">
        <v>1.2</v>
      </c>
      <c r="AD77" s="16">
        <v>1</v>
      </c>
      <c r="AE77" s="16">
        <v>1</v>
      </c>
      <c r="AF77" s="16">
        <v>1</v>
      </c>
      <c r="AI77" s="2">
        <f>IF(AND(V46&gt;=$T$22,V46&lt;=$T$22+5),0,IF($C$9&gt;$AC$51,ROUND(AF37*$C$14/(DATEVALUE(CONCATENATE("01/01/",YEAR(W46)+1))-DATEVALUE(CONCATENATE("01/01/",YEAR(W46))))*(W46-W44),2),0))</f>
        <v>0</v>
      </c>
      <c r="AJ77" s="34">
        <f t="shared" si="80"/>
        <v>30731</v>
      </c>
      <c r="AK77" s="57">
        <f t="shared" si="66"/>
        <v>55320</v>
      </c>
      <c r="AL77" s="130">
        <f t="shared" si="93"/>
        <v>0</v>
      </c>
      <c r="AM77" s="109">
        <f t="shared" si="97"/>
        <v>69</v>
      </c>
      <c r="AN77" s="110">
        <f t="shared" si="72"/>
        <v>46469</v>
      </c>
      <c r="AO77" s="105">
        <f>IF(BC83=1,AR77+AP77+AQ77,IF(BB76+AR77+AP77&gt;AO76,$D$24,IF(BB76=0,0,BB76+AR77+AP77+AP78)))</f>
        <v>0</v>
      </c>
      <c r="AP77" s="105">
        <f t="shared" si="90"/>
        <v>0</v>
      </c>
      <c r="AQ77" s="105">
        <f t="shared" si="98"/>
        <v>0</v>
      </c>
      <c r="AR77" s="105">
        <f t="shared" si="91"/>
        <v>0</v>
      </c>
      <c r="AS77" s="105">
        <f t="shared" si="49"/>
        <v>0</v>
      </c>
      <c r="AT77" s="105">
        <f t="shared" si="24"/>
        <v>0</v>
      </c>
      <c r="AU77" s="105">
        <f t="shared" si="94"/>
        <v>0</v>
      </c>
      <c r="AV77" s="105">
        <f t="shared" si="95"/>
        <v>0</v>
      </c>
      <c r="AW77" s="105"/>
      <c r="AX77" s="105"/>
      <c r="AY77" s="105"/>
      <c r="AZ77" s="105"/>
      <c r="BA77" s="105"/>
      <c r="BB77" s="105">
        <f t="shared" si="99"/>
        <v>0</v>
      </c>
      <c r="BC77" s="108">
        <f t="shared" si="33"/>
        <v>0</v>
      </c>
      <c r="BD77" s="108">
        <f t="shared" si="77"/>
        <v>0</v>
      </c>
      <c r="BE77" s="22">
        <f t="shared" si="78"/>
        <v>46288</v>
      </c>
      <c r="BF77" s="108">
        <f t="shared" si="79"/>
        <v>0</v>
      </c>
      <c r="BG77" s="2">
        <f t="shared" si="73"/>
        <v>0</v>
      </c>
    </row>
    <row r="78" spans="1:59" s="16" customFormat="1" ht="12" x14ac:dyDescent="0.25">
      <c r="A78" s="2"/>
      <c r="B78" s="2"/>
      <c r="C78" s="2"/>
      <c r="D78" s="2"/>
      <c r="E78" s="2"/>
      <c r="F78" s="2"/>
      <c r="G78" s="114">
        <f t="shared" si="96"/>
        <v>70</v>
      </c>
      <c r="H78" s="111">
        <f t="shared" si="71"/>
        <v>46500</v>
      </c>
      <c r="I78" s="24">
        <f>IF(R78=1,L78+J78+K78,IF(Q77+L78+J78&gt;I77,$C$24,IF(Q77=0,0,Q77+L78+J78+#REF!)))</f>
        <v>0</v>
      </c>
      <c r="J78" s="24">
        <f t="shared" si="86"/>
        <v>0</v>
      </c>
      <c r="K78" s="24">
        <f t="shared" si="87"/>
        <v>0</v>
      </c>
      <c r="L78" s="24">
        <f t="shared" si="92"/>
        <v>0</v>
      </c>
      <c r="M78" s="24">
        <f t="shared" si="29"/>
        <v>0</v>
      </c>
      <c r="N78" s="24">
        <f t="shared" si="18"/>
        <v>0</v>
      </c>
      <c r="O78" s="24">
        <f t="shared" si="101"/>
        <v>0</v>
      </c>
      <c r="P78" s="24">
        <f t="shared" si="102"/>
        <v>0</v>
      </c>
      <c r="Q78" s="24">
        <f t="shared" si="88"/>
        <v>0</v>
      </c>
      <c r="R78" s="36">
        <f t="shared" si="103"/>
        <v>0</v>
      </c>
      <c r="S78" s="36">
        <f t="shared" si="89"/>
        <v>0</v>
      </c>
      <c r="T78" s="2">
        <f t="shared" si="74"/>
        <v>7209.48</v>
      </c>
      <c r="U78" s="34">
        <f t="shared" si="75"/>
        <v>30288</v>
      </c>
      <c r="V78" s="57">
        <f t="shared" si="76"/>
        <v>52765</v>
      </c>
      <c r="Z78" s="16" t="s">
        <v>331</v>
      </c>
      <c r="AA78" s="16" t="s">
        <v>112</v>
      </c>
      <c r="AB78" s="16" t="s">
        <v>116</v>
      </c>
      <c r="AC78" s="16" t="s">
        <v>117</v>
      </c>
      <c r="AD78" s="16" t="s">
        <v>122</v>
      </c>
      <c r="AE78" s="16" t="s">
        <v>122</v>
      </c>
      <c r="AF78" s="16" t="s">
        <v>121</v>
      </c>
      <c r="AI78" s="2">
        <f t="shared" ref="AI78:AI109" si="104">IF(AND(V47&gt;=$T$22,V47&lt;=$T$22+5),0,IF($C$9&gt;$AC$51,ROUND(AF38*$C$14/(DATEVALUE(CONCATENATE("01/01/",YEAR(W47)+1))-DATEVALUE(CONCATENATE("01/01/",YEAR(W47))))*(W47-W46),2),0))</f>
        <v>0</v>
      </c>
      <c r="AJ78" s="34">
        <f t="shared" si="80"/>
        <v>30731</v>
      </c>
      <c r="AK78" s="57">
        <f t="shared" si="66"/>
        <v>55685</v>
      </c>
      <c r="AL78" s="130">
        <f t="shared" si="93"/>
        <v>0</v>
      </c>
      <c r="AM78" s="109">
        <f t="shared" si="97"/>
        <v>70</v>
      </c>
      <c r="AN78" s="110">
        <f t="shared" si="72"/>
        <v>46500</v>
      </c>
      <c r="AO78" s="105">
        <f>IF(BC84=1,AR78+AP78+AQ78,IF(BB77+AR78+AP78&gt;AO77,$D$24,IF(BB77=0,0,BB77+AR78+AP78+#REF!)))</f>
        <v>0</v>
      </c>
      <c r="AP78" s="105">
        <f t="shared" si="90"/>
        <v>0</v>
      </c>
      <c r="AQ78" s="105">
        <f t="shared" si="98"/>
        <v>0</v>
      </c>
      <c r="AR78" s="105">
        <f t="shared" si="91"/>
        <v>0</v>
      </c>
      <c r="AS78" s="105">
        <f t="shared" si="49"/>
        <v>0</v>
      </c>
      <c r="AT78" s="105">
        <f t="shared" si="24"/>
        <v>0</v>
      </c>
      <c r="AU78" s="105">
        <f t="shared" si="94"/>
        <v>0</v>
      </c>
      <c r="AV78" s="105">
        <f t="shared" si="95"/>
        <v>0</v>
      </c>
      <c r="AW78" s="105"/>
      <c r="AX78" s="105"/>
      <c r="AY78" s="105"/>
      <c r="AZ78" s="105"/>
      <c r="BA78" s="105"/>
      <c r="BB78" s="105">
        <f t="shared" si="99"/>
        <v>0</v>
      </c>
      <c r="BC78" s="108">
        <f t="shared" si="33"/>
        <v>0</v>
      </c>
      <c r="BD78" s="108">
        <f t="shared" si="77"/>
        <v>0</v>
      </c>
      <c r="BE78" s="22">
        <f t="shared" si="78"/>
        <v>46318</v>
      </c>
      <c r="BF78" s="108">
        <f t="shared" si="79"/>
        <v>0</v>
      </c>
      <c r="BG78" s="2">
        <f t="shared" si="73"/>
        <v>0</v>
      </c>
    </row>
    <row r="79" spans="1:59" s="16" customFormat="1" ht="12" x14ac:dyDescent="0.25">
      <c r="A79" s="2"/>
      <c r="B79" s="2"/>
      <c r="C79" s="2"/>
      <c r="D79" s="2"/>
      <c r="E79" s="2"/>
      <c r="F79" s="2"/>
      <c r="G79" s="114">
        <f t="shared" si="96"/>
        <v>71</v>
      </c>
      <c r="H79" s="111">
        <f t="shared" si="71"/>
        <v>46530</v>
      </c>
      <c r="I79" s="24">
        <f>IF(R79=1,L79+J79+K79,IF(Q78+L79+J79&gt;I78,$C$24,IF(Q78=0,0,Q78+L79+J79+#REF!)))</f>
        <v>0</v>
      </c>
      <c r="J79" s="24">
        <f t="shared" si="86"/>
        <v>0</v>
      </c>
      <c r="K79" s="24">
        <f t="shared" si="87"/>
        <v>0</v>
      </c>
      <c r="L79" s="24">
        <f t="shared" si="92"/>
        <v>0</v>
      </c>
      <c r="M79" s="24">
        <f t="shared" si="29"/>
        <v>0</v>
      </c>
      <c r="N79" s="24">
        <f t="shared" si="18"/>
        <v>0</v>
      </c>
      <c r="O79" s="24">
        <f t="shared" si="101"/>
        <v>0</v>
      </c>
      <c r="P79" s="24">
        <f t="shared" si="102"/>
        <v>0</v>
      </c>
      <c r="Q79" s="24">
        <f t="shared" si="88"/>
        <v>0</v>
      </c>
      <c r="R79" s="36">
        <f t="shared" si="103"/>
        <v>0</v>
      </c>
      <c r="S79" s="36">
        <f t="shared" si="89"/>
        <v>0</v>
      </c>
      <c r="T79" s="2">
        <f t="shared" si="74"/>
        <v>7298.61</v>
      </c>
      <c r="U79" s="34">
        <f t="shared" si="75"/>
        <v>30288</v>
      </c>
      <c r="V79" s="57">
        <f t="shared" si="76"/>
        <v>53130</v>
      </c>
      <c r="Z79" s="143">
        <f>MIN($C$7*IF($C$7&gt;$Y$75,Z76,IF($C$7&gt;$Y$74,Z75,IF($C$7&gt;$Y$73,Z74,IF($C$7&gt;$Y$72,Z73,Z72)))),5000000)</f>
        <v>1000000</v>
      </c>
      <c r="AA79" s="143">
        <f>MIN($C$7*IF($C$7&gt;$Y$76,AA77,IF($C$7&gt;$Y$75,AA76,IF($C$7&gt;$Y$74,AA75,IF($C$7&gt;$Y$73,AA74,IF($C$7&gt;$Y$72,AA73,AA72))))),5000000)</f>
        <v>1300000</v>
      </c>
      <c r="AB79" s="143">
        <f>MIN($C$7*IF($C$7&gt;$Y$75,AB76,IF($C$7&gt;$Y$74,AB75,IF($C$7&gt;$Y$73,AB74,IF($C$7&gt;$Y$72,AB73,AB72)))),5000000)</f>
        <v>1300000</v>
      </c>
      <c r="AC79" s="143">
        <f>MIN($C$7*IF($C$7&gt;$Y$75,AC76,IF($C$7&gt;$Y$74,AC75,IF($C$7&gt;$Y$73,AC74,IF($C$7&gt;$Y$72,AC73,AC72)))),5000000)</f>
        <v>1200000</v>
      </c>
      <c r="AD79" s="143">
        <f>$C$7*IF($C$7&gt;$Y$75,AD76,IF($C$7&gt;$Y$74,AD75,IF($C$7&gt;$Y$73,AD74,IF($C$7&gt;$Y$72,AD73,AD72))))</f>
        <v>1000000</v>
      </c>
      <c r="AE79" s="143">
        <f>$C$7*IF($C$7&gt;$AF$87,AE76,IF($C$7&gt;$AF$86,AE75,IF($C$7&gt;=$AF$85,AE74,IF($C$7&gt;$AF$84,AE73,AE72))))</f>
        <v>1300000</v>
      </c>
      <c r="AF79" s="143"/>
      <c r="AH79" s="16">
        <v>0</v>
      </c>
      <c r="AI79" s="2">
        <f t="shared" si="104"/>
        <v>0</v>
      </c>
      <c r="AJ79" s="34">
        <f t="shared" si="80"/>
        <v>30731</v>
      </c>
      <c r="AK79" s="57">
        <f t="shared" si="66"/>
        <v>56050</v>
      </c>
      <c r="AL79" s="130">
        <f t="shared" si="93"/>
        <v>0</v>
      </c>
      <c r="AM79" s="109">
        <f t="shared" si="97"/>
        <v>71</v>
      </c>
      <c r="AN79" s="110">
        <f t="shared" si="72"/>
        <v>46530</v>
      </c>
      <c r="AO79" s="105">
        <f t="shared" ref="AO79:AO99" si="105">IF(BC85=1,AR79+AP79+AQ79,IF(BB78+AR79+AP79&gt;AO78,$D$24,IF(BB78=0,0,BB78+AR79+AP79+AP110)))</f>
        <v>0</v>
      </c>
      <c r="AP79" s="105">
        <f t="shared" si="90"/>
        <v>0</v>
      </c>
      <c r="AQ79" s="105">
        <f t="shared" si="98"/>
        <v>0</v>
      </c>
      <c r="AR79" s="105">
        <f t="shared" si="91"/>
        <v>0</v>
      </c>
      <c r="AS79" s="105">
        <f t="shared" si="49"/>
        <v>0</v>
      </c>
      <c r="AT79" s="105">
        <f t="shared" si="24"/>
        <v>0</v>
      </c>
      <c r="AU79" s="105">
        <f t="shared" si="94"/>
        <v>0</v>
      </c>
      <c r="AV79" s="105">
        <f t="shared" si="95"/>
        <v>0</v>
      </c>
      <c r="AW79" s="105"/>
      <c r="AX79" s="105"/>
      <c r="AY79" s="105"/>
      <c r="AZ79" s="105"/>
      <c r="BA79" s="105"/>
      <c r="BB79" s="105">
        <f t="shared" si="99"/>
        <v>0</v>
      </c>
      <c r="BC79" s="108">
        <f t="shared" si="33"/>
        <v>0</v>
      </c>
      <c r="BD79" s="108">
        <f t="shared" si="77"/>
        <v>0</v>
      </c>
      <c r="BE79" s="22">
        <f t="shared" si="78"/>
        <v>46349</v>
      </c>
      <c r="BF79" s="108">
        <f t="shared" si="79"/>
        <v>0</v>
      </c>
      <c r="BG79" s="2">
        <f t="shared" si="73"/>
        <v>0</v>
      </c>
    </row>
    <row r="80" spans="1:59" s="16" customFormat="1" ht="12" x14ac:dyDescent="0.25">
      <c r="A80" s="2"/>
      <c r="B80" s="2"/>
      <c r="C80" s="2"/>
      <c r="D80" s="2"/>
      <c r="E80" s="2"/>
      <c r="F80" s="2"/>
      <c r="G80" s="114">
        <f t="shared" si="96"/>
        <v>72</v>
      </c>
      <c r="H80" s="111">
        <f t="shared" si="71"/>
        <v>46561</v>
      </c>
      <c r="I80" s="24">
        <f t="shared" ref="I80:I108" si="106">IF(R80=1,L80+J80+K80,IF(Q79+L80+J80&gt;I79,$C$24,IF(Q79=0,0,Q79+L80+J80+J111)))</f>
        <v>0</v>
      </c>
      <c r="J80" s="24">
        <f t="shared" si="86"/>
        <v>0</v>
      </c>
      <c r="K80" s="24">
        <f t="shared" si="87"/>
        <v>0</v>
      </c>
      <c r="L80" s="24">
        <f t="shared" si="92"/>
        <v>0</v>
      </c>
      <c r="M80" s="24">
        <f t="shared" si="29"/>
        <v>0</v>
      </c>
      <c r="N80" s="24">
        <f t="shared" si="18"/>
        <v>0</v>
      </c>
      <c r="O80" s="24">
        <f t="shared" si="101"/>
        <v>0</v>
      </c>
      <c r="P80" s="24">
        <f t="shared" si="102"/>
        <v>0</v>
      </c>
      <c r="Q80" s="24">
        <f t="shared" si="88"/>
        <v>0</v>
      </c>
      <c r="R80" s="36">
        <f t="shared" si="103"/>
        <v>0</v>
      </c>
      <c r="S80" s="36">
        <f t="shared" si="89"/>
        <v>0</v>
      </c>
      <c r="T80" s="2">
        <f t="shared" si="74"/>
        <v>6918.09</v>
      </c>
      <c r="U80" s="34">
        <f t="shared" si="75"/>
        <v>30288</v>
      </c>
      <c r="V80" s="57">
        <f t="shared" si="76"/>
        <v>53495</v>
      </c>
      <c r="AI80" s="2">
        <f t="shared" si="104"/>
        <v>0</v>
      </c>
      <c r="AJ80" s="34">
        <f t="shared" si="80"/>
        <v>30731</v>
      </c>
      <c r="AK80" s="57">
        <f t="shared" si="66"/>
        <v>56415</v>
      </c>
      <c r="AL80" s="130">
        <f t="shared" si="93"/>
        <v>0</v>
      </c>
      <c r="AM80" s="109">
        <f t="shared" si="97"/>
        <v>72</v>
      </c>
      <c r="AN80" s="110">
        <f t="shared" si="72"/>
        <v>46561</v>
      </c>
      <c r="AO80" s="105">
        <f t="shared" si="105"/>
        <v>0</v>
      </c>
      <c r="AP80" s="105">
        <f t="shared" si="90"/>
        <v>0</v>
      </c>
      <c r="AQ80" s="105">
        <f t="shared" si="98"/>
        <v>0</v>
      </c>
      <c r="AR80" s="105">
        <f t="shared" si="91"/>
        <v>0</v>
      </c>
      <c r="AS80" s="105">
        <f t="shared" si="49"/>
        <v>0</v>
      </c>
      <c r="AT80" s="105">
        <f t="shared" si="24"/>
        <v>0</v>
      </c>
      <c r="AU80" s="105">
        <f t="shared" si="94"/>
        <v>0</v>
      </c>
      <c r="AV80" s="105">
        <f t="shared" si="95"/>
        <v>0</v>
      </c>
      <c r="AW80" s="105"/>
      <c r="AX80" s="105"/>
      <c r="AY80" s="105"/>
      <c r="AZ80" s="105"/>
      <c r="BA80" s="105"/>
      <c r="BB80" s="105">
        <f t="shared" si="99"/>
        <v>0</v>
      </c>
      <c r="BC80" s="108">
        <f t="shared" si="33"/>
        <v>0</v>
      </c>
      <c r="BD80" s="108">
        <f t="shared" si="77"/>
        <v>0</v>
      </c>
      <c r="BE80" s="22">
        <f t="shared" si="78"/>
        <v>46379</v>
      </c>
      <c r="BF80" s="108">
        <f t="shared" si="79"/>
        <v>0</v>
      </c>
      <c r="BG80" s="2">
        <f t="shared" si="73"/>
        <v>0</v>
      </c>
    </row>
    <row r="81" spans="1:59" s="16" customFormat="1" ht="12" x14ac:dyDescent="0.25">
      <c r="A81" s="2"/>
      <c r="B81" s="2"/>
      <c r="C81" s="2"/>
      <c r="D81" s="2"/>
      <c r="E81" s="2"/>
      <c r="F81" s="2"/>
      <c r="G81" s="114">
        <f t="shared" si="96"/>
        <v>73</v>
      </c>
      <c r="H81" s="111">
        <f t="shared" si="71"/>
        <v>46591</v>
      </c>
      <c r="I81" s="24">
        <f t="shared" si="106"/>
        <v>0</v>
      </c>
      <c r="J81" s="24">
        <f t="shared" si="86"/>
        <v>0</v>
      </c>
      <c r="K81" s="24">
        <f t="shared" si="87"/>
        <v>0</v>
      </c>
      <c r="L81" s="24">
        <f t="shared" si="92"/>
        <v>0</v>
      </c>
      <c r="M81" s="24">
        <f t="shared" si="29"/>
        <v>0</v>
      </c>
      <c r="N81" s="24">
        <f t="shared" si="18"/>
        <v>0</v>
      </c>
      <c r="O81" s="24">
        <f t="shared" si="101"/>
        <v>0</v>
      </c>
      <c r="P81" s="24">
        <f t="shared" si="102"/>
        <v>0</v>
      </c>
      <c r="Q81" s="24">
        <f t="shared" si="88"/>
        <v>0</v>
      </c>
      <c r="R81" s="36">
        <f t="shared" si="103"/>
        <v>0</v>
      </c>
      <c r="S81" s="36">
        <f t="shared" si="89"/>
        <v>0</v>
      </c>
      <c r="T81" s="2">
        <f t="shared" si="74"/>
        <v>6993.33</v>
      </c>
      <c r="U81" s="34">
        <f t="shared" si="75"/>
        <v>30288</v>
      </c>
      <c r="V81" s="57">
        <f t="shared" si="76"/>
        <v>53860</v>
      </c>
      <c r="AI81" s="2">
        <f t="shared" si="104"/>
        <v>0</v>
      </c>
      <c r="AJ81" s="34">
        <f t="shared" si="80"/>
        <v>30731</v>
      </c>
      <c r="AK81" s="57">
        <f t="shared" si="66"/>
        <v>56780</v>
      </c>
      <c r="AL81" s="130">
        <f t="shared" si="93"/>
        <v>0</v>
      </c>
      <c r="AM81" s="109">
        <f t="shared" si="97"/>
        <v>73</v>
      </c>
      <c r="AN81" s="110">
        <f t="shared" si="72"/>
        <v>46591</v>
      </c>
      <c r="AO81" s="105">
        <f t="shared" si="105"/>
        <v>0</v>
      </c>
      <c r="AP81" s="105">
        <f t="shared" si="90"/>
        <v>0</v>
      </c>
      <c r="AQ81" s="105">
        <f t="shared" si="98"/>
        <v>0</v>
      </c>
      <c r="AR81" s="105">
        <f t="shared" si="91"/>
        <v>0</v>
      </c>
      <c r="AS81" s="105">
        <f t="shared" si="49"/>
        <v>0</v>
      </c>
      <c r="AT81" s="105">
        <f t="shared" si="24"/>
        <v>0</v>
      </c>
      <c r="AU81" s="105">
        <f t="shared" si="94"/>
        <v>0</v>
      </c>
      <c r="AV81" s="105">
        <f t="shared" si="95"/>
        <v>0</v>
      </c>
      <c r="AW81" s="105"/>
      <c r="AX81" s="105"/>
      <c r="AY81" s="105"/>
      <c r="AZ81" s="105"/>
      <c r="BA81" s="105"/>
      <c r="BB81" s="105">
        <f t="shared" si="99"/>
        <v>0</v>
      </c>
      <c r="BC81" s="108">
        <f t="shared" ref="BC81:BC114" si="107">IF((BC80-1)&lt;0,0,BC80-1)</f>
        <v>0</v>
      </c>
      <c r="BD81" s="108">
        <f t="shared" si="77"/>
        <v>0</v>
      </c>
      <c r="BE81" s="22">
        <f t="shared" si="78"/>
        <v>46410</v>
      </c>
      <c r="BF81" s="108">
        <f t="shared" si="79"/>
        <v>0</v>
      </c>
      <c r="BG81" s="2">
        <f t="shared" si="73"/>
        <v>0</v>
      </c>
    </row>
    <row r="82" spans="1:59" s="16" customFormat="1" ht="12" x14ac:dyDescent="0.25">
      <c r="A82" s="2"/>
      <c r="B82" s="2"/>
      <c r="C82" s="2"/>
      <c r="D82" s="2"/>
      <c r="E82" s="2"/>
      <c r="F82" s="2"/>
      <c r="G82" s="114">
        <f t="shared" si="96"/>
        <v>74</v>
      </c>
      <c r="H82" s="111">
        <f t="shared" si="71"/>
        <v>46622</v>
      </c>
      <c r="I82" s="24">
        <f t="shared" si="106"/>
        <v>0</v>
      </c>
      <c r="J82" s="24">
        <f t="shared" si="86"/>
        <v>0</v>
      </c>
      <c r="K82" s="24">
        <f t="shared" si="87"/>
        <v>0</v>
      </c>
      <c r="L82" s="24">
        <f t="shared" si="92"/>
        <v>0</v>
      </c>
      <c r="M82" s="24">
        <f t="shared" si="29"/>
        <v>0</v>
      </c>
      <c r="N82" s="24">
        <f t="shared" si="18"/>
        <v>0</v>
      </c>
      <c r="O82" s="24">
        <f t="shared" si="101"/>
        <v>0</v>
      </c>
      <c r="P82" s="24">
        <f t="shared" si="102"/>
        <v>0</v>
      </c>
      <c r="Q82" s="24">
        <f t="shared" si="88"/>
        <v>0</v>
      </c>
      <c r="R82" s="36">
        <f t="shared" si="103"/>
        <v>0</v>
      </c>
      <c r="S82" s="36">
        <f t="shared" si="89"/>
        <v>0</v>
      </c>
      <c r="T82" s="2">
        <f t="shared" si="74"/>
        <v>6839.04</v>
      </c>
      <c r="U82" s="34">
        <f t="shared" si="75"/>
        <v>30288</v>
      </c>
      <c r="V82" s="57">
        <f t="shared" si="76"/>
        <v>54225</v>
      </c>
      <c r="AI82" s="2">
        <f t="shared" si="104"/>
        <v>0</v>
      </c>
      <c r="AJ82" s="34">
        <f t="shared" si="80"/>
        <v>30731</v>
      </c>
      <c r="AK82" s="57">
        <f t="shared" si="66"/>
        <v>57145</v>
      </c>
      <c r="AL82" s="130">
        <f t="shared" si="93"/>
        <v>0</v>
      </c>
      <c r="AM82" s="109">
        <f t="shared" si="97"/>
        <v>74</v>
      </c>
      <c r="AN82" s="110">
        <f t="shared" si="72"/>
        <v>46622</v>
      </c>
      <c r="AO82" s="105">
        <f t="shared" si="105"/>
        <v>0</v>
      </c>
      <c r="AP82" s="105">
        <f t="shared" si="90"/>
        <v>0</v>
      </c>
      <c r="AQ82" s="105">
        <f t="shared" si="98"/>
        <v>0</v>
      </c>
      <c r="AR82" s="105">
        <f t="shared" si="91"/>
        <v>0</v>
      </c>
      <c r="AS82" s="105">
        <f t="shared" si="49"/>
        <v>0</v>
      </c>
      <c r="AT82" s="105">
        <f t="shared" si="24"/>
        <v>0</v>
      </c>
      <c r="AU82" s="105">
        <f t="shared" si="94"/>
        <v>0</v>
      </c>
      <c r="AV82" s="105">
        <f t="shared" si="95"/>
        <v>0</v>
      </c>
      <c r="AW82" s="105"/>
      <c r="AX82" s="105"/>
      <c r="AY82" s="105"/>
      <c r="AZ82" s="105"/>
      <c r="BA82" s="105"/>
      <c r="BB82" s="105">
        <f t="shared" si="99"/>
        <v>0</v>
      </c>
      <c r="BC82" s="108">
        <f t="shared" si="107"/>
        <v>0</v>
      </c>
      <c r="BD82" s="108">
        <f t="shared" si="77"/>
        <v>0</v>
      </c>
      <c r="BE82" s="22">
        <f t="shared" si="78"/>
        <v>46441</v>
      </c>
      <c r="BF82" s="108">
        <f t="shared" si="79"/>
        <v>0</v>
      </c>
      <c r="BG82" s="2">
        <f t="shared" si="73"/>
        <v>0</v>
      </c>
    </row>
    <row r="83" spans="1:59" s="16" customFormat="1" ht="12" x14ac:dyDescent="0.25">
      <c r="A83" s="2"/>
      <c r="B83" s="2"/>
      <c r="C83" s="2"/>
      <c r="D83" s="2"/>
      <c r="E83" s="2"/>
      <c r="F83" s="2"/>
      <c r="G83" s="114">
        <f t="shared" si="96"/>
        <v>75</v>
      </c>
      <c r="H83" s="111">
        <f t="shared" si="71"/>
        <v>46653</v>
      </c>
      <c r="I83" s="24">
        <f t="shared" si="106"/>
        <v>0</v>
      </c>
      <c r="J83" s="24">
        <f t="shared" si="86"/>
        <v>0</v>
      </c>
      <c r="K83" s="24">
        <f t="shared" si="87"/>
        <v>0</v>
      </c>
      <c r="L83" s="24">
        <f t="shared" si="92"/>
        <v>0</v>
      </c>
      <c r="M83" s="24">
        <f t="shared" si="29"/>
        <v>0</v>
      </c>
      <c r="N83" s="24">
        <f t="shared" si="18"/>
        <v>0</v>
      </c>
      <c r="O83" s="24">
        <f t="shared" si="101"/>
        <v>0</v>
      </c>
      <c r="P83" s="24">
        <f t="shared" si="102"/>
        <v>0</v>
      </c>
      <c r="Q83" s="24">
        <f t="shared" si="88"/>
        <v>0</v>
      </c>
      <c r="R83" s="36">
        <f t="shared" si="103"/>
        <v>0</v>
      </c>
      <c r="S83" s="36">
        <f t="shared" si="89"/>
        <v>0</v>
      </c>
      <c r="T83" s="2">
        <f t="shared" si="74"/>
        <v>6466.97</v>
      </c>
      <c r="U83" s="34">
        <f t="shared" si="75"/>
        <v>30288</v>
      </c>
      <c r="V83" s="57">
        <f t="shared" si="76"/>
        <v>54590</v>
      </c>
      <c r="AF83" s="133" t="s">
        <v>97</v>
      </c>
      <c r="AI83" s="2">
        <f t="shared" si="104"/>
        <v>0</v>
      </c>
      <c r="AJ83" s="34">
        <f t="shared" si="80"/>
        <v>30731</v>
      </c>
      <c r="AK83" s="57">
        <f t="shared" si="66"/>
        <v>57510</v>
      </c>
      <c r="AL83" s="130">
        <f t="shared" si="93"/>
        <v>0</v>
      </c>
      <c r="AM83" s="109">
        <f t="shared" si="97"/>
        <v>75</v>
      </c>
      <c r="AN83" s="110">
        <f t="shared" si="72"/>
        <v>46653</v>
      </c>
      <c r="AO83" s="105">
        <f t="shared" si="105"/>
        <v>0</v>
      </c>
      <c r="AP83" s="105">
        <f t="shared" si="90"/>
        <v>0</v>
      </c>
      <c r="AQ83" s="105">
        <f t="shared" si="98"/>
        <v>0</v>
      </c>
      <c r="AR83" s="105">
        <f t="shared" si="91"/>
        <v>0</v>
      </c>
      <c r="AS83" s="105">
        <f t="shared" si="49"/>
        <v>0</v>
      </c>
      <c r="AT83" s="105">
        <f t="shared" si="24"/>
        <v>0</v>
      </c>
      <c r="AU83" s="105">
        <f t="shared" si="94"/>
        <v>0</v>
      </c>
      <c r="AV83" s="105">
        <f t="shared" si="95"/>
        <v>0</v>
      </c>
      <c r="AW83" s="105"/>
      <c r="AX83" s="105"/>
      <c r="AY83" s="105"/>
      <c r="AZ83" s="105"/>
      <c r="BA83" s="105"/>
      <c r="BB83" s="105">
        <f t="shared" si="99"/>
        <v>0</v>
      </c>
      <c r="BC83" s="108">
        <f t="shared" si="107"/>
        <v>0</v>
      </c>
      <c r="BD83" s="108">
        <f t="shared" si="77"/>
        <v>0</v>
      </c>
      <c r="BE83" s="22">
        <f t="shared" si="78"/>
        <v>46469</v>
      </c>
      <c r="BF83" s="108">
        <f t="shared" si="79"/>
        <v>0</v>
      </c>
      <c r="BG83" s="2">
        <f t="shared" si="73"/>
        <v>0</v>
      </c>
    </row>
    <row r="84" spans="1:59" s="16" customFormat="1" ht="12" x14ac:dyDescent="0.25">
      <c r="A84" s="2"/>
      <c r="B84" s="2"/>
      <c r="C84" s="2"/>
      <c r="D84" s="2"/>
      <c r="E84" s="2"/>
      <c r="F84" s="2"/>
      <c r="G84" s="114">
        <f t="shared" si="96"/>
        <v>76</v>
      </c>
      <c r="H84" s="111">
        <f t="shared" si="71"/>
        <v>46683</v>
      </c>
      <c r="I84" s="24">
        <f t="shared" si="106"/>
        <v>0</v>
      </c>
      <c r="J84" s="24">
        <f t="shared" si="86"/>
        <v>0</v>
      </c>
      <c r="K84" s="24">
        <f t="shared" si="87"/>
        <v>0</v>
      </c>
      <c r="L84" s="24">
        <f t="shared" si="92"/>
        <v>0</v>
      </c>
      <c r="M84" s="24">
        <f t="shared" si="29"/>
        <v>0</v>
      </c>
      <c r="N84" s="24">
        <f t="shared" si="18"/>
        <v>0</v>
      </c>
      <c r="O84" s="24">
        <f t="shared" si="101"/>
        <v>0</v>
      </c>
      <c r="P84" s="24">
        <f t="shared" si="102"/>
        <v>0</v>
      </c>
      <c r="Q84" s="24">
        <f t="shared" si="88"/>
        <v>0</v>
      </c>
      <c r="R84" s="36">
        <f t="shared" si="103"/>
        <v>0</v>
      </c>
      <c r="S84" s="36">
        <f t="shared" si="89"/>
        <v>0</v>
      </c>
      <c r="T84" s="2">
        <f t="shared" si="74"/>
        <v>6520.69</v>
      </c>
      <c r="U84" s="34">
        <f t="shared" si="75"/>
        <v>30288</v>
      </c>
      <c r="V84" s="57">
        <f t="shared" si="76"/>
        <v>54955</v>
      </c>
      <c r="AF84" s="135">
        <v>0</v>
      </c>
      <c r="AI84" s="2">
        <f t="shared" si="104"/>
        <v>0</v>
      </c>
      <c r="AJ84" s="34">
        <f t="shared" si="80"/>
        <v>30731</v>
      </c>
      <c r="AK84" s="57">
        <f t="shared" si="66"/>
        <v>57875</v>
      </c>
      <c r="AL84" s="130">
        <f t="shared" si="93"/>
        <v>0</v>
      </c>
      <c r="AM84" s="109">
        <f t="shared" si="97"/>
        <v>76</v>
      </c>
      <c r="AN84" s="110">
        <f t="shared" si="72"/>
        <v>46683</v>
      </c>
      <c r="AO84" s="105">
        <f t="shared" si="105"/>
        <v>0</v>
      </c>
      <c r="AP84" s="105">
        <f t="shared" si="90"/>
        <v>0</v>
      </c>
      <c r="AQ84" s="105">
        <f t="shared" si="98"/>
        <v>0</v>
      </c>
      <c r="AR84" s="105">
        <f t="shared" si="91"/>
        <v>0</v>
      </c>
      <c r="AS84" s="105">
        <f t="shared" si="49"/>
        <v>0</v>
      </c>
      <c r="AT84" s="105">
        <f t="shared" si="24"/>
        <v>0</v>
      </c>
      <c r="AU84" s="105">
        <f t="shared" si="94"/>
        <v>0</v>
      </c>
      <c r="AV84" s="105">
        <f t="shared" si="95"/>
        <v>0</v>
      </c>
      <c r="AW84" s="105"/>
      <c r="AX84" s="105"/>
      <c r="AY84" s="105"/>
      <c r="AZ84" s="105"/>
      <c r="BA84" s="105"/>
      <c r="BB84" s="105">
        <f t="shared" si="99"/>
        <v>0</v>
      </c>
      <c r="BC84" s="108">
        <f t="shared" si="107"/>
        <v>0</v>
      </c>
      <c r="BD84" s="108">
        <f t="shared" si="77"/>
        <v>0</v>
      </c>
      <c r="BE84" s="22">
        <f t="shared" si="78"/>
        <v>46500</v>
      </c>
      <c r="BF84" s="108">
        <f t="shared" si="79"/>
        <v>0</v>
      </c>
      <c r="BG84" s="2">
        <f t="shared" si="73"/>
        <v>0</v>
      </c>
    </row>
    <row r="85" spans="1:59" s="16" customFormat="1" ht="12" x14ac:dyDescent="0.25">
      <c r="A85" s="53"/>
      <c r="C85" s="2"/>
      <c r="D85" s="13"/>
      <c r="E85" s="2"/>
      <c r="F85" s="2"/>
      <c r="G85" s="114">
        <f t="shared" si="96"/>
        <v>77</v>
      </c>
      <c r="H85" s="111">
        <f t="shared" ref="H85:H108" si="108">IF((OR(DAY($AA$54)=29,DAY($AA$54)=30,DAY($AA$54)=31)),(EDATE($C$9-3,G85)),(IF((OR(DAY($AA$54)=1,DAY($AA$54)=2,DAY($AA$54)=3)),(EDATE($C$9,G85)+3),EDATE($C$9,G85))))</f>
        <v>46714</v>
      </c>
      <c r="I85" s="24">
        <f t="shared" si="106"/>
        <v>0</v>
      </c>
      <c r="J85" s="24">
        <f t="shared" si="86"/>
        <v>0</v>
      </c>
      <c r="K85" s="24">
        <f t="shared" si="87"/>
        <v>0</v>
      </c>
      <c r="L85" s="24">
        <f t="shared" si="92"/>
        <v>0</v>
      </c>
      <c r="M85" s="24">
        <f t="shared" si="29"/>
        <v>0</v>
      </c>
      <c r="N85" s="24">
        <f t="shared" si="18"/>
        <v>0</v>
      </c>
      <c r="O85" s="24">
        <f t="shared" si="101"/>
        <v>0</v>
      </c>
      <c r="P85" s="24">
        <f t="shared" si="102"/>
        <v>0</v>
      </c>
      <c r="Q85" s="24">
        <f t="shared" si="88"/>
        <v>0</v>
      </c>
      <c r="R85" s="36">
        <f t="shared" si="103"/>
        <v>0</v>
      </c>
      <c r="S85" s="36">
        <f t="shared" si="89"/>
        <v>0</v>
      </c>
      <c r="T85" s="2">
        <f t="shared" si="74"/>
        <v>6154.47</v>
      </c>
      <c r="U85" s="34">
        <f t="shared" si="75"/>
        <v>30288</v>
      </c>
      <c r="V85" s="57">
        <f t="shared" si="76"/>
        <v>55320</v>
      </c>
      <c r="AF85" s="135">
        <v>200000</v>
      </c>
      <c r="AI85" s="2">
        <f t="shared" si="104"/>
        <v>0</v>
      </c>
      <c r="AJ85" s="34">
        <f t="shared" si="80"/>
        <v>30731</v>
      </c>
      <c r="AK85" s="57">
        <f t="shared" si="66"/>
        <v>58240</v>
      </c>
      <c r="AL85" s="130">
        <f t="shared" si="93"/>
        <v>0</v>
      </c>
      <c r="AM85" s="109">
        <f t="shared" si="97"/>
        <v>77</v>
      </c>
      <c r="AN85" s="110">
        <f t="shared" ref="AN85:AN108" si="109">IF((OR(DAY($AA$54)=29,DAY($AA$54)=30,DAY($AA$54)=31)),(EDATE($C$9-3,AM85)),(IF((OR(DAY($AA$54)=1,DAY($AA$54)=2,DAY($AA$54)=3)),(EDATE($C$9,AM85)+3),EDATE($C$9,AM85))))</f>
        <v>46714</v>
      </c>
      <c r="AO85" s="105">
        <f t="shared" si="105"/>
        <v>0</v>
      </c>
      <c r="AP85" s="105">
        <f t="shared" si="90"/>
        <v>0</v>
      </c>
      <c r="AQ85" s="105">
        <f t="shared" si="98"/>
        <v>0</v>
      </c>
      <c r="AR85" s="105">
        <f t="shared" si="91"/>
        <v>0</v>
      </c>
      <c r="AS85" s="105">
        <f t="shared" si="49"/>
        <v>0</v>
      </c>
      <c r="AT85" s="105">
        <f t="shared" si="24"/>
        <v>0</v>
      </c>
      <c r="AU85" s="105">
        <f t="shared" si="94"/>
        <v>0</v>
      </c>
      <c r="AV85" s="105">
        <f t="shared" si="95"/>
        <v>0</v>
      </c>
      <c r="AW85" s="105"/>
      <c r="AX85" s="105"/>
      <c r="AY85" s="105"/>
      <c r="AZ85" s="105"/>
      <c r="BA85" s="105"/>
      <c r="BB85" s="105">
        <f t="shared" si="99"/>
        <v>0</v>
      </c>
      <c r="BC85" s="108">
        <f t="shared" si="107"/>
        <v>0</v>
      </c>
      <c r="BD85" s="108">
        <f t="shared" si="77"/>
        <v>0</v>
      </c>
      <c r="BE85" s="22">
        <f t="shared" si="78"/>
        <v>46530</v>
      </c>
      <c r="BF85" s="108">
        <f t="shared" si="79"/>
        <v>0</v>
      </c>
      <c r="BG85" s="2">
        <f t="shared" si="73"/>
        <v>0</v>
      </c>
    </row>
    <row r="86" spans="1:59" s="16" customFormat="1" ht="12" x14ac:dyDescent="0.25">
      <c r="A86" s="53"/>
      <c r="B86" s="2"/>
      <c r="C86" s="2"/>
      <c r="D86" s="2"/>
      <c r="E86" s="2"/>
      <c r="F86" s="2"/>
      <c r="G86" s="114">
        <f t="shared" si="96"/>
        <v>78</v>
      </c>
      <c r="H86" s="111">
        <f t="shared" si="108"/>
        <v>46744</v>
      </c>
      <c r="I86" s="24">
        <f t="shared" si="106"/>
        <v>0</v>
      </c>
      <c r="J86" s="24">
        <f t="shared" si="86"/>
        <v>0</v>
      </c>
      <c r="K86" s="24">
        <f t="shared" si="87"/>
        <v>0</v>
      </c>
      <c r="L86" s="24">
        <f t="shared" si="92"/>
        <v>0</v>
      </c>
      <c r="M86" s="24">
        <f t="shared" ref="M86:M100" si="110">O85-L85</f>
        <v>0</v>
      </c>
      <c r="N86" s="24">
        <f t="shared" ref="N86:N100" si="111">J86+O86</f>
        <v>0</v>
      </c>
      <c r="O86" s="24">
        <f t="shared" si="101"/>
        <v>0</v>
      </c>
      <c r="P86" s="24">
        <f t="shared" ref="P86:P100" si="112">IF(S86=0,0,0)</f>
        <v>0</v>
      </c>
      <c r="Q86" s="24">
        <f t="shared" si="88"/>
        <v>0</v>
      </c>
      <c r="R86" s="36">
        <f t="shared" si="103"/>
        <v>0</v>
      </c>
      <c r="S86" s="36">
        <f t="shared" si="89"/>
        <v>0</v>
      </c>
      <c r="T86" s="2">
        <f t="shared" si="74"/>
        <v>6176.36</v>
      </c>
      <c r="U86" s="34">
        <f t="shared" si="75"/>
        <v>30288</v>
      </c>
      <c r="V86" s="57">
        <f t="shared" si="76"/>
        <v>55685</v>
      </c>
      <c r="AF86" s="135">
        <v>600000</v>
      </c>
      <c r="AI86" s="2" t="e">
        <f t="shared" si="104"/>
        <v>#VALUE!</v>
      </c>
      <c r="AJ86" s="34">
        <f t="shared" si="80"/>
        <v>30731</v>
      </c>
      <c r="AK86" s="57">
        <f t="shared" si="66"/>
        <v>58605</v>
      </c>
      <c r="AL86" s="130">
        <f t="shared" ref="AL86:AL108" si="113">IF(OR(AO86="",AO86=0),0,1)</f>
        <v>0</v>
      </c>
      <c r="AM86" s="109">
        <f t="shared" si="97"/>
        <v>78</v>
      </c>
      <c r="AN86" s="110">
        <f t="shared" si="109"/>
        <v>46744</v>
      </c>
      <c r="AO86" s="105">
        <f t="shared" si="105"/>
        <v>0</v>
      </c>
      <c r="AP86" s="105">
        <f t="shared" si="90"/>
        <v>0</v>
      </c>
      <c r="AQ86" s="105">
        <f t="shared" si="98"/>
        <v>0</v>
      </c>
      <c r="AR86" s="105">
        <f t="shared" si="91"/>
        <v>0</v>
      </c>
      <c r="AS86" s="105">
        <f t="shared" ref="AS86:AS108" si="114">AU85-AR85</f>
        <v>0</v>
      </c>
      <c r="AT86" s="105">
        <f t="shared" ref="AT86:AT108" si="115">AP86+AU86</f>
        <v>0</v>
      </c>
      <c r="AU86" s="105">
        <f t="shared" ref="AU86:AU108" si="116">IF(BD92=0,0,0)</f>
        <v>0</v>
      </c>
      <c r="AV86" s="105">
        <f t="shared" ref="AV86:AV108" si="117">IF(BD92=0,0,0)</f>
        <v>0</v>
      </c>
      <c r="AW86" s="105"/>
      <c r="AX86" s="105"/>
      <c r="AY86" s="105"/>
      <c r="AZ86" s="105"/>
      <c r="BA86" s="105"/>
      <c r="BB86" s="105">
        <f t="shared" si="99"/>
        <v>0</v>
      </c>
      <c r="BC86" s="108">
        <f t="shared" si="107"/>
        <v>0</v>
      </c>
      <c r="BD86" s="108">
        <f t="shared" si="77"/>
        <v>0</v>
      </c>
      <c r="BE86" s="22">
        <f t="shared" si="78"/>
        <v>46561</v>
      </c>
      <c r="BF86" s="108">
        <f t="shared" si="79"/>
        <v>0</v>
      </c>
      <c r="BG86" s="2">
        <f t="shared" ref="BG86:BG117" si="118">IF(AND(G41&gt;=$T$22,G41&lt;=$T$22+5),0,IF($C$9&gt;$AC$51,ROUND(BB40*IF($D$14="",0,$D$14)/(DATEVALUE(CONCATENATE("01/01/",YEAR(AN41)+1))-DATEVALUE(CONCATENATE("01/01/",YEAR(AN41))))*(AN41-AN40),2),0))</f>
        <v>0</v>
      </c>
    </row>
    <row r="87" spans="1:59" s="16" customFormat="1" ht="12" x14ac:dyDescent="0.25">
      <c r="A87" s="2"/>
      <c r="B87" s="2"/>
      <c r="C87" s="1"/>
      <c r="D87" s="1"/>
      <c r="E87" s="2"/>
      <c r="F87" s="2"/>
      <c r="G87" s="114">
        <f t="shared" si="96"/>
        <v>79</v>
      </c>
      <c r="H87" s="111">
        <f t="shared" si="108"/>
        <v>46775</v>
      </c>
      <c r="I87" s="24">
        <f t="shared" si="106"/>
        <v>0</v>
      </c>
      <c r="J87" s="24">
        <f t="shared" si="86"/>
        <v>0</v>
      </c>
      <c r="K87" s="24">
        <f t="shared" si="87"/>
        <v>0</v>
      </c>
      <c r="L87" s="24">
        <f t="shared" si="92"/>
        <v>0</v>
      </c>
      <c r="M87" s="24">
        <f t="shared" si="110"/>
        <v>0</v>
      </c>
      <c r="N87" s="24">
        <f t="shared" si="111"/>
        <v>0</v>
      </c>
      <c r="O87" s="24">
        <f t="shared" si="101"/>
        <v>0</v>
      </c>
      <c r="P87" s="24">
        <f t="shared" si="112"/>
        <v>0</v>
      </c>
      <c r="Q87" s="24">
        <f t="shared" si="88"/>
        <v>0</v>
      </c>
      <c r="R87" s="36">
        <f t="shared" si="103"/>
        <v>0</v>
      </c>
      <c r="S87" s="36">
        <f t="shared" si="89"/>
        <v>0</v>
      </c>
      <c r="T87" s="2">
        <f t="shared" si="74"/>
        <v>6010.86</v>
      </c>
      <c r="U87" s="34">
        <f t="shared" si="75"/>
        <v>30288</v>
      </c>
      <c r="V87" s="57">
        <f t="shared" si="76"/>
        <v>56050</v>
      </c>
      <c r="AF87" s="135">
        <v>1000000</v>
      </c>
      <c r="AI87" s="2" t="e">
        <f t="shared" si="104"/>
        <v>#VALUE!</v>
      </c>
      <c r="AJ87" s="34">
        <f t="shared" si="80"/>
        <v>30731</v>
      </c>
      <c r="AK87" s="57">
        <f t="shared" si="66"/>
        <v>58970</v>
      </c>
      <c r="AL87" s="130">
        <f t="shared" si="113"/>
        <v>0</v>
      </c>
      <c r="AM87" s="109">
        <f t="shared" si="97"/>
        <v>79</v>
      </c>
      <c r="AN87" s="110">
        <f t="shared" si="109"/>
        <v>46775</v>
      </c>
      <c r="AO87" s="105">
        <f t="shared" si="105"/>
        <v>0</v>
      </c>
      <c r="AP87" s="105">
        <f t="shared" si="90"/>
        <v>0</v>
      </c>
      <c r="AQ87" s="105">
        <f t="shared" si="98"/>
        <v>0</v>
      </c>
      <c r="AR87" s="105">
        <f t="shared" si="91"/>
        <v>0</v>
      </c>
      <c r="AS87" s="105">
        <f t="shared" si="114"/>
        <v>0</v>
      </c>
      <c r="AT87" s="105">
        <f t="shared" si="115"/>
        <v>0</v>
      </c>
      <c r="AU87" s="105">
        <f t="shared" si="116"/>
        <v>0</v>
      </c>
      <c r="AV87" s="105">
        <f t="shared" si="117"/>
        <v>0</v>
      </c>
      <c r="AW87" s="105"/>
      <c r="AX87" s="105"/>
      <c r="AY87" s="105"/>
      <c r="AZ87" s="105"/>
      <c r="BA87" s="105"/>
      <c r="BB87" s="105">
        <f t="shared" si="99"/>
        <v>0</v>
      </c>
      <c r="BC87" s="108">
        <f t="shared" si="107"/>
        <v>0</v>
      </c>
      <c r="BD87" s="108">
        <f t="shared" si="77"/>
        <v>0</v>
      </c>
      <c r="BE87" s="22">
        <f t="shared" si="78"/>
        <v>46591</v>
      </c>
      <c r="BF87" s="108">
        <f t="shared" si="79"/>
        <v>0</v>
      </c>
      <c r="BG87" s="2">
        <f t="shared" si="118"/>
        <v>0</v>
      </c>
    </row>
    <row r="88" spans="1:59" s="16" customFormat="1" ht="12" x14ac:dyDescent="0.25">
      <c r="A88" s="2"/>
      <c r="B88" s="2"/>
      <c r="C88" s="1"/>
      <c r="D88" s="1"/>
      <c r="E88" s="2"/>
      <c r="F88" s="2"/>
      <c r="G88" s="114">
        <f t="shared" si="96"/>
        <v>80</v>
      </c>
      <c r="H88" s="111">
        <f t="shared" si="108"/>
        <v>46806</v>
      </c>
      <c r="I88" s="24">
        <f t="shared" si="106"/>
        <v>0</v>
      </c>
      <c r="J88" s="24">
        <f t="shared" si="86"/>
        <v>0</v>
      </c>
      <c r="K88" s="24">
        <f t="shared" si="87"/>
        <v>0</v>
      </c>
      <c r="L88" s="24">
        <f t="shared" si="92"/>
        <v>0</v>
      </c>
      <c r="M88" s="24">
        <f t="shared" si="110"/>
        <v>0</v>
      </c>
      <c r="N88" s="24">
        <f t="shared" si="111"/>
        <v>0</v>
      </c>
      <c r="O88" s="24">
        <f t="shared" si="101"/>
        <v>0</v>
      </c>
      <c r="P88" s="24">
        <f t="shared" si="112"/>
        <v>0</v>
      </c>
      <c r="Q88" s="24">
        <f t="shared" si="88"/>
        <v>0</v>
      </c>
      <c r="R88" s="36">
        <f t="shared" si="103"/>
        <v>0</v>
      </c>
      <c r="S88" s="36">
        <f t="shared" si="89"/>
        <v>0</v>
      </c>
      <c r="T88" s="2">
        <f t="shared" ref="T88:T119" si="119">IF(AND(G41&gt;=$T$22,G41&lt;=$T$22+5),0,IF($C$9&gt;$AC$51,ROUND(Q40*$C$14/(DATEVALUE(CONCATENATE("01/01/",YEAR(H41)+1))-DATEVALUE(CONCATENATE("01/01/",YEAR(H41))))*(H41-H40),2),0))</f>
        <v>5465.97</v>
      </c>
      <c r="U88" s="34">
        <f t="shared" ref="U88:U119" si="120">J41+K41+L41-P41</f>
        <v>30288</v>
      </c>
      <c r="V88" s="57">
        <f t="shared" si="76"/>
        <v>56415</v>
      </c>
      <c r="AF88" s="135">
        <v>3000000</v>
      </c>
      <c r="AI88" s="2" t="e">
        <f t="shared" si="104"/>
        <v>#VALUE!</v>
      </c>
      <c r="AJ88" s="34">
        <f t="shared" si="80"/>
        <v>30731</v>
      </c>
      <c r="AK88" s="57">
        <f t="shared" si="66"/>
        <v>59335</v>
      </c>
      <c r="AL88" s="130">
        <f t="shared" si="113"/>
        <v>0</v>
      </c>
      <c r="AM88" s="109">
        <f t="shared" si="97"/>
        <v>80</v>
      </c>
      <c r="AN88" s="110">
        <f t="shared" si="109"/>
        <v>46806</v>
      </c>
      <c r="AO88" s="105">
        <f t="shared" si="105"/>
        <v>0</v>
      </c>
      <c r="AP88" s="105">
        <f t="shared" si="90"/>
        <v>0</v>
      </c>
      <c r="AQ88" s="105">
        <f t="shared" si="98"/>
        <v>0</v>
      </c>
      <c r="AR88" s="105">
        <f t="shared" si="91"/>
        <v>0</v>
      </c>
      <c r="AS88" s="105">
        <f t="shared" si="114"/>
        <v>0</v>
      </c>
      <c r="AT88" s="105">
        <f t="shared" si="115"/>
        <v>0</v>
      </c>
      <c r="AU88" s="105">
        <f t="shared" si="116"/>
        <v>0</v>
      </c>
      <c r="AV88" s="105">
        <f t="shared" si="117"/>
        <v>0</v>
      </c>
      <c r="AW88" s="105"/>
      <c r="AX88" s="105"/>
      <c r="AY88" s="105"/>
      <c r="AZ88" s="105"/>
      <c r="BA88" s="105"/>
      <c r="BB88" s="105">
        <f t="shared" si="99"/>
        <v>0</v>
      </c>
      <c r="BC88" s="108">
        <f t="shared" si="107"/>
        <v>0</v>
      </c>
      <c r="BD88" s="108">
        <f t="shared" si="77"/>
        <v>0</v>
      </c>
      <c r="BE88" s="22">
        <f t="shared" si="78"/>
        <v>46622</v>
      </c>
      <c r="BF88" s="108">
        <f t="shared" si="79"/>
        <v>0</v>
      </c>
      <c r="BG88" s="2">
        <f t="shared" si="118"/>
        <v>0</v>
      </c>
    </row>
    <row r="89" spans="1:59" s="16" customFormat="1" ht="12" x14ac:dyDescent="0.25">
      <c r="A89" s="2"/>
      <c r="B89" s="2"/>
      <c r="C89" s="1"/>
      <c r="D89" s="1"/>
      <c r="E89" s="2"/>
      <c r="F89" s="2"/>
      <c r="G89" s="114">
        <f t="shared" si="96"/>
        <v>81</v>
      </c>
      <c r="H89" s="111">
        <f t="shared" si="108"/>
        <v>46835</v>
      </c>
      <c r="I89" s="24">
        <f t="shared" si="106"/>
        <v>0</v>
      </c>
      <c r="J89" s="24">
        <f t="shared" si="86"/>
        <v>0</v>
      </c>
      <c r="K89" s="24">
        <f t="shared" si="87"/>
        <v>0</v>
      </c>
      <c r="L89" s="24">
        <f t="shared" si="92"/>
        <v>0</v>
      </c>
      <c r="M89" s="24">
        <f t="shared" si="110"/>
        <v>0</v>
      </c>
      <c r="N89" s="24">
        <f t="shared" si="111"/>
        <v>0</v>
      </c>
      <c r="O89" s="24">
        <f t="shared" si="101"/>
        <v>0</v>
      </c>
      <c r="P89" s="24">
        <f t="shared" si="112"/>
        <v>0</v>
      </c>
      <c r="Q89" s="24">
        <f t="shared" si="88"/>
        <v>0</v>
      </c>
      <c r="R89" s="36">
        <f t="shared" si="103"/>
        <v>0</v>
      </c>
      <c r="S89" s="36">
        <f t="shared" si="89"/>
        <v>0</v>
      </c>
      <c r="T89" s="2">
        <f t="shared" si="119"/>
        <v>5667.2</v>
      </c>
      <c r="U89" s="34">
        <f t="shared" si="120"/>
        <v>30288</v>
      </c>
      <c r="V89" s="57">
        <f t="shared" si="76"/>
        <v>56780</v>
      </c>
      <c r="AI89" s="2" t="e">
        <f t="shared" si="104"/>
        <v>#VALUE!</v>
      </c>
      <c r="AJ89" s="34">
        <f t="shared" si="80"/>
        <v>30731</v>
      </c>
      <c r="AK89" s="57">
        <f t="shared" si="66"/>
        <v>59700</v>
      </c>
      <c r="AL89" s="130">
        <f t="shared" si="113"/>
        <v>0</v>
      </c>
      <c r="AM89" s="109">
        <f t="shared" si="97"/>
        <v>81</v>
      </c>
      <c r="AN89" s="110">
        <f t="shared" si="109"/>
        <v>46835</v>
      </c>
      <c r="AO89" s="105">
        <f t="shared" si="105"/>
        <v>0</v>
      </c>
      <c r="AP89" s="105">
        <f t="shared" si="90"/>
        <v>0</v>
      </c>
      <c r="AQ89" s="105">
        <f t="shared" si="98"/>
        <v>0</v>
      </c>
      <c r="AR89" s="105">
        <f t="shared" si="91"/>
        <v>0</v>
      </c>
      <c r="AS89" s="105">
        <f t="shared" si="114"/>
        <v>0</v>
      </c>
      <c r="AT89" s="105">
        <f t="shared" si="115"/>
        <v>0</v>
      </c>
      <c r="AU89" s="105">
        <f t="shared" si="116"/>
        <v>0</v>
      </c>
      <c r="AV89" s="105">
        <f t="shared" si="117"/>
        <v>0</v>
      </c>
      <c r="AW89" s="105"/>
      <c r="AX89" s="105"/>
      <c r="AY89" s="105"/>
      <c r="AZ89" s="105"/>
      <c r="BA89" s="105"/>
      <c r="BB89" s="105">
        <f t="shared" si="99"/>
        <v>0</v>
      </c>
      <c r="BC89" s="108">
        <f t="shared" si="107"/>
        <v>0</v>
      </c>
      <c r="BD89" s="108">
        <f t="shared" ref="BD89:BD114" si="121">IF(ISERR(CEILING(FLOOR(NPER($C$12/12,-$AA$55,BB82),0.1),1))=TRUE,0,CEILING(FLOOR(NPER($C$12/12,-$AA$55,BB82),0.1),1))</f>
        <v>0</v>
      </c>
      <c r="BE89" s="22">
        <f t="shared" ref="BE89:BE114" si="122">H83</f>
        <v>46653</v>
      </c>
      <c r="BF89" s="108">
        <f t="shared" ref="BF89:BF114" si="123">I83</f>
        <v>0</v>
      </c>
      <c r="BG89" s="2">
        <f t="shared" si="118"/>
        <v>0</v>
      </c>
    </row>
    <row r="90" spans="1:59" s="16" customFormat="1" ht="12" x14ac:dyDescent="0.25">
      <c r="A90" s="2"/>
      <c r="B90" s="2"/>
      <c r="C90" s="1"/>
      <c r="D90" s="1"/>
      <c r="E90" s="2"/>
      <c r="F90" s="2"/>
      <c r="G90" s="114">
        <f t="shared" si="96"/>
        <v>82</v>
      </c>
      <c r="H90" s="111">
        <f t="shared" si="108"/>
        <v>46866</v>
      </c>
      <c r="I90" s="24">
        <f t="shared" si="106"/>
        <v>0</v>
      </c>
      <c r="J90" s="24">
        <f t="shared" si="86"/>
        <v>0</v>
      </c>
      <c r="K90" s="24">
        <f t="shared" si="87"/>
        <v>0</v>
      </c>
      <c r="L90" s="24">
        <f t="shared" si="92"/>
        <v>0</v>
      </c>
      <c r="M90" s="24">
        <f t="shared" si="110"/>
        <v>0</v>
      </c>
      <c r="N90" s="24">
        <f t="shared" si="111"/>
        <v>0</v>
      </c>
      <c r="O90" s="24">
        <f t="shared" si="101"/>
        <v>0</v>
      </c>
      <c r="P90" s="24">
        <f t="shared" si="112"/>
        <v>0</v>
      </c>
      <c r="Q90" s="24">
        <f t="shared" si="88"/>
        <v>0</v>
      </c>
      <c r="R90" s="36">
        <f t="shared" si="103"/>
        <v>0</v>
      </c>
      <c r="S90" s="36">
        <f t="shared" si="89"/>
        <v>0</v>
      </c>
      <c r="T90" s="2">
        <f t="shared" si="119"/>
        <v>5317.11</v>
      </c>
      <c r="U90" s="34">
        <f t="shared" si="120"/>
        <v>30288</v>
      </c>
      <c r="V90" s="57">
        <f t="shared" si="76"/>
        <v>57145</v>
      </c>
      <c r="AI90" s="2" t="e">
        <f t="shared" si="104"/>
        <v>#VALUE!</v>
      </c>
      <c r="AJ90" s="34">
        <f t="shared" si="80"/>
        <v>30731</v>
      </c>
      <c r="AK90" s="57">
        <f t="shared" si="66"/>
        <v>60065</v>
      </c>
      <c r="AL90" s="130">
        <f t="shared" si="113"/>
        <v>0</v>
      </c>
      <c r="AM90" s="109">
        <f t="shared" si="97"/>
        <v>82</v>
      </c>
      <c r="AN90" s="110">
        <f t="shared" si="109"/>
        <v>46866</v>
      </c>
      <c r="AO90" s="105">
        <f t="shared" si="105"/>
        <v>0</v>
      </c>
      <c r="AP90" s="105">
        <f t="shared" si="90"/>
        <v>0</v>
      </c>
      <c r="AQ90" s="105">
        <f t="shared" si="98"/>
        <v>0</v>
      </c>
      <c r="AR90" s="105">
        <f t="shared" si="91"/>
        <v>0</v>
      </c>
      <c r="AS90" s="105">
        <f t="shared" si="114"/>
        <v>0</v>
      </c>
      <c r="AT90" s="105">
        <f t="shared" si="115"/>
        <v>0</v>
      </c>
      <c r="AU90" s="105">
        <f t="shared" si="116"/>
        <v>0</v>
      </c>
      <c r="AV90" s="105">
        <f t="shared" si="117"/>
        <v>0</v>
      </c>
      <c r="AW90" s="105"/>
      <c r="AX90" s="105"/>
      <c r="AY90" s="105"/>
      <c r="AZ90" s="105"/>
      <c r="BA90" s="105"/>
      <c r="BB90" s="105">
        <f t="shared" si="99"/>
        <v>0</v>
      </c>
      <c r="BC90" s="108">
        <f t="shared" si="107"/>
        <v>0</v>
      </c>
      <c r="BD90" s="108">
        <f t="shared" si="121"/>
        <v>0</v>
      </c>
      <c r="BE90" s="22">
        <f t="shared" si="122"/>
        <v>46683</v>
      </c>
      <c r="BF90" s="108">
        <f t="shared" si="123"/>
        <v>0</v>
      </c>
      <c r="BG90" s="2">
        <f t="shared" si="118"/>
        <v>0</v>
      </c>
    </row>
    <row r="91" spans="1:59" s="16" customFormat="1" ht="12" x14ac:dyDescent="0.25">
      <c r="A91" s="2"/>
      <c r="B91" s="2"/>
      <c r="C91" s="1"/>
      <c r="D91" s="1"/>
      <c r="E91" s="2"/>
      <c r="F91" s="2"/>
      <c r="G91" s="114">
        <f t="shared" si="96"/>
        <v>83</v>
      </c>
      <c r="H91" s="111">
        <f t="shared" si="108"/>
        <v>46896</v>
      </c>
      <c r="I91" s="24">
        <f t="shared" si="106"/>
        <v>0</v>
      </c>
      <c r="J91" s="24">
        <f t="shared" si="86"/>
        <v>0</v>
      </c>
      <c r="K91" s="24">
        <f t="shared" si="87"/>
        <v>0</v>
      </c>
      <c r="L91" s="24">
        <f t="shared" si="92"/>
        <v>0</v>
      </c>
      <c r="M91" s="24">
        <f t="shared" si="110"/>
        <v>0</v>
      </c>
      <c r="N91" s="24">
        <f t="shared" si="111"/>
        <v>0</v>
      </c>
      <c r="O91" s="24">
        <f t="shared" si="101"/>
        <v>0</v>
      </c>
      <c r="P91" s="24">
        <f t="shared" si="112"/>
        <v>0</v>
      </c>
      <c r="Q91" s="24">
        <f t="shared" si="88"/>
        <v>0</v>
      </c>
      <c r="R91" s="36">
        <f t="shared" si="103"/>
        <v>0</v>
      </c>
      <c r="S91" s="36">
        <f t="shared" si="89"/>
        <v>0</v>
      </c>
      <c r="T91" s="2">
        <f t="shared" si="119"/>
        <v>5316.49</v>
      </c>
      <c r="U91" s="34">
        <f t="shared" si="120"/>
        <v>30288</v>
      </c>
      <c r="V91" s="57">
        <f t="shared" si="76"/>
        <v>57510</v>
      </c>
      <c r="AI91" s="2" t="e">
        <f t="shared" si="104"/>
        <v>#VALUE!</v>
      </c>
      <c r="AJ91" s="34">
        <f t="shared" si="80"/>
        <v>30731</v>
      </c>
      <c r="AK91" s="57">
        <f t="shared" si="66"/>
        <v>60430</v>
      </c>
      <c r="AL91" s="130">
        <f t="shared" si="113"/>
        <v>0</v>
      </c>
      <c r="AM91" s="109">
        <f t="shared" si="97"/>
        <v>83</v>
      </c>
      <c r="AN91" s="110">
        <f t="shared" si="109"/>
        <v>46896</v>
      </c>
      <c r="AO91" s="105">
        <f t="shared" si="105"/>
        <v>0</v>
      </c>
      <c r="AP91" s="105">
        <f t="shared" si="90"/>
        <v>0</v>
      </c>
      <c r="AQ91" s="105">
        <f t="shared" si="98"/>
        <v>0</v>
      </c>
      <c r="AR91" s="105">
        <f t="shared" si="91"/>
        <v>0</v>
      </c>
      <c r="AS91" s="105">
        <f t="shared" si="114"/>
        <v>0</v>
      </c>
      <c r="AT91" s="105">
        <f t="shared" si="115"/>
        <v>0</v>
      </c>
      <c r="AU91" s="105">
        <f t="shared" si="116"/>
        <v>0</v>
      </c>
      <c r="AV91" s="105">
        <f t="shared" si="117"/>
        <v>0</v>
      </c>
      <c r="AW91" s="105"/>
      <c r="AX91" s="105"/>
      <c r="AY91" s="105"/>
      <c r="AZ91" s="105"/>
      <c r="BA91" s="105"/>
      <c r="BB91" s="105">
        <f t="shared" si="99"/>
        <v>0</v>
      </c>
      <c r="BC91" s="108">
        <f t="shared" si="107"/>
        <v>0</v>
      </c>
      <c r="BD91" s="108">
        <f t="shared" si="121"/>
        <v>0</v>
      </c>
      <c r="BE91" s="22">
        <f t="shared" si="122"/>
        <v>46714</v>
      </c>
      <c r="BF91" s="108">
        <f t="shared" si="123"/>
        <v>0</v>
      </c>
      <c r="BG91" s="2">
        <f t="shared" si="118"/>
        <v>0</v>
      </c>
    </row>
    <row r="92" spans="1:59" s="16" customFormat="1" ht="12" x14ac:dyDescent="0.25">
      <c r="A92" s="2"/>
      <c r="B92" s="2"/>
      <c r="C92" s="1"/>
      <c r="D92" s="1"/>
      <c r="E92" s="2"/>
      <c r="F92" s="2"/>
      <c r="G92" s="114">
        <f t="shared" si="96"/>
        <v>84</v>
      </c>
      <c r="H92" s="111">
        <f t="shared" si="108"/>
        <v>46927</v>
      </c>
      <c r="I92" s="24">
        <f t="shared" si="106"/>
        <v>0</v>
      </c>
      <c r="J92" s="24">
        <f t="shared" si="86"/>
        <v>0</v>
      </c>
      <c r="K92" s="24">
        <f t="shared" si="87"/>
        <v>0</v>
      </c>
      <c r="L92" s="24">
        <f t="shared" si="92"/>
        <v>0</v>
      </c>
      <c r="M92" s="24">
        <f t="shared" si="110"/>
        <v>0</v>
      </c>
      <c r="N92" s="24">
        <f t="shared" si="111"/>
        <v>0</v>
      </c>
      <c r="O92" s="24">
        <f t="shared" si="101"/>
        <v>0</v>
      </c>
      <c r="P92" s="24">
        <f t="shared" si="112"/>
        <v>0</v>
      </c>
      <c r="Q92" s="24">
        <f t="shared" si="88"/>
        <v>0</v>
      </c>
      <c r="R92" s="36">
        <f t="shared" si="103"/>
        <v>0</v>
      </c>
      <c r="S92" s="36">
        <f t="shared" si="89"/>
        <v>0</v>
      </c>
      <c r="T92" s="2">
        <f t="shared" si="119"/>
        <v>4972.8500000000004</v>
      </c>
      <c r="U92" s="34">
        <f t="shared" si="120"/>
        <v>30288</v>
      </c>
      <c r="V92" s="57">
        <f t="shared" si="76"/>
        <v>57875</v>
      </c>
      <c r="AI92" s="2">
        <f t="shared" si="104"/>
        <v>0</v>
      </c>
      <c r="AJ92" s="34">
        <f t="shared" si="80"/>
        <v>30731</v>
      </c>
      <c r="AK92" s="57">
        <f t="shared" si="66"/>
        <v>60795</v>
      </c>
      <c r="AL92" s="130">
        <f t="shared" si="113"/>
        <v>0</v>
      </c>
      <c r="AM92" s="109">
        <f t="shared" si="97"/>
        <v>84</v>
      </c>
      <c r="AN92" s="110">
        <f t="shared" si="109"/>
        <v>46927</v>
      </c>
      <c r="AO92" s="105">
        <f t="shared" si="105"/>
        <v>0</v>
      </c>
      <c r="AP92" s="105">
        <f t="shared" si="90"/>
        <v>0</v>
      </c>
      <c r="AQ92" s="105">
        <f t="shared" si="98"/>
        <v>0</v>
      </c>
      <c r="AR92" s="105">
        <f t="shared" si="91"/>
        <v>0</v>
      </c>
      <c r="AS92" s="105">
        <f t="shared" si="114"/>
        <v>0</v>
      </c>
      <c r="AT92" s="105">
        <f t="shared" si="115"/>
        <v>0</v>
      </c>
      <c r="AU92" s="105">
        <f t="shared" si="116"/>
        <v>0</v>
      </c>
      <c r="AV92" s="105">
        <f t="shared" si="117"/>
        <v>0</v>
      </c>
      <c r="AW92" s="105"/>
      <c r="AX92" s="105"/>
      <c r="AY92" s="105"/>
      <c r="AZ92" s="105"/>
      <c r="BA92" s="105"/>
      <c r="BB92" s="105">
        <f t="shared" si="99"/>
        <v>0</v>
      </c>
      <c r="BC92" s="108">
        <f t="shared" si="107"/>
        <v>0</v>
      </c>
      <c r="BD92" s="108">
        <f t="shared" si="121"/>
        <v>0</v>
      </c>
      <c r="BE92" s="22">
        <f t="shared" si="122"/>
        <v>46744</v>
      </c>
      <c r="BF92" s="108">
        <f t="shared" si="123"/>
        <v>0</v>
      </c>
      <c r="BG92" s="2">
        <f t="shared" si="118"/>
        <v>0</v>
      </c>
    </row>
    <row r="93" spans="1:59" s="16" customFormat="1" ht="12" hidden="1" x14ac:dyDescent="0.25">
      <c r="A93" s="2"/>
      <c r="B93" s="2"/>
      <c r="C93" s="1"/>
      <c r="D93" s="1"/>
      <c r="E93" s="1"/>
      <c r="F93" s="2"/>
      <c r="G93" s="114">
        <f t="shared" si="96"/>
        <v>85</v>
      </c>
      <c r="H93" s="111">
        <f t="shared" si="108"/>
        <v>46957</v>
      </c>
      <c r="I93" s="24">
        <f t="shared" si="106"/>
        <v>0</v>
      </c>
      <c r="J93" s="24">
        <f t="shared" si="86"/>
        <v>0</v>
      </c>
      <c r="K93" s="24">
        <f t="shared" si="87"/>
        <v>0</v>
      </c>
      <c r="L93" s="24">
        <f t="shared" si="92"/>
        <v>0</v>
      </c>
      <c r="M93" s="24">
        <f t="shared" si="110"/>
        <v>0</v>
      </c>
      <c r="N93" s="24">
        <f t="shared" si="111"/>
        <v>0</v>
      </c>
      <c r="O93" s="24">
        <f t="shared" si="101"/>
        <v>0</v>
      </c>
      <c r="P93" s="24">
        <f t="shared" si="112"/>
        <v>0</v>
      </c>
      <c r="Q93" s="24">
        <f t="shared" si="88"/>
        <v>0</v>
      </c>
      <c r="R93" s="36">
        <f t="shared" si="103"/>
        <v>0</v>
      </c>
      <c r="S93" s="36">
        <f t="shared" si="89"/>
        <v>0</v>
      </c>
      <c r="T93" s="2">
        <f t="shared" si="119"/>
        <v>4955.83</v>
      </c>
      <c r="U93" s="34">
        <f t="shared" si="120"/>
        <v>30288</v>
      </c>
      <c r="V93" s="57">
        <f t="shared" si="76"/>
        <v>58240</v>
      </c>
      <c r="AI93" s="2" t="e">
        <f t="shared" si="104"/>
        <v>#VALUE!</v>
      </c>
      <c r="AJ93" s="34">
        <f t="shared" si="80"/>
        <v>30731</v>
      </c>
      <c r="AK93" s="57">
        <f t="shared" si="66"/>
        <v>61160</v>
      </c>
      <c r="AL93" s="130">
        <f t="shared" si="113"/>
        <v>0</v>
      </c>
      <c r="AM93" s="109">
        <f t="shared" si="97"/>
        <v>85</v>
      </c>
      <c r="AN93" s="110">
        <f t="shared" si="109"/>
        <v>46957</v>
      </c>
      <c r="AO93" s="105">
        <f t="shared" si="105"/>
        <v>0</v>
      </c>
      <c r="AP93" s="105">
        <f t="shared" si="90"/>
        <v>0</v>
      </c>
      <c r="AQ93" s="105">
        <f t="shared" si="98"/>
        <v>0</v>
      </c>
      <c r="AR93" s="105">
        <f t="shared" si="91"/>
        <v>0</v>
      </c>
      <c r="AS93" s="105">
        <f t="shared" si="114"/>
        <v>0</v>
      </c>
      <c r="AT93" s="105">
        <f t="shared" si="115"/>
        <v>0</v>
      </c>
      <c r="AU93" s="105">
        <f t="shared" si="116"/>
        <v>0</v>
      </c>
      <c r="AV93" s="105">
        <f t="shared" si="117"/>
        <v>0</v>
      </c>
      <c r="AW93" s="105"/>
      <c r="AX93" s="105"/>
      <c r="AY93" s="105"/>
      <c r="AZ93" s="105"/>
      <c r="BA93" s="105"/>
      <c r="BB93" s="105">
        <f t="shared" si="99"/>
        <v>0</v>
      </c>
      <c r="BC93" s="108">
        <f t="shared" si="107"/>
        <v>0</v>
      </c>
      <c r="BD93" s="108">
        <f t="shared" si="121"/>
        <v>0</v>
      </c>
      <c r="BE93" s="22">
        <f t="shared" si="122"/>
        <v>46775</v>
      </c>
      <c r="BF93" s="108">
        <f t="shared" si="123"/>
        <v>0</v>
      </c>
      <c r="BG93" s="2">
        <f t="shared" si="118"/>
        <v>0</v>
      </c>
    </row>
    <row r="94" spans="1:59" s="16" customFormat="1" ht="12" hidden="1" x14ac:dyDescent="0.25">
      <c r="A94" s="2"/>
      <c r="B94" s="2"/>
      <c r="C94" s="1"/>
      <c r="D94" s="1"/>
      <c r="E94" s="1"/>
      <c r="F94" s="2"/>
      <c r="G94" s="114">
        <f t="shared" si="96"/>
        <v>86</v>
      </c>
      <c r="H94" s="111">
        <f t="shared" si="108"/>
        <v>46988</v>
      </c>
      <c r="I94" s="24">
        <f t="shared" si="106"/>
        <v>0</v>
      </c>
      <c r="J94" s="24">
        <f t="shared" si="86"/>
        <v>0</v>
      </c>
      <c r="K94" s="24">
        <f t="shared" si="87"/>
        <v>0</v>
      </c>
      <c r="L94" s="24">
        <f t="shared" si="92"/>
        <v>0</v>
      </c>
      <c r="M94" s="24">
        <f t="shared" si="110"/>
        <v>0</v>
      </c>
      <c r="N94" s="24">
        <f t="shared" si="111"/>
        <v>0</v>
      </c>
      <c r="O94" s="24">
        <f t="shared" si="101"/>
        <v>0</v>
      </c>
      <c r="P94" s="24">
        <f t="shared" si="112"/>
        <v>0</v>
      </c>
      <c r="Q94" s="24">
        <f t="shared" si="88"/>
        <v>0</v>
      </c>
      <c r="R94" s="36">
        <f t="shared" si="103"/>
        <v>0</v>
      </c>
      <c r="S94" s="36">
        <f t="shared" si="89"/>
        <v>0</v>
      </c>
      <c r="T94" s="2">
        <f t="shared" si="119"/>
        <v>4772.79</v>
      </c>
      <c r="U94" s="34">
        <f t="shared" si="120"/>
        <v>30288</v>
      </c>
      <c r="V94" s="57">
        <f t="shared" si="76"/>
        <v>58605</v>
      </c>
      <c r="W94" s="60">
        <v>43858</v>
      </c>
      <c r="AI94" s="2" t="e">
        <f t="shared" si="104"/>
        <v>#VALUE!</v>
      </c>
      <c r="AJ94" s="34">
        <f t="shared" si="80"/>
        <v>30731</v>
      </c>
      <c r="AK94" s="57">
        <f t="shared" si="66"/>
        <v>61525</v>
      </c>
      <c r="AL94" s="130">
        <f t="shared" si="113"/>
        <v>0</v>
      </c>
      <c r="AM94" s="109">
        <f t="shared" si="97"/>
        <v>86</v>
      </c>
      <c r="AN94" s="110">
        <f t="shared" si="109"/>
        <v>46988</v>
      </c>
      <c r="AO94" s="105">
        <f t="shared" si="105"/>
        <v>0</v>
      </c>
      <c r="AP94" s="105">
        <f t="shared" si="90"/>
        <v>0</v>
      </c>
      <c r="AQ94" s="105">
        <f t="shared" si="98"/>
        <v>0</v>
      </c>
      <c r="AR94" s="105">
        <f t="shared" si="91"/>
        <v>0</v>
      </c>
      <c r="AS94" s="105">
        <f t="shared" si="114"/>
        <v>0</v>
      </c>
      <c r="AT94" s="105">
        <f t="shared" si="115"/>
        <v>0</v>
      </c>
      <c r="AU94" s="105">
        <f t="shared" si="116"/>
        <v>0</v>
      </c>
      <c r="AV94" s="105">
        <f t="shared" si="117"/>
        <v>0</v>
      </c>
      <c r="AW94" s="105"/>
      <c r="AX94" s="105"/>
      <c r="AY94" s="105"/>
      <c r="AZ94" s="105"/>
      <c r="BA94" s="105"/>
      <c r="BB94" s="105">
        <f t="shared" si="99"/>
        <v>0</v>
      </c>
      <c r="BC94" s="108">
        <f t="shared" si="107"/>
        <v>0</v>
      </c>
      <c r="BD94" s="108">
        <f t="shared" si="121"/>
        <v>0</v>
      </c>
      <c r="BE94" s="22">
        <f t="shared" si="122"/>
        <v>46806</v>
      </c>
      <c r="BF94" s="108">
        <f t="shared" si="123"/>
        <v>0</v>
      </c>
      <c r="BG94" s="2">
        <f t="shared" si="118"/>
        <v>0</v>
      </c>
    </row>
    <row r="95" spans="1:59" s="16" customFormat="1" ht="12" hidden="1" x14ac:dyDescent="0.25">
      <c r="A95" s="2"/>
      <c r="B95" s="2"/>
      <c r="C95" s="1"/>
      <c r="D95" s="1"/>
      <c r="E95" s="1"/>
      <c r="F95" s="2"/>
      <c r="G95" s="114">
        <f t="shared" si="96"/>
        <v>87</v>
      </c>
      <c r="H95" s="111">
        <f t="shared" si="108"/>
        <v>47019</v>
      </c>
      <c r="I95" s="24">
        <f t="shared" si="106"/>
        <v>0</v>
      </c>
      <c r="J95" s="24">
        <f t="shared" si="86"/>
        <v>0</v>
      </c>
      <c r="K95" s="24">
        <f t="shared" si="87"/>
        <v>0</v>
      </c>
      <c r="L95" s="24">
        <f t="shared" si="92"/>
        <v>0</v>
      </c>
      <c r="M95" s="24">
        <f t="shared" si="110"/>
        <v>0</v>
      </c>
      <c r="N95" s="24">
        <f t="shared" si="111"/>
        <v>0</v>
      </c>
      <c r="O95" s="24">
        <f t="shared" si="101"/>
        <v>0</v>
      </c>
      <c r="P95" s="24">
        <f t="shared" si="112"/>
        <v>0</v>
      </c>
      <c r="Q95" s="24">
        <f t="shared" si="88"/>
        <v>0</v>
      </c>
      <c r="R95" s="36">
        <f t="shared" si="103"/>
        <v>0</v>
      </c>
      <c r="S95" s="36">
        <f t="shared" si="89"/>
        <v>0</v>
      </c>
      <c r="T95" s="2">
        <f t="shared" si="119"/>
        <v>4439.17</v>
      </c>
      <c r="U95" s="34">
        <f t="shared" si="120"/>
        <v>30288</v>
      </c>
      <c r="V95" s="57">
        <f t="shared" si="76"/>
        <v>58970</v>
      </c>
      <c r="AI95" s="2" t="e">
        <f t="shared" si="104"/>
        <v>#VALUE!</v>
      </c>
      <c r="AJ95" s="34">
        <f t="shared" si="80"/>
        <v>30731</v>
      </c>
      <c r="AK95" s="57">
        <f t="shared" si="66"/>
        <v>61890</v>
      </c>
      <c r="AL95" s="130">
        <f t="shared" si="113"/>
        <v>0</v>
      </c>
      <c r="AM95" s="109">
        <f t="shared" si="97"/>
        <v>87</v>
      </c>
      <c r="AN95" s="110">
        <f t="shared" si="109"/>
        <v>47019</v>
      </c>
      <c r="AO95" s="105">
        <f t="shared" si="105"/>
        <v>0</v>
      </c>
      <c r="AP95" s="105">
        <f t="shared" si="90"/>
        <v>0</v>
      </c>
      <c r="AQ95" s="105">
        <f t="shared" si="98"/>
        <v>0</v>
      </c>
      <c r="AR95" s="105">
        <f t="shared" si="91"/>
        <v>0</v>
      </c>
      <c r="AS95" s="105">
        <f t="shared" si="114"/>
        <v>0</v>
      </c>
      <c r="AT95" s="105">
        <f t="shared" si="115"/>
        <v>0</v>
      </c>
      <c r="AU95" s="105">
        <f t="shared" si="116"/>
        <v>0</v>
      </c>
      <c r="AV95" s="105">
        <f t="shared" si="117"/>
        <v>0</v>
      </c>
      <c r="AW95" s="105"/>
      <c r="AX95" s="105"/>
      <c r="AY95" s="105"/>
      <c r="AZ95" s="105"/>
      <c r="BA95" s="105"/>
      <c r="BB95" s="105">
        <f t="shared" si="99"/>
        <v>0</v>
      </c>
      <c r="BC95" s="108">
        <f t="shared" si="107"/>
        <v>0</v>
      </c>
      <c r="BD95" s="108">
        <f t="shared" si="121"/>
        <v>0</v>
      </c>
      <c r="BE95" s="22">
        <f t="shared" si="122"/>
        <v>46835</v>
      </c>
      <c r="BF95" s="108">
        <f t="shared" si="123"/>
        <v>0</v>
      </c>
      <c r="BG95" s="2">
        <f t="shared" si="118"/>
        <v>0</v>
      </c>
    </row>
    <row r="96" spans="1:59" s="16" customFormat="1" ht="12" hidden="1" x14ac:dyDescent="0.25">
      <c r="A96" s="2"/>
      <c r="B96" s="2"/>
      <c r="C96" s="1"/>
      <c r="D96" s="1"/>
      <c r="E96" s="1"/>
      <c r="F96" s="1"/>
      <c r="G96" s="114">
        <f t="shared" si="96"/>
        <v>88</v>
      </c>
      <c r="H96" s="111">
        <f t="shared" si="108"/>
        <v>47049</v>
      </c>
      <c r="I96" s="24">
        <f t="shared" si="106"/>
        <v>0</v>
      </c>
      <c r="J96" s="24">
        <f t="shared" si="86"/>
        <v>0</v>
      </c>
      <c r="K96" s="24">
        <f t="shared" si="87"/>
        <v>0</v>
      </c>
      <c r="L96" s="24">
        <f t="shared" si="92"/>
        <v>0</v>
      </c>
      <c r="M96" s="24">
        <f t="shared" si="110"/>
        <v>0</v>
      </c>
      <c r="N96" s="24">
        <f t="shared" si="111"/>
        <v>0</v>
      </c>
      <c r="O96" s="24">
        <f t="shared" si="101"/>
        <v>0</v>
      </c>
      <c r="P96" s="24">
        <f t="shared" si="112"/>
        <v>0</v>
      </c>
      <c r="Q96" s="24">
        <f t="shared" si="88"/>
        <v>0</v>
      </c>
      <c r="R96" s="36">
        <f t="shared" si="103"/>
        <v>0</v>
      </c>
      <c r="S96" s="36">
        <f t="shared" si="89"/>
        <v>0</v>
      </c>
      <c r="T96" s="2">
        <f t="shared" si="119"/>
        <v>4396.71</v>
      </c>
      <c r="U96" s="34">
        <f t="shared" si="120"/>
        <v>30288</v>
      </c>
      <c r="V96" s="57">
        <f t="shared" si="76"/>
        <v>59335</v>
      </c>
      <c r="AI96" s="2" t="e">
        <f t="shared" si="104"/>
        <v>#VALUE!</v>
      </c>
      <c r="AJ96" s="34">
        <f t="shared" si="80"/>
        <v>30731</v>
      </c>
      <c r="AK96" s="57">
        <f t="shared" si="66"/>
        <v>62255</v>
      </c>
      <c r="AL96" s="130">
        <f t="shared" si="113"/>
        <v>0</v>
      </c>
      <c r="AM96" s="109">
        <f t="shared" si="97"/>
        <v>88</v>
      </c>
      <c r="AN96" s="110">
        <f t="shared" si="109"/>
        <v>47049</v>
      </c>
      <c r="AO96" s="105">
        <f t="shared" si="105"/>
        <v>0</v>
      </c>
      <c r="AP96" s="105">
        <f t="shared" si="90"/>
        <v>0</v>
      </c>
      <c r="AQ96" s="105">
        <f t="shared" si="98"/>
        <v>0</v>
      </c>
      <c r="AR96" s="105">
        <f t="shared" si="91"/>
        <v>0</v>
      </c>
      <c r="AS96" s="105">
        <f t="shared" si="114"/>
        <v>0</v>
      </c>
      <c r="AT96" s="105">
        <f t="shared" si="115"/>
        <v>0</v>
      </c>
      <c r="AU96" s="105">
        <f t="shared" si="116"/>
        <v>0</v>
      </c>
      <c r="AV96" s="105">
        <f t="shared" si="117"/>
        <v>0</v>
      </c>
      <c r="AW96" s="105"/>
      <c r="AX96" s="105"/>
      <c r="AY96" s="105"/>
      <c r="AZ96" s="105"/>
      <c r="BA96" s="105"/>
      <c r="BB96" s="105">
        <f t="shared" si="99"/>
        <v>0</v>
      </c>
      <c r="BC96" s="108">
        <f t="shared" si="107"/>
        <v>0</v>
      </c>
      <c r="BD96" s="108">
        <f t="shared" si="121"/>
        <v>0</v>
      </c>
      <c r="BE96" s="22">
        <f t="shared" si="122"/>
        <v>46866</v>
      </c>
      <c r="BF96" s="108">
        <f t="shared" si="123"/>
        <v>0</v>
      </c>
      <c r="BG96" s="2">
        <f t="shared" si="118"/>
        <v>0</v>
      </c>
    </row>
    <row r="97" spans="1:1212" s="16" customFormat="1" ht="12" hidden="1" x14ac:dyDescent="0.25">
      <c r="A97" s="2"/>
      <c r="B97" s="2"/>
      <c r="C97" s="1"/>
      <c r="D97" s="1"/>
      <c r="E97" s="1"/>
      <c r="F97" s="1"/>
      <c r="G97" s="114">
        <f t="shared" si="96"/>
        <v>89</v>
      </c>
      <c r="H97" s="111">
        <f t="shared" si="108"/>
        <v>47080</v>
      </c>
      <c r="I97" s="24">
        <f t="shared" si="106"/>
        <v>0</v>
      </c>
      <c r="J97" s="24">
        <f t="shared" si="86"/>
        <v>0</v>
      </c>
      <c r="K97" s="24">
        <f t="shared" si="87"/>
        <v>0</v>
      </c>
      <c r="L97" s="24">
        <f t="shared" si="92"/>
        <v>0</v>
      </c>
      <c r="M97" s="24">
        <f t="shared" si="110"/>
        <v>0</v>
      </c>
      <c r="N97" s="24">
        <f t="shared" si="111"/>
        <v>0</v>
      </c>
      <c r="O97" s="24">
        <f t="shared" si="101"/>
        <v>0</v>
      </c>
      <c r="P97" s="24">
        <f t="shared" si="112"/>
        <v>0</v>
      </c>
      <c r="Q97" s="24">
        <f t="shared" si="88"/>
        <v>0</v>
      </c>
      <c r="R97" s="36">
        <f t="shared" si="103"/>
        <v>0</v>
      </c>
      <c r="S97" s="36">
        <f t="shared" si="89"/>
        <v>0</v>
      </c>
      <c r="T97" s="2">
        <f t="shared" si="119"/>
        <v>4070.01</v>
      </c>
      <c r="U97" s="34">
        <f t="shared" si="120"/>
        <v>30288</v>
      </c>
      <c r="V97" s="57">
        <f t="shared" si="76"/>
        <v>59700</v>
      </c>
      <c r="AI97" s="2">
        <f t="shared" si="104"/>
        <v>0</v>
      </c>
      <c r="AJ97" s="34">
        <f t="shared" si="80"/>
        <v>30731</v>
      </c>
      <c r="AK97" s="57">
        <f t="shared" si="66"/>
        <v>62620</v>
      </c>
      <c r="AL97" s="130">
        <f t="shared" si="113"/>
        <v>0</v>
      </c>
      <c r="AM97" s="109">
        <f t="shared" si="97"/>
        <v>89</v>
      </c>
      <c r="AN97" s="110">
        <f t="shared" si="109"/>
        <v>47080</v>
      </c>
      <c r="AO97" s="105">
        <f t="shared" si="105"/>
        <v>0</v>
      </c>
      <c r="AP97" s="105">
        <f t="shared" si="90"/>
        <v>0</v>
      </c>
      <c r="AQ97" s="105">
        <f t="shared" si="98"/>
        <v>0</v>
      </c>
      <c r="AR97" s="105">
        <f t="shared" si="91"/>
        <v>0</v>
      </c>
      <c r="AS97" s="105">
        <f t="shared" si="114"/>
        <v>0</v>
      </c>
      <c r="AT97" s="105">
        <f t="shared" si="115"/>
        <v>0</v>
      </c>
      <c r="AU97" s="105">
        <f t="shared" si="116"/>
        <v>0</v>
      </c>
      <c r="AV97" s="105">
        <f t="shared" si="117"/>
        <v>0</v>
      </c>
      <c r="AW97" s="105"/>
      <c r="AX97" s="105"/>
      <c r="AY97" s="105"/>
      <c r="AZ97" s="105"/>
      <c r="BA97" s="105"/>
      <c r="BB97" s="105">
        <f t="shared" si="99"/>
        <v>0</v>
      </c>
      <c r="BC97" s="108">
        <f t="shared" si="107"/>
        <v>0</v>
      </c>
      <c r="BD97" s="108">
        <f t="shared" si="121"/>
        <v>0</v>
      </c>
      <c r="BE97" s="22">
        <f t="shared" si="122"/>
        <v>46896</v>
      </c>
      <c r="BF97" s="108">
        <f t="shared" si="123"/>
        <v>0</v>
      </c>
      <c r="BG97" s="2">
        <f t="shared" si="118"/>
        <v>0</v>
      </c>
    </row>
    <row r="98" spans="1:1212" s="16" customFormat="1" ht="12" hidden="1" x14ac:dyDescent="0.25">
      <c r="A98" s="2"/>
      <c r="B98" s="2"/>
      <c r="C98" s="1"/>
      <c r="D98" s="1"/>
      <c r="E98" s="1"/>
      <c r="F98" s="1"/>
      <c r="G98" s="114">
        <f t="shared" si="96"/>
        <v>90</v>
      </c>
      <c r="H98" s="111">
        <f t="shared" si="108"/>
        <v>47110</v>
      </c>
      <c r="I98" s="24">
        <f t="shared" si="106"/>
        <v>0</v>
      </c>
      <c r="J98" s="24">
        <f t="shared" si="86"/>
        <v>0</v>
      </c>
      <c r="K98" s="24">
        <f t="shared" si="87"/>
        <v>0</v>
      </c>
      <c r="L98" s="24">
        <f t="shared" si="92"/>
        <v>0</v>
      </c>
      <c r="M98" s="24">
        <f t="shared" si="110"/>
        <v>0</v>
      </c>
      <c r="N98" s="24">
        <f t="shared" si="111"/>
        <v>0</v>
      </c>
      <c r="O98" s="24">
        <f t="shared" si="101"/>
        <v>0</v>
      </c>
      <c r="P98" s="24">
        <f t="shared" si="112"/>
        <v>0</v>
      </c>
      <c r="Q98" s="24">
        <f t="shared" si="88"/>
        <v>0</v>
      </c>
      <c r="R98" s="36">
        <f t="shared" si="103"/>
        <v>0</v>
      </c>
      <c r="S98" s="36">
        <f t="shared" si="89"/>
        <v>0</v>
      </c>
      <c r="T98" s="2">
        <f t="shared" si="119"/>
        <v>4020.95</v>
      </c>
      <c r="U98" s="34">
        <f t="shared" si="120"/>
        <v>30288</v>
      </c>
      <c r="V98" s="57">
        <f t="shared" si="76"/>
        <v>60065</v>
      </c>
      <c r="AI98" s="2">
        <f t="shared" si="104"/>
        <v>0</v>
      </c>
      <c r="AJ98" s="34">
        <f t="shared" si="80"/>
        <v>30731</v>
      </c>
      <c r="AK98" s="57">
        <f t="shared" si="66"/>
        <v>62985</v>
      </c>
      <c r="AL98" s="130">
        <f t="shared" si="113"/>
        <v>0</v>
      </c>
      <c r="AM98" s="109">
        <f t="shared" si="97"/>
        <v>90</v>
      </c>
      <c r="AN98" s="110">
        <f t="shared" si="109"/>
        <v>47110</v>
      </c>
      <c r="AO98" s="105">
        <f t="shared" si="105"/>
        <v>0</v>
      </c>
      <c r="AP98" s="105">
        <f t="shared" si="90"/>
        <v>0</v>
      </c>
      <c r="AQ98" s="105">
        <f t="shared" si="98"/>
        <v>0</v>
      </c>
      <c r="AR98" s="105">
        <f t="shared" si="91"/>
        <v>0</v>
      </c>
      <c r="AS98" s="105">
        <f t="shared" si="114"/>
        <v>0</v>
      </c>
      <c r="AT98" s="105">
        <f t="shared" si="115"/>
        <v>0</v>
      </c>
      <c r="AU98" s="105">
        <f t="shared" si="116"/>
        <v>0</v>
      </c>
      <c r="AV98" s="105">
        <f t="shared" si="117"/>
        <v>0</v>
      </c>
      <c r="AW98" s="105"/>
      <c r="AX98" s="105"/>
      <c r="AY98" s="105"/>
      <c r="AZ98" s="105"/>
      <c r="BA98" s="105"/>
      <c r="BB98" s="105">
        <f t="shared" si="99"/>
        <v>0</v>
      </c>
      <c r="BC98" s="108">
        <f t="shared" si="107"/>
        <v>0</v>
      </c>
      <c r="BD98" s="108">
        <f t="shared" si="121"/>
        <v>0</v>
      </c>
      <c r="BE98" s="22">
        <f t="shared" si="122"/>
        <v>46927</v>
      </c>
      <c r="BF98" s="108">
        <f t="shared" si="123"/>
        <v>0</v>
      </c>
      <c r="BG98" s="2">
        <f t="shared" si="118"/>
        <v>0</v>
      </c>
    </row>
    <row r="99" spans="1:1212" s="16" customFormat="1" ht="12" hidden="1" x14ac:dyDescent="0.25">
      <c r="A99" s="2"/>
      <c r="B99" s="2"/>
      <c r="C99" s="1"/>
      <c r="D99" s="1"/>
      <c r="E99" s="1"/>
      <c r="F99" s="1"/>
      <c r="G99" s="114">
        <f t="shared" si="96"/>
        <v>91</v>
      </c>
      <c r="H99" s="111">
        <f t="shared" si="108"/>
        <v>47141</v>
      </c>
      <c r="I99" s="24">
        <f t="shared" si="106"/>
        <v>0</v>
      </c>
      <c r="J99" s="24">
        <f t="shared" si="86"/>
        <v>0</v>
      </c>
      <c r="K99" s="24">
        <f t="shared" si="87"/>
        <v>0</v>
      </c>
      <c r="L99" s="24">
        <f t="shared" si="92"/>
        <v>0</v>
      </c>
      <c r="M99" s="24">
        <f t="shared" si="110"/>
        <v>0</v>
      </c>
      <c r="N99" s="24">
        <f t="shared" si="111"/>
        <v>0</v>
      </c>
      <c r="O99" s="24">
        <f t="shared" si="101"/>
        <v>0</v>
      </c>
      <c r="P99" s="24">
        <f t="shared" si="112"/>
        <v>0</v>
      </c>
      <c r="Q99" s="24">
        <f t="shared" si="88"/>
        <v>0</v>
      </c>
      <c r="R99" s="36">
        <f t="shared" si="103"/>
        <v>0</v>
      </c>
      <c r="S99" s="36">
        <f t="shared" si="89"/>
        <v>0</v>
      </c>
      <c r="T99" s="2">
        <f t="shared" si="119"/>
        <v>3823.95</v>
      </c>
      <c r="U99" s="34">
        <f t="shared" si="120"/>
        <v>30288</v>
      </c>
      <c r="V99" s="57">
        <f t="shared" si="76"/>
        <v>60430</v>
      </c>
      <c r="AI99" s="2" t="e">
        <f t="shared" si="104"/>
        <v>#VALUE!</v>
      </c>
      <c r="AJ99" s="34">
        <f t="shared" si="80"/>
        <v>30731</v>
      </c>
      <c r="AK99" s="57">
        <f t="shared" si="66"/>
        <v>63350</v>
      </c>
      <c r="AL99" s="130">
        <f t="shared" si="113"/>
        <v>0</v>
      </c>
      <c r="AM99" s="109">
        <f t="shared" si="97"/>
        <v>91</v>
      </c>
      <c r="AN99" s="110">
        <f t="shared" si="109"/>
        <v>47141</v>
      </c>
      <c r="AO99" s="105">
        <f t="shared" si="105"/>
        <v>0</v>
      </c>
      <c r="AP99" s="105">
        <f t="shared" si="90"/>
        <v>0</v>
      </c>
      <c r="AQ99" s="105">
        <f t="shared" si="98"/>
        <v>0</v>
      </c>
      <c r="AR99" s="105">
        <f t="shared" si="91"/>
        <v>0</v>
      </c>
      <c r="AS99" s="105">
        <f t="shared" si="114"/>
        <v>0</v>
      </c>
      <c r="AT99" s="105">
        <f t="shared" si="115"/>
        <v>0</v>
      </c>
      <c r="AU99" s="105">
        <f t="shared" si="116"/>
        <v>0</v>
      </c>
      <c r="AV99" s="105">
        <f t="shared" si="117"/>
        <v>0</v>
      </c>
      <c r="AW99" s="105"/>
      <c r="AX99" s="105"/>
      <c r="AY99" s="105"/>
      <c r="AZ99" s="105"/>
      <c r="BA99" s="105"/>
      <c r="BB99" s="105">
        <f t="shared" si="99"/>
        <v>0</v>
      </c>
      <c r="BC99" s="108">
        <f t="shared" si="107"/>
        <v>0</v>
      </c>
      <c r="BD99" s="108">
        <f t="shared" si="121"/>
        <v>0</v>
      </c>
      <c r="BE99" s="22">
        <f t="shared" si="122"/>
        <v>46957</v>
      </c>
      <c r="BF99" s="108">
        <f t="shared" si="123"/>
        <v>0</v>
      </c>
      <c r="BG99" s="2">
        <f t="shared" si="118"/>
        <v>0</v>
      </c>
    </row>
    <row r="100" spans="1:1212" s="16" customFormat="1" ht="12" hidden="1" x14ac:dyDescent="0.25">
      <c r="A100" s="2"/>
      <c r="B100" s="2"/>
      <c r="C100" s="1"/>
      <c r="D100" s="1"/>
      <c r="E100" s="1"/>
      <c r="F100" s="1"/>
      <c r="G100" s="114">
        <f t="shared" si="96"/>
        <v>92</v>
      </c>
      <c r="H100" s="111">
        <f t="shared" si="108"/>
        <v>47172</v>
      </c>
      <c r="I100" s="24">
        <f t="shared" si="106"/>
        <v>0</v>
      </c>
      <c r="J100" s="24">
        <f t="shared" si="86"/>
        <v>0</v>
      </c>
      <c r="K100" s="24">
        <f t="shared" si="87"/>
        <v>0</v>
      </c>
      <c r="L100" s="24">
        <f t="shared" si="92"/>
        <v>0</v>
      </c>
      <c r="M100" s="24">
        <f t="shared" si="110"/>
        <v>0</v>
      </c>
      <c r="N100" s="24">
        <f t="shared" si="111"/>
        <v>0</v>
      </c>
      <c r="O100" s="24">
        <f t="shared" si="101"/>
        <v>0</v>
      </c>
      <c r="P100" s="24">
        <f t="shared" si="112"/>
        <v>0</v>
      </c>
      <c r="Q100" s="24">
        <f t="shared" si="88"/>
        <v>0</v>
      </c>
      <c r="R100" s="36">
        <f t="shared" si="103"/>
        <v>0</v>
      </c>
      <c r="S100" s="36">
        <f t="shared" si="89"/>
        <v>0</v>
      </c>
      <c r="T100" s="2">
        <f t="shared" si="119"/>
        <v>3273.44</v>
      </c>
      <c r="U100" s="34">
        <f t="shared" si="120"/>
        <v>30288</v>
      </c>
      <c r="V100" s="57">
        <f t="shared" si="76"/>
        <v>60795</v>
      </c>
      <c r="AI100" s="2">
        <f t="shared" si="104"/>
        <v>0</v>
      </c>
      <c r="AJ100" s="34">
        <f t="shared" si="80"/>
        <v>30731</v>
      </c>
      <c r="AK100" s="57">
        <f t="shared" si="66"/>
        <v>63715</v>
      </c>
      <c r="AL100" s="130">
        <f t="shared" si="113"/>
        <v>0</v>
      </c>
      <c r="AM100" s="109">
        <f t="shared" si="97"/>
        <v>92</v>
      </c>
      <c r="AN100" s="110">
        <f t="shared" si="109"/>
        <v>47172</v>
      </c>
      <c r="AO100" s="105">
        <f>IF(BC106=1,AR100+AP100+AQ100,IF(BB99+AR100+AP100&gt;AO99,$D$24,IF(BB99=0,0,BB99+AR100+AP100+AP109)))</f>
        <v>0</v>
      </c>
      <c r="AP100" s="105">
        <f t="shared" si="90"/>
        <v>0</v>
      </c>
      <c r="AQ100" s="105">
        <f t="shared" si="98"/>
        <v>0</v>
      </c>
      <c r="AR100" s="105">
        <f t="shared" si="91"/>
        <v>0</v>
      </c>
      <c r="AS100" s="105">
        <f t="shared" si="114"/>
        <v>0</v>
      </c>
      <c r="AT100" s="105">
        <f t="shared" si="115"/>
        <v>0</v>
      </c>
      <c r="AU100" s="105">
        <f t="shared" si="116"/>
        <v>0</v>
      </c>
      <c r="AV100" s="105">
        <f t="shared" si="117"/>
        <v>0</v>
      </c>
      <c r="AW100" s="105"/>
      <c r="AX100" s="105"/>
      <c r="AY100" s="105"/>
      <c r="AZ100" s="105"/>
      <c r="BA100" s="105"/>
      <c r="BB100" s="105">
        <f t="shared" si="99"/>
        <v>0</v>
      </c>
      <c r="BC100" s="108">
        <f t="shared" si="107"/>
        <v>0</v>
      </c>
      <c r="BD100" s="108">
        <f t="shared" si="121"/>
        <v>0</v>
      </c>
      <c r="BE100" s="22">
        <f t="shared" si="122"/>
        <v>46988</v>
      </c>
      <c r="BF100" s="108">
        <f t="shared" si="123"/>
        <v>0</v>
      </c>
      <c r="BG100" s="2">
        <f t="shared" si="118"/>
        <v>0</v>
      </c>
    </row>
    <row r="101" spans="1:1212" s="16" customFormat="1" ht="12" hidden="1" x14ac:dyDescent="0.25">
      <c r="A101" s="2"/>
      <c r="B101" s="2"/>
      <c r="C101" s="1"/>
      <c r="D101" s="1"/>
      <c r="E101" s="1"/>
      <c r="F101" s="1"/>
      <c r="G101" s="114">
        <f t="shared" si="96"/>
        <v>93</v>
      </c>
      <c r="H101" s="111">
        <f t="shared" si="108"/>
        <v>47200</v>
      </c>
      <c r="I101" s="24">
        <f t="shared" si="106"/>
        <v>0</v>
      </c>
      <c r="J101" s="24">
        <f t="shared" si="86"/>
        <v>0</v>
      </c>
      <c r="K101" s="24">
        <f t="shared" si="87"/>
        <v>0</v>
      </c>
      <c r="L101" s="24">
        <f t="shared" si="92"/>
        <v>0</v>
      </c>
      <c r="M101" s="24">
        <f t="shared" ref="M101:M108" si="124">O100-L100</f>
        <v>0</v>
      </c>
      <c r="N101" s="24">
        <f t="shared" ref="N101:N108" si="125">J101+O101</f>
        <v>0</v>
      </c>
      <c r="O101" s="24">
        <f t="shared" si="101"/>
        <v>0</v>
      </c>
      <c r="P101" s="24">
        <f t="shared" ref="P101:P108" si="126">IF(S101=0,0,0)</f>
        <v>0</v>
      </c>
      <c r="Q101" s="24">
        <f t="shared" si="88"/>
        <v>0</v>
      </c>
      <c r="R101" s="36">
        <f t="shared" si="103"/>
        <v>0</v>
      </c>
      <c r="S101" s="36">
        <f t="shared" si="89"/>
        <v>0</v>
      </c>
      <c r="T101" s="2">
        <f t="shared" si="119"/>
        <v>3416.49</v>
      </c>
      <c r="U101" s="34">
        <f t="shared" si="120"/>
        <v>30288</v>
      </c>
      <c r="V101" s="57">
        <f t="shared" si="76"/>
        <v>61160</v>
      </c>
      <c r="AI101" s="2">
        <f t="shared" si="104"/>
        <v>0</v>
      </c>
      <c r="AJ101" s="34">
        <f t="shared" si="80"/>
        <v>30731</v>
      </c>
      <c r="AK101" s="57">
        <f t="shared" si="66"/>
        <v>64080</v>
      </c>
      <c r="AL101" s="130">
        <f t="shared" si="113"/>
        <v>0</v>
      </c>
      <c r="AM101" s="109">
        <f t="shared" si="97"/>
        <v>93</v>
      </c>
      <c r="AN101" s="110">
        <f t="shared" si="109"/>
        <v>47200</v>
      </c>
      <c r="AO101" s="105">
        <f t="shared" ref="AO101:AO108" si="127">IF(BC107=1,AR101+AP101+AQ101,IF(BB100+AR101+AP101&gt;AO100,$D$24,IF(BB100=0,0,BB100+AR101+AP101+AP132)))</f>
        <v>0</v>
      </c>
      <c r="AP101" s="105">
        <f t="shared" si="90"/>
        <v>0</v>
      </c>
      <c r="AQ101" s="105">
        <f t="shared" si="98"/>
        <v>0</v>
      </c>
      <c r="AR101" s="105">
        <f t="shared" si="91"/>
        <v>0</v>
      </c>
      <c r="AS101" s="105">
        <f t="shared" si="114"/>
        <v>0</v>
      </c>
      <c r="AT101" s="105">
        <f t="shared" si="115"/>
        <v>0</v>
      </c>
      <c r="AU101" s="105">
        <f t="shared" si="116"/>
        <v>0</v>
      </c>
      <c r="AV101" s="105">
        <f t="shared" si="117"/>
        <v>0</v>
      </c>
      <c r="AW101" s="105"/>
      <c r="AX101" s="105"/>
      <c r="AY101" s="105"/>
      <c r="AZ101" s="105"/>
      <c r="BA101" s="105"/>
      <c r="BB101" s="105">
        <f t="shared" si="99"/>
        <v>0</v>
      </c>
      <c r="BC101" s="108">
        <f t="shared" si="107"/>
        <v>0</v>
      </c>
      <c r="BD101" s="108">
        <f t="shared" si="121"/>
        <v>0</v>
      </c>
      <c r="BE101" s="22">
        <f t="shared" si="122"/>
        <v>47019</v>
      </c>
      <c r="BF101" s="108">
        <f t="shared" si="123"/>
        <v>0</v>
      </c>
      <c r="BG101" s="2">
        <f t="shared" si="118"/>
        <v>0</v>
      </c>
    </row>
    <row r="102" spans="1:1212" s="16" customFormat="1" ht="12" hidden="1" x14ac:dyDescent="0.25">
      <c r="A102" s="2"/>
      <c r="B102" s="2"/>
      <c r="C102" s="1"/>
      <c r="D102" s="1"/>
      <c r="E102" s="1"/>
      <c r="F102" s="1"/>
      <c r="G102" s="114">
        <f t="shared" si="96"/>
        <v>94</v>
      </c>
      <c r="H102" s="111">
        <f t="shared" si="108"/>
        <v>47231</v>
      </c>
      <c r="I102" s="24">
        <f t="shared" si="106"/>
        <v>0</v>
      </c>
      <c r="J102" s="24">
        <f t="shared" si="86"/>
        <v>0</v>
      </c>
      <c r="K102" s="24">
        <f t="shared" si="87"/>
        <v>0</v>
      </c>
      <c r="L102" s="24">
        <f t="shared" si="92"/>
        <v>0</v>
      </c>
      <c r="M102" s="24">
        <f t="shared" si="124"/>
        <v>0</v>
      </c>
      <c r="N102" s="24">
        <f t="shared" si="125"/>
        <v>0</v>
      </c>
      <c r="O102" s="24">
        <f t="shared" si="101"/>
        <v>0</v>
      </c>
      <c r="P102" s="24">
        <f t="shared" si="126"/>
        <v>0</v>
      </c>
      <c r="Q102" s="24">
        <f t="shared" si="88"/>
        <v>0</v>
      </c>
      <c r="R102" s="36">
        <f t="shared" si="103"/>
        <v>0</v>
      </c>
      <c r="S102" s="36">
        <f t="shared" si="89"/>
        <v>0</v>
      </c>
      <c r="T102" s="2">
        <f t="shared" si="119"/>
        <v>3107.28</v>
      </c>
      <c r="U102" s="34">
        <f t="shared" si="120"/>
        <v>30288</v>
      </c>
      <c r="V102" s="57">
        <f t="shared" si="76"/>
        <v>61525</v>
      </c>
      <c r="AI102" s="2">
        <f t="shared" si="104"/>
        <v>0</v>
      </c>
      <c r="AJ102" s="34">
        <f t="shared" si="80"/>
        <v>30731</v>
      </c>
      <c r="AK102" s="57">
        <f t="shared" si="66"/>
        <v>64445</v>
      </c>
      <c r="AL102" s="130">
        <f t="shared" si="113"/>
        <v>0</v>
      </c>
      <c r="AM102" s="109">
        <f t="shared" si="97"/>
        <v>94</v>
      </c>
      <c r="AN102" s="110">
        <f t="shared" si="109"/>
        <v>47231</v>
      </c>
      <c r="AO102" s="105">
        <f t="shared" si="127"/>
        <v>0</v>
      </c>
      <c r="AP102" s="105">
        <f t="shared" si="90"/>
        <v>0</v>
      </c>
      <c r="AQ102" s="105">
        <f t="shared" si="98"/>
        <v>0</v>
      </c>
      <c r="AR102" s="105">
        <f t="shared" si="91"/>
        <v>0</v>
      </c>
      <c r="AS102" s="105">
        <f t="shared" si="114"/>
        <v>0</v>
      </c>
      <c r="AT102" s="105">
        <f t="shared" si="115"/>
        <v>0</v>
      </c>
      <c r="AU102" s="105">
        <f t="shared" si="116"/>
        <v>0</v>
      </c>
      <c r="AV102" s="105">
        <f t="shared" si="117"/>
        <v>0</v>
      </c>
      <c r="AW102" s="105"/>
      <c r="AX102" s="105"/>
      <c r="AY102" s="105"/>
      <c r="AZ102" s="105"/>
      <c r="BA102" s="105"/>
      <c r="BB102" s="105">
        <f t="shared" si="99"/>
        <v>0</v>
      </c>
      <c r="BC102" s="108">
        <f t="shared" si="107"/>
        <v>0</v>
      </c>
      <c r="BD102" s="108">
        <f t="shared" si="121"/>
        <v>0</v>
      </c>
      <c r="BE102" s="22">
        <f t="shared" si="122"/>
        <v>47049</v>
      </c>
      <c r="BF102" s="108">
        <f t="shared" si="123"/>
        <v>0</v>
      </c>
      <c r="BG102" s="2">
        <f t="shared" si="118"/>
        <v>0</v>
      </c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  <c r="AAB102" s="2"/>
      <c r="AAC102" s="2"/>
      <c r="AAD102" s="2"/>
      <c r="AAE102" s="2"/>
      <c r="AAF102" s="2"/>
      <c r="AAG102" s="2"/>
      <c r="AAH102" s="2"/>
      <c r="AAI102" s="2"/>
      <c r="AAJ102" s="2"/>
      <c r="AAK102" s="2"/>
      <c r="AAL102" s="2"/>
      <c r="AAM102" s="2"/>
      <c r="AAN102" s="2"/>
      <c r="AAO102" s="2"/>
      <c r="AAP102" s="2"/>
      <c r="AAQ102" s="2"/>
      <c r="AAR102" s="2"/>
      <c r="AAS102" s="2"/>
      <c r="AAT102" s="2"/>
      <c r="AAU102" s="2"/>
      <c r="AAV102" s="2"/>
      <c r="AAW102" s="2"/>
      <c r="AAX102" s="2"/>
      <c r="AAY102" s="2"/>
      <c r="AAZ102" s="2"/>
      <c r="ABA102" s="2"/>
      <c r="ABB102" s="2"/>
      <c r="ABC102" s="2"/>
      <c r="ABD102" s="2"/>
      <c r="ABE102" s="2"/>
      <c r="ABF102" s="2"/>
      <c r="ABG102" s="2"/>
      <c r="ABH102" s="2"/>
      <c r="ABI102" s="2"/>
      <c r="ABJ102" s="2"/>
      <c r="ABK102" s="2"/>
      <c r="ABL102" s="2"/>
      <c r="ABM102" s="2"/>
      <c r="ABN102" s="2"/>
      <c r="ABO102" s="2"/>
      <c r="ABP102" s="2"/>
      <c r="ABQ102" s="2"/>
      <c r="ABR102" s="2"/>
      <c r="ABS102" s="2"/>
      <c r="ABT102" s="2"/>
      <c r="ABU102" s="2"/>
      <c r="ABV102" s="2"/>
      <c r="ABW102" s="2"/>
      <c r="ABX102" s="2"/>
      <c r="ABY102" s="2"/>
      <c r="ABZ102" s="2"/>
      <c r="ACA102" s="2"/>
      <c r="ACB102" s="2"/>
      <c r="ACC102" s="2"/>
      <c r="ACD102" s="2"/>
      <c r="ACE102" s="2"/>
      <c r="ACF102" s="2"/>
      <c r="ACG102" s="2"/>
      <c r="ACH102" s="2"/>
      <c r="ACI102" s="2"/>
      <c r="ACJ102" s="2"/>
      <c r="ACK102" s="2"/>
      <c r="ACL102" s="2"/>
      <c r="ACM102" s="2"/>
      <c r="ACN102" s="2"/>
      <c r="ACO102" s="2"/>
      <c r="ACP102" s="2"/>
      <c r="ACQ102" s="2"/>
      <c r="ACR102" s="2"/>
      <c r="ACS102" s="2"/>
      <c r="ACT102" s="2"/>
      <c r="ACU102" s="2"/>
      <c r="ACV102" s="2"/>
      <c r="ACW102" s="2"/>
      <c r="ACX102" s="2"/>
      <c r="ACY102" s="2"/>
      <c r="ACZ102" s="2"/>
      <c r="ADA102" s="2"/>
      <c r="ADB102" s="2"/>
      <c r="ADC102" s="2"/>
      <c r="ADD102" s="2"/>
      <c r="ADE102" s="2"/>
      <c r="ADF102" s="2"/>
      <c r="ADG102" s="2"/>
      <c r="ADH102" s="2"/>
      <c r="ADI102" s="2"/>
      <c r="ADJ102" s="2"/>
      <c r="ADK102" s="2"/>
      <c r="ADL102" s="2"/>
      <c r="ADM102" s="2"/>
      <c r="ADN102" s="2"/>
      <c r="ADO102" s="2"/>
      <c r="ADP102" s="2"/>
      <c r="ADQ102" s="2"/>
      <c r="ADR102" s="2"/>
      <c r="ADS102" s="2"/>
      <c r="ADT102" s="2"/>
      <c r="ADU102" s="2"/>
      <c r="ADV102" s="2"/>
      <c r="ADW102" s="2"/>
      <c r="ADX102" s="2"/>
      <c r="ADY102" s="2"/>
      <c r="ADZ102" s="2"/>
      <c r="AEA102" s="2"/>
      <c r="AEB102" s="2"/>
      <c r="AEC102" s="2"/>
      <c r="AED102" s="2"/>
      <c r="AEE102" s="2"/>
      <c r="AEF102" s="2"/>
      <c r="AEG102" s="2"/>
      <c r="AEH102" s="2"/>
      <c r="AEI102" s="2"/>
      <c r="AEJ102" s="2"/>
      <c r="AEK102" s="2"/>
      <c r="AEL102" s="2"/>
      <c r="AEM102" s="2"/>
      <c r="AEN102" s="2"/>
      <c r="AEO102" s="2"/>
      <c r="AEP102" s="2"/>
      <c r="AEQ102" s="2"/>
      <c r="AER102" s="2"/>
      <c r="AES102" s="2"/>
      <c r="AET102" s="2"/>
      <c r="AEU102" s="2"/>
      <c r="AEV102" s="2"/>
      <c r="AEW102" s="2"/>
      <c r="AEX102" s="2"/>
      <c r="AEY102" s="2"/>
      <c r="AEZ102" s="2"/>
      <c r="AFA102" s="2"/>
      <c r="AFB102" s="2"/>
      <c r="AFC102" s="2"/>
      <c r="AFD102" s="2"/>
      <c r="AFE102" s="2"/>
      <c r="AFF102" s="2"/>
      <c r="AFG102" s="2"/>
      <c r="AFH102" s="2"/>
      <c r="AFI102" s="2"/>
      <c r="AFJ102" s="2"/>
      <c r="AFK102" s="2"/>
      <c r="AFL102" s="2"/>
      <c r="AFM102" s="2"/>
      <c r="AFN102" s="2"/>
      <c r="AFO102" s="2"/>
      <c r="AFP102" s="2"/>
      <c r="AFQ102" s="2"/>
      <c r="AFR102" s="2"/>
      <c r="AFS102" s="2"/>
      <c r="AFT102" s="2"/>
      <c r="AFU102" s="2"/>
      <c r="AFV102" s="2"/>
      <c r="AFW102" s="2"/>
      <c r="AFX102" s="2"/>
      <c r="AFY102" s="2"/>
      <c r="AFZ102" s="2"/>
      <c r="AGA102" s="2"/>
      <c r="AGB102" s="2"/>
      <c r="AGC102" s="2"/>
      <c r="AGD102" s="2"/>
      <c r="AGE102" s="2"/>
      <c r="AGF102" s="2"/>
      <c r="AGG102" s="2"/>
      <c r="AGH102" s="2"/>
      <c r="AGI102" s="2"/>
      <c r="AGJ102" s="2"/>
      <c r="AGK102" s="2"/>
      <c r="AGL102" s="2"/>
      <c r="AGM102" s="2"/>
      <c r="AGN102" s="2"/>
      <c r="AGO102" s="2"/>
      <c r="AGP102" s="2"/>
      <c r="AGQ102" s="2"/>
      <c r="AGR102" s="2"/>
      <c r="AGS102" s="2"/>
      <c r="AGT102" s="2"/>
      <c r="AGU102" s="2"/>
      <c r="AGV102" s="2"/>
      <c r="AGW102" s="2"/>
      <c r="AGX102" s="2"/>
      <c r="AGY102" s="2"/>
      <c r="AGZ102" s="2"/>
      <c r="AHA102" s="2"/>
      <c r="AHB102" s="2"/>
      <c r="AHC102" s="2"/>
      <c r="AHD102" s="2"/>
      <c r="AHE102" s="2"/>
      <c r="AHF102" s="2"/>
      <c r="AHG102" s="2"/>
      <c r="AHH102" s="2"/>
      <c r="AHI102" s="2"/>
      <c r="AHJ102" s="2"/>
      <c r="AHK102" s="2"/>
      <c r="AHL102" s="2"/>
      <c r="AHM102" s="2"/>
      <c r="AHN102" s="2"/>
      <c r="AHO102" s="2"/>
      <c r="AHP102" s="2"/>
      <c r="AHQ102" s="2"/>
      <c r="AHR102" s="2"/>
      <c r="AHS102" s="2"/>
      <c r="AHT102" s="2"/>
      <c r="AHU102" s="2"/>
      <c r="AHV102" s="2"/>
      <c r="AHW102" s="2"/>
      <c r="AHX102" s="2"/>
      <c r="AHY102" s="2"/>
      <c r="AHZ102" s="2"/>
      <c r="AIA102" s="2"/>
      <c r="AIB102" s="2"/>
      <c r="AIC102" s="2"/>
      <c r="AID102" s="2"/>
      <c r="AIE102" s="2"/>
      <c r="AIF102" s="2"/>
      <c r="AIG102" s="2"/>
      <c r="AIH102" s="2"/>
      <c r="AII102" s="2"/>
      <c r="AIJ102" s="2"/>
      <c r="AIK102" s="2"/>
      <c r="AIL102" s="2"/>
      <c r="AIM102" s="2"/>
      <c r="AIN102" s="2"/>
      <c r="AIO102" s="2"/>
      <c r="AIP102" s="2"/>
      <c r="AIQ102" s="2"/>
      <c r="AIR102" s="2"/>
      <c r="AIS102" s="2"/>
      <c r="AIT102" s="2"/>
      <c r="AIU102" s="2"/>
      <c r="AIV102" s="2"/>
      <c r="AIW102" s="2"/>
      <c r="AIX102" s="2"/>
      <c r="AIY102" s="2"/>
      <c r="AIZ102" s="2"/>
      <c r="AJA102" s="2"/>
      <c r="AJB102" s="2"/>
      <c r="AJC102" s="2"/>
      <c r="AJD102" s="2"/>
      <c r="AJE102" s="2"/>
      <c r="AJF102" s="2"/>
      <c r="AJG102" s="2"/>
      <c r="AJH102" s="2"/>
      <c r="AJI102" s="2"/>
      <c r="AJJ102" s="2"/>
      <c r="AJK102" s="2"/>
      <c r="AJL102" s="2"/>
      <c r="AJM102" s="2"/>
      <c r="AJN102" s="2"/>
      <c r="AJO102" s="2"/>
      <c r="AJP102" s="2"/>
      <c r="AJQ102" s="2"/>
      <c r="AJR102" s="2"/>
      <c r="AJS102" s="2"/>
      <c r="AJT102" s="2"/>
      <c r="AJU102" s="2"/>
      <c r="AJV102" s="2"/>
      <c r="AJW102" s="2"/>
      <c r="AJX102" s="2"/>
      <c r="AJY102" s="2"/>
      <c r="AJZ102" s="2"/>
      <c r="AKA102" s="2"/>
      <c r="AKB102" s="2"/>
      <c r="AKC102" s="2"/>
      <c r="AKD102" s="2"/>
      <c r="AKE102" s="2"/>
      <c r="AKF102" s="2"/>
      <c r="AKG102" s="2"/>
      <c r="AKH102" s="2"/>
      <c r="AKI102" s="2"/>
      <c r="AKJ102" s="2"/>
      <c r="AKK102" s="2"/>
      <c r="AKL102" s="2"/>
      <c r="AKM102" s="2"/>
      <c r="AKN102" s="2"/>
      <c r="AKO102" s="2"/>
      <c r="AKP102" s="2"/>
      <c r="AKQ102" s="2"/>
      <c r="AKR102" s="2"/>
      <c r="AKS102" s="2"/>
      <c r="AKT102" s="2"/>
      <c r="AKU102" s="2"/>
      <c r="AKV102" s="2"/>
      <c r="AKW102" s="2"/>
      <c r="AKX102" s="2"/>
      <c r="AKY102" s="2"/>
      <c r="AKZ102" s="2"/>
      <c r="ALA102" s="2"/>
      <c r="ALB102" s="2"/>
      <c r="ALC102" s="2"/>
      <c r="ALD102" s="2"/>
      <c r="ALE102" s="2"/>
      <c r="ALF102" s="2"/>
      <c r="ALG102" s="2"/>
      <c r="ALH102" s="2"/>
      <c r="ALI102" s="2"/>
      <c r="ALJ102" s="2"/>
      <c r="ALK102" s="2"/>
      <c r="ALL102" s="2"/>
      <c r="ALM102" s="2"/>
      <c r="ALN102" s="2"/>
      <c r="ALO102" s="2"/>
      <c r="ALP102" s="2"/>
      <c r="ALQ102" s="2"/>
      <c r="ALR102" s="2"/>
      <c r="ALS102" s="2"/>
      <c r="ALT102" s="2"/>
      <c r="ALU102" s="2"/>
      <c r="ALV102" s="2"/>
      <c r="ALW102" s="2"/>
      <c r="ALX102" s="2"/>
      <c r="ALY102" s="2"/>
      <c r="ALZ102" s="2"/>
      <c r="AMA102" s="2"/>
      <c r="AMB102" s="2"/>
      <c r="AMC102" s="2"/>
      <c r="AMD102" s="2"/>
      <c r="AME102" s="2"/>
      <c r="AMF102" s="2"/>
      <c r="AMG102" s="2"/>
      <c r="AMH102" s="2"/>
      <c r="AMI102" s="2"/>
      <c r="AMJ102" s="2"/>
      <c r="AMK102" s="2"/>
      <c r="AML102" s="2"/>
      <c r="AMM102" s="2"/>
      <c r="AMN102" s="2"/>
      <c r="AMO102" s="2"/>
      <c r="AMP102" s="2"/>
      <c r="AMQ102" s="2"/>
      <c r="AMR102" s="2"/>
      <c r="AMS102" s="2"/>
      <c r="AMT102" s="2"/>
      <c r="AMU102" s="2"/>
      <c r="AMV102" s="2"/>
      <c r="AMW102" s="2"/>
      <c r="AMX102" s="2"/>
      <c r="AMY102" s="2"/>
      <c r="AMZ102" s="2"/>
      <c r="ANA102" s="2"/>
      <c r="ANB102" s="2"/>
      <c r="ANC102" s="2"/>
      <c r="AND102" s="2"/>
      <c r="ANE102" s="2"/>
      <c r="ANF102" s="2"/>
      <c r="ANG102" s="2"/>
      <c r="ANH102" s="2"/>
      <c r="ANI102" s="2"/>
      <c r="ANJ102" s="2"/>
      <c r="ANK102" s="2"/>
      <c r="ANL102" s="2"/>
      <c r="ANM102" s="2"/>
      <c r="ANN102" s="2"/>
      <c r="ANO102" s="2"/>
      <c r="ANP102" s="2"/>
      <c r="ANQ102" s="2"/>
      <c r="ANR102" s="2"/>
      <c r="ANS102" s="2"/>
      <c r="ANT102" s="2"/>
      <c r="ANU102" s="2"/>
      <c r="ANV102" s="2"/>
      <c r="ANW102" s="2"/>
      <c r="ANX102" s="2"/>
      <c r="ANY102" s="2"/>
      <c r="ANZ102" s="2"/>
      <c r="AOA102" s="2"/>
      <c r="AOB102" s="2"/>
      <c r="AOC102" s="2"/>
      <c r="AOD102" s="2"/>
      <c r="AOE102" s="2"/>
      <c r="AOF102" s="2"/>
      <c r="AOG102" s="2"/>
      <c r="AOH102" s="2"/>
      <c r="AOI102" s="2"/>
      <c r="AOJ102" s="2"/>
      <c r="AOK102" s="2"/>
      <c r="AOL102" s="2"/>
      <c r="AOM102" s="2"/>
      <c r="AON102" s="2"/>
      <c r="AOO102" s="2"/>
      <c r="AOP102" s="2"/>
      <c r="AOQ102" s="2"/>
      <c r="AOR102" s="2"/>
      <c r="AOS102" s="2"/>
      <c r="AOT102" s="2"/>
      <c r="AOU102" s="2"/>
      <c r="AOV102" s="2"/>
      <c r="AOW102" s="2"/>
      <c r="AOX102" s="2"/>
      <c r="AOY102" s="2"/>
      <c r="AOZ102" s="2"/>
      <c r="APA102" s="2"/>
      <c r="APB102" s="2"/>
      <c r="APC102" s="2"/>
      <c r="APD102" s="2"/>
      <c r="APE102" s="2"/>
      <c r="APF102" s="2"/>
      <c r="APG102" s="2"/>
      <c r="APH102" s="2"/>
      <c r="API102" s="2"/>
      <c r="APJ102" s="2"/>
      <c r="APK102" s="2"/>
      <c r="APL102" s="2"/>
      <c r="APM102" s="2"/>
      <c r="APN102" s="2"/>
      <c r="APO102" s="2"/>
      <c r="APP102" s="2"/>
      <c r="APQ102" s="2"/>
      <c r="APR102" s="2"/>
      <c r="APS102" s="2"/>
      <c r="APT102" s="2"/>
      <c r="APU102" s="2"/>
      <c r="APV102" s="2"/>
      <c r="APW102" s="2"/>
      <c r="APX102" s="2"/>
      <c r="APY102" s="2"/>
      <c r="APZ102" s="2"/>
      <c r="AQA102" s="2"/>
      <c r="AQB102" s="2"/>
      <c r="AQC102" s="2"/>
      <c r="AQD102" s="2"/>
      <c r="AQE102" s="2"/>
      <c r="AQF102" s="2"/>
      <c r="AQG102" s="2"/>
      <c r="AQH102" s="2"/>
      <c r="AQI102" s="2"/>
      <c r="AQJ102" s="2"/>
      <c r="AQK102" s="2"/>
      <c r="AQL102" s="2"/>
      <c r="AQM102" s="2"/>
      <c r="AQN102" s="2"/>
      <c r="AQO102" s="2"/>
      <c r="AQP102" s="2"/>
      <c r="AQQ102" s="2"/>
      <c r="AQR102" s="2"/>
      <c r="AQS102" s="2"/>
      <c r="AQT102" s="2"/>
      <c r="AQU102" s="2"/>
      <c r="AQV102" s="2"/>
      <c r="AQW102" s="2"/>
      <c r="AQX102" s="2"/>
      <c r="AQY102" s="2"/>
      <c r="AQZ102" s="2"/>
      <c r="ARA102" s="2"/>
      <c r="ARB102" s="2"/>
      <c r="ARC102" s="2"/>
      <c r="ARD102" s="2"/>
      <c r="ARE102" s="2"/>
      <c r="ARF102" s="2"/>
      <c r="ARG102" s="2"/>
      <c r="ARH102" s="2"/>
      <c r="ARI102" s="2"/>
      <c r="ARJ102" s="2"/>
      <c r="ARK102" s="2"/>
      <c r="ARL102" s="2"/>
      <c r="ARM102" s="2"/>
      <c r="ARN102" s="2"/>
      <c r="ARO102" s="2"/>
      <c r="ARP102" s="2"/>
      <c r="ARQ102" s="2"/>
      <c r="ARR102" s="2"/>
      <c r="ARS102" s="2"/>
      <c r="ART102" s="2"/>
      <c r="ARU102" s="2"/>
      <c r="ARV102" s="2"/>
      <c r="ARW102" s="2"/>
      <c r="ARX102" s="2"/>
      <c r="ARY102" s="2"/>
      <c r="ARZ102" s="2"/>
      <c r="ASA102" s="2"/>
      <c r="ASB102" s="2"/>
      <c r="ASC102" s="2"/>
      <c r="ASD102" s="2"/>
      <c r="ASE102" s="2"/>
      <c r="ASF102" s="2"/>
      <c r="ASG102" s="2"/>
      <c r="ASH102" s="2"/>
      <c r="ASI102" s="2"/>
      <c r="ASJ102" s="2"/>
      <c r="ASK102" s="2"/>
      <c r="ASL102" s="2"/>
      <c r="ASM102" s="2"/>
      <c r="ASN102" s="2"/>
      <c r="ASO102" s="2"/>
      <c r="ASP102" s="2"/>
      <c r="ASQ102" s="2"/>
      <c r="ASR102" s="2"/>
      <c r="ASS102" s="2"/>
      <c r="AST102" s="2"/>
      <c r="ASU102" s="2"/>
      <c r="ASV102" s="2"/>
      <c r="ASW102" s="2"/>
      <c r="ASX102" s="2"/>
      <c r="ASY102" s="2"/>
      <c r="ASZ102" s="2"/>
      <c r="ATA102" s="2"/>
      <c r="ATB102" s="2"/>
      <c r="ATC102" s="2"/>
      <c r="ATD102" s="2"/>
      <c r="ATE102" s="2"/>
      <c r="ATF102" s="2"/>
      <c r="ATG102" s="2"/>
      <c r="ATH102" s="2"/>
      <c r="ATI102" s="2"/>
      <c r="ATJ102" s="2"/>
      <c r="ATK102" s="2"/>
      <c r="ATL102" s="2"/>
      <c r="ATM102" s="2"/>
      <c r="ATN102" s="2"/>
      <c r="ATO102" s="2"/>
      <c r="ATP102" s="2"/>
    </row>
    <row r="103" spans="1:1212" ht="12" hidden="1" x14ac:dyDescent="0.25">
      <c r="G103" s="114">
        <f t="shared" si="96"/>
        <v>95</v>
      </c>
      <c r="H103" s="111">
        <f t="shared" si="108"/>
        <v>47261</v>
      </c>
      <c r="I103" s="24">
        <f t="shared" si="106"/>
        <v>0</v>
      </c>
      <c r="J103" s="24">
        <f t="shared" si="86"/>
        <v>0</v>
      </c>
      <c r="K103" s="24">
        <f t="shared" si="87"/>
        <v>0</v>
      </c>
      <c r="L103" s="24">
        <f t="shared" si="92"/>
        <v>0</v>
      </c>
      <c r="M103" s="24">
        <f t="shared" si="124"/>
        <v>0</v>
      </c>
      <c r="N103" s="24">
        <f t="shared" si="125"/>
        <v>0</v>
      </c>
      <c r="O103" s="24">
        <f t="shared" si="101"/>
        <v>0</v>
      </c>
      <c r="P103" s="24">
        <f t="shared" si="126"/>
        <v>0</v>
      </c>
      <c r="Q103" s="24">
        <f t="shared" si="88"/>
        <v>0</v>
      </c>
      <c r="R103" s="36">
        <f t="shared" si="103"/>
        <v>0</v>
      </c>
      <c r="S103" s="36">
        <f t="shared" si="89"/>
        <v>0</v>
      </c>
      <c r="T103" s="2">
        <f t="shared" si="119"/>
        <v>3000.79</v>
      </c>
      <c r="U103" s="34">
        <f t="shared" si="120"/>
        <v>30288</v>
      </c>
      <c r="V103" s="57">
        <f t="shared" si="76"/>
        <v>61890</v>
      </c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2">
        <f t="shared" si="104"/>
        <v>0</v>
      </c>
      <c r="AJ103" s="34">
        <f t="shared" si="80"/>
        <v>30731</v>
      </c>
      <c r="AK103" s="57">
        <f t="shared" si="66"/>
        <v>64810</v>
      </c>
      <c r="AL103" s="130">
        <f t="shared" si="113"/>
        <v>0</v>
      </c>
      <c r="AM103" s="109">
        <f t="shared" si="97"/>
        <v>95</v>
      </c>
      <c r="AN103" s="110">
        <f t="shared" si="109"/>
        <v>47261</v>
      </c>
      <c r="AO103" s="105">
        <f t="shared" si="127"/>
        <v>0</v>
      </c>
      <c r="AP103" s="105">
        <f t="shared" si="90"/>
        <v>0</v>
      </c>
      <c r="AQ103" s="105">
        <f t="shared" si="98"/>
        <v>0</v>
      </c>
      <c r="AR103" s="105">
        <f t="shared" si="91"/>
        <v>0</v>
      </c>
      <c r="AS103" s="105">
        <f t="shared" si="114"/>
        <v>0</v>
      </c>
      <c r="AT103" s="105">
        <f t="shared" si="115"/>
        <v>0</v>
      </c>
      <c r="AU103" s="105">
        <f t="shared" si="116"/>
        <v>0</v>
      </c>
      <c r="AV103" s="105">
        <f t="shared" si="117"/>
        <v>0</v>
      </c>
      <c r="AW103" s="105"/>
      <c r="AX103" s="105"/>
      <c r="AY103" s="105"/>
      <c r="AZ103" s="105"/>
      <c r="BA103" s="105"/>
      <c r="BB103" s="105">
        <f t="shared" si="99"/>
        <v>0</v>
      </c>
      <c r="BC103" s="108">
        <f t="shared" si="107"/>
        <v>0</v>
      </c>
      <c r="BD103" s="108">
        <f t="shared" si="121"/>
        <v>0</v>
      </c>
      <c r="BE103" s="22">
        <f t="shared" si="122"/>
        <v>47080</v>
      </c>
      <c r="BF103" s="108">
        <f t="shared" si="123"/>
        <v>0</v>
      </c>
      <c r="BG103" s="2">
        <f t="shared" si="118"/>
        <v>0</v>
      </c>
    </row>
    <row r="104" spans="1:1212" ht="12" hidden="1" x14ac:dyDescent="0.25">
      <c r="G104" s="114">
        <f t="shared" si="96"/>
        <v>96</v>
      </c>
      <c r="H104" s="111">
        <f t="shared" si="108"/>
        <v>47292</v>
      </c>
      <c r="I104" s="24">
        <f t="shared" si="106"/>
        <v>0</v>
      </c>
      <c r="J104" s="24">
        <f t="shared" si="86"/>
        <v>0</v>
      </c>
      <c r="K104" s="24">
        <f t="shared" si="87"/>
        <v>0</v>
      </c>
      <c r="L104" s="24">
        <f t="shared" si="92"/>
        <v>0</v>
      </c>
      <c r="M104" s="24">
        <f t="shared" si="124"/>
        <v>0</v>
      </c>
      <c r="N104" s="24">
        <f t="shared" si="125"/>
        <v>0</v>
      </c>
      <c r="O104" s="24">
        <f t="shared" si="101"/>
        <v>0</v>
      </c>
      <c r="P104" s="24">
        <f t="shared" si="126"/>
        <v>0</v>
      </c>
      <c r="Q104" s="24">
        <f t="shared" si="88"/>
        <v>0</v>
      </c>
      <c r="R104" s="36">
        <f t="shared" si="103"/>
        <v>0</v>
      </c>
      <c r="S104" s="36">
        <f t="shared" si="89"/>
        <v>0</v>
      </c>
      <c r="T104" s="2">
        <f t="shared" si="119"/>
        <v>2699.22</v>
      </c>
      <c r="U104" s="34">
        <f t="shared" si="120"/>
        <v>30288</v>
      </c>
      <c r="V104" s="57">
        <f t="shared" si="76"/>
        <v>62255</v>
      </c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2">
        <f t="shared" si="104"/>
        <v>0</v>
      </c>
      <c r="AJ104" s="34">
        <f t="shared" si="80"/>
        <v>30731</v>
      </c>
      <c r="AK104" s="57">
        <f t="shared" si="66"/>
        <v>65175</v>
      </c>
      <c r="AL104" s="130">
        <f t="shared" si="113"/>
        <v>0</v>
      </c>
      <c r="AM104" s="109">
        <f t="shared" si="97"/>
        <v>96</v>
      </c>
      <c r="AN104" s="110">
        <f t="shared" si="109"/>
        <v>47292</v>
      </c>
      <c r="AO104" s="105">
        <f t="shared" si="127"/>
        <v>0</v>
      </c>
      <c r="AP104" s="105">
        <f t="shared" si="90"/>
        <v>0</v>
      </c>
      <c r="AQ104" s="105">
        <f t="shared" si="98"/>
        <v>0</v>
      </c>
      <c r="AR104" s="105">
        <f t="shared" si="91"/>
        <v>0</v>
      </c>
      <c r="AS104" s="105">
        <f t="shared" si="114"/>
        <v>0</v>
      </c>
      <c r="AT104" s="105">
        <f t="shared" si="115"/>
        <v>0</v>
      </c>
      <c r="AU104" s="105">
        <f t="shared" si="116"/>
        <v>0</v>
      </c>
      <c r="AV104" s="105">
        <f t="shared" si="117"/>
        <v>0</v>
      </c>
      <c r="AW104" s="105"/>
      <c r="AX104" s="105"/>
      <c r="AY104" s="105"/>
      <c r="AZ104" s="105"/>
      <c r="BA104" s="105"/>
      <c r="BB104" s="105">
        <f t="shared" si="99"/>
        <v>0</v>
      </c>
      <c r="BC104" s="108">
        <f t="shared" si="107"/>
        <v>0</v>
      </c>
      <c r="BD104" s="108">
        <f t="shared" si="121"/>
        <v>0</v>
      </c>
      <c r="BE104" s="22">
        <f t="shared" si="122"/>
        <v>47110</v>
      </c>
      <c r="BF104" s="108">
        <f t="shared" si="123"/>
        <v>0</v>
      </c>
      <c r="BG104" s="2">
        <f t="shared" si="118"/>
        <v>0</v>
      </c>
    </row>
    <row r="105" spans="1:1212" ht="12" hidden="1" x14ac:dyDescent="0.25">
      <c r="G105" s="114">
        <f t="shared" si="96"/>
        <v>97</v>
      </c>
      <c r="H105" s="111">
        <f t="shared" si="108"/>
        <v>47322</v>
      </c>
      <c r="I105" s="24">
        <f t="shared" si="106"/>
        <v>0</v>
      </c>
      <c r="J105" s="24">
        <f t="shared" si="86"/>
        <v>0</v>
      </c>
      <c r="K105" s="24">
        <f t="shared" ref="K105:K108" si="128">IF(S105=0,0,IF(S105=1,Q104,IF(Q104+L105+J105&gt;I104,I105-J105-L105,Q104)))</f>
        <v>0</v>
      </c>
      <c r="L105" s="24">
        <f t="shared" si="92"/>
        <v>0</v>
      </c>
      <c r="M105" s="24">
        <f t="shared" si="124"/>
        <v>0</v>
      </c>
      <c r="N105" s="24">
        <f t="shared" si="125"/>
        <v>0</v>
      </c>
      <c r="O105" s="24">
        <f t="shared" si="101"/>
        <v>0</v>
      </c>
      <c r="P105" s="24">
        <f t="shared" si="126"/>
        <v>0</v>
      </c>
      <c r="Q105" s="24">
        <f t="shared" si="88"/>
        <v>0</v>
      </c>
      <c r="R105" s="36">
        <f t="shared" si="103"/>
        <v>0</v>
      </c>
      <c r="S105" s="36">
        <f t="shared" si="89"/>
        <v>0</v>
      </c>
      <c r="T105" s="2">
        <f t="shared" si="119"/>
        <v>2573.27</v>
      </c>
      <c r="U105" s="34">
        <f t="shared" si="120"/>
        <v>30288</v>
      </c>
      <c r="V105" s="57">
        <f t="shared" si="76"/>
        <v>62620</v>
      </c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2" t="e">
        <f t="shared" si="104"/>
        <v>#VALUE!</v>
      </c>
      <c r="AJ105" s="34">
        <f t="shared" si="80"/>
        <v>30731</v>
      </c>
      <c r="AK105" s="57">
        <f t="shared" si="66"/>
        <v>65540</v>
      </c>
      <c r="AL105" s="130">
        <f t="shared" si="113"/>
        <v>0</v>
      </c>
      <c r="AM105" s="109">
        <f t="shared" si="97"/>
        <v>97</v>
      </c>
      <c r="AN105" s="110">
        <f t="shared" si="109"/>
        <v>47322</v>
      </c>
      <c r="AO105" s="105">
        <f t="shared" si="127"/>
        <v>0</v>
      </c>
      <c r="AP105" s="105">
        <f t="shared" si="90"/>
        <v>0</v>
      </c>
      <c r="AQ105" s="105">
        <f t="shared" si="98"/>
        <v>0</v>
      </c>
      <c r="AR105" s="105">
        <f t="shared" ref="AR105:AR109" si="129">IF(AT105&gt;$D$24,$D$24-AP105,IF(BD105=0,0,AV105)+BS153)</f>
        <v>0</v>
      </c>
      <c r="AS105" s="105">
        <f t="shared" si="114"/>
        <v>0</v>
      </c>
      <c r="AT105" s="105">
        <f t="shared" si="115"/>
        <v>0</v>
      </c>
      <c r="AU105" s="105">
        <f t="shared" si="116"/>
        <v>0</v>
      </c>
      <c r="AV105" s="105">
        <f t="shared" si="117"/>
        <v>0</v>
      </c>
      <c r="AW105" s="105"/>
      <c r="AX105" s="105"/>
      <c r="AY105" s="105"/>
      <c r="AZ105" s="105"/>
      <c r="BA105" s="105"/>
      <c r="BB105" s="105">
        <f t="shared" si="99"/>
        <v>0</v>
      </c>
      <c r="BC105" s="108">
        <f t="shared" si="107"/>
        <v>0</v>
      </c>
      <c r="BD105" s="108">
        <f t="shared" si="121"/>
        <v>0</v>
      </c>
      <c r="BE105" s="22">
        <f t="shared" si="122"/>
        <v>47141</v>
      </c>
      <c r="BF105" s="108">
        <f t="shared" si="123"/>
        <v>0</v>
      </c>
      <c r="BG105" s="2">
        <f t="shared" si="118"/>
        <v>0</v>
      </c>
    </row>
    <row r="106" spans="1:1212" ht="12" hidden="1" x14ac:dyDescent="0.25">
      <c r="G106" s="114">
        <f t="shared" si="96"/>
        <v>98</v>
      </c>
      <c r="H106" s="111">
        <f t="shared" si="108"/>
        <v>47353</v>
      </c>
      <c r="I106" s="24">
        <f t="shared" si="106"/>
        <v>0</v>
      </c>
      <c r="J106" s="24">
        <f t="shared" si="86"/>
        <v>0</v>
      </c>
      <c r="K106" s="24">
        <f t="shared" si="128"/>
        <v>0</v>
      </c>
      <c r="L106" s="24">
        <f t="shared" si="92"/>
        <v>0</v>
      </c>
      <c r="M106" s="24">
        <f t="shared" si="124"/>
        <v>0</v>
      </c>
      <c r="N106" s="24">
        <f t="shared" si="125"/>
        <v>0</v>
      </c>
      <c r="O106" s="24">
        <f t="shared" si="101"/>
        <v>0</v>
      </c>
      <c r="P106" s="24">
        <f t="shared" si="126"/>
        <v>0</v>
      </c>
      <c r="Q106" s="24">
        <f t="shared" si="88"/>
        <v>0</v>
      </c>
      <c r="R106" s="36">
        <f t="shared" si="103"/>
        <v>0</v>
      </c>
      <c r="S106" s="36">
        <f t="shared" si="89"/>
        <v>0</v>
      </c>
      <c r="T106" s="2">
        <f t="shared" si="119"/>
        <v>2355.5300000000002</v>
      </c>
      <c r="U106" s="34">
        <f t="shared" si="120"/>
        <v>30288</v>
      </c>
      <c r="V106" s="57">
        <f t="shared" si="76"/>
        <v>62985</v>
      </c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2">
        <f t="shared" si="104"/>
        <v>0</v>
      </c>
      <c r="AJ106" s="34">
        <f t="shared" si="80"/>
        <v>30731</v>
      </c>
      <c r="AK106" s="57">
        <f t="shared" si="66"/>
        <v>65905</v>
      </c>
      <c r="AL106" s="130">
        <f t="shared" si="113"/>
        <v>0</v>
      </c>
      <c r="AM106" s="109">
        <f t="shared" si="97"/>
        <v>98</v>
      </c>
      <c r="AN106" s="110">
        <f t="shared" si="109"/>
        <v>47353</v>
      </c>
      <c r="AO106" s="105">
        <f t="shared" si="127"/>
        <v>0</v>
      </c>
      <c r="AP106" s="105">
        <f t="shared" si="90"/>
        <v>0</v>
      </c>
      <c r="AQ106" s="105">
        <f t="shared" si="98"/>
        <v>0</v>
      </c>
      <c r="AR106" s="105">
        <f t="shared" si="129"/>
        <v>0</v>
      </c>
      <c r="AS106" s="105">
        <f t="shared" si="114"/>
        <v>0</v>
      </c>
      <c r="AT106" s="105">
        <f t="shared" si="115"/>
        <v>0</v>
      </c>
      <c r="AU106" s="105">
        <f t="shared" si="116"/>
        <v>0</v>
      </c>
      <c r="AV106" s="105">
        <f t="shared" si="117"/>
        <v>0</v>
      </c>
      <c r="AW106" s="105"/>
      <c r="AX106" s="105"/>
      <c r="AY106" s="105"/>
      <c r="AZ106" s="105"/>
      <c r="BA106" s="105"/>
      <c r="BB106" s="105">
        <f t="shared" si="99"/>
        <v>0</v>
      </c>
      <c r="BC106" s="108">
        <f t="shared" si="107"/>
        <v>0</v>
      </c>
      <c r="BD106" s="108">
        <f t="shared" si="121"/>
        <v>0</v>
      </c>
      <c r="BE106" s="22">
        <f t="shared" si="122"/>
        <v>47172</v>
      </c>
      <c r="BF106" s="108">
        <f t="shared" si="123"/>
        <v>0</v>
      </c>
      <c r="BG106" s="2">
        <f t="shared" si="118"/>
        <v>0</v>
      </c>
    </row>
    <row r="107" spans="1:1212" ht="12" hidden="1" x14ac:dyDescent="0.25">
      <c r="G107" s="114">
        <f t="shared" si="96"/>
        <v>99</v>
      </c>
      <c r="H107" s="111">
        <f t="shared" si="108"/>
        <v>47384</v>
      </c>
      <c r="I107" s="24">
        <f t="shared" si="106"/>
        <v>0</v>
      </c>
      <c r="J107" s="24">
        <f t="shared" si="86"/>
        <v>0</v>
      </c>
      <c r="K107" s="24">
        <f t="shared" si="128"/>
        <v>0</v>
      </c>
      <c r="L107" s="24">
        <f t="shared" si="92"/>
        <v>0</v>
      </c>
      <c r="M107" s="24">
        <f t="shared" si="124"/>
        <v>0</v>
      </c>
      <c r="N107" s="24">
        <f t="shared" si="125"/>
        <v>0</v>
      </c>
      <c r="O107" s="24">
        <f t="shared" si="101"/>
        <v>0</v>
      </c>
      <c r="P107" s="24">
        <f t="shared" si="126"/>
        <v>0</v>
      </c>
      <c r="Q107" s="24">
        <f t="shared" si="88"/>
        <v>0</v>
      </c>
      <c r="R107" s="36">
        <f t="shared" si="103"/>
        <v>0</v>
      </c>
      <c r="S107" s="36">
        <f t="shared" si="89"/>
        <v>0</v>
      </c>
      <c r="T107" s="2">
        <f t="shared" si="119"/>
        <v>2065.8200000000002</v>
      </c>
      <c r="U107" s="34">
        <f t="shared" si="120"/>
        <v>30288</v>
      </c>
      <c r="V107" s="57">
        <f t="shared" si="76"/>
        <v>63350</v>
      </c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2">
        <f t="shared" si="104"/>
        <v>0</v>
      </c>
      <c r="AJ107" s="34">
        <f t="shared" si="80"/>
        <v>30059.720000000063</v>
      </c>
      <c r="AK107" s="57">
        <f t="shared" si="66"/>
        <v>66270</v>
      </c>
      <c r="AL107" s="130">
        <f t="shared" si="113"/>
        <v>0</v>
      </c>
      <c r="AM107" s="109">
        <f t="shared" si="97"/>
        <v>99</v>
      </c>
      <c r="AN107" s="110">
        <f t="shared" si="109"/>
        <v>47384</v>
      </c>
      <c r="AO107" s="105">
        <f t="shared" si="127"/>
        <v>0</v>
      </c>
      <c r="AP107" s="105">
        <f t="shared" si="90"/>
        <v>0</v>
      </c>
      <c r="AQ107" s="105">
        <f t="shared" si="98"/>
        <v>0</v>
      </c>
      <c r="AR107" s="105">
        <f t="shared" si="129"/>
        <v>0</v>
      </c>
      <c r="AS107" s="105">
        <f t="shared" si="114"/>
        <v>0</v>
      </c>
      <c r="AT107" s="105">
        <f t="shared" si="115"/>
        <v>0</v>
      </c>
      <c r="AU107" s="105">
        <f t="shared" si="116"/>
        <v>0</v>
      </c>
      <c r="AV107" s="105">
        <f t="shared" si="117"/>
        <v>0</v>
      </c>
      <c r="AW107" s="105"/>
      <c r="AX107" s="105"/>
      <c r="AY107" s="105"/>
      <c r="AZ107" s="105"/>
      <c r="BA107" s="105"/>
      <c r="BB107" s="105">
        <f t="shared" si="99"/>
        <v>0</v>
      </c>
      <c r="BC107" s="108">
        <f t="shared" si="107"/>
        <v>0</v>
      </c>
      <c r="BD107" s="108">
        <f t="shared" si="121"/>
        <v>0</v>
      </c>
      <c r="BE107" s="22">
        <f t="shared" si="122"/>
        <v>47200</v>
      </c>
      <c r="BF107" s="108">
        <f t="shared" si="123"/>
        <v>0</v>
      </c>
      <c r="BG107" s="2">
        <f t="shared" si="118"/>
        <v>0</v>
      </c>
    </row>
    <row r="108" spans="1:1212" ht="12" hidden="1" x14ac:dyDescent="0.25">
      <c r="G108" s="114">
        <f t="shared" si="96"/>
        <v>100</v>
      </c>
      <c r="H108" s="111">
        <f t="shared" si="108"/>
        <v>47414</v>
      </c>
      <c r="I108" s="24">
        <f t="shared" si="106"/>
        <v>0</v>
      </c>
      <c r="J108" s="24">
        <f>IF($C$9&gt;$AC$51,ROUND(Q107*$C$12*((H108-DATE(YEAR(H108),MONTH(H108),1)+1)/(DATE(YEAR(H108)+1,1,1)-DATE(YEAR(H108),1,1))+(EOMONTH(H107,0)-H107)/(DATE(YEAR(H107)+1,1,1)-DATE(YEAR(H107),1,1))),2),ROUND(Q106*IF($C$11="Базовый",$C$12,VLOOKUP($C$12,$T$11:$X$25,IF($C$11="Активный",2,IF($C$11="Зарплатный",3,IF($C$11="Пенсионный",4,IF($C$11="Зарплатный пенсионер",5,0)))),FALSE))/(DATEVALUE(CONCATENATE("01/01/",YEAR(H107)+1))-DATEVALUE(CONCATENATE("01/01/",YEAR(H107))))*(H107-H106),2))</f>
        <v>0</v>
      </c>
      <c r="K108" s="24">
        <f t="shared" si="128"/>
        <v>0</v>
      </c>
      <c r="L108" s="24">
        <f t="shared" si="92"/>
        <v>0</v>
      </c>
      <c r="M108" s="24">
        <f t="shared" si="124"/>
        <v>0</v>
      </c>
      <c r="N108" s="24">
        <f t="shared" si="125"/>
        <v>0</v>
      </c>
      <c r="O108" s="24">
        <f t="shared" si="101"/>
        <v>0</v>
      </c>
      <c r="P108" s="24">
        <f t="shared" si="126"/>
        <v>0</v>
      </c>
      <c r="Q108" s="24">
        <f t="shared" si="88"/>
        <v>0</v>
      </c>
      <c r="R108" s="36">
        <f t="shared" si="103"/>
        <v>0</v>
      </c>
      <c r="S108" s="36">
        <f t="shared" si="89"/>
        <v>0</v>
      </c>
      <c r="T108" s="2">
        <f t="shared" si="119"/>
        <v>1909.66</v>
      </c>
      <c r="U108" s="34">
        <f t="shared" si="120"/>
        <v>30288</v>
      </c>
      <c r="V108" s="57">
        <f t="shared" si="76"/>
        <v>63715</v>
      </c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2">
        <f t="shared" si="104"/>
        <v>0</v>
      </c>
      <c r="AJ108" s="34">
        <f t="shared" si="80"/>
        <v>0</v>
      </c>
      <c r="AK108" s="57">
        <f t="shared" si="66"/>
        <v>66635</v>
      </c>
      <c r="AL108" s="130">
        <f t="shared" si="113"/>
        <v>0</v>
      </c>
      <c r="AM108" s="109">
        <f t="shared" si="97"/>
        <v>100</v>
      </c>
      <c r="AN108" s="110">
        <f t="shared" si="109"/>
        <v>47414</v>
      </c>
      <c r="AO108" s="105">
        <f t="shared" si="127"/>
        <v>0</v>
      </c>
      <c r="AP108" s="105">
        <f t="shared" si="90"/>
        <v>0</v>
      </c>
      <c r="AQ108" s="105">
        <f t="shared" si="98"/>
        <v>0</v>
      </c>
      <c r="AR108" s="105">
        <f t="shared" si="129"/>
        <v>0</v>
      </c>
      <c r="AS108" s="105">
        <f t="shared" si="114"/>
        <v>0</v>
      </c>
      <c r="AT108" s="105">
        <f t="shared" si="115"/>
        <v>0</v>
      </c>
      <c r="AU108" s="105">
        <f t="shared" si="116"/>
        <v>0</v>
      </c>
      <c r="AV108" s="105">
        <f t="shared" si="117"/>
        <v>0</v>
      </c>
      <c r="AW108" s="105"/>
      <c r="AX108" s="105"/>
      <c r="AY108" s="105"/>
      <c r="AZ108" s="105"/>
      <c r="BA108" s="105"/>
      <c r="BB108" s="105">
        <f t="shared" si="99"/>
        <v>0</v>
      </c>
      <c r="BC108" s="108">
        <f t="shared" si="107"/>
        <v>0</v>
      </c>
      <c r="BD108" s="108">
        <f t="shared" si="121"/>
        <v>0</v>
      </c>
      <c r="BE108" s="22">
        <f t="shared" si="122"/>
        <v>47231</v>
      </c>
      <c r="BF108" s="108">
        <f t="shared" si="123"/>
        <v>0</v>
      </c>
      <c r="BG108" s="2">
        <f t="shared" si="118"/>
        <v>0</v>
      </c>
    </row>
    <row r="109" spans="1:1212" ht="12" x14ac:dyDescent="0.25">
      <c r="G109" s="28"/>
      <c r="H109" s="29" t="s">
        <v>7</v>
      </c>
      <c r="I109" s="30">
        <f>(SUM(I9:I108)-IF(CODE(C11)=209,AF51,0))</f>
        <v>1816696.0699999996</v>
      </c>
      <c r="J109" s="30">
        <f>(SUM(J9:J108)-IF(CODE(D11)=209,AG51,0))</f>
        <v>595796.06999999995</v>
      </c>
      <c r="K109" s="30">
        <f>SUM(K9:K108)</f>
        <v>1220899.9999999998</v>
      </c>
      <c r="L109" s="31">
        <f>SUM(L9:L108)</f>
        <v>0</v>
      </c>
      <c r="M109" s="31"/>
      <c r="N109" s="31"/>
      <c r="O109" s="31"/>
      <c r="P109" s="31"/>
      <c r="Q109" s="31"/>
      <c r="R109" s="31"/>
      <c r="S109" s="51"/>
      <c r="T109" s="2">
        <f t="shared" si="119"/>
        <v>1628.13</v>
      </c>
      <c r="U109" s="34">
        <f t="shared" si="120"/>
        <v>30288</v>
      </c>
      <c r="V109" s="57">
        <f t="shared" si="76"/>
        <v>64080</v>
      </c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2">
        <f t="shared" si="104"/>
        <v>0</v>
      </c>
      <c r="AJ109" s="34">
        <f t="shared" si="80"/>
        <v>0</v>
      </c>
      <c r="AK109" s="57">
        <f t="shared" si="66"/>
        <v>67000</v>
      </c>
      <c r="AL109" s="130"/>
      <c r="AM109" s="28"/>
      <c r="AN109" s="29" t="s">
        <v>7</v>
      </c>
      <c r="AO109" s="30">
        <f>(SUM(AO9:AO108)-IF(CODE(C11)=209,BS57,0))</f>
        <v>1843188.72</v>
      </c>
      <c r="AP109" s="30">
        <f>(SUM(AP9:AP108)-IF(CODE(D11)=209,BT57,0))</f>
        <v>681288.71999999974</v>
      </c>
      <c r="AQ109" s="30">
        <f>SUM(AQ9:AQ108)</f>
        <v>1161900.0000000002</v>
      </c>
      <c r="AR109" s="105">
        <f t="shared" si="129"/>
        <v>0</v>
      </c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108">
        <f t="shared" si="107"/>
        <v>0</v>
      </c>
      <c r="BD109" s="108">
        <f t="shared" si="121"/>
        <v>0</v>
      </c>
      <c r="BE109" s="22">
        <f t="shared" si="122"/>
        <v>47261</v>
      </c>
      <c r="BF109" s="108">
        <f t="shared" si="123"/>
        <v>0</v>
      </c>
      <c r="BG109" s="2">
        <f t="shared" si="118"/>
        <v>0</v>
      </c>
    </row>
    <row r="110" spans="1:1212" x14ac:dyDescent="0.25">
      <c r="T110" s="2">
        <f t="shared" si="119"/>
        <v>1451.1</v>
      </c>
      <c r="U110" s="34">
        <f t="shared" si="120"/>
        <v>30288</v>
      </c>
      <c r="V110" s="57">
        <f t="shared" si="76"/>
        <v>64445</v>
      </c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2" t="e">
        <f t="shared" ref="AI110:AI141" si="130">IF(AND(V79&gt;=$T$22,V79&lt;=$T$22+5),0,IF($C$9&gt;$AC$51,ROUND(AF70*$C$14/(DATEVALUE(CONCATENATE("01/01/",YEAR(W79)+1))-DATEVALUE(CONCATENATE("01/01/",YEAR(W79))))*(W79-W78),2),0))</f>
        <v>#VALUE!</v>
      </c>
      <c r="AJ110" s="34">
        <f t="shared" si="80"/>
        <v>0</v>
      </c>
      <c r="AK110" s="57">
        <f t="shared" si="66"/>
        <v>67365</v>
      </c>
      <c r="AL110" s="130"/>
      <c r="BC110" s="108">
        <f t="shared" si="107"/>
        <v>0</v>
      </c>
      <c r="BD110" s="108">
        <f t="shared" si="121"/>
        <v>0</v>
      </c>
      <c r="BE110" s="22">
        <f t="shared" si="122"/>
        <v>47292</v>
      </c>
      <c r="BF110" s="108">
        <f t="shared" si="123"/>
        <v>0</v>
      </c>
      <c r="BG110" s="2">
        <f t="shared" si="118"/>
        <v>0</v>
      </c>
    </row>
    <row r="111" spans="1:1212" x14ac:dyDescent="0.25">
      <c r="T111" s="2">
        <f t="shared" si="119"/>
        <v>1217.26</v>
      </c>
      <c r="U111" s="34">
        <f t="shared" si="120"/>
        <v>30288</v>
      </c>
      <c r="V111" s="57">
        <f t="shared" si="76"/>
        <v>64810</v>
      </c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2">
        <f t="shared" si="130"/>
        <v>0</v>
      </c>
      <c r="AJ111" s="34">
        <f t="shared" si="80"/>
        <v>0</v>
      </c>
      <c r="AK111" s="57">
        <f t="shared" si="66"/>
        <v>67730</v>
      </c>
      <c r="AL111" s="130"/>
      <c r="BC111" s="108">
        <f t="shared" si="107"/>
        <v>0</v>
      </c>
      <c r="BD111" s="108">
        <f t="shared" si="121"/>
        <v>0</v>
      </c>
      <c r="BE111" s="22">
        <f t="shared" si="122"/>
        <v>47322</v>
      </c>
      <c r="BF111" s="108">
        <f t="shared" si="123"/>
        <v>0</v>
      </c>
      <c r="BG111" s="2">
        <f t="shared" si="118"/>
        <v>0</v>
      </c>
    </row>
    <row r="112" spans="1:1212" x14ac:dyDescent="0.25">
      <c r="T112" s="2">
        <f t="shared" si="119"/>
        <v>885.22</v>
      </c>
      <c r="U112" s="34">
        <f t="shared" si="120"/>
        <v>30288</v>
      </c>
      <c r="V112" s="57">
        <f t="shared" si="76"/>
        <v>65175</v>
      </c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2">
        <f t="shared" si="130"/>
        <v>0</v>
      </c>
      <c r="AJ112" s="34">
        <f t="shared" si="80"/>
        <v>0</v>
      </c>
      <c r="AK112" s="57">
        <f t="shared" si="66"/>
        <v>68095</v>
      </c>
      <c r="AL112" s="130"/>
      <c r="BC112" s="108">
        <f t="shared" si="107"/>
        <v>0</v>
      </c>
      <c r="BD112" s="108">
        <f t="shared" si="121"/>
        <v>0</v>
      </c>
      <c r="BE112" s="22">
        <f t="shared" si="122"/>
        <v>47353</v>
      </c>
      <c r="BF112" s="108">
        <f t="shared" si="123"/>
        <v>0</v>
      </c>
      <c r="BG112" s="2">
        <f t="shared" si="118"/>
        <v>0</v>
      </c>
    </row>
    <row r="113" spans="20:59" x14ac:dyDescent="0.25">
      <c r="T113" s="2">
        <f t="shared" si="119"/>
        <v>738.1</v>
      </c>
      <c r="U113" s="34">
        <f t="shared" si="120"/>
        <v>30288</v>
      </c>
      <c r="V113" s="57">
        <f t="shared" si="76"/>
        <v>65540</v>
      </c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2">
        <f t="shared" si="130"/>
        <v>0</v>
      </c>
      <c r="AJ113" s="34">
        <f t="shared" ref="AJ113:AJ147" si="131">AO74</f>
        <v>0</v>
      </c>
      <c r="AK113" s="57">
        <f t="shared" ref="AK113:AK147" si="132">AK112+365</f>
        <v>68460</v>
      </c>
      <c r="AL113" s="130"/>
      <c r="BC113" s="108">
        <f t="shared" si="107"/>
        <v>0</v>
      </c>
      <c r="BD113" s="108">
        <f t="shared" si="121"/>
        <v>0</v>
      </c>
      <c r="BE113" s="22">
        <f t="shared" si="122"/>
        <v>47384</v>
      </c>
      <c r="BF113" s="108">
        <f t="shared" si="123"/>
        <v>0</v>
      </c>
      <c r="BG113" s="2">
        <f t="shared" si="118"/>
        <v>0</v>
      </c>
    </row>
    <row r="114" spans="20:59" x14ac:dyDescent="0.25">
      <c r="T114" s="2">
        <f t="shared" si="119"/>
        <v>478.09</v>
      </c>
      <c r="U114" s="34">
        <f t="shared" si="120"/>
        <v>30288</v>
      </c>
      <c r="V114" s="57">
        <f t="shared" si="76"/>
        <v>65905</v>
      </c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2">
        <f t="shared" si="130"/>
        <v>0</v>
      </c>
      <c r="AJ114" s="34">
        <f t="shared" si="131"/>
        <v>0</v>
      </c>
      <c r="AK114" s="57">
        <f t="shared" si="132"/>
        <v>68825</v>
      </c>
      <c r="AL114" s="130"/>
      <c r="BC114" s="108">
        <f t="shared" si="107"/>
        <v>0</v>
      </c>
      <c r="BD114" s="108">
        <f t="shared" si="121"/>
        <v>0</v>
      </c>
      <c r="BE114" s="22">
        <f t="shared" si="122"/>
        <v>47414</v>
      </c>
      <c r="BF114" s="108">
        <f t="shared" si="123"/>
        <v>0</v>
      </c>
      <c r="BG114" s="2">
        <f t="shared" si="118"/>
        <v>0</v>
      </c>
    </row>
    <row r="115" spans="20:59" x14ac:dyDescent="0.25">
      <c r="T115" s="2">
        <f t="shared" si="119"/>
        <v>246.22</v>
      </c>
      <c r="U115" s="34">
        <f t="shared" si="120"/>
        <v>29704.069999999621</v>
      </c>
      <c r="V115" s="57">
        <f t="shared" si="76"/>
        <v>66270</v>
      </c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2">
        <f t="shared" si="130"/>
        <v>0</v>
      </c>
      <c r="AJ115" s="34">
        <f t="shared" si="131"/>
        <v>0</v>
      </c>
      <c r="AK115" s="57">
        <f t="shared" si="132"/>
        <v>69190</v>
      </c>
      <c r="AL115" s="130"/>
      <c r="BC115" s="31"/>
      <c r="BD115" s="51"/>
      <c r="BE115" s="29" t="s">
        <v>67</v>
      </c>
      <c r="BF115" s="152">
        <f>XIRR(BF7:BF114,BE7:BE114)</f>
        <v>0.2609114110469819</v>
      </c>
      <c r="BG115" s="2">
        <f t="shared" si="118"/>
        <v>0</v>
      </c>
    </row>
    <row r="116" spans="20:59" x14ac:dyDescent="0.25">
      <c r="T116" s="2">
        <f t="shared" si="119"/>
        <v>0</v>
      </c>
      <c r="U116" s="34">
        <f t="shared" si="120"/>
        <v>0</v>
      </c>
      <c r="V116" s="57">
        <f t="shared" si="76"/>
        <v>66635</v>
      </c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2">
        <f t="shared" si="130"/>
        <v>0</v>
      </c>
      <c r="AJ116" s="34">
        <f t="shared" si="131"/>
        <v>0</v>
      </c>
      <c r="AK116" s="57">
        <f t="shared" si="132"/>
        <v>69555</v>
      </c>
      <c r="AL116" s="130"/>
      <c r="BG116" s="2">
        <f t="shared" si="118"/>
        <v>0</v>
      </c>
    </row>
    <row r="117" spans="20:59" x14ac:dyDescent="0.25">
      <c r="T117" s="2">
        <f t="shared" si="119"/>
        <v>0</v>
      </c>
      <c r="U117" s="34">
        <f t="shared" si="120"/>
        <v>0</v>
      </c>
      <c r="V117" s="57">
        <f t="shared" si="76"/>
        <v>67000</v>
      </c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2">
        <f t="shared" si="130"/>
        <v>0</v>
      </c>
      <c r="AJ117" s="34">
        <f t="shared" si="131"/>
        <v>0</v>
      </c>
      <c r="AK117" s="57">
        <f t="shared" si="132"/>
        <v>69920</v>
      </c>
      <c r="AL117" s="130"/>
      <c r="BG117" s="2">
        <f t="shared" si="118"/>
        <v>0</v>
      </c>
    </row>
    <row r="118" spans="20:59" x14ac:dyDescent="0.25">
      <c r="T118" s="2">
        <f t="shared" si="119"/>
        <v>0</v>
      </c>
      <c r="U118" s="34">
        <f t="shared" si="120"/>
        <v>0</v>
      </c>
      <c r="V118" s="57">
        <f t="shared" si="76"/>
        <v>67365</v>
      </c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2" t="e">
        <f t="shared" si="130"/>
        <v>#VALUE!</v>
      </c>
      <c r="AJ118" s="34">
        <f t="shared" si="131"/>
        <v>0</v>
      </c>
      <c r="AK118" s="57">
        <f>AK87+365</f>
        <v>59335</v>
      </c>
      <c r="AL118" s="130"/>
      <c r="BG118" s="2">
        <f t="shared" ref="BG118:BG149" si="133">IF(AND(G73&gt;=$T$22,G73&lt;=$T$22+5),0,IF($C$9&gt;$AC$51,ROUND(BB72*IF($D$14="",0,$D$14)/(DATEVALUE(CONCATENATE("01/01/",YEAR(AN73)+1))-DATEVALUE(CONCATENATE("01/01/",YEAR(AN73))))*(AN73-AN72),2),0))</f>
        <v>0</v>
      </c>
    </row>
    <row r="119" spans="20:59" x14ac:dyDescent="0.25">
      <c r="T119" s="2">
        <f t="shared" si="119"/>
        <v>0</v>
      </c>
      <c r="U119" s="34">
        <f t="shared" si="120"/>
        <v>0</v>
      </c>
      <c r="V119" s="57">
        <f t="shared" si="76"/>
        <v>67730</v>
      </c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2">
        <f t="shared" si="130"/>
        <v>0</v>
      </c>
      <c r="AJ119" s="34">
        <f t="shared" si="131"/>
        <v>0</v>
      </c>
      <c r="AK119" s="57">
        <f t="shared" si="132"/>
        <v>59700</v>
      </c>
      <c r="AL119" s="130"/>
      <c r="BG119" s="2">
        <f t="shared" si="133"/>
        <v>0</v>
      </c>
    </row>
    <row r="120" spans="20:59" x14ac:dyDescent="0.25">
      <c r="T120" s="2">
        <f t="shared" ref="T120:T151" si="134">IF(AND(G73&gt;=$T$22,G73&lt;=$T$22+5),0,IF($C$9&gt;$AC$51,ROUND(Q72*$C$14/(DATEVALUE(CONCATENATE("01/01/",YEAR(H73)+1))-DATEVALUE(CONCATENATE("01/01/",YEAR(H73))))*(H73-H72),2),0))</f>
        <v>0</v>
      </c>
      <c r="U120" s="34">
        <f t="shared" ref="U120:U151" si="135">J73+K73+L73-P73</f>
        <v>0</v>
      </c>
      <c r="V120" s="57">
        <f t="shared" si="76"/>
        <v>68095</v>
      </c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2">
        <f t="shared" si="130"/>
        <v>0</v>
      </c>
      <c r="AJ120" s="34">
        <f t="shared" si="131"/>
        <v>0</v>
      </c>
      <c r="AK120" s="57">
        <f t="shared" si="132"/>
        <v>60065</v>
      </c>
      <c r="AL120" s="130"/>
      <c r="BG120" s="2">
        <f t="shared" si="133"/>
        <v>0</v>
      </c>
    </row>
    <row r="121" spans="20:59" x14ac:dyDescent="0.25">
      <c r="T121" s="2">
        <f t="shared" si="134"/>
        <v>0</v>
      </c>
      <c r="U121" s="34">
        <f t="shared" si="135"/>
        <v>0</v>
      </c>
      <c r="V121" s="57">
        <f t="shared" ref="V121:V155" si="136">V120+365</f>
        <v>68460</v>
      </c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2">
        <f t="shared" si="130"/>
        <v>0</v>
      </c>
      <c r="AJ121" s="34">
        <f t="shared" si="131"/>
        <v>0</v>
      </c>
      <c r="AK121" s="57">
        <f t="shared" si="132"/>
        <v>60430</v>
      </c>
      <c r="AL121" s="130"/>
      <c r="BG121" s="2">
        <f t="shared" si="133"/>
        <v>0</v>
      </c>
    </row>
    <row r="122" spans="20:59" x14ac:dyDescent="0.25">
      <c r="T122" s="2">
        <f t="shared" si="134"/>
        <v>0</v>
      </c>
      <c r="U122" s="34">
        <f t="shared" si="135"/>
        <v>0</v>
      </c>
      <c r="V122" s="57">
        <f t="shared" si="136"/>
        <v>68825</v>
      </c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2">
        <f t="shared" si="130"/>
        <v>0</v>
      </c>
      <c r="AJ122" s="34">
        <f t="shared" si="131"/>
        <v>0</v>
      </c>
      <c r="AK122" s="57">
        <f t="shared" si="132"/>
        <v>60795</v>
      </c>
      <c r="AL122" s="130"/>
      <c r="BG122" s="2">
        <f t="shared" si="133"/>
        <v>0</v>
      </c>
    </row>
    <row r="123" spans="20:59" x14ac:dyDescent="0.25">
      <c r="T123" s="2">
        <f t="shared" si="134"/>
        <v>0</v>
      </c>
      <c r="U123" s="34">
        <f t="shared" si="135"/>
        <v>0</v>
      </c>
      <c r="V123" s="57">
        <f t="shared" si="136"/>
        <v>69190</v>
      </c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2" t="e">
        <f t="shared" si="130"/>
        <v>#VALUE!</v>
      </c>
      <c r="AJ123" s="34">
        <f t="shared" si="131"/>
        <v>0</v>
      </c>
      <c r="AK123" s="57">
        <f t="shared" si="132"/>
        <v>61160</v>
      </c>
      <c r="AL123" s="130"/>
      <c r="BG123" s="2">
        <f t="shared" si="133"/>
        <v>0</v>
      </c>
    </row>
    <row r="124" spans="20:59" x14ac:dyDescent="0.25">
      <c r="T124" s="2">
        <f t="shared" si="134"/>
        <v>0</v>
      </c>
      <c r="U124" s="34">
        <f t="shared" si="135"/>
        <v>0</v>
      </c>
      <c r="V124" s="57">
        <f t="shared" si="136"/>
        <v>69555</v>
      </c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2">
        <f t="shared" si="130"/>
        <v>0</v>
      </c>
      <c r="AJ124" s="34">
        <f t="shared" si="131"/>
        <v>0</v>
      </c>
      <c r="AK124" s="57">
        <f t="shared" si="132"/>
        <v>61525</v>
      </c>
      <c r="AL124" s="130"/>
      <c r="BG124" s="2">
        <f t="shared" si="133"/>
        <v>0</v>
      </c>
    </row>
    <row r="125" spans="20:59" x14ac:dyDescent="0.25">
      <c r="T125" s="2">
        <f t="shared" si="134"/>
        <v>0</v>
      </c>
      <c r="U125" s="34">
        <f t="shared" si="135"/>
        <v>0</v>
      </c>
      <c r="V125" s="57">
        <f t="shared" si="136"/>
        <v>69920</v>
      </c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2">
        <f t="shared" si="130"/>
        <v>2372645.9</v>
      </c>
      <c r="AJ125" s="34">
        <f t="shared" si="131"/>
        <v>0</v>
      </c>
      <c r="AK125" s="57">
        <f t="shared" si="132"/>
        <v>61890</v>
      </c>
      <c r="AL125" s="130"/>
      <c r="BG125" s="2">
        <f t="shared" si="133"/>
        <v>0</v>
      </c>
    </row>
    <row r="126" spans="20:59" x14ac:dyDescent="0.25">
      <c r="T126" s="2">
        <f t="shared" si="134"/>
        <v>0</v>
      </c>
      <c r="U126" s="34">
        <f t="shared" si="135"/>
        <v>0</v>
      </c>
      <c r="V126" s="57">
        <f>V95+365</f>
        <v>59335</v>
      </c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2">
        <f t="shared" si="130"/>
        <v>-7117937.7000000002</v>
      </c>
      <c r="AJ126" s="34">
        <f t="shared" si="131"/>
        <v>0</v>
      </c>
      <c r="AK126" s="57">
        <f t="shared" si="132"/>
        <v>62255</v>
      </c>
      <c r="AL126" s="130"/>
      <c r="BG126" s="2">
        <f t="shared" si="133"/>
        <v>0</v>
      </c>
    </row>
    <row r="127" spans="20:59" x14ac:dyDescent="0.25">
      <c r="T127" s="2">
        <f t="shared" si="134"/>
        <v>0</v>
      </c>
      <c r="U127" s="34">
        <f t="shared" si="135"/>
        <v>0</v>
      </c>
      <c r="V127" s="57">
        <f t="shared" si="136"/>
        <v>59700</v>
      </c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2">
        <f t="shared" si="130"/>
        <v>0</v>
      </c>
      <c r="AJ127" s="34">
        <f t="shared" si="131"/>
        <v>0</v>
      </c>
      <c r="AK127" s="57">
        <f t="shared" si="132"/>
        <v>62620</v>
      </c>
      <c r="BG127" s="2">
        <f t="shared" si="133"/>
        <v>0</v>
      </c>
    </row>
    <row r="128" spans="20:59" x14ac:dyDescent="0.25">
      <c r="T128" s="2">
        <f t="shared" si="134"/>
        <v>0</v>
      </c>
      <c r="U128" s="34">
        <f t="shared" si="135"/>
        <v>0</v>
      </c>
      <c r="V128" s="57">
        <f t="shared" si="136"/>
        <v>60065</v>
      </c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60"/>
      <c r="AI128" s="2">
        <f t="shared" si="130"/>
        <v>0</v>
      </c>
      <c r="AJ128" s="34">
        <f t="shared" si="131"/>
        <v>0</v>
      </c>
      <c r="AK128" s="57">
        <f t="shared" si="132"/>
        <v>62985</v>
      </c>
      <c r="BG128" s="2">
        <f t="shared" si="133"/>
        <v>0</v>
      </c>
    </row>
    <row r="129" spans="20:59" x14ac:dyDescent="0.25">
      <c r="T129" s="2">
        <f t="shared" si="134"/>
        <v>0</v>
      </c>
      <c r="U129" s="34">
        <f t="shared" si="135"/>
        <v>0</v>
      </c>
      <c r="V129" s="57">
        <f t="shared" si="136"/>
        <v>60430</v>
      </c>
      <c r="W129" s="16"/>
      <c r="X129" s="16"/>
      <c r="Y129" s="16"/>
      <c r="Z129" s="16"/>
      <c r="AA129" s="16"/>
      <c r="AB129" s="33"/>
      <c r="AC129" s="33"/>
      <c r="AD129" s="33"/>
      <c r="AE129" s="33"/>
      <c r="AF129" s="16"/>
      <c r="AI129" s="2">
        <f t="shared" si="130"/>
        <v>0</v>
      </c>
      <c r="AJ129" s="34">
        <f t="shared" si="131"/>
        <v>0</v>
      </c>
      <c r="AK129" s="57">
        <f t="shared" si="132"/>
        <v>63350</v>
      </c>
      <c r="BG129" s="2">
        <f t="shared" si="133"/>
        <v>0</v>
      </c>
    </row>
    <row r="130" spans="20:59" x14ac:dyDescent="0.25">
      <c r="T130" s="2">
        <f t="shared" si="134"/>
        <v>0</v>
      </c>
      <c r="U130" s="34">
        <f t="shared" si="135"/>
        <v>0</v>
      </c>
      <c r="V130" s="57">
        <f t="shared" si="136"/>
        <v>60795</v>
      </c>
      <c r="W130" s="16"/>
      <c r="X130" s="16"/>
      <c r="AI130" s="2">
        <f t="shared" si="130"/>
        <v>0</v>
      </c>
      <c r="AJ130" s="34">
        <f t="shared" si="131"/>
        <v>0</v>
      </c>
      <c r="AK130" s="57">
        <f t="shared" si="132"/>
        <v>63715</v>
      </c>
      <c r="BG130" s="2">
        <f t="shared" si="133"/>
        <v>0</v>
      </c>
    </row>
    <row r="131" spans="20:59" x14ac:dyDescent="0.25">
      <c r="T131" s="2">
        <f t="shared" si="134"/>
        <v>0</v>
      </c>
      <c r="U131" s="34">
        <f t="shared" si="135"/>
        <v>0</v>
      </c>
      <c r="V131" s="57">
        <f t="shared" si="136"/>
        <v>61160</v>
      </c>
      <c r="W131" s="16"/>
      <c r="X131" s="16"/>
      <c r="AI131" s="2">
        <f t="shared" si="130"/>
        <v>0</v>
      </c>
      <c r="AJ131" s="34">
        <f t="shared" si="131"/>
        <v>0</v>
      </c>
      <c r="AK131" s="57">
        <f t="shared" si="132"/>
        <v>64080</v>
      </c>
      <c r="BG131" s="2">
        <f t="shared" si="133"/>
        <v>0</v>
      </c>
    </row>
    <row r="132" spans="20:59" x14ac:dyDescent="0.25">
      <c r="T132" s="2">
        <f t="shared" si="134"/>
        <v>0</v>
      </c>
      <c r="U132" s="34">
        <f t="shared" si="135"/>
        <v>0</v>
      </c>
      <c r="V132" s="57">
        <f t="shared" si="136"/>
        <v>61525</v>
      </c>
      <c r="W132" s="16"/>
      <c r="X132" s="16"/>
      <c r="AI132" s="2">
        <f t="shared" si="130"/>
        <v>0</v>
      </c>
      <c r="AJ132" s="34">
        <f t="shared" si="131"/>
        <v>0</v>
      </c>
      <c r="AK132" s="57">
        <f t="shared" si="132"/>
        <v>64445</v>
      </c>
      <c r="BG132" s="2">
        <f t="shared" si="133"/>
        <v>0</v>
      </c>
    </row>
    <row r="133" spans="20:59" x14ac:dyDescent="0.25">
      <c r="T133" s="2">
        <f t="shared" si="134"/>
        <v>0</v>
      </c>
      <c r="U133" s="34">
        <f t="shared" si="135"/>
        <v>0</v>
      </c>
      <c r="V133" s="57">
        <f t="shared" si="136"/>
        <v>61890</v>
      </c>
      <c r="W133" s="16"/>
      <c r="X133" s="16"/>
      <c r="AI133" s="2">
        <f t="shared" si="130"/>
        <v>0</v>
      </c>
      <c r="AJ133" s="34">
        <f t="shared" si="131"/>
        <v>0</v>
      </c>
      <c r="AK133" s="57">
        <f t="shared" si="132"/>
        <v>64810</v>
      </c>
      <c r="BG133" s="2">
        <f t="shared" si="133"/>
        <v>0</v>
      </c>
    </row>
    <row r="134" spans="20:59" x14ac:dyDescent="0.25">
      <c r="T134" s="2">
        <f t="shared" si="134"/>
        <v>0</v>
      </c>
      <c r="U134" s="34">
        <f t="shared" si="135"/>
        <v>0</v>
      </c>
      <c r="V134" s="57">
        <f t="shared" si="136"/>
        <v>62255</v>
      </c>
      <c r="W134" s="16"/>
      <c r="X134" s="16"/>
      <c r="AI134" s="2">
        <f t="shared" si="130"/>
        <v>0</v>
      </c>
      <c r="AJ134" s="34">
        <f t="shared" si="131"/>
        <v>0</v>
      </c>
      <c r="AK134" s="57">
        <f t="shared" si="132"/>
        <v>65175</v>
      </c>
      <c r="BG134" s="2">
        <f t="shared" si="133"/>
        <v>0</v>
      </c>
    </row>
    <row r="135" spans="20:59" x14ac:dyDescent="0.25">
      <c r="T135" s="2">
        <f t="shared" si="134"/>
        <v>0</v>
      </c>
      <c r="U135" s="34">
        <f t="shared" si="135"/>
        <v>0</v>
      </c>
      <c r="V135" s="57">
        <f t="shared" si="136"/>
        <v>62620</v>
      </c>
      <c r="W135" s="16"/>
      <c r="X135" s="16"/>
      <c r="AI135" s="2">
        <f t="shared" si="130"/>
        <v>0</v>
      </c>
      <c r="AJ135" s="34">
        <f t="shared" si="131"/>
        <v>0</v>
      </c>
      <c r="AK135" s="57">
        <f t="shared" si="132"/>
        <v>65540</v>
      </c>
      <c r="BG135" s="2">
        <f t="shared" si="133"/>
        <v>0</v>
      </c>
    </row>
    <row r="136" spans="20:59" x14ac:dyDescent="0.25">
      <c r="T136" s="2">
        <f t="shared" si="134"/>
        <v>0</v>
      </c>
      <c r="U136" s="34">
        <f t="shared" si="135"/>
        <v>0</v>
      </c>
      <c r="V136" s="57">
        <f t="shared" si="136"/>
        <v>62985</v>
      </c>
      <c r="W136" s="16"/>
      <c r="X136" s="16"/>
      <c r="AI136" s="2">
        <f t="shared" si="130"/>
        <v>0</v>
      </c>
      <c r="AJ136" s="34">
        <f t="shared" si="131"/>
        <v>0</v>
      </c>
      <c r="AK136" s="57">
        <f t="shared" si="132"/>
        <v>65905</v>
      </c>
      <c r="BG136" s="2">
        <f t="shared" si="133"/>
        <v>0</v>
      </c>
    </row>
    <row r="137" spans="20:59" x14ac:dyDescent="0.25">
      <c r="T137" s="2">
        <f t="shared" si="134"/>
        <v>0</v>
      </c>
      <c r="U137" s="34">
        <f t="shared" si="135"/>
        <v>0</v>
      </c>
      <c r="V137" s="57">
        <f t="shared" si="136"/>
        <v>63350</v>
      </c>
      <c r="AI137" s="2">
        <f t="shared" si="130"/>
        <v>0</v>
      </c>
      <c r="AJ137" s="34">
        <f t="shared" si="131"/>
        <v>0</v>
      </c>
      <c r="AK137" s="57">
        <f t="shared" si="132"/>
        <v>66270</v>
      </c>
      <c r="BG137" s="2">
        <f t="shared" si="133"/>
        <v>0</v>
      </c>
    </row>
    <row r="138" spans="20:59" x14ac:dyDescent="0.25">
      <c r="T138" s="2">
        <f t="shared" si="134"/>
        <v>0</v>
      </c>
      <c r="U138" s="34">
        <f t="shared" si="135"/>
        <v>0</v>
      </c>
      <c r="V138" s="57">
        <f t="shared" si="136"/>
        <v>63715</v>
      </c>
      <c r="AI138" s="2">
        <f t="shared" si="130"/>
        <v>0</v>
      </c>
      <c r="AJ138" s="34">
        <f t="shared" si="131"/>
        <v>0</v>
      </c>
      <c r="AK138" s="57">
        <f t="shared" si="132"/>
        <v>66635</v>
      </c>
      <c r="BG138" s="2">
        <f t="shared" si="133"/>
        <v>0</v>
      </c>
    </row>
    <row r="139" spans="20:59" x14ac:dyDescent="0.25">
      <c r="T139" s="2">
        <f t="shared" si="134"/>
        <v>0</v>
      </c>
      <c r="U139" s="34">
        <f t="shared" si="135"/>
        <v>0</v>
      </c>
      <c r="V139" s="57">
        <f t="shared" si="136"/>
        <v>64080</v>
      </c>
      <c r="AI139" s="2">
        <f t="shared" si="130"/>
        <v>0</v>
      </c>
      <c r="AJ139" s="34">
        <f t="shared" si="131"/>
        <v>0</v>
      </c>
      <c r="AK139" s="57">
        <f t="shared" si="132"/>
        <v>67000</v>
      </c>
      <c r="BG139" s="2">
        <f t="shared" si="133"/>
        <v>0</v>
      </c>
    </row>
    <row r="140" spans="20:59" x14ac:dyDescent="0.25">
      <c r="T140" s="2">
        <f t="shared" si="134"/>
        <v>0</v>
      </c>
      <c r="U140" s="34">
        <f t="shared" si="135"/>
        <v>0</v>
      </c>
      <c r="V140" s="57">
        <f t="shared" si="136"/>
        <v>64445</v>
      </c>
      <c r="AI140" s="2">
        <f t="shared" si="130"/>
        <v>0</v>
      </c>
      <c r="AJ140" s="34">
        <f t="shared" si="131"/>
        <v>0</v>
      </c>
      <c r="AK140" s="57">
        <f t="shared" si="132"/>
        <v>67365</v>
      </c>
      <c r="BG140" s="2">
        <f t="shared" si="133"/>
        <v>0</v>
      </c>
    </row>
    <row r="141" spans="20:59" x14ac:dyDescent="0.25">
      <c r="T141" s="2">
        <f t="shared" si="134"/>
        <v>0</v>
      </c>
      <c r="U141" s="34">
        <f t="shared" si="135"/>
        <v>0</v>
      </c>
      <c r="V141" s="57">
        <f t="shared" si="136"/>
        <v>64810</v>
      </c>
      <c r="AI141" s="2">
        <f t="shared" si="130"/>
        <v>0</v>
      </c>
      <c r="AJ141" s="34">
        <f t="shared" si="131"/>
        <v>0</v>
      </c>
      <c r="AK141" s="57">
        <f t="shared" si="132"/>
        <v>67730</v>
      </c>
      <c r="BG141" s="2">
        <f t="shared" si="133"/>
        <v>0</v>
      </c>
    </row>
    <row r="142" spans="20:59" x14ac:dyDescent="0.25">
      <c r="T142" s="2">
        <f t="shared" si="134"/>
        <v>0</v>
      </c>
      <c r="U142" s="34">
        <f t="shared" si="135"/>
        <v>0</v>
      </c>
      <c r="V142" s="57">
        <f t="shared" si="136"/>
        <v>65175</v>
      </c>
      <c r="AI142" s="2">
        <f t="shared" ref="AI142:AI147" si="137">IF(AND(V111&gt;=$T$22,V111&lt;=$T$22+5),0,IF($C$9&gt;$AC$51,ROUND(AF102*$C$14/(DATEVALUE(CONCATENATE("01/01/",YEAR(W111)+1))-DATEVALUE(CONCATENATE("01/01/",YEAR(W111))))*(W111-W110),2),0))</f>
        <v>0</v>
      </c>
      <c r="AJ142" s="34">
        <f t="shared" si="131"/>
        <v>0</v>
      </c>
      <c r="AK142" s="57">
        <f t="shared" si="132"/>
        <v>68095</v>
      </c>
      <c r="BG142" s="2">
        <f t="shared" si="133"/>
        <v>0</v>
      </c>
    </row>
    <row r="143" spans="20:59" x14ac:dyDescent="0.25">
      <c r="T143" s="2">
        <f t="shared" si="134"/>
        <v>0</v>
      </c>
      <c r="U143" s="34">
        <f t="shared" si="135"/>
        <v>0</v>
      </c>
      <c r="V143" s="57">
        <f t="shared" si="136"/>
        <v>65540</v>
      </c>
      <c r="AI143" s="2">
        <f t="shared" si="137"/>
        <v>0</v>
      </c>
      <c r="AJ143" s="34">
        <f t="shared" si="131"/>
        <v>0</v>
      </c>
      <c r="AK143" s="57">
        <f t="shared" si="132"/>
        <v>68460</v>
      </c>
      <c r="BG143" s="2">
        <f t="shared" si="133"/>
        <v>0</v>
      </c>
    </row>
    <row r="144" spans="20:59" x14ac:dyDescent="0.25">
      <c r="T144" s="2">
        <f t="shared" si="134"/>
        <v>0</v>
      </c>
      <c r="U144" s="34">
        <f t="shared" si="135"/>
        <v>0</v>
      </c>
      <c r="V144" s="57">
        <f t="shared" si="136"/>
        <v>65905</v>
      </c>
      <c r="AI144" s="2">
        <f t="shared" si="137"/>
        <v>0</v>
      </c>
      <c r="AJ144" s="34">
        <f t="shared" si="131"/>
        <v>0</v>
      </c>
      <c r="AK144" s="57">
        <f t="shared" si="132"/>
        <v>68825</v>
      </c>
      <c r="BG144" s="2">
        <f t="shared" si="133"/>
        <v>0</v>
      </c>
    </row>
    <row r="145" spans="20:59" x14ac:dyDescent="0.25">
      <c r="T145" s="2">
        <f t="shared" si="134"/>
        <v>0</v>
      </c>
      <c r="U145" s="34">
        <f t="shared" si="135"/>
        <v>0</v>
      </c>
      <c r="V145" s="57">
        <f t="shared" si="136"/>
        <v>66270</v>
      </c>
      <c r="AI145" s="2">
        <f t="shared" si="137"/>
        <v>0</v>
      </c>
      <c r="AJ145" s="34">
        <f t="shared" si="131"/>
        <v>0</v>
      </c>
      <c r="AK145" s="57">
        <f t="shared" si="132"/>
        <v>69190</v>
      </c>
      <c r="BG145" s="2">
        <f t="shared" si="133"/>
        <v>0</v>
      </c>
    </row>
    <row r="146" spans="20:59" x14ac:dyDescent="0.25">
      <c r="T146" s="2">
        <f t="shared" si="134"/>
        <v>0</v>
      </c>
      <c r="U146" s="34">
        <f t="shared" si="135"/>
        <v>0</v>
      </c>
      <c r="V146" s="57">
        <f t="shared" si="136"/>
        <v>66635</v>
      </c>
      <c r="AI146" s="2">
        <f t="shared" si="137"/>
        <v>0</v>
      </c>
      <c r="AJ146" s="34">
        <f t="shared" si="131"/>
        <v>0</v>
      </c>
      <c r="AK146" s="57">
        <f t="shared" si="132"/>
        <v>69555</v>
      </c>
      <c r="BG146" s="2">
        <f t="shared" si="133"/>
        <v>0</v>
      </c>
    </row>
    <row r="147" spans="20:59" x14ac:dyDescent="0.25">
      <c r="T147" s="2">
        <f t="shared" si="134"/>
        <v>0</v>
      </c>
      <c r="U147" s="34">
        <f t="shared" si="135"/>
        <v>0</v>
      </c>
      <c r="V147" s="57">
        <f t="shared" si="136"/>
        <v>67000</v>
      </c>
      <c r="AI147" s="2">
        <f t="shared" si="137"/>
        <v>0</v>
      </c>
      <c r="AJ147" s="34">
        <f t="shared" si="131"/>
        <v>0</v>
      </c>
      <c r="AK147" s="57">
        <f t="shared" si="132"/>
        <v>69920</v>
      </c>
      <c r="BG147" s="2">
        <f t="shared" si="133"/>
        <v>0</v>
      </c>
    </row>
    <row r="148" spans="20:59" x14ac:dyDescent="0.25">
      <c r="T148" s="2">
        <f t="shared" si="134"/>
        <v>0</v>
      </c>
      <c r="U148" s="34">
        <f t="shared" si="135"/>
        <v>0</v>
      </c>
      <c r="V148" s="57">
        <f t="shared" si="136"/>
        <v>67365</v>
      </c>
      <c r="AI148" s="35" t="e">
        <f>SUM(AI48:AI147)</f>
        <v>#REF!</v>
      </c>
      <c r="AJ148" s="35">
        <f>SUM(AJ48:AJ147)</f>
        <v>1843188.72</v>
      </c>
      <c r="AK148" s="154">
        <f>XIRR(AJ46:AJ147,AK46:AK147)*12</f>
        <v>0.19908910989761358</v>
      </c>
      <c r="BG148" s="2">
        <f t="shared" si="133"/>
        <v>0</v>
      </c>
    </row>
    <row r="149" spans="20:59" x14ac:dyDescent="0.25">
      <c r="T149" s="2">
        <f t="shared" si="134"/>
        <v>0</v>
      </c>
      <c r="U149" s="34">
        <f t="shared" si="135"/>
        <v>0</v>
      </c>
      <c r="V149" s="57">
        <f t="shared" si="136"/>
        <v>67730</v>
      </c>
      <c r="BG149" s="2">
        <f t="shared" si="133"/>
        <v>0</v>
      </c>
    </row>
    <row r="150" spans="20:59" x14ac:dyDescent="0.25">
      <c r="T150" s="2">
        <f t="shared" si="134"/>
        <v>0</v>
      </c>
      <c r="U150" s="34">
        <f t="shared" si="135"/>
        <v>0</v>
      </c>
      <c r="V150" s="57">
        <f t="shared" si="136"/>
        <v>68095</v>
      </c>
      <c r="BG150" s="2">
        <f t="shared" ref="BG150:BG153" si="138">IF(AND(G105&gt;=$T$22,G105&lt;=$T$22+5),0,IF($C$9&gt;$AC$51,ROUND(BB104*IF($D$14="",0,$D$14)/(DATEVALUE(CONCATENATE("01/01/",YEAR(AN105)+1))-DATEVALUE(CONCATENATE("01/01/",YEAR(AN105))))*(AN105-AN104),2),0))</f>
        <v>0</v>
      </c>
    </row>
    <row r="151" spans="20:59" x14ac:dyDescent="0.25">
      <c r="T151" s="2">
        <f t="shared" si="134"/>
        <v>0</v>
      </c>
      <c r="U151" s="34">
        <f t="shared" si="135"/>
        <v>0</v>
      </c>
      <c r="V151" s="57">
        <f t="shared" si="136"/>
        <v>68460</v>
      </c>
      <c r="BG151" s="2">
        <f t="shared" si="138"/>
        <v>0</v>
      </c>
    </row>
    <row r="152" spans="20:59" x14ac:dyDescent="0.25">
      <c r="T152" s="2">
        <f t="shared" ref="T152:T155" si="139">IF(AND(G105&gt;=$T$22,G105&lt;=$T$22+5),0,IF($C$9&gt;$AC$51,ROUND(Q104*$C$14/(DATEVALUE(CONCATENATE("01/01/",YEAR(H105)+1))-DATEVALUE(CONCATENATE("01/01/",YEAR(H105))))*(H105-H104),2),0))</f>
        <v>0</v>
      </c>
      <c r="U152" s="34">
        <f t="shared" ref="U152:U155" si="140">J105+K105+L105-P105</f>
        <v>0</v>
      </c>
      <c r="V152" s="57">
        <f t="shared" si="136"/>
        <v>68825</v>
      </c>
      <c r="BG152" s="2">
        <f t="shared" si="138"/>
        <v>0</v>
      </c>
    </row>
    <row r="153" spans="20:59" x14ac:dyDescent="0.25">
      <c r="T153" s="2">
        <f t="shared" si="139"/>
        <v>0</v>
      </c>
      <c r="U153" s="34">
        <f t="shared" si="140"/>
        <v>0</v>
      </c>
      <c r="V153" s="57">
        <f t="shared" si="136"/>
        <v>69190</v>
      </c>
      <c r="BG153" s="2">
        <f t="shared" si="138"/>
        <v>0</v>
      </c>
    </row>
    <row r="154" spans="20:59" x14ac:dyDescent="0.25">
      <c r="T154" s="2">
        <f t="shared" si="139"/>
        <v>0</v>
      </c>
      <c r="U154" s="34">
        <f t="shared" si="140"/>
        <v>0</v>
      </c>
      <c r="V154" s="57">
        <f t="shared" si="136"/>
        <v>69555</v>
      </c>
      <c r="BG154" s="35">
        <f>SUM(BG54:BG153)</f>
        <v>0</v>
      </c>
    </row>
    <row r="155" spans="20:59" x14ac:dyDescent="0.25">
      <c r="T155" s="2">
        <f t="shared" si="139"/>
        <v>0</v>
      </c>
      <c r="U155" s="34">
        <f t="shared" si="140"/>
        <v>0</v>
      </c>
      <c r="V155" s="57">
        <f t="shared" si="136"/>
        <v>69920</v>
      </c>
    </row>
    <row r="156" spans="20:59" x14ac:dyDescent="0.25">
      <c r="T156" s="35">
        <f>SUM(T56:T155)</f>
        <v>349015.12999999995</v>
      </c>
      <c r="U156" s="35">
        <f>SUM(U56:U155)</f>
        <v>1816696.0699999996</v>
      </c>
      <c r="V156" s="154">
        <f>XIRR(U54:U155,V54:V155)*12</f>
        <v>0.16907383203506471</v>
      </c>
    </row>
    <row r="157" spans="20:59" x14ac:dyDescent="0.25">
      <c r="U157" s="34"/>
      <c r="V157" s="57"/>
    </row>
    <row r="158" spans="20:59" x14ac:dyDescent="0.25">
      <c r="U158" s="34"/>
      <c r="V158" s="57"/>
    </row>
    <row r="159" spans="20:59" x14ac:dyDescent="0.25">
      <c r="U159" s="34"/>
      <c r="V159" s="57"/>
    </row>
    <row r="160" spans="20:59" x14ac:dyDescent="0.25">
      <c r="U160" s="34"/>
      <c r="V160" s="57"/>
    </row>
  </sheetData>
  <sheetProtection sheet="1" selectLockedCells="1"/>
  <dataConsolidate/>
  <mergeCells count="68">
    <mergeCell ref="A1:E2"/>
    <mergeCell ref="A25:B25"/>
    <mergeCell ref="A5:E5"/>
    <mergeCell ref="G3:R4"/>
    <mergeCell ref="A7:B7"/>
    <mergeCell ref="C7:D7"/>
    <mergeCell ref="A13:A18"/>
    <mergeCell ref="A8:B8"/>
    <mergeCell ref="A24:B24"/>
    <mergeCell ref="A3:E3"/>
    <mergeCell ref="A19:A20"/>
    <mergeCell ref="A6:B6"/>
    <mergeCell ref="Q6:Q7"/>
    <mergeCell ref="L6:L7"/>
    <mergeCell ref="M6:M7"/>
    <mergeCell ref="N6:N7"/>
    <mergeCell ref="BJ13:BJ14"/>
    <mergeCell ref="A21:E21"/>
    <mergeCell ref="A12:B12"/>
    <mergeCell ref="A23:B23"/>
    <mergeCell ref="BI33:BI35"/>
    <mergeCell ref="A30:B30"/>
    <mergeCell ref="A34:B34"/>
    <mergeCell ref="A31:B31"/>
    <mergeCell ref="A28:B28"/>
    <mergeCell ref="A29:B29"/>
    <mergeCell ref="A32:B32"/>
    <mergeCell ref="BI13:BI14"/>
    <mergeCell ref="A26:B26"/>
    <mergeCell ref="D43:D49"/>
    <mergeCell ref="C6:D6"/>
    <mergeCell ref="C10:D10"/>
    <mergeCell ref="A9:B9"/>
    <mergeCell ref="C9:D9"/>
    <mergeCell ref="A10:B10"/>
    <mergeCell ref="A41:B41"/>
    <mergeCell ref="A37:E37"/>
    <mergeCell ref="A36:B36"/>
    <mergeCell ref="A38:A39"/>
    <mergeCell ref="A40:B40"/>
    <mergeCell ref="A35:B35"/>
    <mergeCell ref="A33:B33"/>
    <mergeCell ref="A27:B27"/>
    <mergeCell ref="A11:B11"/>
    <mergeCell ref="BI3:BO3"/>
    <mergeCell ref="BI6:BO6"/>
    <mergeCell ref="BJ10:BJ11"/>
    <mergeCell ref="BI10:BI11"/>
    <mergeCell ref="BO7:BO8"/>
    <mergeCell ref="BI7:BI8"/>
    <mergeCell ref="BJ7:BJ8"/>
    <mergeCell ref="BM7:BM8"/>
    <mergeCell ref="BN7:BN8"/>
    <mergeCell ref="O6:O7"/>
    <mergeCell ref="P6:P7"/>
    <mergeCell ref="G6:G7"/>
    <mergeCell ref="H6:H7"/>
    <mergeCell ref="I6:I7"/>
    <mergeCell ref="J6:J7"/>
    <mergeCell ref="K6:K7"/>
    <mergeCell ref="AM3:AX4"/>
    <mergeCell ref="AY3:BC4"/>
    <mergeCell ref="AM6:AM7"/>
    <mergeCell ref="AN6:AN7"/>
    <mergeCell ref="AO6:AO7"/>
    <mergeCell ref="AP6:AP7"/>
    <mergeCell ref="AQ6:AQ7"/>
    <mergeCell ref="BB6:BB7"/>
  </mergeCells>
  <dataValidations count="5">
    <dataValidation type="list" allowBlank="1" showInputMessage="1" showErrorMessage="1" sqref="C11:D11" xr:uid="{00000000-0002-0000-0100-000000000000}">
      <formula1>$T$3:$X$3</formula1>
    </dataValidation>
    <dataValidation type="list" allowBlank="1" showInputMessage="1" showErrorMessage="1" sqref="C19:D19" xr:uid="{00000000-0002-0000-0100-000001000000}">
      <formula1>$V$40:$W$40</formula1>
    </dataValidation>
    <dataValidation type="list" allowBlank="1" showInputMessage="1" showErrorMessage="1" sqref="C13:D13" xr:uid="{00000000-0002-0000-0100-000002000000}">
      <formula1>$Z$30:$AA$30</formula1>
    </dataValidation>
    <dataValidation type="list" allowBlank="1" showInputMessage="1" showErrorMessage="1" sqref="C8:D8" xr:uid="{00000000-0002-0000-0100-000003000000}">
      <formula1>$Z$59:$AG$59</formula1>
    </dataValidation>
    <dataValidation type="list" allowBlank="1" showInputMessage="1" showErrorMessage="1" sqref="C12:D12" xr:uid="{00000000-0002-0000-0100-000004000000}">
      <formula1>IF($C$11=$T$3,$T$5:$T$21,IF($C$11=$U$3,$U$5:$U$21,IF($C$11=$V$3,$V$5:$V$21,IF($C$11=$W$3,$W$5:$W$21,IF($C$11=$X$3,$X$5:$X$21)))))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8" orientation="portrait" r:id="rId1"/>
  <colBreaks count="1" manualBreakCount="1">
    <brk id="5" max="108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4"/>
  <dimension ref="A1:J38"/>
  <sheetViews>
    <sheetView showGridLines="0" zoomScale="70" zoomScaleNormal="70" workbookViewId="0">
      <pane ySplit="8" topLeftCell="A17" activePane="bottomLeft" state="frozen"/>
      <selection activeCell="F3" sqref="F3"/>
      <selection pane="bottomLeft" activeCell="F3" sqref="F3"/>
    </sheetView>
  </sheetViews>
  <sheetFormatPr defaultColWidth="8.6640625" defaultRowHeight="13.2" x14ac:dyDescent="0.25"/>
  <cols>
    <col min="1" max="1" width="66.44140625" style="3" customWidth="1"/>
    <col min="2" max="2" width="27.44140625" style="90" customWidth="1"/>
    <col min="3" max="3" width="10.109375" hidden="1" customWidth="1"/>
    <col min="4" max="4" width="12.109375" hidden="1" customWidth="1"/>
    <col min="6" max="7" width="10.109375" customWidth="1"/>
    <col min="9" max="9" width="8" customWidth="1"/>
    <col min="17" max="45" width="0" hidden="1" customWidth="1"/>
  </cols>
  <sheetData>
    <row r="1" spans="1:10" ht="79.95" customHeight="1" x14ac:dyDescent="0.25">
      <c r="A1" s="1018" t="s">
        <v>249</v>
      </c>
      <c r="B1" s="1018"/>
      <c r="C1" s="368"/>
      <c r="D1" s="368"/>
      <c r="E1" s="368"/>
      <c r="F1" s="368"/>
      <c r="G1" s="368"/>
      <c r="H1" s="368"/>
      <c r="I1" s="368"/>
      <c r="J1" s="368"/>
    </row>
    <row r="2" spans="1:10" ht="28.95" customHeight="1" x14ac:dyDescent="0.25">
      <c r="A2" s="370" t="s">
        <v>226</v>
      </c>
      <c r="B2" s="370" t="s">
        <v>227</v>
      </c>
      <c r="C2" s="368"/>
      <c r="D2" s="368"/>
      <c r="E2" s="368"/>
      <c r="F2" s="368"/>
      <c r="G2" s="368"/>
      <c r="H2" s="368"/>
      <c r="I2" s="368"/>
      <c r="J2" s="368"/>
    </row>
    <row r="3" spans="1:10" ht="28.95" customHeight="1" x14ac:dyDescent="0.25">
      <c r="A3" s="463" t="s">
        <v>228</v>
      </c>
      <c r="B3" s="451">
        <f ca="1">TODAY()+0</f>
        <v>45330</v>
      </c>
      <c r="D3" s="88" t="s">
        <v>54</v>
      </c>
    </row>
    <row r="4" spans="1:10" ht="31.95" customHeight="1" x14ac:dyDescent="0.25">
      <c r="A4" s="463" t="s">
        <v>229</v>
      </c>
      <c r="B4" s="452">
        <v>44282</v>
      </c>
      <c r="C4" s="89"/>
      <c r="D4" s="89">
        <v>0</v>
      </c>
      <c r="E4" s="1020" t="s">
        <v>230</v>
      </c>
      <c r="F4" s="1020"/>
      <c r="G4" s="1020"/>
      <c r="H4" s="1020"/>
      <c r="I4" s="1020"/>
    </row>
    <row r="5" spans="1:10" ht="30" customHeight="1" x14ac:dyDescent="0.25">
      <c r="A5" s="464" t="s">
        <v>231</v>
      </c>
      <c r="B5" s="453">
        <f>B4-15</f>
        <v>44267</v>
      </c>
      <c r="C5" s="61"/>
      <c r="D5" s="89">
        <v>1</v>
      </c>
      <c r="E5" s="1019"/>
      <c r="F5" s="1019"/>
      <c r="G5" s="1019"/>
      <c r="H5" s="1019"/>
      <c r="I5" s="1019"/>
    </row>
    <row r="6" spans="1:10" ht="28.2" customHeight="1" thickBot="1" x14ac:dyDescent="0.3">
      <c r="A6" s="465" t="s">
        <v>232</v>
      </c>
      <c r="B6" s="454">
        <f>B4+15</f>
        <v>44297</v>
      </c>
      <c r="D6" s="89">
        <v>2</v>
      </c>
    </row>
    <row r="7" spans="1:10" ht="15" x14ac:dyDescent="0.25">
      <c r="A7" s="1021" t="s">
        <v>55</v>
      </c>
      <c r="B7" s="455">
        <f t="shared" ref="B7:B37" ca="1" si="0">IF(DAY(C8)=29,"не разрешено",IF(DAY(C8)=30,"не разрешено",IF(DAY(C8)=31,"не разрешено",IF(DAY(C8)=DAY($B$4),"действующая дата",IF(DAY(C8)=DAY($B$3),"текущая дата",C8)))))</f>
        <v>44267</v>
      </c>
      <c r="D7" s="89">
        <v>3</v>
      </c>
    </row>
    <row r="8" spans="1:10" ht="15" x14ac:dyDescent="0.25">
      <c r="A8" s="1022"/>
      <c r="B8" s="455">
        <f t="shared" ca="1" si="0"/>
        <v>44268</v>
      </c>
      <c r="C8" s="61">
        <f t="shared" ref="C8:C38" si="1">$B$5+D4</f>
        <v>44267</v>
      </c>
      <c r="D8" s="89">
        <v>4</v>
      </c>
    </row>
    <row r="9" spans="1:10" ht="16.8" x14ac:dyDescent="0.25">
      <c r="A9" s="369"/>
      <c r="B9" s="455">
        <f t="shared" ca="1" si="0"/>
        <v>44269</v>
      </c>
      <c r="C9" s="61">
        <f t="shared" si="1"/>
        <v>44268</v>
      </c>
      <c r="D9" s="89">
        <v>5</v>
      </c>
      <c r="G9" s="61"/>
    </row>
    <row r="10" spans="1:10" ht="16.8" x14ac:dyDescent="0.25">
      <c r="A10" s="369"/>
      <c r="B10" s="455">
        <f t="shared" ca="1" si="0"/>
        <v>44270</v>
      </c>
      <c r="C10" s="61">
        <f t="shared" si="1"/>
        <v>44269</v>
      </c>
      <c r="D10" s="89">
        <v>6</v>
      </c>
    </row>
    <row r="11" spans="1:10" ht="16.8" x14ac:dyDescent="0.25">
      <c r="A11" s="369"/>
      <c r="B11" s="455">
        <f t="shared" ca="1" si="0"/>
        <v>44271</v>
      </c>
      <c r="C11" s="61">
        <f t="shared" si="1"/>
        <v>44270</v>
      </c>
      <c r="D11" s="89">
        <v>7</v>
      </c>
    </row>
    <row r="12" spans="1:10" ht="16.8" x14ac:dyDescent="0.25">
      <c r="A12" s="369"/>
      <c r="B12" s="455">
        <f t="shared" ca="1" si="0"/>
        <v>44272</v>
      </c>
      <c r="C12" s="61">
        <f t="shared" si="1"/>
        <v>44271</v>
      </c>
      <c r="D12" s="89">
        <v>8</v>
      </c>
    </row>
    <row r="13" spans="1:10" ht="16.8" x14ac:dyDescent="0.25">
      <c r="A13" s="369"/>
      <c r="B13" s="455">
        <f t="shared" ca="1" si="0"/>
        <v>44273</v>
      </c>
      <c r="C13" s="61">
        <f t="shared" si="1"/>
        <v>44272</v>
      </c>
      <c r="D13" s="89">
        <v>9</v>
      </c>
    </row>
    <row r="14" spans="1:10" ht="16.8" x14ac:dyDescent="0.25">
      <c r="A14" s="369"/>
      <c r="B14" s="455">
        <f t="shared" ca="1" si="0"/>
        <v>44274</v>
      </c>
      <c r="C14" s="61">
        <f t="shared" si="1"/>
        <v>44273</v>
      </c>
      <c r="D14" s="89">
        <v>10</v>
      </c>
    </row>
    <row r="15" spans="1:10" ht="16.8" x14ac:dyDescent="0.25">
      <c r="A15" s="369"/>
      <c r="B15" s="455">
        <f t="shared" ca="1" si="0"/>
        <v>44275</v>
      </c>
      <c r="C15" s="61">
        <f t="shared" si="1"/>
        <v>44274</v>
      </c>
      <c r="D15" s="89">
        <v>11</v>
      </c>
      <c r="F15" s="61"/>
    </row>
    <row r="16" spans="1:10" ht="16.8" x14ac:dyDescent="0.25">
      <c r="A16" s="369"/>
      <c r="B16" s="455">
        <f t="shared" ca="1" si="0"/>
        <v>44276</v>
      </c>
      <c r="C16" s="61">
        <f t="shared" si="1"/>
        <v>44275</v>
      </c>
      <c r="D16" s="89">
        <v>12</v>
      </c>
    </row>
    <row r="17" spans="1:5" ht="16.8" x14ac:dyDescent="0.25">
      <c r="A17" s="369"/>
      <c r="B17" s="455">
        <f t="shared" ca="1" si="0"/>
        <v>44277</v>
      </c>
      <c r="C17" s="61">
        <f t="shared" si="1"/>
        <v>44276</v>
      </c>
      <c r="D17" s="89">
        <v>13</v>
      </c>
    </row>
    <row r="18" spans="1:5" ht="16.8" x14ac:dyDescent="0.25">
      <c r="A18" s="369" t="s">
        <v>56</v>
      </c>
      <c r="B18" s="456">
        <f t="shared" ca="1" si="0"/>
        <v>44278</v>
      </c>
      <c r="C18" s="61">
        <f t="shared" si="1"/>
        <v>44277</v>
      </c>
      <c r="D18" s="89">
        <v>14</v>
      </c>
    </row>
    <row r="19" spans="1:5" ht="16.8" x14ac:dyDescent="0.25">
      <c r="A19" s="369"/>
      <c r="B19" s="460">
        <f t="shared" ca="1" si="0"/>
        <v>44279</v>
      </c>
      <c r="C19" s="61">
        <f t="shared" si="1"/>
        <v>44278</v>
      </c>
      <c r="D19" s="89">
        <v>15</v>
      </c>
    </row>
    <row r="20" spans="1:5" ht="16.8" x14ac:dyDescent="0.25">
      <c r="A20" s="369"/>
      <c r="B20" s="455">
        <f t="shared" ca="1" si="0"/>
        <v>44280</v>
      </c>
      <c r="C20" s="61">
        <f t="shared" si="1"/>
        <v>44279</v>
      </c>
      <c r="D20" s="89">
        <v>16</v>
      </c>
    </row>
    <row r="21" spans="1:5" ht="16.8" x14ac:dyDescent="0.25">
      <c r="A21" s="369"/>
      <c r="B21" s="457">
        <f t="shared" ca="1" si="0"/>
        <v>44281</v>
      </c>
      <c r="C21" s="61">
        <f t="shared" si="1"/>
        <v>44280</v>
      </c>
      <c r="D21" s="89">
        <v>17</v>
      </c>
    </row>
    <row r="22" spans="1:5" ht="16.8" x14ac:dyDescent="0.25">
      <c r="A22" s="369"/>
      <c r="B22" s="456" t="str">
        <f t="shared" si="0"/>
        <v>действующая дата</v>
      </c>
      <c r="C22" s="61">
        <f t="shared" si="1"/>
        <v>44281</v>
      </c>
      <c r="D22" s="89">
        <v>18</v>
      </c>
    </row>
    <row r="23" spans="1:5" ht="16.8" x14ac:dyDescent="0.25">
      <c r="A23" s="369"/>
      <c r="B23" s="455">
        <f t="shared" ca="1" si="0"/>
        <v>44283</v>
      </c>
      <c r="C23" s="61">
        <f t="shared" si="1"/>
        <v>44282</v>
      </c>
      <c r="D23" s="89">
        <v>19</v>
      </c>
    </row>
    <row r="24" spans="1:5" ht="16.8" x14ac:dyDescent="0.25">
      <c r="A24" s="369"/>
      <c r="B24" s="460" t="str">
        <f t="shared" si="0"/>
        <v>не разрешено</v>
      </c>
      <c r="C24" s="61">
        <f t="shared" si="1"/>
        <v>44283</v>
      </c>
      <c r="D24" s="89">
        <v>20</v>
      </c>
    </row>
    <row r="25" spans="1:5" ht="16.8" x14ac:dyDescent="0.25">
      <c r="A25" s="369"/>
      <c r="B25" s="460" t="str">
        <f t="shared" si="0"/>
        <v>не разрешено</v>
      </c>
      <c r="C25" s="61">
        <f t="shared" si="1"/>
        <v>44284</v>
      </c>
      <c r="D25" s="89">
        <v>21</v>
      </c>
    </row>
    <row r="26" spans="1:5" ht="16.8" x14ac:dyDescent="0.25">
      <c r="A26" s="369"/>
      <c r="B26" s="460" t="str">
        <f t="shared" si="0"/>
        <v>не разрешено</v>
      </c>
      <c r="C26" s="61">
        <f t="shared" si="1"/>
        <v>44285</v>
      </c>
      <c r="D26" s="89">
        <v>22</v>
      </c>
    </row>
    <row r="27" spans="1:5" ht="16.8" x14ac:dyDescent="0.25">
      <c r="A27" s="369"/>
      <c r="B27" s="455">
        <f t="shared" ca="1" si="0"/>
        <v>44287</v>
      </c>
      <c r="C27" s="61">
        <f t="shared" si="1"/>
        <v>44286</v>
      </c>
      <c r="D27" s="89">
        <v>23</v>
      </c>
    </row>
    <row r="28" spans="1:5" ht="16.8" x14ac:dyDescent="0.25">
      <c r="A28" s="369"/>
      <c r="B28" s="458">
        <f t="shared" ca="1" si="0"/>
        <v>44288</v>
      </c>
      <c r="C28" s="61">
        <f t="shared" si="1"/>
        <v>44287</v>
      </c>
      <c r="D28" s="89">
        <v>24</v>
      </c>
      <c r="E28" s="372"/>
    </row>
    <row r="29" spans="1:5" ht="16.8" x14ac:dyDescent="0.25">
      <c r="A29" s="369"/>
      <c r="B29" s="458">
        <f t="shared" ca="1" si="0"/>
        <v>44289</v>
      </c>
      <c r="C29" s="61">
        <f t="shared" si="1"/>
        <v>44288</v>
      </c>
      <c r="D29" s="89">
        <v>25</v>
      </c>
      <c r="E29" s="372"/>
    </row>
    <row r="30" spans="1:5" ht="16.8" x14ac:dyDescent="0.25">
      <c r="A30" s="369"/>
      <c r="B30" s="458">
        <f t="shared" ca="1" si="0"/>
        <v>44290</v>
      </c>
      <c r="C30" s="61">
        <f t="shared" si="1"/>
        <v>44289</v>
      </c>
      <c r="D30" s="89">
        <v>26</v>
      </c>
      <c r="E30" s="372"/>
    </row>
    <row r="31" spans="1:5" ht="16.8" x14ac:dyDescent="0.25">
      <c r="A31" s="369"/>
      <c r="B31" s="455">
        <f t="shared" ca="1" si="0"/>
        <v>44291</v>
      </c>
      <c r="C31" s="61">
        <f t="shared" si="1"/>
        <v>44290</v>
      </c>
      <c r="D31" s="89">
        <v>27</v>
      </c>
    </row>
    <row r="32" spans="1:5" ht="16.8" x14ac:dyDescent="0.25">
      <c r="A32" s="369"/>
      <c r="B32" s="455">
        <f t="shared" ca="1" si="0"/>
        <v>44292</v>
      </c>
      <c r="C32" s="61">
        <f t="shared" si="1"/>
        <v>44291</v>
      </c>
      <c r="D32" s="89">
        <v>28</v>
      </c>
    </row>
    <row r="33" spans="1:4" ht="16.8" x14ac:dyDescent="0.25">
      <c r="A33" s="369"/>
      <c r="B33" s="455">
        <f t="shared" ca="1" si="0"/>
        <v>44293</v>
      </c>
      <c r="C33" s="61">
        <f t="shared" si="1"/>
        <v>44292</v>
      </c>
      <c r="D33" s="89">
        <v>29</v>
      </c>
    </row>
    <row r="34" spans="1:4" ht="16.8" x14ac:dyDescent="0.25">
      <c r="A34" s="369"/>
      <c r="B34" s="455" t="str">
        <f t="shared" ca="1" si="0"/>
        <v>текущая дата</v>
      </c>
      <c r="C34" s="61">
        <f t="shared" si="1"/>
        <v>44293</v>
      </c>
      <c r="D34" s="89">
        <v>30</v>
      </c>
    </row>
    <row r="35" spans="1:4" ht="16.8" x14ac:dyDescent="0.25">
      <c r="A35" s="369"/>
      <c r="B35" s="455">
        <f t="shared" ca="1" si="0"/>
        <v>44295</v>
      </c>
      <c r="C35" s="61">
        <f t="shared" si="1"/>
        <v>44294</v>
      </c>
      <c r="D35" s="89">
        <v>31</v>
      </c>
    </row>
    <row r="36" spans="1:4" ht="16.8" x14ac:dyDescent="0.25">
      <c r="A36" s="369"/>
      <c r="B36" s="455">
        <f t="shared" ca="1" si="0"/>
        <v>44296</v>
      </c>
      <c r="C36" s="61">
        <f t="shared" si="1"/>
        <v>44295</v>
      </c>
    </row>
    <row r="37" spans="1:4" ht="17.399999999999999" thickBot="1" x14ac:dyDescent="0.3">
      <c r="A37" s="371"/>
      <c r="B37" s="459">
        <f t="shared" ca="1" si="0"/>
        <v>44297</v>
      </c>
      <c r="C37" s="61">
        <f t="shared" si="1"/>
        <v>44296</v>
      </c>
    </row>
    <row r="38" spans="1:4" x14ac:dyDescent="0.25">
      <c r="C38" s="61">
        <f t="shared" si="1"/>
        <v>44297</v>
      </c>
    </row>
  </sheetData>
  <sheetProtection sheet="1" formatCells="0" formatColumns="0" formatRows="0" insertColumns="0" insertRows="0" insertHyperlinks="0" deleteColumns="0" deleteRows="0" sort="0" autoFilter="0" pivotTables="0"/>
  <mergeCells count="4">
    <mergeCell ref="A1:B1"/>
    <mergeCell ref="E5:I5"/>
    <mergeCell ref="E4:I4"/>
    <mergeCell ref="A7:A8"/>
  </mergeCells>
  <conditionalFormatting sqref="B7:B37">
    <cfRule type="cellIs" dxfId="4" priority="1" operator="equal">
      <formula>"текущая дата"</formula>
    </cfRule>
    <cfRule type="cellIs" dxfId="3" priority="3" operator="equal">
      <formula>"не разрешено"</formula>
    </cfRule>
  </conditionalFormatting>
  <conditionalFormatting sqref="B22">
    <cfRule type="cellIs" dxfId="2" priority="2" operator="equal">
      <formula>"действующая дата"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150"/>
  <sheetViews>
    <sheetView zoomScale="85" zoomScaleNormal="85" workbookViewId="0"/>
  </sheetViews>
  <sheetFormatPr defaultColWidth="9.109375" defaultRowHeight="14.4" x14ac:dyDescent="0.3"/>
  <cols>
    <col min="1" max="1" width="4.6640625" style="699" customWidth="1"/>
    <col min="2" max="2" width="21.109375" style="699" customWidth="1"/>
    <col min="3" max="3" width="22.44140625" style="699" customWidth="1"/>
    <col min="4" max="4" width="14.33203125" style="699" customWidth="1"/>
    <col min="5" max="5" width="16.6640625" style="699" customWidth="1"/>
    <col min="6" max="6" width="28.33203125" style="699" customWidth="1"/>
    <col min="7" max="7" width="16.6640625" style="700" customWidth="1"/>
    <col min="8" max="14" width="9.109375" style="699"/>
    <col min="15" max="15" width="10.6640625" style="699" customWidth="1"/>
    <col min="16" max="16384" width="9.109375" style="699"/>
  </cols>
  <sheetData>
    <row r="1" spans="2:14" ht="43.2" customHeight="1" x14ac:dyDescent="0.3">
      <c r="C1" s="1025" t="s">
        <v>317</v>
      </c>
      <c r="D1" s="1025"/>
      <c r="E1" s="1025"/>
      <c r="F1" s="1025"/>
    </row>
    <row r="2" spans="2:14" ht="19.95" customHeight="1" thickBot="1" x14ac:dyDescent="0.35"/>
    <row r="3" spans="2:14" ht="33" customHeight="1" x14ac:dyDescent="0.3">
      <c r="B3" s="1026" t="s">
        <v>164</v>
      </c>
      <c r="C3" s="1027"/>
      <c r="D3" s="1027" t="s">
        <v>165</v>
      </c>
      <c r="E3" s="1028"/>
    </row>
    <row r="4" spans="2:14" ht="18" customHeight="1" x14ac:dyDescent="0.3">
      <c r="B4" s="1029" t="s">
        <v>136</v>
      </c>
      <c r="C4" s="1029"/>
      <c r="D4" s="1030">
        <v>5000000</v>
      </c>
      <c r="E4" s="1030"/>
    </row>
    <row r="5" spans="2:14" ht="18" customHeight="1" x14ac:dyDescent="0.3">
      <c r="B5" s="1023" t="s">
        <v>318</v>
      </c>
      <c r="C5" s="1023"/>
      <c r="D5" s="1024" t="s">
        <v>389</v>
      </c>
      <c r="E5" s="1024"/>
    </row>
    <row r="6" spans="2:14" ht="18" customHeight="1" x14ac:dyDescent="0.3">
      <c r="B6" s="1023" t="s">
        <v>137</v>
      </c>
      <c r="C6" s="1023"/>
      <c r="D6" s="1024" t="s">
        <v>138</v>
      </c>
      <c r="E6" s="1024"/>
    </row>
    <row r="7" spans="2:14" ht="18" customHeight="1" x14ac:dyDescent="0.3">
      <c r="B7" s="1031" t="s">
        <v>139</v>
      </c>
      <c r="C7" s="1032"/>
      <c r="D7" s="1033">
        <v>4800000</v>
      </c>
      <c r="E7" s="1034"/>
    </row>
    <row r="8" spans="2:14" ht="28.5" customHeight="1" x14ac:dyDescent="0.3">
      <c r="B8" s="1035" t="s">
        <v>319</v>
      </c>
      <c r="C8" s="1036"/>
      <c r="D8" s="1037">
        <f>IF($D$6="Снятие наличных / перевод",ROUNDDOWN(D4/(1+HLOOKUP(D5,K22:P26,4,0)),-2),D4)</f>
        <v>4812300</v>
      </c>
      <c r="E8" s="1038"/>
    </row>
    <row r="9" spans="2:14" ht="18.45" customHeight="1" x14ac:dyDescent="0.3">
      <c r="B9" s="1039" t="s">
        <v>476</v>
      </c>
      <c r="C9" s="1040"/>
      <c r="D9" s="1041">
        <v>0.04</v>
      </c>
      <c r="E9" s="1042"/>
    </row>
    <row r="10" spans="2:14" ht="18" customHeight="1" x14ac:dyDescent="0.3">
      <c r="B10" s="1039" t="s">
        <v>140</v>
      </c>
      <c r="C10" s="1040"/>
      <c r="D10" s="1043">
        <f>IF(AND($D$6="Снятие наличных / перевод",D7&gt;0),HLOOKUP(D5,K22:P24,2,0),HLOOKUP(D5,K22:P24,3,0))</f>
        <v>0.19900000000000001</v>
      </c>
      <c r="E10" s="1044"/>
    </row>
    <row r="11" spans="2:14" ht="16.95" customHeight="1" x14ac:dyDescent="0.3">
      <c r="B11" s="1031" t="s">
        <v>141</v>
      </c>
      <c r="C11" s="1032"/>
      <c r="D11" s="1037">
        <v>0</v>
      </c>
      <c r="E11" s="1038"/>
      <c r="N11" s="701"/>
    </row>
    <row r="12" spans="2:14" ht="16.95" customHeight="1" x14ac:dyDescent="0.3">
      <c r="B12" s="1031" t="s">
        <v>142</v>
      </c>
      <c r="C12" s="1032"/>
      <c r="D12" s="1045" t="s">
        <v>35</v>
      </c>
      <c r="E12" s="1046"/>
      <c r="N12" s="702"/>
    </row>
    <row r="13" spans="2:14" ht="18" customHeight="1" x14ac:dyDescent="0.3">
      <c r="B13" s="1031" t="s">
        <v>143</v>
      </c>
      <c r="C13" s="1032"/>
      <c r="D13" s="1047">
        <v>45180</v>
      </c>
      <c r="E13" s="1048"/>
    </row>
    <row r="14" spans="2:14" ht="18" customHeight="1" x14ac:dyDescent="0.3">
      <c r="B14" s="1031" t="s">
        <v>144</v>
      </c>
      <c r="C14" s="1032"/>
      <c r="D14" s="1037">
        <f>IF(D4&gt;0,D4*HLOOKUP(D5,K22:P26,5,0)+D11+IF(D12="Да",100),"")</f>
        <v>100000</v>
      </c>
      <c r="E14" s="1038"/>
    </row>
    <row r="15" spans="2:14" ht="16.95" customHeight="1" x14ac:dyDescent="0.3">
      <c r="B15" s="1031" t="s">
        <v>160</v>
      </c>
      <c r="C15" s="1032"/>
      <c r="D15" s="1037">
        <f>SUM(G24:G174)</f>
        <v>10316975.49</v>
      </c>
      <c r="E15" s="1038"/>
    </row>
    <row r="16" spans="2:14" ht="18" customHeight="1" x14ac:dyDescent="0.3">
      <c r="B16" s="1031" t="s">
        <v>161</v>
      </c>
      <c r="C16" s="1032"/>
      <c r="D16" s="1037">
        <f>D15-D7</f>
        <v>5516975.4900000002</v>
      </c>
      <c r="E16" s="1038"/>
    </row>
    <row r="17" spans="1:16" ht="18" customHeight="1" x14ac:dyDescent="0.3">
      <c r="B17" s="1049"/>
      <c r="C17" s="1049"/>
      <c r="D17" s="1049"/>
      <c r="E17" s="1049"/>
    </row>
    <row r="18" spans="1:16" ht="18" customHeight="1" x14ac:dyDescent="0.3">
      <c r="B18" s="700"/>
      <c r="C18" s="700"/>
      <c r="D18" s="700"/>
      <c r="E18" s="700"/>
    </row>
    <row r="19" spans="1:16" ht="18" customHeight="1" x14ac:dyDescent="0.3">
      <c r="B19" s="700"/>
      <c r="C19" s="700"/>
      <c r="D19" s="700"/>
      <c r="E19" s="703"/>
      <c r="F19" s="704"/>
    </row>
    <row r="20" spans="1:16" x14ac:dyDescent="0.3">
      <c r="E20" s="705"/>
      <c r="F20" s="704"/>
      <c r="G20" s="703"/>
    </row>
    <row r="21" spans="1:16" ht="18.75" customHeight="1" x14ac:dyDescent="0.35">
      <c r="B21" s="1050" t="s">
        <v>146</v>
      </c>
      <c r="C21" s="1050"/>
      <c r="J21" s="706"/>
      <c r="K21" s="706"/>
      <c r="L21" s="706"/>
      <c r="M21" s="706"/>
      <c r="N21" s="706"/>
      <c r="O21" s="706"/>
      <c r="P21" s="706"/>
    </row>
    <row r="22" spans="1:16" x14ac:dyDescent="0.3">
      <c r="A22" s="1051" t="s">
        <v>148</v>
      </c>
      <c r="B22" s="1053" t="s">
        <v>149</v>
      </c>
      <c r="C22" s="1053" t="s">
        <v>150</v>
      </c>
      <c r="D22" s="1051" t="s">
        <v>151</v>
      </c>
      <c r="E22" s="1051"/>
      <c r="F22" s="1051"/>
      <c r="G22" s="1051"/>
      <c r="H22" s="707"/>
      <c r="J22" s="706"/>
      <c r="K22" s="708" t="s">
        <v>320</v>
      </c>
      <c r="L22" s="708" t="s">
        <v>386</v>
      </c>
      <c r="M22" s="708" t="s">
        <v>387</v>
      </c>
      <c r="N22" s="708" t="s">
        <v>388</v>
      </c>
      <c r="O22" s="708" t="s">
        <v>389</v>
      </c>
      <c r="P22" s="708" t="s">
        <v>378</v>
      </c>
    </row>
    <row r="23" spans="1:16" x14ac:dyDescent="0.3">
      <c r="A23" s="1052"/>
      <c r="B23" s="1054"/>
      <c r="C23" s="1054"/>
      <c r="D23" s="709" t="s">
        <v>153</v>
      </c>
      <c r="E23" s="709" t="s">
        <v>154</v>
      </c>
      <c r="F23" s="709" t="s">
        <v>155</v>
      </c>
      <c r="G23" s="710" t="s">
        <v>7</v>
      </c>
      <c r="H23" s="707"/>
      <c r="J23" s="706"/>
      <c r="K23" s="708" t="s">
        <v>321</v>
      </c>
      <c r="L23" s="711">
        <v>0.29899999999999999</v>
      </c>
      <c r="M23" s="711">
        <v>0.249</v>
      </c>
      <c r="N23" s="711">
        <v>0.22900000000000001</v>
      </c>
      <c r="O23" s="711">
        <v>0.19900000000000001</v>
      </c>
      <c r="P23" s="526">
        <v>0.35</v>
      </c>
    </row>
    <row r="24" spans="1:16" x14ac:dyDescent="0.3">
      <c r="A24" s="707">
        <v>1</v>
      </c>
      <c r="B24" s="712">
        <f t="shared" ref="B24:B87" si="0">EDATE($D$13,A24)</f>
        <v>45210</v>
      </c>
      <c r="C24" s="713">
        <f>D7+IF(AND($D$6="Снятие наличных / перевод",D7&gt;0),ROUND(D7*HLOOKUP(D5,K22:P26,4,0),2),0)</f>
        <v>4987200</v>
      </c>
      <c r="D24" s="713">
        <f>MAX(G24-F24-E24,0)</f>
        <v>83603.73</v>
      </c>
      <c r="E24" s="713">
        <f>ROUND(C24*$D$9*_xlfn.DAYS(B24,$D$13)/365,2)</f>
        <v>16396.27</v>
      </c>
      <c r="F24" s="713">
        <f>IF(C24&lt;&gt;0,$D$11)+IF(AND($D$12="Да",C24&lt;&gt;0),69)</f>
        <v>0</v>
      </c>
      <c r="G24" s="714">
        <f t="shared" ref="G24:G87" si="1">IF(OR($D$4="",$D$7="",$D$6="",$D$12="",$D$13=""),0,IF(C24+E24+F24&lt;$D$14,C24+E24+F24,$D$14))</f>
        <v>100000</v>
      </c>
      <c r="H24" s="707"/>
      <c r="J24" s="706"/>
      <c r="K24" s="708" t="s">
        <v>322</v>
      </c>
      <c r="L24" s="711">
        <v>0.27900000000000003</v>
      </c>
      <c r="M24" s="711">
        <v>0.22900000000000001</v>
      </c>
      <c r="N24" s="711">
        <v>0.20899999999999999</v>
      </c>
      <c r="O24" s="711">
        <v>0.17899999999999999</v>
      </c>
      <c r="P24" s="526">
        <v>0.35</v>
      </c>
    </row>
    <row r="25" spans="1:16" x14ac:dyDescent="0.3">
      <c r="A25" s="707">
        <f>A24+1</f>
        <v>2</v>
      </c>
      <c r="B25" s="712">
        <f t="shared" si="0"/>
        <v>45241</v>
      </c>
      <c r="C25" s="713">
        <f>ROUNDDOWN(C24-D24,2)</f>
        <v>4903596.2699999996</v>
      </c>
      <c r="D25" s="713">
        <f t="shared" ref="D25:D88" si="2">MAX(G25-F25-E25,0)</f>
        <v>17122.509999999995</v>
      </c>
      <c r="E25" s="713">
        <f t="shared" ref="E25:E88" si="3">ROUND(C25*$D$10*_xlfn.DAYS(B25,B24)/365,2)</f>
        <v>82877.490000000005</v>
      </c>
      <c r="F25" s="713">
        <f t="shared" ref="F25:F88" si="4">IF(C25&lt;&gt;0,$D$11)+IF(AND($D$12="Да",C25&lt;&gt;0),69)</f>
        <v>0</v>
      </c>
      <c r="G25" s="714">
        <f t="shared" si="1"/>
        <v>100000</v>
      </c>
      <c r="H25" s="707"/>
      <c r="J25" s="706"/>
      <c r="K25" s="708" t="s">
        <v>384</v>
      </c>
      <c r="L25" s="711">
        <v>9.9000000000000005E-2</v>
      </c>
      <c r="M25" s="711">
        <v>7.9000000000000001E-2</v>
      </c>
      <c r="N25" s="711">
        <v>5.8999999999999997E-2</v>
      </c>
      <c r="O25" s="711">
        <v>3.9E-2</v>
      </c>
      <c r="P25" s="708"/>
    </row>
    <row r="26" spans="1:16" x14ac:dyDescent="0.3">
      <c r="A26" s="707">
        <f t="shared" ref="A26:A89" si="5">A25+1</f>
        <v>3</v>
      </c>
      <c r="B26" s="712">
        <f t="shared" si="0"/>
        <v>45271</v>
      </c>
      <c r="C26" s="713">
        <f t="shared" ref="C26:C89" si="6">ROUNDDOWN(C25-D25,2)</f>
        <v>4886473.76</v>
      </c>
      <c r="D26" s="713">
        <f t="shared" si="2"/>
        <v>20076.03</v>
      </c>
      <c r="E26" s="713">
        <f t="shared" si="3"/>
        <v>79923.97</v>
      </c>
      <c r="F26" s="713">
        <f t="shared" si="4"/>
        <v>0</v>
      </c>
      <c r="G26" s="714">
        <f t="shared" si="1"/>
        <v>100000</v>
      </c>
      <c r="H26" s="707"/>
      <c r="K26" s="708" t="s">
        <v>385</v>
      </c>
      <c r="L26" s="711">
        <v>2.8000000000000001E-2</v>
      </c>
      <c r="M26" s="711">
        <v>2.5000000000000001E-2</v>
      </c>
      <c r="N26" s="711">
        <v>2.5000000000000001E-2</v>
      </c>
      <c r="O26" s="715">
        <v>0.02</v>
      </c>
      <c r="P26" s="708"/>
    </row>
    <row r="27" spans="1:16" x14ac:dyDescent="0.3">
      <c r="A27" s="707">
        <f t="shared" si="5"/>
        <v>4</v>
      </c>
      <c r="B27" s="712">
        <f t="shared" si="0"/>
        <v>45302</v>
      </c>
      <c r="C27" s="713">
        <f t="shared" si="6"/>
        <v>4866397.7300000004</v>
      </c>
      <c r="D27" s="713">
        <f t="shared" si="2"/>
        <v>17751.210000000006</v>
      </c>
      <c r="E27" s="713">
        <f t="shared" si="3"/>
        <v>82248.789999999994</v>
      </c>
      <c r="F27" s="713">
        <f t="shared" si="4"/>
        <v>0</v>
      </c>
      <c r="G27" s="714">
        <f t="shared" si="1"/>
        <v>100000</v>
      </c>
      <c r="H27" s="707"/>
    </row>
    <row r="28" spans="1:16" x14ac:dyDescent="0.3">
      <c r="A28" s="707">
        <f t="shared" si="5"/>
        <v>5</v>
      </c>
      <c r="B28" s="712">
        <f t="shared" si="0"/>
        <v>45333</v>
      </c>
      <c r="C28" s="713">
        <f t="shared" si="6"/>
        <v>4848646.5199999996</v>
      </c>
      <c r="D28" s="713">
        <f t="shared" si="2"/>
        <v>18051.229999999996</v>
      </c>
      <c r="E28" s="713">
        <f t="shared" si="3"/>
        <v>81948.77</v>
      </c>
      <c r="F28" s="713">
        <f t="shared" si="4"/>
        <v>0</v>
      </c>
      <c r="G28" s="714">
        <f t="shared" si="1"/>
        <v>100000</v>
      </c>
      <c r="H28" s="707"/>
    </row>
    <row r="29" spans="1:16" x14ac:dyDescent="0.3">
      <c r="A29" s="707">
        <f t="shared" si="5"/>
        <v>6</v>
      </c>
      <c r="B29" s="712">
        <f t="shared" si="0"/>
        <v>45362</v>
      </c>
      <c r="C29" s="713">
        <f t="shared" si="6"/>
        <v>4830595.29</v>
      </c>
      <c r="D29" s="713">
        <f t="shared" si="2"/>
        <v>23623.660000000003</v>
      </c>
      <c r="E29" s="713">
        <f t="shared" si="3"/>
        <v>76376.34</v>
      </c>
      <c r="F29" s="713">
        <f t="shared" si="4"/>
        <v>0</v>
      </c>
      <c r="G29" s="714">
        <f t="shared" si="1"/>
        <v>100000</v>
      </c>
      <c r="H29" s="707"/>
    </row>
    <row r="30" spans="1:16" x14ac:dyDescent="0.3">
      <c r="A30" s="707">
        <f t="shared" si="5"/>
        <v>7</v>
      </c>
      <c r="B30" s="712">
        <f t="shared" si="0"/>
        <v>45393</v>
      </c>
      <c r="C30" s="713">
        <f t="shared" si="6"/>
        <v>4806971.63</v>
      </c>
      <c r="D30" s="713">
        <f t="shared" si="2"/>
        <v>18755.589999999997</v>
      </c>
      <c r="E30" s="713">
        <f t="shared" si="3"/>
        <v>81244.41</v>
      </c>
      <c r="F30" s="713">
        <f t="shared" si="4"/>
        <v>0</v>
      </c>
      <c r="G30" s="714">
        <f t="shared" si="1"/>
        <v>100000</v>
      </c>
      <c r="H30" s="707"/>
    </row>
    <row r="31" spans="1:16" x14ac:dyDescent="0.3">
      <c r="A31" s="707">
        <f t="shared" si="5"/>
        <v>8</v>
      </c>
      <c r="B31" s="712">
        <f t="shared" si="0"/>
        <v>45423</v>
      </c>
      <c r="C31" s="713">
        <f t="shared" si="6"/>
        <v>4788216.04</v>
      </c>
      <c r="D31" s="713">
        <f t="shared" si="2"/>
        <v>21683.149999999994</v>
      </c>
      <c r="E31" s="713">
        <f t="shared" si="3"/>
        <v>78316.850000000006</v>
      </c>
      <c r="F31" s="713">
        <f t="shared" si="4"/>
        <v>0</v>
      </c>
      <c r="G31" s="714">
        <f t="shared" si="1"/>
        <v>100000</v>
      </c>
      <c r="H31" s="707"/>
    </row>
    <row r="32" spans="1:16" x14ac:dyDescent="0.3">
      <c r="A32" s="707">
        <f t="shared" si="5"/>
        <v>9</v>
      </c>
      <c r="B32" s="712">
        <f t="shared" si="0"/>
        <v>45454</v>
      </c>
      <c r="C32" s="713">
        <f t="shared" si="6"/>
        <v>4766532.8899999997</v>
      </c>
      <c r="D32" s="713">
        <f t="shared" si="2"/>
        <v>19439.059999999998</v>
      </c>
      <c r="E32" s="713">
        <f t="shared" si="3"/>
        <v>80560.94</v>
      </c>
      <c r="F32" s="713">
        <f t="shared" si="4"/>
        <v>0</v>
      </c>
      <c r="G32" s="714">
        <f t="shared" si="1"/>
        <v>100000</v>
      </c>
      <c r="H32" s="707"/>
    </row>
    <row r="33" spans="1:8" x14ac:dyDescent="0.3">
      <c r="A33" s="707">
        <f t="shared" si="5"/>
        <v>10</v>
      </c>
      <c r="B33" s="712">
        <f t="shared" si="0"/>
        <v>45484</v>
      </c>
      <c r="C33" s="713">
        <f t="shared" si="6"/>
        <v>4747093.83</v>
      </c>
      <c r="D33" s="713">
        <f t="shared" si="2"/>
        <v>22355.75</v>
      </c>
      <c r="E33" s="713">
        <f t="shared" si="3"/>
        <v>77644.25</v>
      </c>
      <c r="F33" s="713">
        <f t="shared" si="4"/>
        <v>0</v>
      </c>
      <c r="G33" s="714">
        <f t="shared" si="1"/>
        <v>100000</v>
      </c>
      <c r="H33" s="707"/>
    </row>
    <row r="34" spans="1:8" x14ac:dyDescent="0.3">
      <c r="A34" s="707">
        <f t="shared" si="5"/>
        <v>11</v>
      </c>
      <c r="B34" s="712">
        <f t="shared" si="0"/>
        <v>45515</v>
      </c>
      <c r="C34" s="713">
        <f t="shared" si="6"/>
        <v>4724738.08</v>
      </c>
      <c r="D34" s="713">
        <f t="shared" si="2"/>
        <v>20145.449999999997</v>
      </c>
      <c r="E34" s="713">
        <f t="shared" si="3"/>
        <v>79854.55</v>
      </c>
      <c r="F34" s="713">
        <f t="shared" si="4"/>
        <v>0</v>
      </c>
      <c r="G34" s="714">
        <f t="shared" si="1"/>
        <v>100000</v>
      </c>
      <c r="H34" s="707"/>
    </row>
    <row r="35" spans="1:8" x14ac:dyDescent="0.3">
      <c r="A35" s="707">
        <f t="shared" si="5"/>
        <v>12</v>
      </c>
      <c r="B35" s="712">
        <f t="shared" si="0"/>
        <v>45546</v>
      </c>
      <c r="C35" s="713">
        <f t="shared" si="6"/>
        <v>4704592.63</v>
      </c>
      <c r="D35" s="713">
        <f t="shared" si="2"/>
        <v>20485.940000000002</v>
      </c>
      <c r="E35" s="713">
        <f t="shared" si="3"/>
        <v>79514.06</v>
      </c>
      <c r="F35" s="713">
        <f t="shared" si="4"/>
        <v>0</v>
      </c>
      <c r="G35" s="714">
        <f t="shared" si="1"/>
        <v>100000</v>
      </c>
      <c r="H35" s="707"/>
    </row>
    <row r="36" spans="1:8" x14ac:dyDescent="0.3">
      <c r="A36" s="707">
        <f t="shared" si="5"/>
        <v>13</v>
      </c>
      <c r="B36" s="712">
        <f t="shared" si="0"/>
        <v>45576</v>
      </c>
      <c r="C36" s="713">
        <f t="shared" si="6"/>
        <v>4684106.6900000004</v>
      </c>
      <c r="D36" s="713">
        <f t="shared" si="2"/>
        <v>23385.979999999996</v>
      </c>
      <c r="E36" s="713">
        <f t="shared" si="3"/>
        <v>76614.02</v>
      </c>
      <c r="F36" s="713">
        <f t="shared" si="4"/>
        <v>0</v>
      </c>
      <c r="G36" s="714">
        <f t="shared" si="1"/>
        <v>100000</v>
      </c>
      <c r="H36" s="707"/>
    </row>
    <row r="37" spans="1:8" x14ac:dyDescent="0.3">
      <c r="A37" s="707">
        <f t="shared" si="5"/>
        <v>14</v>
      </c>
      <c r="B37" s="712">
        <f t="shared" si="0"/>
        <v>45607</v>
      </c>
      <c r="C37" s="713">
        <f t="shared" si="6"/>
        <v>4660720.71</v>
      </c>
      <c r="D37" s="713">
        <f t="shared" si="2"/>
        <v>21227.440000000002</v>
      </c>
      <c r="E37" s="713">
        <f t="shared" si="3"/>
        <v>78772.56</v>
      </c>
      <c r="F37" s="713">
        <f t="shared" si="4"/>
        <v>0</v>
      </c>
      <c r="G37" s="714">
        <f t="shared" si="1"/>
        <v>100000</v>
      </c>
      <c r="H37" s="707"/>
    </row>
    <row r="38" spans="1:8" x14ac:dyDescent="0.3">
      <c r="A38" s="707">
        <f t="shared" si="5"/>
        <v>15</v>
      </c>
      <c r="B38" s="712">
        <f t="shared" si="0"/>
        <v>45637</v>
      </c>
      <c r="C38" s="713">
        <f t="shared" si="6"/>
        <v>4639493.2699999996</v>
      </c>
      <c r="D38" s="713">
        <f t="shared" si="2"/>
        <v>24115.690000000002</v>
      </c>
      <c r="E38" s="713">
        <f t="shared" si="3"/>
        <v>75884.31</v>
      </c>
      <c r="F38" s="713">
        <f t="shared" si="4"/>
        <v>0</v>
      </c>
      <c r="G38" s="714">
        <f t="shared" si="1"/>
        <v>100000</v>
      </c>
      <c r="H38" s="707"/>
    </row>
    <row r="39" spans="1:8" x14ac:dyDescent="0.3">
      <c r="A39" s="707">
        <f t="shared" si="5"/>
        <v>16</v>
      </c>
      <c r="B39" s="712">
        <f t="shared" si="0"/>
        <v>45668</v>
      </c>
      <c r="C39" s="713">
        <f t="shared" si="6"/>
        <v>4615377.58</v>
      </c>
      <c r="D39" s="713">
        <f t="shared" si="2"/>
        <v>21993.800000000003</v>
      </c>
      <c r="E39" s="713">
        <f t="shared" si="3"/>
        <v>78006.2</v>
      </c>
      <c r="F39" s="713">
        <f t="shared" si="4"/>
        <v>0</v>
      </c>
      <c r="G39" s="714">
        <f t="shared" si="1"/>
        <v>100000</v>
      </c>
      <c r="H39" s="707"/>
    </row>
    <row r="40" spans="1:8" x14ac:dyDescent="0.3">
      <c r="A40" s="707">
        <f t="shared" si="5"/>
        <v>17</v>
      </c>
      <c r="B40" s="712">
        <f t="shared" si="0"/>
        <v>45699</v>
      </c>
      <c r="C40" s="713">
        <f t="shared" si="6"/>
        <v>4593383.78</v>
      </c>
      <c r="D40" s="713">
        <f t="shared" si="2"/>
        <v>22365.520000000004</v>
      </c>
      <c r="E40" s="713">
        <f t="shared" si="3"/>
        <v>77634.48</v>
      </c>
      <c r="F40" s="713">
        <f t="shared" si="4"/>
        <v>0</v>
      </c>
      <c r="G40" s="714">
        <f t="shared" si="1"/>
        <v>100000</v>
      </c>
      <c r="H40" s="707"/>
    </row>
    <row r="41" spans="1:8" x14ac:dyDescent="0.3">
      <c r="A41" s="707">
        <f t="shared" si="5"/>
        <v>18</v>
      </c>
      <c r="B41" s="712">
        <f t="shared" si="0"/>
        <v>45727</v>
      </c>
      <c r="C41" s="713">
        <f t="shared" si="6"/>
        <v>4571018.26</v>
      </c>
      <c r="D41" s="713">
        <f t="shared" si="2"/>
        <v>30219.960000000006</v>
      </c>
      <c r="E41" s="713">
        <f t="shared" si="3"/>
        <v>69780.039999999994</v>
      </c>
      <c r="F41" s="713">
        <f t="shared" si="4"/>
        <v>0</v>
      </c>
      <c r="G41" s="714">
        <f t="shared" si="1"/>
        <v>100000</v>
      </c>
      <c r="H41" s="707"/>
    </row>
    <row r="42" spans="1:8" x14ac:dyDescent="0.3">
      <c r="A42" s="707">
        <f t="shared" si="5"/>
        <v>19</v>
      </c>
      <c r="B42" s="712">
        <f t="shared" si="0"/>
        <v>45758</v>
      </c>
      <c r="C42" s="713">
        <f t="shared" si="6"/>
        <v>4540798.3</v>
      </c>
      <c r="D42" s="713">
        <f t="shared" si="2"/>
        <v>23254.289999999994</v>
      </c>
      <c r="E42" s="713">
        <f t="shared" si="3"/>
        <v>76745.710000000006</v>
      </c>
      <c r="F42" s="713">
        <f t="shared" si="4"/>
        <v>0</v>
      </c>
      <c r="G42" s="714">
        <f t="shared" si="1"/>
        <v>100000</v>
      </c>
      <c r="H42" s="707"/>
    </row>
    <row r="43" spans="1:8" x14ac:dyDescent="0.3">
      <c r="A43" s="707">
        <f t="shared" si="5"/>
        <v>20</v>
      </c>
      <c r="B43" s="712">
        <f t="shared" si="0"/>
        <v>45788</v>
      </c>
      <c r="C43" s="713">
        <f t="shared" si="6"/>
        <v>4517544.01</v>
      </c>
      <c r="D43" s="713">
        <f t="shared" si="2"/>
        <v>26110.309999999998</v>
      </c>
      <c r="E43" s="713">
        <f t="shared" si="3"/>
        <v>73889.69</v>
      </c>
      <c r="F43" s="713">
        <f t="shared" si="4"/>
        <v>0</v>
      </c>
      <c r="G43" s="714">
        <f t="shared" si="1"/>
        <v>100000</v>
      </c>
      <c r="H43" s="707"/>
    </row>
    <row r="44" spans="1:8" x14ac:dyDescent="0.3">
      <c r="A44" s="707">
        <f t="shared" si="5"/>
        <v>21</v>
      </c>
      <c r="B44" s="712">
        <f t="shared" si="0"/>
        <v>45819</v>
      </c>
      <c r="C44" s="713">
        <f t="shared" si="6"/>
        <v>4491433.7</v>
      </c>
      <c r="D44" s="713">
        <f t="shared" si="2"/>
        <v>24088.619999999995</v>
      </c>
      <c r="E44" s="713">
        <f t="shared" si="3"/>
        <v>75911.38</v>
      </c>
      <c r="F44" s="713">
        <f t="shared" si="4"/>
        <v>0</v>
      </c>
      <c r="G44" s="714">
        <f t="shared" si="1"/>
        <v>100000</v>
      </c>
      <c r="H44" s="707"/>
    </row>
    <row r="45" spans="1:8" x14ac:dyDescent="0.3">
      <c r="A45" s="707">
        <f t="shared" si="5"/>
        <v>22</v>
      </c>
      <c r="B45" s="712">
        <f t="shared" si="0"/>
        <v>45849</v>
      </c>
      <c r="C45" s="713">
        <f t="shared" si="6"/>
        <v>4467345.08</v>
      </c>
      <c r="D45" s="713">
        <f t="shared" si="2"/>
        <v>26931.369999999995</v>
      </c>
      <c r="E45" s="713">
        <f t="shared" si="3"/>
        <v>73068.63</v>
      </c>
      <c r="F45" s="713">
        <f t="shared" si="4"/>
        <v>0</v>
      </c>
      <c r="G45" s="714">
        <f t="shared" si="1"/>
        <v>100000</v>
      </c>
      <c r="H45" s="707"/>
    </row>
    <row r="46" spans="1:8" x14ac:dyDescent="0.3">
      <c r="A46" s="707">
        <f t="shared" si="5"/>
        <v>23</v>
      </c>
      <c r="B46" s="712">
        <f t="shared" si="0"/>
        <v>45880</v>
      </c>
      <c r="C46" s="713">
        <f t="shared" si="6"/>
        <v>4440413.71</v>
      </c>
      <c r="D46" s="713">
        <f t="shared" si="2"/>
        <v>24950.929999999993</v>
      </c>
      <c r="E46" s="713">
        <f t="shared" si="3"/>
        <v>75049.070000000007</v>
      </c>
      <c r="F46" s="713">
        <f t="shared" si="4"/>
        <v>0</v>
      </c>
      <c r="G46" s="714">
        <f t="shared" si="1"/>
        <v>100000</v>
      </c>
      <c r="H46" s="707"/>
    </row>
    <row r="47" spans="1:8" x14ac:dyDescent="0.3">
      <c r="A47" s="707">
        <f t="shared" si="5"/>
        <v>24</v>
      </c>
      <c r="B47" s="712">
        <f t="shared" si="0"/>
        <v>45911</v>
      </c>
      <c r="C47" s="713">
        <f t="shared" si="6"/>
        <v>4415462.78</v>
      </c>
      <c r="D47" s="713">
        <f t="shared" si="2"/>
        <v>25372.630000000005</v>
      </c>
      <c r="E47" s="713">
        <f t="shared" si="3"/>
        <v>74627.37</v>
      </c>
      <c r="F47" s="713">
        <f t="shared" si="4"/>
        <v>0</v>
      </c>
      <c r="G47" s="714">
        <f t="shared" si="1"/>
        <v>100000</v>
      </c>
      <c r="H47" s="707"/>
    </row>
    <row r="48" spans="1:8" x14ac:dyDescent="0.3">
      <c r="A48" s="707">
        <f t="shared" si="5"/>
        <v>25</v>
      </c>
      <c r="B48" s="712">
        <f t="shared" si="0"/>
        <v>45941</v>
      </c>
      <c r="C48" s="713">
        <f t="shared" si="6"/>
        <v>4390090.1500000004</v>
      </c>
      <c r="D48" s="713">
        <f t="shared" si="2"/>
        <v>28194.960000000006</v>
      </c>
      <c r="E48" s="713">
        <f t="shared" si="3"/>
        <v>71805.039999999994</v>
      </c>
      <c r="F48" s="713">
        <f t="shared" si="4"/>
        <v>0</v>
      </c>
      <c r="G48" s="714">
        <f t="shared" si="1"/>
        <v>100000</v>
      </c>
      <c r="H48" s="707"/>
    </row>
    <row r="49" spans="1:8" x14ac:dyDescent="0.3">
      <c r="A49" s="707">
        <f t="shared" si="5"/>
        <v>26</v>
      </c>
      <c r="B49" s="712">
        <f t="shared" si="0"/>
        <v>45972</v>
      </c>
      <c r="C49" s="713">
        <f t="shared" si="6"/>
        <v>4361895.1900000004</v>
      </c>
      <c r="D49" s="713">
        <f t="shared" si="2"/>
        <v>26278</v>
      </c>
      <c r="E49" s="713">
        <f t="shared" si="3"/>
        <v>73722</v>
      </c>
      <c r="F49" s="713">
        <f t="shared" si="4"/>
        <v>0</v>
      </c>
      <c r="G49" s="714">
        <f t="shared" si="1"/>
        <v>100000</v>
      </c>
      <c r="H49" s="707"/>
    </row>
    <row r="50" spans="1:8" x14ac:dyDescent="0.3">
      <c r="A50" s="707">
        <f t="shared" si="5"/>
        <v>27</v>
      </c>
      <c r="B50" s="712">
        <f t="shared" si="0"/>
        <v>46002</v>
      </c>
      <c r="C50" s="713">
        <f t="shared" si="6"/>
        <v>4335617.1900000004</v>
      </c>
      <c r="D50" s="713">
        <f t="shared" si="2"/>
        <v>29085.929999999993</v>
      </c>
      <c r="E50" s="713">
        <f t="shared" si="3"/>
        <v>70914.070000000007</v>
      </c>
      <c r="F50" s="713">
        <f t="shared" si="4"/>
        <v>0</v>
      </c>
      <c r="G50" s="714">
        <f t="shared" si="1"/>
        <v>100000</v>
      </c>
      <c r="H50" s="707"/>
    </row>
    <row r="51" spans="1:8" x14ac:dyDescent="0.3">
      <c r="A51" s="707">
        <f t="shared" si="5"/>
        <v>28</v>
      </c>
      <c r="B51" s="712">
        <f t="shared" si="0"/>
        <v>46033</v>
      </c>
      <c r="C51" s="713">
        <f t="shared" si="6"/>
        <v>4306531.26</v>
      </c>
      <c r="D51" s="713">
        <f t="shared" si="2"/>
        <v>27213.72</v>
      </c>
      <c r="E51" s="713">
        <f t="shared" si="3"/>
        <v>72786.28</v>
      </c>
      <c r="F51" s="713">
        <f t="shared" si="4"/>
        <v>0</v>
      </c>
      <c r="G51" s="714">
        <f t="shared" si="1"/>
        <v>100000</v>
      </c>
      <c r="H51" s="707"/>
    </row>
    <row r="52" spans="1:8" x14ac:dyDescent="0.3">
      <c r="A52" s="707">
        <f t="shared" si="5"/>
        <v>29</v>
      </c>
      <c r="B52" s="712">
        <f t="shared" si="0"/>
        <v>46064</v>
      </c>
      <c r="C52" s="713">
        <f t="shared" si="6"/>
        <v>4279317.54</v>
      </c>
      <c r="D52" s="713">
        <f t="shared" si="2"/>
        <v>27673.67</v>
      </c>
      <c r="E52" s="713">
        <f t="shared" si="3"/>
        <v>72326.33</v>
      </c>
      <c r="F52" s="713">
        <f t="shared" si="4"/>
        <v>0</v>
      </c>
      <c r="G52" s="714">
        <f t="shared" si="1"/>
        <v>100000</v>
      </c>
      <c r="H52" s="707"/>
    </row>
    <row r="53" spans="1:8" x14ac:dyDescent="0.3">
      <c r="A53" s="707">
        <f t="shared" si="5"/>
        <v>30</v>
      </c>
      <c r="B53" s="712">
        <f t="shared" si="0"/>
        <v>46092</v>
      </c>
      <c r="C53" s="713">
        <f t="shared" si="6"/>
        <v>4251643.87</v>
      </c>
      <c r="D53" s="713">
        <f t="shared" si="2"/>
        <v>35095.449999999997</v>
      </c>
      <c r="E53" s="713">
        <f t="shared" si="3"/>
        <v>64904.55</v>
      </c>
      <c r="F53" s="713">
        <f t="shared" si="4"/>
        <v>0</v>
      </c>
      <c r="G53" s="714">
        <f t="shared" si="1"/>
        <v>100000</v>
      </c>
      <c r="H53" s="707"/>
    </row>
    <row r="54" spans="1:8" x14ac:dyDescent="0.3">
      <c r="A54" s="707">
        <f t="shared" si="5"/>
        <v>31</v>
      </c>
      <c r="B54" s="712">
        <f t="shared" si="0"/>
        <v>46123</v>
      </c>
      <c r="C54" s="713">
        <f t="shared" si="6"/>
        <v>4216548.42</v>
      </c>
      <c r="D54" s="713">
        <f t="shared" si="2"/>
        <v>28734.559999999998</v>
      </c>
      <c r="E54" s="713">
        <f t="shared" si="3"/>
        <v>71265.440000000002</v>
      </c>
      <c r="F54" s="713">
        <f t="shared" si="4"/>
        <v>0</v>
      </c>
      <c r="G54" s="714">
        <f t="shared" si="1"/>
        <v>100000</v>
      </c>
      <c r="H54" s="707"/>
    </row>
    <row r="55" spans="1:8" x14ac:dyDescent="0.3">
      <c r="A55" s="707">
        <f t="shared" si="5"/>
        <v>32</v>
      </c>
      <c r="B55" s="712">
        <f t="shared" si="0"/>
        <v>46153</v>
      </c>
      <c r="C55" s="713">
        <f t="shared" si="6"/>
        <v>4187813.86</v>
      </c>
      <c r="D55" s="713">
        <f t="shared" si="2"/>
        <v>31503.429999999993</v>
      </c>
      <c r="E55" s="713">
        <f t="shared" si="3"/>
        <v>68496.570000000007</v>
      </c>
      <c r="F55" s="713">
        <f t="shared" si="4"/>
        <v>0</v>
      </c>
      <c r="G55" s="714">
        <f t="shared" si="1"/>
        <v>100000</v>
      </c>
      <c r="H55" s="707"/>
    </row>
    <row r="56" spans="1:8" x14ac:dyDescent="0.3">
      <c r="A56" s="707">
        <f t="shared" si="5"/>
        <v>33</v>
      </c>
      <c r="B56" s="712">
        <f t="shared" si="0"/>
        <v>46184</v>
      </c>
      <c r="C56" s="713">
        <f t="shared" si="6"/>
        <v>4156310.43</v>
      </c>
      <c r="D56" s="713">
        <f t="shared" si="2"/>
        <v>29752.660000000003</v>
      </c>
      <c r="E56" s="713">
        <f t="shared" si="3"/>
        <v>70247.34</v>
      </c>
      <c r="F56" s="713">
        <f t="shared" si="4"/>
        <v>0</v>
      </c>
      <c r="G56" s="714">
        <f t="shared" si="1"/>
        <v>100000</v>
      </c>
      <c r="H56" s="707"/>
    </row>
    <row r="57" spans="1:8" x14ac:dyDescent="0.3">
      <c r="A57" s="707">
        <f t="shared" si="5"/>
        <v>34</v>
      </c>
      <c r="B57" s="712">
        <f t="shared" si="0"/>
        <v>46214</v>
      </c>
      <c r="C57" s="713">
        <f t="shared" si="6"/>
        <v>4126557.77</v>
      </c>
      <c r="D57" s="713">
        <f t="shared" si="2"/>
        <v>32505.339999999997</v>
      </c>
      <c r="E57" s="713">
        <f t="shared" si="3"/>
        <v>67494.66</v>
      </c>
      <c r="F57" s="713">
        <f t="shared" si="4"/>
        <v>0</v>
      </c>
      <c r="G57" s="714">
        <f t="shared" si="1"/>
        <v>100000</v>
      </c>
      <c r="H57" s="707"/>
    </row>
    <row r="58" spans="1:8" x14ac:dyDescent="0.3">
      <c r="A58" s="707">
        <f t="shared" si="5"/>
        <v>35</v>
      </c>
      <c r="B58" s="712">
        <f t="shared" si="0"/>
        <v>46245</v>
      </c>
      <c r="C58" s="713">
        <f t="shared" si="6"/>
        <v>4094052.43</v>
      </c>
      <c r="D58" s="713">
        <f t="shared" si="2"/>
        <v>30804.910000000003</v>
      </c>
      <c r="E58" s="713">
        <f t="shared" si="3"/>
        <v>69195.09</v>
      </c>
      <c r="F58" s="713">
        <f t="shared" si="4"/>
        <v>0</v>
      </c>
      <c r="G58" s="714">
        <f t="shared" si="1"/>
        <v>100000</v>
      </c>
      <c r="H58" s="707"/>
    </row>
    <row r="59" spans="1:8" x14ac:dyDescent="0.3">
      <c r="A59" s="707">
        <f t="shared" si="5"/>
        <v>36</v>
      </c>
      <c r="B59" s="712">
        <f t="shared" si="0"/>
        <v>46276</v>
      </c>
      <c r="C59" s="713">
        <f t="shared" si="6"/>
        <v>4063247.52</v>
      </c>
      <c r="D59" s="713">
        <f t="shared" si="2"/>
        <v>31325.550000000003</v>
      </c>
      <c r="E59" s="713">
        <f t="shared" si="3"/>
        <v>68674.45</v>
      </c>
      <c r="F59" s="713">
        <f t="shared" si="4"/>
        <v>0</v>
      </c>
      <c r="G59" s="714">
        <f t="shared" si="1"/>
        <v>100000</v>
      </c>
      <c r="H59" s="707"/>
    </row>
    <row r="60" spans="1:8" x14ac:dyDescent="0.3">
      <c r="A60" s="707">
        <f t="shared" si="5"/>
        <v>37</v>
      </c>
      <c r="B60" s="712">
        <f t="shared" si="0"/>
        <v>46306</v>
      </c>
      <c r="C60" s="713">
        <f t="shared" si="6"/>
        <v>4031921.97</v>
      </c>
      <c r="D60" s="713">
        <f t="shared" si="2"/>
        <v>34053.22</v>
      </c>
      <c r="E60" s="713">
        <f t="shared" si="3"/>
        <v>65946.78</v>
      </c>
      <c r="F60" s="713">
        <f t="shared" si="4"/>
        <v>0</v>
      </c>
      <c r="G60" s="714">
        <f t="shared" si="1"/>
        <v>100000</v>
      </c>
      <c r="H60" s="707"/>
    </row>
    <row r="61" spans="1:8" x14ac:dyDescent="0.3">
      <c r="A61" s="707">
        <f t="shared" si="5"/>
        <v>38</v>
      </c>
      <c r="B61" s="712">
        <f t="shared" si="0"/>
        <v>46337</v>
      </c>
      <c r="C61" s="713">
        <f t="shared" si="6"/>
        <v>3997868.75</v>
      </c>
      <c r="D61" s="713">
        <f t="shared" si="2"/>
        <v>32430.539999999994</v>
      </c>
      <c r="E61" s="713">
        <f t="shared" si="3"/>
        <v>67569.460000000006</v>
      </c>
      <c r="F61" s="713">
        <f t="shared" si="4"/>
        <v>0</v>
      </c>
      <c r="G61" s="714">
        <f t="shared" si="1"/>
        <v>100000</v>
      </c>
      <c r="H61" s="707"/>
    </row>
    <row r="62" spans="1:8" x14ac:dyDescent="0.3">
      <c r="A62" s="707">
        <f t="shared" si="5"/>
        <v>39</v>
      </c>
      <c r="B62" s="712">
        <f t="shared" si="0"/>
        <v>46367</v>
      </c>
      <c r="C62" s="713">
        <f t="shared" si="6"/>
        <v>3965438.21</v>
      </c>
      <c r="D62" s="713">
        <f t="shared" si="2"/>
        <v>35140.639999999999</v>
      </c>
      <c r="E62" s="713">
        <f t="shared" si="3"/>
        <v>64859.360000000001</v>
      </c>
      <c r="F62" s="713">
        <f t="shared" si="4"/>
        <v>0</v>
      </c>
      <c r="G62" s="714">
        <f t="shared" si="1"/>
        <v>100000</v>
      </c>
      <c r="H62" s="707"/>
    </row>
    <row r="63" spans="1:8" x14ac:dyDescent="0.3">
      <c r="A63" s="707">
        <f t="shared" si="5"/>
        <v>40</v>
      </c>
      <c r="B63" s="712">
        <f t="shared" si="0"/>
        <v>46398</v>
      </c>
      <c r="C63" s="713">
        <f t="shared" si="6"/>
        <v>3930297.57</v>
      </c>
      <c r="D63" s="713">
        <f t="shared" si="2"/>
        <v>33572.589999999997</v>
      </c>
      <c r="E63" s="713">
        <f t="shared" si="3"/>
        <v>66427.41</v>
      </c>
      <c r="F63" s="713">
        <f t="shared" si="4"/>
        <v>0</v>
      </c>
      <c r="G63" s="714">
        <f t="shared" si="1"/>
        <v>100000</v>
      </c>
      <c r="H63" s="707"/>
    </row>
    <row r="64" spans="1:8" x14ac:dyDescent="0.3">
      <c r="A64" s="707">
        <f t="shared" si="5"/>
        <v>41</v>
      </c>
      <c r="B64" s="712">
        <f t="shared" si="0"/>
        <v>46429</v>
      </c>
      <c r="C64" s="713">
        <f t="shared" si="6"/>
        <v>3896724.98</v>
      </c>
      <c r="D64" s="713">
        <f t="shared" si="2"/>
        <v>34140.009999999995</v>
      </c>
      <c r="E64" s="713">
        <f t="shared" si="3"/>
        <v>65859.990000000005</v>
      </c>
      <c r="F64" s="713">
        <f t="shared" si="4"/>
        <v>0</v>
      </c>
      <c r="G64" s="714">
        <f t="shared" si="1"/>
        <v>100000</v>
      </c>
      <c r="H64" s="707"/>
    </row>
    <row r="65" spans="1:8" x14ac:dyDescent="0.3">
      <c r="A65" s="707">
        <f t="shared" si="5"/>
        <v>42</v>
      </c>
      <c r="B65" s="712">
        <f t="shared" si="0"/>
        <v>46457</v>
      </c>
      <c r="C65" s="713">
        <f t="shared" si="6"/>
        <v>3862584.97</v>
      </c>
      <c r="D65" s="713">
        <f t="shared" si="2"/>
        <v>41034.730000000003</v>
      </c>
      <c r="E65" s="713">
        <f t="shared" si="3"/>
        <v>58965.27</v>
      </c>
      <c r="F65" s="713">
        <f t="shared" si="4"/>
        <v>0</v>
      </c>
      <c r="G65" s="714">
        <f t="shared" si="1"/>
        <v>100000</v>
      </c>
      <c r="H65" s="707"/>
    </row>
    <row r="66" spans="1:8" x14ac:dyDescent="0.3">
      <c r="A66" s="707">
        <f t="shared" si="5"/>
        <v>43</v>
      </c>
      <c r="B66" s="712">
        <f t="shared" si="0"/>
        <v>46488</v>
      </c>
      <c r="C66" s="713">
        <f t="shared" si="6"/>
        <v>3821550.24</v>
      </c>
      <c r="D66" s="713">
        <f t="shared" si="2"/>
        <v>35410.57</v>
      </c>
      <c r="E66" s="713">
        <f t="shared" si="3"/>
        <v>64589.43</v>
      </c>
      <c r="F66" s="713">
        <f t="shared" si="4"/>
        <v>0</v>
      </c>
      <c r="G66" s="714">
        <f t="shared" si="1"/>
        <v>100000</v>
      </c>
      <c r="H66" s="707"/>
    </row>
    <row r="67" spans="1:8" x14ac:dyDescent="0.3">
      <c r="A67" s="707">
        <f t="shared" si="5"/>
        <v>44</v>
      </c>
      <c r="B67" s="712">
        <f t="shared" si="0"/>
        <v>46518</v>
      </c>
      <c r="C67" s="713">
        <f t="shared" si="6"/>
        <v>3786139.67</v>
      </c>
      <c r="D67" s="713">
        <f t="shared" si="2"/>
        <v>38073.279999999999</v>
      </c>
      <c r="E67" s="713">
        <f t="shared" si="3"/>
        <v>61926.720000000001</v>
      </c>
      <c r="F67" s="713">
        <f t="shared" si="4"/>
        <v>0</v>
      </c>
      <c r="G67" s="714">
        <f t="shared" si="1"/>
        <v>100000</v>
      </c>
      <c r="H67" s="707"/>
    </row>
    <row r="68" spans="1:8" x14ac:dyDescent="0.3">
      <c r="A68" s="707">
        <f t="shared" si="5"/>
        <v>45</v>
      </c>
      <c r="B68" s="712">
        <f t="shared" si="0"/>
        <v>46549</v>
      </c>
      <c r="C68" s="713">
        <f t="shared" si="6"/>
        <v>3748066.39</v>
      </c>
      <c r="D68" s="713">
        <f t="shared" si="2"/>
        <v>36652.54</v>
      </c>
      <c r="E68" s="713">
        <f t="shared" si="3"/>
        <v>63347.46</v>
      </c>
      <c r="F68" s="713">
        <f t="shared" si="4"/>
        <v>0</v>
      </c>
      <c r="G68" s="714">
        <f t="shared" si="1"/>
        <v>100000</v>
      </c>
      <c r="H68" s="707"/>
    </row>
    <row r="69" spans="1:8" x14ac:dyDescent="0.3">
      <c r="A69" s="707">
        <f t="shared" si="5"/>
        <v>46</v>
      </c>
      <c r="B69" s="712">
        <f t="shared" si="0"/>
        <v>46579</v>
      </c>
      <c r="C69" s="713">
        <f t="shared" si="6"/>
        <v>3711413.85</v>
      </c>
      <c r="D69" s="713">
        <f t="shared" si="2"/>
        <v>39295.5</v>
      </c>
      <c r="E69" s="713">
        <f t="shared" si="3"/>
        <v>60704.5</v>
      </c>
      <c r="F69" s="713">
        <f t="shared" si="4"/>
        <v>0</v>
      </c>
      <c r="G69" s="714">
        <f t="shared" si="1"/>
        <v>100000</v>
      </c>
      <c r="H69" s="707"/>
    </row>
    <row r="70" spans="1:8" x14ac:dyDescent="0.3">
      <c r="A70" s="707">
        <f t="shared" si="5"/>
        <v>47</v>
      </c>
      <c r="B70" s="712">
        <f t="shared" si="0"/>
        <v>46610</v>
      </c>
      <c r="C70" s="713">
        <f t="shared" si="6"/>
        <v>3672118.35</v>
      </c>
      <c r="D70" s="713">
        <f t="shared" si="2"/>
        <v>37936.17</v>
      </c>
      <c r="E70" s="713">
        <f t="shared" si="3"/>
        <v>62063.83</v>
      </c>
      <c r="F70" s="713">
        <f t="shared" si="4"/>
        <v>0</v>
      </c>
      <c r="G70" s="714">
        <f t="shared" si="1"/>
        <v>100000</v>
      </c>
      <c r="H70" s="707"/>
    </row>
    <row r="71" spans="1:8" x14ac:dyDescent="0.3">
      <c r="A71" s="707">
        <f t="shared" si="5"/>
        <v>48</v>
      </c>
      <c r="B71" s="712">
        <f t="shared" si="0"/>
        <v>46641</v>
      </c>
      <c r="C71" s="713">
        <f t="shared" si="6"/>
        <v>3634182.18</v>
      </c>
      <c r="D71" s="713">
        <f t="shared" si="2"/>
        <v>38577.339999999997</v>
      </c>
      <c r="E71" s="713">
        <f t="shared" si="3"/>
        <v>61422.66</v>
      </c>
      <c r="F71" s="713">
        <f t="shared" si="4"/>
        <v>0</v>
      </c>
      <c r="G71" s="714">
        <f t="shared" si="1"/>
        <v>100000</v>
      </c>
      <c r="H71" s="707"/>
    </row>
    <row r="72" spans="1:8" x14ac:dyDescent="0.3">
      <c r="A72" s="707">
        <f t="shared" si="5"/>
        <v>49</v>
      </c>
      <c r="B72" s="712">
        <f t="shared" si="0"/>
        <v>46671</v>
      </c>
      <c r="C72" s="713">
        <f t="shared" si="6"/>
        <v>3595604.84</v>
      </c>
      <c r="D72" s="713">
        <f t="shared" si="2"/>
        <v>41189.699999999997</v>
      </c>
      <c r="E72" s="713">
        <f t="shared" si="3"/>
        <v>58810.3</v>
      </c>
      <c r="F72" s="713">
        <f t="shared" si="4"/>
        <v>0</v>
      </c>
      <c r="G72" s="714">
        <f t="shared" si="1"/>
        <v>100000</v>
      </c>
    </row>
    <row r="73" spans="1:8" x14ac:dyDescent="0.3">
      <c r="A73" s="707">
        <f t="shared" si="5"/>
        <v>50</v>
      </c>
      <c r="B73" s="712">
        <f t="shared" si="0"/>
        <v>46702</v>
      </c>
      <c r="C73" s="713">
        <f t="shared" si="6"/>
        <v>3554415.14</v>
      </c>
      <c r="D73" s="713">
        <f t="shared" si="2"/>
        <v>39925.519999999997</v>
      </c>
      <c r="E73" s="713">
        <f t="shared" si="3"/>
        <v>60074.48</v>
      </c>
      <c r="F73" s="713">
        <f t="shared" si="4"/>
        <v>0</v>
      </c>
      <c r="G73" s="714">
        <f t="shared" si="1"/>
        <v>100000</v>
      </c>
    </row>
    <row r="74" spans="1:8" x14ac:dyDescent="0.3">
      <c r="A74" s="707">
        <f t="shared" si="5"/>
        <v>51</v>
      </c>
      <c r="B74" s="712">
        <f t="shared" si="0"/>
        <v>46732</v>
      </c>
      <c r="C74" s="713">
        <f t="shared" si="6"/>
        <v>3514489.62</v>
      </c>
      <c r="D74" s="713">
        <f t="shared" si="2"/>
        <v>42516.43</v>
      </c>
      <c r="E74" s="713">
        <f t="shared" si="3"/>
        <v>57483.57</v>
      </c>
      <c r="F74" s="713">
        <f t="shared" si="4"/>
        <v>0</v>
      </c>
      <c r="G74" s="714">
        <f t="shared" si="1"/>
        <v>100000</v>
      </c>
    </row>
    <row r="75" spans="1:8" x14ac:dyDescent="0.3">
      <c r="A75" s="707">
        <f t="shared" si="5"/>
        <v>52</v>
      </c>
      <c r="B75" s="712">
        <f t="shared" si="0"/>
        <v>46763</v>
      </c>
      <c r="C75" s="713">
        <f t="shared" si="6"/>
        <v>3471973.19</v>
      </c>
      <c r="D75" s="713">
        <f t="shared" si="2"/>
        <v>41318.9</v>
      </c>
      <c r="E75" s="713">
        <f t="shared" si="3"/>
        <v>58681.1</v>
      </c>
      <c r="F75" s="713">
        <f t="shared" si="4"/>
        <v>0</v>
      </c>
      <c r="G75" s="714">
        <f t="shared" si="1"/>
        <v>100000</v>
      </c>
    </row>
    <row r="76" spans="1:8" x14ac:dyDescent="0.3">
      <c r="A76" s="707">
        <f t="shared" si="5"/>
        <v>53</v>
      </c>
      <c r="B76" s="712">
        <f t="shared" si="0"/>
        <v>46794</v>
      </c>
      <c r="C76" s="713">
        <f t="shared" si="6"/>
        <v>3430654.29</v>
      </c>
      <c r="D76" s="713">
        <f t="shared" si="2"/>
        <v>42017.24</v>
      </c>
      <c r="E76" s="713">
        <f t="shared" si="3"/>
        <v>57982.76</v>
      </c>
      <c r="F76" s="713">
        <f t="shared" si="4"/>
        <v>0</v>
      </c>
      <c r="G76" s="714">
        <f t="shared" si="1"/>
        <v>100000</v>
      </c>
    </row>
    <row r="77" spans="1:8" x14ac:dyDescent="0.3">
      <c r="A77" s="707">
        <f t="shared" si="5"/>
        <v>54</v>
      </c>
      <c r="B77" s="712">
        <f t="shared" si="0"/>
        <v>46823</v>
      </c>
      <c r="C77" s="713">
        <f t="shared" si="6"/>
        <v>3388637.05</v>
      </c>
      <c r="D77" s="713">
        <f t="shared" si="2"/>
        <v>46422.400000000001</v>
      </c>
      <c r="E77" s="713">
        <f t="shared" si="3"/>
        <v>53577.599999999999</v>
      </c>
      <c r="F77" s="713">
        <f t="shared" si="4"/>
        <v>0</v>
      </c>
      <c r="G77" s="714">
        <f t="shared" si="1"/>
        <v>100000</v>
      </c>
    </row>
    <row r="78" spans="1:8" x14ac:dyDescent="0.3">
      <c r="A78" s="707">
        <f t="shared" si="5"/>
        <v>55</v>
      </c>
      <c r="B78" s="712">
        <f t="shared" si="0"/>
        <v>46854</v>
      </c>
      <c r="C78" s="713">
        <f t="shared" si="6"/>
        <v>3342214.65</v>
      </c>
      <c r="D78" s="713">
        <f t="shared" si="2"/>
        <v>43511.99</v>
      </c>
      <c r="E78" s="713">
        <f t="shared" si="3"/>
        <v>56488.01</v>
      </c>
      <c r="F78" s="713">
        <f t="shared" si="4"/>
        <v>0</v>
      </c>
      <c r="G78" s="714">
        <f t="shared" si="1"/>
        <v>100000</v>
      </c>
    </row>
    <row r="79" spans="1:8" x14ac:dyDescent="0.3">
      <c r="A79" s="707">
        <f t="shared" si="5"/>
        <v>56</v>
      </c>
      <c r="B79" s="712">
        <f t="shared" si="0"/>
        <v>46884</v>
      </c>
      <c r="C79" s="713">
        <f t="shared" si="6"/>
        <v>3298702.66</v>
      </c>
      <c r="D79" s="713">
        <f t="shared" si="2"/>
        <v>46045.88</v>
      </c>
      <c r="E79" s="713">
        <f t="shared" si="3"/>
        <v>53954.12</v>
      </c>
      <c r="F79" s="713">
        <f t="shared" si="4"/>
        <v>0</v>
      </c>
      <c r="G79" s="714">
        <f t="shared" si="1"/>
        <v>100000</v>
      </c>
    </row>
    <row r="80" spans="1:8" x14ac:dyDescent="0.3">
      <c r="A80" s="707">
        <f t="shared" si="5"/>
        <v>57</v>
      </c>
      <c r="B80" s="712">
        <f t="shared" si="0"/>
        <v>46915</v>
      </c>
      <c r="C80" s="713">
        <f t="shared" si="6"/>
        <v>3252656.78</v>
      </c>
      <c r="D80" s="713">
        <f t="shared" si="2"/>
        <v>45025.64</v>
      </c>
      <c r="E80" s="713">
        <f t="shared" si="3"/>
        <v>54974.36</v>
      </c>
      <c r="F80" s="713">
        <f t="shared" si="4"/>
        <v>0</v>
      </c>
      <c r="G80" s="714">
        <f t="shared" si="1"/>
        <v>100000</v>
      </c>
    </row>
    <row r="81" spans="1:7" x14ac:dyDescent="0.3">
      <c r="A81" s="707">
        <f t="shared" si="5"/>
        <v>58</v>
      </c>
      <c r="B81" s="712">
        <f t="shared" si="0"/>
        <v>46945</v>
      </c>
      <c r="C81" s="713">
        <f t="shared" si="6"/>
        <v>3207631.14</v>
      </c>
      <c r="D81" s="713">
        <f t="shared" si="2"/>
        <v>47535.46</v>
      </c>
      <c r="E81" s="713">
        <f t="shared" si="3"/>
        <v>52464.54</v>
      </c>
      <c r="F81" s="713">
        <f t="shared" si="4"/>
        <v>0</v>
      </c>
      <c r="G81" s="714">
        <f t="shared" si="1"/>
        <v>100000</v>
      </c>
    </row>
    <row r="82" spans="1:7" x14ac:dyDescent="0.3">
      <c r="A82" s="707">
        <f t="shared" si="5"/>
        <v>59</v>
      </c>
      <c r="B82" s="712">
        <f t="shared" si="0"/>
        <v>46976</v>
      </c>
      <c r="C82" s="713">
        <f t="shared" si="6"/>
        <v>3160095.68</v>
      </c>
      <c r="D82" s="713">
        <f t="shared" si="2"/>
        <v>46590.05</v>
      </c>
      <c r="E82" s="713">
        <f t="shared" si="3"/>
        <v>53409.95</v>
      </c>
      <c r="F82" s="713">
        <f t="shared" si="4"/>
        <v>0</v>
      </c>
      <c r="G82" s="714">
        <f t="shared" si="1"/>
        <v>100000</v>
      </c>
    </row>
    <row r="83" spans="1:7" x14ac:dyDescent="0.3">
      <c r="A83" s="707">
        <f t="shared" si="5"/>
        <v>60</v>
      </c>
      <c r="B83" s="712">
        <f t="shared" si="0"/>
        <v>47007</v>
      </c>
      <c r="C83" s="713">
        <f t="shared" si="6"/>
        <v>3113505.63</v>
      </c>
      <c r="D83" s="713">
        <f t="shared" si="2"/>
        <v>47377.49</v>
      </c>
      <c r="E83" s="713">
        <f t="shared" si="3"/>
        <v>52622.51</v>
      </c>
      <c r="F83" s="713">
        <f t="shared" si="4"/>
        <v>0</v>
      </c>
      <c r="G83" s="714">
        <f t="shared" si="1"/>
        <v>100000</v>
      </c>
    </row>
    <row r="84" spans="1:7" x14ac:dyDescent="0.3">
      <c r="A84" s="707">
        <f t="shared" si="5"/>
        <v>61</v>
      </c>
      <c r="B84" s="712">
        <f t="shared" si="0"/>
        <v>47037</v>
      </c>
      <c r="C84" s="713">
        <f t="shared" si="6"/>
        <v>3066128.14</v>
      </c>
      <c r="D84" s="713">
        <f t="shared" si="2"/>
        <v>49849.9</v>
      </c>
      <c r="E84" s="713">
        <f t="shared" si="3"/>
        <v>50150.1</v>
      </c>
      <c r="F84" s="713">
        <f t="shared" si="4"/>
        <v>0</v>
      </c>
      <c r="G84" s="714">
        <f t="shared" si="1"/>
        <v>100000</v>
      </c>
    </row>
    <row r="85" spans="1:7" x14ac:dyDescent="0.3">
      <c r="A85" s="707">
        <f t="shared" si="5"/>
        <v>62</v>
      </c>
      <c r="B85" s="712">
        <f t="shared" si="0"/>
        <v>47068</v>
      </c>
      <c r="C85" s="713">
        <f t="shared" si="6"/>
        <v>3016278.24</v>
      </c>
      <c r="D85" s="713">
        <f t="shared" si="2"/>
        <v>49020.77</v>
      </c>
      <c r="E85" s="713">
        <f t="shared" si="3"/>
        <v>50979.23</v>
      </c>
      <c r="F85" s="713">
        <f t="shared" si="4"/>
        <v>0</v>
      </c>
      <c r="G85" s="714">
        <f t="shared" si="1"/>
        <v>100000</v>
      </c>
    </row>
    <row r="86" spans="1:7" x14ac:dyDescent="0.3">
      <c r="A86" s="707">
        <f t="shared" si="5"/>
        <v>63</v>
      </c>
      <c r="B86" s="712">
        <f t="shared" si="0"/>
        <v>47098</v>
      </c>
      <c r="C86" s="713">
        <f t="shared" si="6"/>
        <v>2967257.47</v>
      </c>
      <c r="D86" s="713">
        <f t="shared" si="2"/>
        <v>51467.05</v>
      </c>
      <c r="E86" s="713">
        <f t="shared" si="3"/>
        <v>48532.95</v>
      </c>
      <c r="F86" s="713">
        <f t="shared" si="4"/>
        <v>0</v>
      </c>
      <c r="G86" s="714">
        <f t="shared" si="1"/>
        <v>100000</v>
      </c>
    </row>
    <row r="87" spans="1:7" x14ac:dyDescent="0.3">
      <c r="A87" s="707">
        <f t="shared" si="5"/>
        <v>64</v>
      </c>
      <c r="B87" s="712">
        <f t="shared" si="0"/>
        <v>47129</v>
      </c>
      <c r="C87" s="713">
        <f t="shared" si="6"/>
        <v>2915790.42</v>
      </c>
      <c r="D87" s="713">
        <f t="shared" si="2"/>
        <v>50719.15</v>
      </c>
      <c r="E87" s="713">
        <f t="shared" si="3"/>
        <v>49280.85</v>
      </c>
      <c r="F87" s="713">
        <f t="shared" si="4"/>
        <v>0</v>
      </c>
      <c r="G87" s="714">
        <f t="shared" si="1"/>
        <v>100000</v>
      </c>
    </row>
    <row r="88" spans="1:7" x14ac:dyDescent="0.3">
      <c r="A88" s="707">
        <f t="shared" si="5"/>
        <v>65</v>
      </c>
      <c r="B88" s="712">
        <f t="shared" ref="B88:B150" si="7">EDATE($D$13,A88)</f>
        <v>47160</v>
      </c>
      <c r="C88" s="713">
        <f t="shared" si="6"/>
        <v>2865071.27</v>
      </c>
      <c r="D88" s="713">
        <f t="shared" si="2"/>
        <v>51576.37</v>
      </c>
      <c r="E88" s="713">
        <f t="shared" si="3"/>
        <v>48423.63</v>
      </c>
      <c r="F88" s="713">
        <f t="shared" si="4"/>
        <v>0</v>
      </c>
      <c r="G88" s="714">
        <f t="shared" ref="G88:G150" si="8">IF(OR($D$4="",$D$7="",$D$6="",$D$12="",$D$13=""),0,IF(C88+E88+F88&lt;$D$14,C88+E88+F88,$D$14))</f>
        <v>100000</v>
      </c>
    </row>
    <row r="89" spans="1:7" x14ac:dyDescent="0.3">
      <c r="A89" s="707">
        <f t="shared" si="5"/>
        <v>66</v>
      </c>
      <c r="B89" s="712">
        <f t="shared" si="7"/>
        <v>47188</v>
      </c>
      <c r="C89" s="713">
        <f t="shared" si="6"/>
        <v>2813494.9</v>
      </c>
      <c r="D89" s="713">
        <f t="shared" ref="D89:D150" si="9">MAX(G89-F89-E89,0)</f>
        <v>57049.88</v>
      </c>
      <c r="E89" s="713">
        <f t="shared" ref="E89:E150" si="10">ROUND(C89*$D$10*_xlfn.DAYS(B89,B88)/365,2)</f>
        <v>42950.12</v>
      </c>
      <c r="F89" s="713">
        <f t="shared" ref="F89:F150" si="11">IF(C89&lt;&gt;0,$D$11)+IF(AND($D$12="Да",C89&lt;&gt;0),69)</f>
        <v>0</v>
      </c>
      <c r="G89" s="714">
        <f t="shared" si="8"/>
        <v>100000</v>
      </c>
    </row>
    <row r="90" spans="1:7" x14ac:dyDescent="0.3">
      <c r="A90" s="707">
        <f t="shared" ref="A90:A122" si="12">A89+1</f>
        <v>67</v>
      </c>
      <c r="B90" s="712">
        <f t="shared" si="7"/>
        <v>47219</v>
      </c>
      <c r="C90" s="713">
        <f t="shared" ref="C90:C150" si="13">ROUNDDOWN(C89-D89,2)</f>
        <v>2756445.02</v>
      </c>
      <c r="D90" s="713">
        <f t="shared" si="9"/>
        <v>53412.3</v>
      </c>
      <c r="E90" s="713">
        <f t="shared" si="10"/>
        <v>46587.7</v>
      </c>
      <c r="F90" s="713">
        <f t="shared" si="11"/>
        <v>0</v>
      </c>
      <c r="G90" s="714">
        <f t="shared" si="8"/>
        <v>100000</v>
      </c>
    </row>
    <row r="91" spans="1:7" x14ac:dyDescent="0.3">
      <c r="A91" s="707">
        <f t="shared" si="12"/>
        <v>68</v>
      </c>
      <c r="B91" s="712">
        <f t="shared" si="7"/>
        <v>47249</v>
      </c>
      <c r="C91" s="713">
        <f t="shared" si="13"/>
        <v>2703032.72</v>
      </c>
      <c r="D91" s="713">
        <f t="shared" si="9"/>
        <v>55788.75</v>
      </c>
      <c r="E91" s="713">
        <f t="shared" si="10"/>
        <v>44211.25</v>
      </c>
      <c r="F91" s="713">
        <f t="shared" si="11"/>
        <v>0</v>
      </c>
      <c r="G91" s="714">
        <f t="shared" si="8"/>
        <v>100000</v>
      </c>
    </row>
    <row r="92" spans="1:7" x14ac:dyDescent="0.3">
      <c r="A92" s="707">
        <f t="shared" si="12"/>
        <v>69</v>
      </c>
      <c r="B92" s="712">
        <f t="shared" si="7"/>
        <v>47280</v>
      </c>
      <c r="C92" s="713">
        <f t="shared" si="13"/>
        <v>2647243.9700000002</v>
      </c>
      <c r="D92" s="713">
        <f t="shared" si="9"/>
        <v>55257.95</v>
      </c>
      <c r="E92" s="713">
        <f t="shared" si="10"/>
        <v>44742.05</v>
      </c>
      <c r="F92" s="713">
        <f t="shared" si="11"/>
        <v>0</v>
      </c>
      <c r="G92" s="714">
        <f t="shared" si="8"/>
        <v>100000</v>
      </c>
    </row>
    <row r="93" spans="1:7" x14ac:dyDescent="0.3">
      <c r="A93" s="707">
        <f t="shared" si="12"/>
        <v>70</v>
      </c>
      <c r="B93" s="712">
        <f t="shared" si="7"/>
        <v>47310</v>
      </c>
      <c r="C93" s="713">
        <f t="shared" si="13"/>
        <v>2591986.02</v>
      </c>
      <c r="D93" s="713">
        <f t="shared" si="9"/>
        <v>57605.05</v>
      </c>
      <c r="E93" s="713">
        <f t="shared" si="10"/>
        <v>42394.95</v>
      </c>
      <c r="F93" s="713">
        <f t="shared" si="11"/>
        <v>0</v>
      </c>
      <c r="G93" s="714">
        <f t="shared" si="8"/>
        <v>100000</v>
      </c>
    </row>
    <row r="94" spans="1:7" x14ac:dyDescent="0.3">
      <c r="A94" s="707">
        <f t="shared" si="12"/>
        <v>71</v>
      </c>
      <c r="B94" s="712">
        <f t="shared" si="7"/>
        <v>47341</v>
      </c>
      <c r="C94" s="713">
        <f t="shared" si="13"/>
        <v>2534380.9700000002</v>
      </c>
      <c r="D94" s="713">
        <f t="shared" si="9"/>
        <v>57165.49</v>
      </c>
      <c r="E94" s="713">
        <f t="shared" si="10"/>
        <v>42834.51</v>
      </c>
      <c r="F94" s="713">
        <f t="shared" si="11"/>
        <v>0</v>
      </c>
      <c r="G94" s="714">
        <f t="shared" si="8"/>
        <v>100000</v>
      </c>
    </row>
    <row r="95" spans="1:7" x14ac:dyDescent="0.3">
      <c r="A95" s="707">
        <f t="shared" si="12"/>
        <v>72</v>
      </c>
      <c r="B95" s="712">
        <f t="shared" si="7"/>
        <v>47372</v>
      </c>
      <c r="C95" s="713">
        <f t="shared" si="13"/>
        <v>2477215.48</v>
      </c>
      <c r="D95" s="713">
        <f t="shared" si="9"/>
        <v>58131.66</v>
      </c>
      <c r="E95" s="713">
        <f t="shared" si="10"/>
        <v>41868.339999999997</v>
      </c>
      <c r="F95" s="713">
        <f t="shared" si="11"/>
        <v>0</v>
      </c>
      <c r="G95" s="714">
        <f t="shared" si="8"/>
        <v>100000</v>
      </c>
    </row>
    <row r="96" spans="1:7" x14ac:dyDescent="0.3">
      <c r="A96" s="707">
        <f t="shared" si="12"/>
        <v>73</v>
      </c>
      <c r="B96" s="712">
        <f t="shared" si="7"/>
        <v>47402</v>
      </c>
      <c r="C96" s="713">
        <f t="shared" si="13"/>
        <v>2419083.8199999998</v>
      </c>
      <c r="D96" s="713">
        <f t="shared" si="9"/>
        <v>60433.07</v>
      </c>
      <c r="E96" s="713">
        <f t="shared" si="10"/>
        <v>39566.93</v>
      </c>
      <c r="F96" s="713">
        <f t="shared" si="11"/>
        <v>0</v>
      </c>
      <c r="G96" s="714">
        <f t="shared" si="8"/>
        <v>100000</v>
      </c>
    </row>
    <row r="97" spans="1:7" x14ac:dyDescent="0.3">
      <c r="A97" s="707">
        <f t="shared" si="12"/>
        <v>74</v>
      </c>
      <c r="B97" s="712">
        <f t="shared" si="7"/>
        <v>47433</v>
      </c>
      <c r="C97" s="713">
        <f t="shared" si="13"/>
        <v>2358650.75</v>
      </c>
      <c r="D97" s="713">
        <f t="shared" si="9"/>
        <v>60135.57</v>
      </c>
      <c r="E97" s="713">
        <f t="shared" si="10"/>
        <v>39864.43</v>
      </c>
      <c r="F97" s="713">
        <f t="shared" si="11"/>
        <v>0</v>
      </c>
      <c r="G97" s="714">
        <f t="shared" si="8"/>
        <v>100000</v>
      </c>
    </row>
    <row r="98" spans="1:7" x14ac:dyDescent="0.3">
      <c r="A98" s="707">
        <f t="shared" si="12"/>
        <v>75</v>
      </c>
      <c r="B98" s="712">
        <f t="shared" si="7"/>
        <v>47463</v>
      </c>
      <c r="C98" s="713">
        <f t="shared" si="13"/>
        <v>2298515.1800000002</v>
      </c>
      <c r="D98" s="713">
        <f t="shared" si="9"/>
        <v>62405.11</v>
      </c>
      <c r="E98" s="713">
        <f t="shared" si="10"/>
        <v>37594.89</v>
      </c>
      <c r="F98" s="713">
        <f t="shared" si="11"/>
        <v>0</v>
      </c>
      <c r="G98" s="714">
        <f t="shared" si="8"/>
        <v>100000</v>
      </c>
    </row>
    <row r="99" spans="1:7" x14ac:dyDescent="0.3">
      <c r="A99" s="707">
        <f t="shared" si="12"/>
        <v>76</v>
      </c>
      <c r="B99" s="712">
        <f t="shared" si="7"/>
        <v>47494</v>
      </c>
      <c r="C99" s="713">
        <f t="shared" si="13"/>
        <v>2236110.0699999998</v>
      </c>
      <c r="D99" s="713">
        <f t="shared" si="9"/>
        <v>62206.68</v>
      </c>
      <c r="E99" s="713">
        <f t="shared" si="10"/>
        <v>37793.32</v>
      </c>
      <c r="F99" s="713">
        <f t="shared" si="11"/>
        <v>0</v>
      </c>
      <c r="G99" s="714">
        <f t="shared" si="8"/>
        <v>100000</v>
      </c>
    </row>
    <row r="100" spans="1:7" x14ac:dyDescent="0.3">
      <c r="A100" s="707">
        <f t="shared" si="12"/>
        <v>77</v>
      </c>
      <c r="B100" s="712">
        <f t="shared" si="7"/>
        <v>47525</v>
      </c>
      <c r="C100" s="713">
        <f t="shared" si="13"/>
        <v>2173903.39</v>
      </c>
      <c r="D100" s="713">
        <f t="shared" si="9"/>
        <v>63258.05</v>
      </c>
      <c r="E100" s="713">
        <f t="shared" si="10"/>
        <v>36741.949999999997</v>
      </c>
      <c r="F100" s="713">
        <f t="shared" si="11"/>
        <v>0</v>
      </c>
      <c r="G100" s="714">
        <f t="shared" si="8"/>
        <v>100000</v>
      </c>
    </row>
    <row r="101" spans="1:7" x14ac:dyDescent="0.3">
      <c r="A101" s="707">
        <f t="shared" si="12"/>
        <v>78</v>
      </c>
      <c r="B101" s="712">
        <f t="shared" si="7"/>
        <v>47553</v>
      </c>
      <c r="C101" s="713">
        <f t="shared" si="13"/>
        <v>2110645.34</v>
      </c>
      <c r="D101" s="713">
        <f t="shared" si="9"/>
        <v>67779.41</v>
      </c>
      <c r="E101" s="713">
        <f t="shared" si="10"/>
        <v>32220.59</v>
      </c>
      <c r="F101" s="713">
        <f t="shared" si="11"/>
        <v>0</v>
      </c>
      <c r="G101" s="714">
        <f t="shared" si="8"/>
        <v>100000</v>
      </c>
    </row>
    <row r="102" spans="1:7" x14ac:dyDescent="0.3">
      <c r="A102" s="707">
        <f t="shared" si="12"/>
        <v>79</v>
      </c>
      <c r="B102" s="712">
        <f t="shared" si="7"/>
        <v>47584</v>
      </c>
      <c r="C102" s="713">
        <f t="shared" si="13"/>
        <v>2042865.93</v>
      </c>
      <c r="D102" s="713">
        <f t="shared" si="9"/>
        <v>65472.77</v>
      </c>
      <c r="E102" s="713">
        <f t="shared" si="10"/>
        <v>34527.230000000003</v>
      </c>
      <c r="F102" s="713">
        <f t="shared" si="11"/>
        <v>0</v>
      </c>
      <c r="G102" s="714">
        <f t="shared" si="8"/>
        <v>100000</v>
      </c>
    </row>
    <row r="103" spans="1:7" x14ac:dyDescent="0.3">
      <c r="A103" s="707">
        <f t="shared" si="12"/>
        <v>80</v>
      </c>
      <c r="B103" s="712">
        <f t="shared" si="7"/>
        <v>47614</v>
      </c>
      <c r="C103" s="713">
        <f t="shared" si="13"/>
        <v>1977393.16</v>
      </c>
      <c r="D103" s="713">
        <f t="shared" si="9"/>
        <v>67657.429999999993</v>
      </c>
      <c r="E103" s="713">
        <f t="shared" si="10"/>
        <v>32342.57</v>
      </c>
      <c r="F103" s="713">
        <f t="shared" si="11"/>
        <v>0</v>
      </c>
      <c r="G103" s="714">
        <f t="shared" si="8"/>
        <v>100000</v>
      </c>
    </row>
    <row r="104" spans="1:7" x14ac:dyDescent="0.3">
      <c r="A104" s="707">
        <f t="shared" si="12"/>
        <v>81</v>
      </c>
      <c r="B104" s="712">
        <f t="shared" si="7"/>
        <v>47645</v>
      </c>
      <c r="C104" s="713">
        <f t="shared" si="13"/>
        <v>1909735.73</v>
      </c>
      <c r="D104" s="713">
        <f t="shared" si="9"/>
        <v>67722.850000000006</v>
      </c>
      <c r="E104" s="713">
        <f t="shared" si="10"/>
        <v>32277.15</v>
      </c>
      <c r="F104" s="713">
        <f t="shared" si="11"/>
        <v>0</v>
      </c>
      <c r="G104" s="714">
        <f t="shared" si="8"/>
        <v>100000</v>
      </c>
    </row>
    <row r="105" spans="1:7" x14ac:dyDescent="0.3">
      <c r="A105" s="707">
        <f t="shared" si="12"/>
        <v>82</v>
      </c>
      <c r="B105" s="712">
        <f t="shared" si="7"/>
        <v>47675</v>
      </c>
      <c r="C105" s="713">
        <f t="shared" si="13"/>
        <v>1842012.88</v>
      </c>
      <c r="D105" s="713">
        <f t="shared" si="9"/>
        <v>69871.73</v>
      </c>
      <c r="E105" s="713">
        <f t="shared" si="10"/>
        <v>30128.27</v>
      </c>
      <c r="F105" s="713">
        <f t="shared" si="11"/>
        <v>0</v>
      </c>
      <c r="G105" s="714">
        <f t="shared" si="8"/>
        <v>100000</v>
      </c>
    </row>
    <row r="106" spans="1:7" x14ac:dyDescent="0.3">
      <c r="A106" s="707">
        <f t="shared" si="12"/>
        <v>83</v>
      </c>
      <c r="B106" s="712">
        <f t="shared" si="7"/>
        <v>47706</v>
      </c>
      <c r="C106" s="713">
        <f t="shared" si="13"/>
        <v>1772141.15</v>
      </c>
      <c r="D106" s="713">
        <f t="shared" si="9"/>
        <v>70048.39</v>
      </c>
      <c r="E106" s="713">
        <f t="shared" si="10"/>
        <v>29951.61</v>
      </c>
      <c r="F106" s="713">
        <f t="shared" si="11"/>
        <v>0</v>
      </c>
      <c r="G106" s="714">
        <f t="shared" si="8"/>
        <v>100000</v>
      </c>
    </row>
    <row r="107" spans="1:7" x14ac:dyDescent="0.3">
      <c r="A107" s="707">
        <f t="shared" si="12"/>
        <v>84</v>
      </c>
      <c r="B107" s="712">
        <f t="shared" si="7"/>
        <v>47737</v>
      </c>
      <c r="C107" s="713">
        <f t="shared" si="13"/>
        <v>1702092.76</v>
      </c>
      <c r="D107" s="713">
        <f t="shared" si="9"/>
        <v>71232.3</v>
      </c>
      <c r="E107" s="713">
        <f t="shared" si="10"/>
        <v>28767.7</v>
      </c>
      <c r="F107" s="713">
        <f t="shared" si="11"/>
        <v>0</v>
      </c>
      <c r="G107" s="714">
        <f t="shared" si="8"/>
        <v>100000</v>
      </c>
    </row>
    <row r="108" spans="1:7" x14ac:dyDescent="0.3">
      <c r="A108" s="707">
        <f t="shared" si="12"/>
        <v>85</v>
      </c>
      <c r="B108" s="712">
        <f t="shared" si="7"/>
        <v>47767</v>
      </c>
      <c r="C108" s="713">
        <f t="shared" si="13"/>
        <v>1630860.46</v>
      </c>
      <c r="D108" s="713">
        <f t="shared" si="9"/>
        <v>73325.38</v>
      </c>
      <c r="E108" s="713">
        <f t="shared" si="10"/>
        <v>26674.62</v>
      </c>
      <c r="F108" s="713">
        <f t="shared" si="11"/>
        <v>0</v>
      </c>
      <c r="G108" s="714">
        <f t="shared" si="8"/>
        <v>100000</v>
      </c>
    </row>
    <row r="109" spans="1:7" x14ac:dyDescent="0.3">
      <c r="A109" s="707">
        <f t="shared" si="12"/>
        <v>86</v>
      </c>
      <c r="B109" s="712">
        <f t="shared" si="7"/>
        <v>47798</v>
      </c>
      <c r="C109" s="713">
        <f t="shared" si="13"/>
        <v>1557535.08</v>
      </c>
      <c r="D109" s="713">
        <f t="shared" si="9"/>
        <v>73675.520000000004</v>
      </c>
      <c r="E109" s="713">
        <f t="shared" si="10"/>
        <v>26324.48</v>
      </c>
      <c r="F109" s="713">
        <f t="shared" si="11"/>
        <v>0</v>
      </c>
      <c r="G109" s="714">
        <f t="shared" si="8"/>
        <v>100000</v>
      </c>
    </row>
    <row r="110" spans="1:7" x14ac:dyDescent="0.3">
      <c r="A110" s="707">
        <f t="shared" si="12"/>
        <v>87</v>
      </c>
      <c r="B110" s="712">
        <f t="shared" si="7"/>
        <v>47828</v>
      </c>
      <c r="C110" s="713">
        <f t="shared" si="13"/>
        <v>1483859.56</v>
      </c>
      <c r="D110" s="713">
        <f t="shared" si="9"/>
        <v>75729.75</v>
      </c>
      <c r="E110" s="713">
        <f t="shared" si="10"/>
        <v>24270.25</v>
      </c>
      <c r="F110" s="713">
        <f t="shared" si="11"/>
        <v>0</v>
      </c>
      <c r="G110" s="714">
        <f t="shared" si="8"/>
        <v>100000</v>
      </c>
    </row>
    <row r="111" spans="1:7" x14ac:dyDescent="0.3">
      <c r="A111" s="707">
        <f t="shared" si="12"/>
        <v>88</v>
      </c>
      <c r="B111" s="712">
        <f t="shared" si="7"/>
        <v>47859</v>
      </c>
      <c r="C111" s="713">
        <f t="shared" si="13"/>
        <v>1408129.81</v>
      </c>
      <c r="D111" s="713">
        <f t="shared" si="9"/>
        <v>76200.679999999993</v>
      </c>
      <c r="E111" s="713">
        <f t="shared" si="10"/>
        <v>23799.32</v>
      </c>
      <c r="F111" s="713">
        <f t="shared" si="11"/>
        <v>0</v>
      </c>
      <c r="G111" s="714">
        <f t="shared" si="8"/>
        <v>100000</v>
      </c>
    </row>
    <row r="112" spans="1:7" x14ac:dyDescent="0.3">
      <c r="A112" s="707">
        <f t="shared" si="12"/>
        <v>89</v>
      </c>
      <c r="B112" s="712">
        <f t="shared" si="7"/>
        <v>47890</v>
      </c>
      <c r="C112" s="713">
        <f t="shared" si="13"/>
        <v>1331929.1299999999</v>
      </c>
      <c r="D112" s="713">
        <f t="shared" si="9"/>
        <v>77488.570000000007</v>
      </c>
      <c r="E112" s="713">
        <f t="shared" si="10"/>
        <v>22511.43</v>
      </c>
      <c r="F112" s="713">
        <f t="shared" si="11"/>
        <v>0</v>
      </c>
      <c r="G112" s="714">
        <f t="shared" si="8"/>
        <v>100000</v>
      </c>
    </row>
    <row r="113" spans="1:7" x14ac:dyDescent="0.3">
      <c r="A113" s="707">
        <f t="shared" si="12"/>
        <v>90</v>
      </c>
      <c r="B113" s="712">
        <f t="shared" si="7"/>
        <v>47918</v>
      </c>
      <c r="C113" s="713">
        <f t="shared" si="13"/>
        <v>1254440.56</v>
      </c>
      <c r="D113" s="713">
        <f t="shared" si="9"/>
        <v>80850.02</v>
      </c>
      <c r="E113" s="713">
        <f t="shared" si="10"/>
        <v>19149.98</v>
      </c>
      <c r="F113" s="713">
        <f t="shared" si="11"/>
        <v>0</v>
      </c>
      <c r="G113" s="714">
        <f t="shared" si="8"/>
        <v>100000</v>
      </c>
    </row>
    <row r="114" spans="1:7" x14ac:dyDescent="0.3">
      <c r="A114" s="707">
        <f t="shared" si="12"/>
        <v>91</v>
      </c>
      <c r="B114" s="712">
        <f t="shared" si="7"/>
        <v>47949</v>
      </c>
      <c r="C114" s="713">
        <f t="shared" si="13"/>
        <v>1173590.54</v>
      </c>
      <c r="D114" s="713">
        <f t="shared" si="9"/>
        <v>80164.709999999992</v>
      </c>
      <c r="E114" s="713">
        <f t="shared" si="10"/>
        <v>19835.29</v>
      </c>
      <c r="F114" s="713">
        <f t="shared" si="11"/>
        <v>0</v>
      </c>
      <c r="G114" s="714">
        <f t="shared" si="8"/>
        <v>100000</v>
      </c>
    </row>
    <row r="115" spans="1:7" x14ac:dyDescent="0.3">
      <c r="A115" s="707">
        <f t="shared" si="12"/>
        <v>92</v>
      </c>
      <c r="B115" s="712">
        <f t="shared" si="7"/>
        <v>47979</v>
      </c>
      <c r="C115" s="713">
        <f t="shared" si="13"/>
        <v>1093425.83</v>
      </c>
      <c r="D115" s="713">
        <f t="shared" si="9"/>
        <v>82115.75</v>
      </c>
      <c r="E115" s="713">
        <f t="shared" si="10"/>
        <v>17884.25</v>
      </c>
      <c r="F115" s="713">
        <f t="shared" si="11"/>
        <v>0</v>
      </c>
      <c r="G115" s="714">
        <f t="shared" si="8"/>
        <v>100000</v>
      </c>
    </row>
    <row r="116" spans="1:7" x14ac:dyDescent="0.3">
      <c r="A116" s="707">
        <f t="shared" si="12"/>
        <v>93</v>
      </c>
      <c r="B116" s="712">
        <f t="shared" si="7"/>
        <v>48010</v>
      </c>
      <c r="C116" s="713">
        <f t="shared" si="13"/>
        <v>1011310.08</v>
      </c>
      <c r="D116" s="713">
        <f t="shared" si="9"/>
        <v>82907.47</v>
      </c>
      <c r="E116" s="713">
        <f t="shared" si="10"/>
        <v>17092.53</v>
      </c>
      <c r="F116" s="713">
        <f t="shared" si="11"/>
        <v>0</v>
      </c>
      <c r="G116" s="714">
        <f t="shared" si="8"/>
        <v>100000</v>
      </c>
    </row>
    <row r="117" spans="1:7" x14ac:dyDescent="0.3">
      <c r="A117" s="707">
        <f t="shared" si="12"/>
        <v>94</v>
      </c>
      <c r="B117" s="712">
        <f t="shared" si="7"/>
        <v>48040</v>
      </c>
      <c r="C117" s="713">
        <f t="shared" si="13"/>
        <v>928402.61</v>
      </c>
      <c r="D117" s="713">
        <f t="shared" si="9"/>
        <v>84814.89</v>
      </c>
      <c r="E117" s="713">
        <f t="shared" si="10"/>
        <v>15185.11</v>
      </c>
      <c r="F117" s="713">
        <f t="shared" si="11"/>
        <v>0</v>
      </c>
      <c r="G117" s="714">
        <f t="shared" si="8"/>
        <v>100000</v>
      </c>
    </row>
    <row r="118" spans="1:7" x14ac:dyDescent="0.3">
      <c r="A118" s="707">
        <f t="shared" si="12"/>
        <v>95</v>
      </c>
      <c r="B118" s="712">
        <f t="shared" si="7"/>
        <v>48071</v>
      </c>
      <c r="C118" s="713">
        <f t="shared" si="13"/>
        <v>843587.72</v>
      </c>
      <c r="D118" s="713">
        <f t="shared" si="9"/>
        <v>85742.209999999992</v>
      </c>
      <c r="E118" s="713">
        <f t="shared" si="10"/>
        <v>14257.79</v>
      </c>
      <c r="F118" s="713">
        <f t="shared" si="11"/>
        <v>0</v>
      </c>
      <c r="G118" s="714">
        <f t="shared" si="8"/>
        <v>100000</v>
      </c>
    </row>
    <row r="119" spans="1:7" x14ac:dyDescent="0.3">
      <c r="A119" s="707">
        <f t="shared" si="12"/>
        <v>96</v>
      </c>
      <c r="B119" s="712">
        <f t="shared" si="7"/>
        <v>48102</v>
      </c>
      <c r="C119" s="713">
        <f t="shared" si="13"/>
        <v>757845.51</v>
      </c>
      <c r="D119" s="713">
        <f t="shared" si="9"/>
        <v>87191.37</v>
      </c>
      <c r="E119" s="713">
        <f t="shared" si="10"/>
        <v>12808.63</v>
      </c>
      <c r="F119" s="713">
        <f t="shared" si="11"/>
        <v>0</v>
      </c>
      <c r="G119" s="714">
        <f t="shared" si="8"/>
        <v>100000</v>
      </c>
    </row>
    <row r="120" spans="1:7" x14ac:dyDescent="0.3">
      <c r="A120" s="707">
        <f t="shared" si="12"/>
        <v>97</v>
      </c>
      <c r="B120" s="712">
        <f t="shared" si="7"/>
        <v>48132</v>
      </c>
      <c r="C120" s="713">
        <f t="shared" si="13"/>
        <v>670654.14</v>
      </c>
      <c r="D120" s="713">
        <f t="shared" si="9"/>
        <v>89030.67</v>
      </c>
      <c r="E120" s="713">
        <f t="shared" si="10"/>
        <v>10969.33</v>
      </c>
      <c r="F120" s="713">
        <f t="shared" si="11"/>
        <v>0</v>
      </c>
      <c r="G120" s="714">
        <f t="shared" si="8"/>
        <v>100000</v>
      </c>
    </row>
    <row r="121" spans="1:7" x14ac:dyDescent="0.3">
      <c r="A121" s="707">
        <f t="shared" si="12"/>
        <v>98</v>
      </c>
      <c r="B121" s="712">
        <f t="shared" si="7"/>
        <v>48163</v>
      </c>
      <c r="C121" s="713">
        <f t="shared" si="13"/>
        <v>581623.47</v>
      </c>
      <c r="D121" s="713">
        <f t="shared" si="9"/>
        <v>90169.77</v>
      </c>
      <c r="E121" s="713">
        <f t="shared" si="10"/>
        <v>9830.23</v>
      </c>
      <c r="F121" s="713">
        <f t="shared" si="11"/>
        <v>0</v>
      </c>
      <c r="G121" s="714">
        <f t="shared" si="8"/>
        <v>100000</v>
      </c>
    </row>
    <row r="122" spans="1:7" x14ac:dyDescent="0.3">
      <c r="A122" s="707">
        <f t="shared" si="12"/>
        <v>99</v>
      </c>
      <c r="B122" s="712">
        <f t="shared" si="7"/>
        <v>48193</v>
      </c>
      <c r="C122" s="713">
        <f t="shared" si="13"/>
        <v>491453.7</v>
      </c>
      <c r="D122" s="713">
        <f t="shared" si="9"/>
        <v>91961.7</v>
      </c>
      <c r="E122" s="713">
        <f t="shared" si="10"/>
        <v>8038.3</v>
      </c>
      <c r="F122" s="713">
        <f t="shared" si="11"/>
        <v>0</v>
      </c>
      <c r="G122" s="714">
        <f t="shared" si="8"/>
        <v>100000</v>
      </c>
    </row>
    <row r="123" spans="1:7" x14ac:dyDescent="0.3">
      <c r="A123" s="707">
        <f>A122+1</f>
        <v>100</v>
      </c>
      <c r="B123" s="712">
        <f t="shared" si="7"/>
        <v>48224</v>
      </c>
      <c r="C123" s="713">
        <f t="shared" si="13"/>
        <v>399492</v>
      </c>
      <c r="D123" s="713">
        <f t="shared" si="9"/>
        <v>93248.04</v>
      </c>
      <c r="E123" s="713">
        <f t="shared" si="10"/>
        <v>6751.96</v>
      </c>
      <c r="F123" s="713">
        <f t="shared" si="11"/>
        <v>0</v>
      </c>
      <c r="G123" s="714">
        <f t="shared" si="8"/>
        <v>100000</v>
      </c>
    </row>
    <row r="124" spans="1:7" x14ac:dyDescent="0.3">
      <c r="A124" s="707">
        <f t="shared" ref="A124:A142" si="14">A123+1</f>
        <v>101</v>
      </c>
      <c r="B124" s="712">
        <f t="shared" si="7"/>
        <v>48255</v>
      </c>
      <c r="C124" s="713">
        <f t="shared" si="13"/>
        <v>306243.96000000002</v>
      </c>
      <c r="D124" s="713">
        <f t="shared" si="9"/>
        <v>94824.06</v>
      </c>
      <c r="E124" s="713">
        <f t="shared" si="10"/>
        <v>5175.9399999999996</v>
      </c>
      <c r="F124" s="713">
        <f t="shared" si="11"/>
        <v>0</v>
      </c>
      <c r="G124" s="714">
        <f t="shared" si="8"/>
        <v>100000</v>
      </c>
    </row>
    <row r="125" spans="1:7" x14ac:dyDescent="0.3">
      <c r="A125" s="707">
        <f t="shared" si="14"/>
        <v>102</v>
      </c>
      <c r="B125" s="712">
        <f t="shared" si="7"/>
        <v>48284</v>
      </c>
      <c r="C125" s="713">
        <f t="shared" si="13"/>
        <v>211419.9</v>
      </c>
      <c r="D125" s="713">
        <f t="shared" si="9"/>
        <v>96657.25</v>
      </c>
      <c r="E125" s="713">
        <f t="shared" si="10"/>
        <v>3342.75</v>
      </c>
      <c r="F125" s="713">
        <f t="shared" si="11"/>
        <v>0</v>
      </c>
      <c r="G125" s="714">
        <f t="shared" si="8"/>
        <v>100000</v>
      </c>
    </row>
    <row r="126" spans="1:7" x14ac:dyDescent="0.3">
      <c r="A126" s="707">
        <f t="shared" si="14"/>
        <v>103</v>
      </c>
      <c r="B126" s="712">
        <f t="shared" si="7"/>
        <v>48315</v>
      </c>
      <c r="C126" s="713">
        <f t="shared" si="13"/>
        <v>114762.65</v>
      </c>
      <c r="D126" s="713">
        <f t="shared" si="9"/>
        <v>98060.35</v>
      </c>
      <c r="E126" s="713">
        <f t="shared" si="10"/>
        <v>1939.65</v>
      </c>
      <c r="F126" s="713">
        <f t="shared" si="11"/>
        <v>0</v>
      </c>
      <c r="G126" s="714">
        <f t="shared" si="8"/>
        <v>100000</v>
      </c>
    </row>
    <row r="127" spans="1:7" x14ac:dyDescent="0.3">
      <c r="A127" s="707">
        <f t="shared" si="14"/>
        <v>104</v>
      </c>
      <c r="B127" s="712">
        <f t="shared" si="7"/>
        <v>48345</v>
      </c>
      <c r="C127" s="713">
        <f t="shared" si="13"/>
        <v>16702.3</v>
      </c>
      <c r="D127" s="713">
        <f t="shared" si="9"/>
        <v>16702.3</v>
      </c>
      <c r="E127" s="713">
        <f t="shared" si="10"/>
        <v>273.19</v>
      </c>
      <c r="F127" s="713">
        <f t="shared" si="11"/>
        <v>0</v>
      </c>
      <c r="G127" s="714">
        <f t="shared" si="8"/>
        <v>16975.489999999998</v>
      </c>
    </row>
    <row r="128" spans="1:7" x14ac:dyDescent="0.3">
      <c r="A128" s="707">
        <f t="shared" si="14"/>
        <v>105</v>
      </c>
      <c r="B128" s="712">
        <f t="shared" si="7"/>
        <v>48376</v>
      </c>
      <c r="C128" s="713">
        <f t="shared" si="13"/>
        <v>0</v>
      </c>
      <c r="D128" s="713">
        <f t="shared" si="9"/>
        <v>0</v>
      </c>
      <c r="E128" s="713">
        <f t="shared" si="10"/>
        <v>0</v>
      </c>
      <c r="F128" s="713">
        <f t="shared" si="11"/>
        <v>0</v>
      </c>
      <c r="G128" s="714">
        <f t="shared" si="8"/>
        <v>0</v>
      </c>
    </row>
    <row r="129" spans="1:7" x14ac:dyDescent="0.3">
      <c r="A129" s="707">
        <f t="shared" si="14"/>
        <v>106</v>
      </c>
      <c r="B129" s="712">
        <f t="shared" si="7"/>
        <v>48406</v>
      </c>
      <c r="C129" s="713">
        <f t="shared" si="13"/>
        <v>0</v>
      </c>
      <c r="D129" s="713">
        <f t="shared" si="9"/>
        <v>0</v>
      </c>
      <c r="E129" s="713">
        <f t="shared" si="10"/>
        <v>0</v>
      </c>
      <c r="F129" s="713">
        <f t="shared" si="11"/>
        <v>0</v>
      </c>
      <c r="G129" s="714">
        <f t="shared" si="8"/>
        <v>0</v>
      </c>
    </row>
    <row r="130" spans="1:7" x14ac:dyDescent="0.3">
      <c r="A130" s="707">
        <f t="shared" si="14"/>
        <v>107</v>
      </c>
      <c r="B130" s="712">
        <f t="shared" si="7"/>
        <v>48437</v>
      </c>
      <c r="C130" s="713">
        <f t="shared" si="13"/>
        <v>0</v>
      </c>
      <c r="D130" s="713">
        <f t="shared" si="9"/>
        <v>0</v>
      </c>
      <c r="E130" s="713">
        <f t="shared" si="10"/>
        <v>0</v>
      </c>
      <c r="F130" s="713">
        <f t="shared" si="11"/>
        <v>0</v>
      </c>
      <c r="G130" s="714">
        <f t="shared" si="8"/>
        <v>0</v>
      </c>
    </row>
    <row r="131" spans="1:7" x14ac:dyDescent="0.3">
      <c r="A131" s="707">
        <f t="shared" si="14"/>
        <v>108</v>
      </c>
      <c r="B131" s="712">
        <f t="shared" si="7"/>
        <v>48468</v>
      </c>
      <c r="C131" s="713">
        <f t="shared" si="13"/>
        <v>0</v>
      </c>
      <c r="D131" s="713">
        <f t="shared" si="9"/>
        <v>0</v>
      </c>
      <c r="E131" s="713">
        <f t="shared" si="10"/>
        <v>0</v>
      </c>
      <c r="F131" s="713">
        <f t="shared" si="11"/>
        <v>0</v>
      </c>
      <c r="G131" s="714">
        <f t="shared" si="8"/>
        <v>0</v>
      </c>
    </row>
    <row r="132" spans="1:7" x14ac:dyDescent="0.3">
      <c r="A132" s="707">
        <f t="shared" si="14"/>
        <v>109</v>
      </c>
      <c r="B132" s="712">
        <f t="shared" si="7"/>
        <v>48498</v>
      </c>
      <c r="C132" s="713">
        <f t="shared" si="13"/>
        <v>0</v>
      </c>
      <c r="D132" s="713">
        <f t="shared" si="9"/>
        <v>0</v>
      </c>
      <c r="E132" s="713">
        <f t="shared" si="10"/>
        <v>0</v>
      </c>
      <c r="F132" s="713">
        <f t="shared" si="11"/>
        <v>0</v>
      </c>
      <c r="G132" s="714">
        <f t="shared" si="8"/>
        <v>0</v>
      </c>
    </row>
    <row r="133" spans="1:7" x14ac:dyDescent="0.3">
      <c r="A133" s="707">
        <f t="shared" si="14"/>
        <v>110</v>
      </c>
      <c r="B133" s="712">
        <f t="shared" si="7"/>
        <v>48529</v>
      </c>
      <c r="C133" s="713">
        <f t="shared" si="13"/>
        <v>0</v>
      </c>
      <c r="D133" s="713">
        <f t="shared" si="9"/>
        <v>0</v>
      </c>
      <c r="E133" s="713">
        <f t="shared" si="10"/>
        <v>0</v>
      </c>
      <c r="F133" s="713">
        <f t="shared" si="11"/>
        <v>0</v>
      </c>
      <c r="G133" s="714">
        <f t="shared" si="8"/>
        <v>0</v>
      </c>
    </row>
    <row r="134" spans="1:7" x14ac:dyDescent="0.3">
      <c r="A134" s="707">
        <f t="shared" si="14"/>
        <v>111</v>
      </c>
      <c r="B134" s="712">
        <f t="shared" si="7"/>
        <v>48559</v>
      </c>
      <c r="C134" s="713">
        <f t="shared" si="13"/>
        <v>0</v>
      </c>
      <c r="D134" s="713">
        <f t="shared" si="9"/>
        <v>0</v>
      </c>
      <c r="E134" s="713">
        <f t="shared" si="10"/>
        <v>0</v>
      </c>
      <c r="F134" s="713">
        <f t="shared" si="11"/>
        <v>0</v>
      </c>
      <c r="G134" s="714">
        <f t="shared" si="8"/>
        <v>0</v>
      </c>
    </row>
    <row r="135" spans="1:7" x14ac:dyDescent="0.3">
      <c r="A135" s="707">
        <f t="shared" si="14"/>
        <v>112</v>
      </c>
      <c r="B135" s="712">
        <f t="shared" si="7"/>
        <v>48590</v>
      </c>
      <c r="C135" s="713">
        <f t="shared" si="13"/>
        <v>0</v>
      </c>
      <c r="D135" s="713">
        <f t="shared" si="9"/>
        <v>0</v>
      </c>
      <c r="E135" s="713">
        <f t="shared" si="10"/>
        <v>0</v>
      </c>
      <c r="F135" s="713">
        <f t="shared" si="11"/>
        <v>0</v>
      </c>
      <c r="G135" s="714">
        <f t="shared" si="8"/>
        <v>0</v>
      </c>
    </row>
    <row r="136" spans="1:7" x14ac:dyDescent="0.3">
      <c r="A136" s="707">
        <f t="shared" si="14"/>
        <v>113</v>
      </c>
      <c r="B136" s="712">
        <f t="shared" si="7"/>
        <v>48621</v>
      </c>
      <c r="C136" s="713">
        <f t="shared" si="13"/>
        <v>0</v>
      </c>
      <c r="D136" s="713">
        <f t="shared" si="9"/>
        <v>0</v>
      </c>
      <c r="E136" s="713">
        <f t="shared" si="10"/>
        <v>0</v>
      </c>
      <c r="F136" s="713">
        <f t="shared" si="11"/>
        <v>0</v>
      </c>
      <c r="G136" s="714">
        <f t="shared" si="8"/>
        <v>0</v>
      </c>
    </row>
    <row r="137" spans="1:7" x14ac:dyDescent="0.3">
      <c r="A137" s="707">
        <f t="shared" si="14"/>
        <v>114</v>
      </c>
      <c r="B137" s="712">
        <f t="shared" si="7"/>
        <v>48649</v>
      </c>
      <c r="C137" s="713">
        <f t="shared" si="13"/>
        <v>0</v>
      </c>
      <c r="D137" s="713">
        <f t="shared" si="9"/>
        <v>0</v>
      </c>
      <c r="E137" s="713">
        <f t="shared" si="10"/>
        <v>0</v>
      </c>
      <c r="F137" s="713">
        <f t="shared" si="11"/>
        <v>0</v>
      </c>
      <c r="G137" s="714">
        <f t="shared" si="8"/>
        <v>0</v>
      </c>
    </row>
    <row r="138" spans="1:7" x14ac:dyDescent="0.3">
      <c r="A138" s="707">
        <f t="shared" si="14"/>
        <v>115</v>
      </c>
      <c r="B138" s="712">
        <f t="shared" si="7"/>
        <v>48680</v>
      </c>
      <c r="C138" s="713">
        <f t="shared" si="13"/>
        <v>0</v>
      </c>
      <c r="D138" s="713">
        <f t="shared" si="9"/>
        <v>0</v>
      </c>
      <c r="E138" s="713">
        <f t="shared" si="10"/>
        <v>0</v>
      </c>
      <c r="F138" s="713">
        <f t="shared" si="11"/>
        <v>0</v>
      </c>
      <c r="G138" s="714">
        <f t="shared" si="8"/>
        <v>0</v>
      </c>
    </row>
    <row r="139" spans="1:7" x14ac:dyDescent="0.3">
      <c r="A139" s="707">
        <f t="shared" si="14"/>
        <v>116</v>
      </c>
      <c r="B139" s="712">
        <f t="shared" si="7"/>
        <v>48710</v>
      </c>
      <c r="C139" s="713">
        <f t="shared" si="13"/>
        <v>0</v>
      </c>
      <c r="D139" s="713">
        <f t="shared" si="9"/>
        <v>0</v>
      </c>
      <c r="E139" s="713">
        <f t="shared" si="10"/>
        <v>0</v>
      </c>
      <c r="F139" s="713">
        <f t="shared" si="11"/>
        <v>0</v>
      </c>
      <c r="G139" s="714">
        <f t="shared" si="8"/>
        <v>0</v>
      </c>
    </row>
    <row r="140" spans="1:7" x14ac:dyDescent="0.3">
      <c r="A140" s="707">
        <f t="shared" si="14"/>
        <v>117</v>
      </c>
      <c r="B140" s="712">
        <f t="shared" si="7"/>
        <v>48741</v>
      </c>
      <c r="C140" s="713">
        <f t="shared" si="13"/>
        <v>0</v>
      </c>
      <c r="D140" s="713">
        <f t="shared" si="9"/>
        <v>0</v>
      </c>
      <c r="E140" s="713">
        <f t="shared" si="10"/>
        <v>0</v>
      </c>
      <c r="F140" s="713">
        <f t="shared" si="11"/>
        <v>0</v>
      </c>
      <c r="G140" s="714">
        <f t="shared" si="8"/>
        <v>0</v>
      </c>
    </row>
    <row r="141" spans="1:7" x14ac:dyDescent="0.3">
      <c r="A141" s="707">
        <f t="shared" si="14"/>
        <v>118</v>
      </c>
      <c r="B141" s="712">
        <f t="shared" si="7"/>
        <v>48771</v>
      </c>
      <c r="C141" s="713">
        <f t="shared" si="13"/>
        <v>0</v>
      </c>
      <c r="D141" s="713">
        <f t="shared" si="9"/>
        <v>0</v>
      </c>
      <c r="E141" s="713">
        <f t="shared" si="10"/>
        <v>0</v>
      </c>
      <c r="F141" s="713">
        <f t="shared" si="11"/>
        <v>0</v>
      </c>
      <c r="G141" s="714">
        <f t="shared" si="8"/>
        <v>0</v>
      </c>
    </row>
    <row r="142" spans="1:7" x14ac:dyDescent="0.3">
      <c r="A142" s="707">
        <f t="shared" si="14"/>
        <v>119</v>
      </c>
      <c r="B142" s="712">
        <f t="shared" si="7"/>
        <v>48802</v>
      </c>
      <c r="C142" s="713">
        <f t="shared" si="13"/>
        <v>0</v>
      </c>
      <c r="D142" s="713">
        <f t="shared" si="9"/>
        <v>0</v>
      </c>
      <c r="E142" s="713">
        <f t="shared" si="10"/>
        <v>0</v>
      </c>
      <c r="F142" s="713">
        <f t="shared" si="11"/>
        <v>0</v>
      </c>
      <c r="G142" s="714">
        <f t="shared" si="8"/>
        <v>0</v>
      </c>
    </row>
    <row r="143" spans="1:7" x14ac:dyDescent="0.3">
      <c r="A143" s="707">
        <f>A142+1</f>
        <v>120</v>
      </c>
      <c r="B143" s="712">
        <f t="shared" si="7"/>
        <v>48833</v>
      </c>
      <c r="C143" s="713">
        <f t="shared" si="13"/>
        <v>0</v>
      </c>
      <c r="D143" s="713">
        <f t="shared" si="9"/>
        <v>0</v>
      </c>
      <c r="E143" s="713">
        <f t="shared" si="10"/>
        <v>0</v>
      </c>
      <c r="F143" s="713">
        <f t="shared" si="11"/>
        <v>0</v>
      </c>
      <c r="G143" s="714">
        <f t="shared" si="8"/>
        <v>0</v>
      </c>
    </row>
    <row r="144" spans="1:7" x14ac:dyDescent="0.3">
      <c r="A144" s="707">
        <f t="shared" ref="A144:A150" si="15">A143+1</f>
        <v>121</v>
      </c>
      <c r="B144" s="712">
        <f t="shared" si="7"/>
        <v>48863</v>
      </c>
      <c r="C144" s="713">
        <f t="shared" si="13"/>
        <v>0</v>
      </c>
      <c r="D144" s="713">
        <f t="shared" si="9"/>
        <v>0</v>
      </c>
      <c r="E144" s="713">
        <f t="shared" si="10"/>
        <v>0</v>
      </c>
      <c r="F144" s="713">
        <f t="shared" si="11"/>
        <v>0</v>
      </c>
      <c r="G144" s="714">
        <f t="shared" si="8"/>
        <v>0</v>
      </c>
    </row>
    <row r="145" spans="1:7" x14ac:dyDescent="0.3">
      <c r="A145" s="707">
        <f t="shared" si="15"/>
        <v>122</v>
      </c>
      <c r="B145" s="712">
        <f t="shared" si="7"/>
        <v>48894</v>
      </c>
      <c r="C145" s="713">
        <f t="shared" si="13"/>
        <v>0</v>
      </c>
      <c r="D145" s="713">
        <f t="shared" si="9"/>
        <v>0</v>
      </c>
      <c r="E145" s="713">
        <f t="shared" si="10"/>
        <v>0</v>
      </c>
      <c r="F145" s="713">
        <f t="shared" si="11"/>
        <v>0</v>
      </c>
      <c r="G145" s="714">
        <f t="shared" si="8"/>
        <v>0</v>
      </c>
    </row>
    <row r="146" spans="1:7" x14ac:dyDescent="0.3">
      <c r="A146" s="707">
        <f t="shared" si="15"/>
        <v>123</v>
      </c>
      <c r="B146" s="712">
        <f t="shared" si="7"/>
        <v>48924</v>
      </c>
      <c r="C146" s="713">
        <f t="shared" si="13"/>
        <v>0</v>
      </c>
      <c r="D146" s="713">
        <f t="shared" si="9"/>
        <v>0</v>
      </c>
      <c r="E146" s="713">
        <f t="shared" si="10"/>
        <v>0</v>
      </c>
      <c r="F146" s="713">
        <f t="shared" si="11"/>
        <v>0</v>
      </c>
      <c r="G146" s="714">
        <f t="shared" si="8"/>
        <v>0</v>
      </c>
    </row>
    <row r="147" spans="1:7" x14ac:dyDescent="0.3">
      <c r="A147" s="707">
        <f t="shared" si="15"/>
        <v>124</v>
      </c>
      <c r="B147" s="712">
        <f t="shared" si="7"/>
        <v>48955</v>
      </c>
      <c r="C147" s="713">
        <f t="shared" si="13"/>
        <v>0</v>
      </c>
      <c r="D147" s="713">
        <f t="shared" si="9"/>
        <v>0</v>
      </c>
      <c r="E147" s="713">
        <f t="shared" si="10"/>
        <v>0</v>
      </c>
      <c r="F147" s="713">
        <f t="shared" si="11"/>
        <v>0</v>
      </c>
      <c r="G147" s="714">
        <f t="shared" si="8"/>
        <v>0</v>
      </c>
    </row>
    <row r="148" spans="1:7" x14ac:dyDescent="0.3">
      <c r="A148" s="707">
        <f t="shared" si="15"/>
        <v>125</v>
      </c>
      <c r="B148" s="712">
        <f t="shared" si="7"/>
        <v>48986</v>
      </c>
      <c r="C148" s="713">
        <f t="shared" si="13"/>
        <v>0</v>
      </c>
      <c r="D148" s="713">
        <f t="shared" si="9"/>
        <v>0</v>
      </c>
      <c r="E148" s="713">
        <f t="shared" si="10"/>
        <v>0</v>
      </c>
      <c r="F148" s="713">
        <f t="shared" si="11"/>
        <v>0</v>
      </c>
      <c r="G148" s="714">
        <f t="shared" si="8"/>
        <v>0</v>
      </c>
    </row>
    <row r="149" spans="1:7" x14ac:dyDescent="0.3">
      <c r="A149" s="707">
        <f t="shared" si="15"/>
        <v>126</v>
      </c>
      <c r="B149" s="712">
        <f t="shared" si="7"/>
        <v>49014</v>
      </c>
      <c r="C149" s="713">
        <f t="shared" si="13"/>
        <v>0</v>
      </c>
      <c r="D149" s="713">
        <f t="shared" si="9"/>
        <v>0</v>
      </c>
      <c r="E149" s="713">
        <f t="shared" si="10"/>
        <v>0</v>
      </c>
      <c r="F149" s="713">
        <f t="shared" si="11"/>
        <v>0</v>
      </c>
      <c r="G149" s="714">
        <f t="shared" si="8"/>
        <v>0</v>
      </c>
    </row>
    <row r="150" spans="1:7" x14ac:dyDescent="0.3">
      <c r="A150" s="707">
        <f t="shared" si="15"/>
        <v>127</v>
      </c>
      <c r="B150" s="712">
        <f t="shared" si="7"/>
        <v>49045</v>
      </c>
      <c r="C150" s="713">
        <f t="shared" si="13"/>
        <v>0</v>
      </c>
      <c r="D150" s="713">
        <f t="shared" si="9"/>
        <v>0</v>
      </c>
      <c r="E150" s="713">
        <f t="shared" si="10"/>
        <v>0</v>
      </c>
      <c r="F150" s="713">
        <f t="shared" si="11"/>
        <v>0</v>
      </c>
      <c r="G150" s="714">
        <f t="shared" si="8"/>
        <v>0</v>
      </c>
    </row>
  </sheetData>
  <sheetProtection sheet="1" objects="1" scenarios="1"/>
  <mergeCells count="36">
    <mergeCell ref="B21:C21"/>
    <mergeCell ref="A22:A23"/>
    <mergeCell ref="B22:B23"/>
    <mergeCell ref="C22:C23"/>
    <mergeCell ref="D22:G22"/>
    <mergeCell ref="B15:C15"/>
    <mergeCell ref="D15:E15"/>
    <mergeCell ref="B16:C16"/>
    <mergeCell ref="D16:E16"/>
    <mergeCell ref="B17:C17"/>
    <mergeCell ref="D17:E17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B6:C6"/>
    <mergeCell ref="D6:E6"/>
    <mergeCell ref="B7:C7"/>
    <mergeCell ref="D7:E7"/>
    <mergeCell ref="B8:C8"/>
    <mergeCell ref="D8:E8"/>
    <mergeCell ref="B5:C5"/>
    <mergeCell ref="D5:E5"/>
    <mergeCell ref="C1:F1"/>
    <mergeCell ref="B3:C3"/>
    <mergeCell ref="D3:E3"/>
    <mergeCell ref="B4:C4"/>
    <mergeCell ref="D4:E4"/>
  </mergeCells>
  <conditionalFormatting sqref="A24:G150">
    <cfRule type="expression" dxfId="1" priority="4">
      <formula>IF($G24=0,1,0)</formula>
    </cfRule>
  </conditionalFormatting>
  <conditionalFormatting sqref="A1:C1 D20:XFD20 G1:XFD1 A2:A3 D2:XFD2 F3:XFD3 A10:XFD14 A8:B8 D8:XFD8 A15:B16 D15:D16 A17:A20 A21:XFD21 A22:N24 P22:XFD24 A5:XFD7 A4:E4 G4:XFD4 F15:XFD19 F9:XFD9 A25:XFD1048576 A9:C9">
    <cfRule type="expression" priority="3">
      <formula>IF(1=1,1,0)</formula>
    </cfRule>
  </conditionalFormatting>
  <conditionalFormatting sqref="B18:E19 B17 D17">
    <cfRule type="expression" priority="2">
      <formula>IF(1=1,1,0)</formula>
    </cfRule>
  </conditionalFormatting>
  <conditionalFormatting sqref="D9">
    <cfRule type="expression" priority="1">
      <formula>IF(1=1,1,0)</formula>
    </cfRule>
  </conditionalFormatting>
  <dataValidations count="6">
    <dataValidation type="list" allowBlank="1" showInputMessage="1" showErrorMessage="1" promptTitle="Выберите из списка" prompt="Укажите, подключил ли клиент услугу &quot;СМС-информирование&quot;" sqref="D12" xr:uid="{00000000-0002-0000-1400-000000000000}">
      <formula1>"Да,Нет"</formula1>
    </dataValidation>
    <dataValidation type="list" showInputMessage="1" showErrorMessage="1" promptTitle="Выберите из списка" prompt="Укажите, какую операцию совершает Клиент" sqref="D6:E6" xr:uid="{00000000-0002-0000-1400-000001000000}">
      <formula1>"Покупка по карте,Снятие наличных / Перевод"</formula1>
    </dataValidation>
    <dataValidation type="whole" allowBlank="1" showInputMessage="1" showErrorMessage="1" errorTitle="Неверные данные" error="Кредитный лимит не может быть меньше 10 тыс. и больше 6 млн. рублей" promptTitle="Укажите сумму" prompt="Укажите сумму кредитного лимита по договору" sqref="D4:E4" xr:uid="{00000000-0002-0000-1400-000002000000}">
      <formula1>10000</formula1>
      <formula2>6000000</formula2>
    </dataValidation>
    <dataValidation type="date" errorStyle="warning" operator="greaterThanOrEqual" allowBlank="1" showInputMessage="1" showErrorMessage="1" errorTitle="Неправильное значение" error="Введите дату в формате ДД.ММ.ГГГГ. Дата не может быть раньше чем 01.09.2020" promptTitle="Введите дату" prompt="Укажите дату заключения договора в формате ДД.ММ.ГГГГ (не ранее 01.09.2020)" sqref="D13:E13" xr:uid="{00000000-0002-0000-1400-000003000000}">
      <formula1>44075</formula1>
    </dataValidation>
    <dataValidation type="decimal" allowBlank="1" showInputMessage="1" showErrorMessage="1" errorTitle="Проверьте сумму операции" error="Сумма первой операции не должна превышать максимально доступную сумму" sqref="D7:E7" xr:uid="{00000000-0002-0000-1400-000004000000}">
      <formula1>0</formula1>
      <formula2>D8</formula2>
    </dataValidation>
    <dataValidation type="list" allowBlank="1" showInputMessage="1" showErrorMessage="1" promptTitle="Выберите из списка" prompt="Укажите тариф:_x000a_Тариф 1.0 (29,9% / 27,9%)_x000a_Тариф 2.0 (24,9% / 22,9%)_x000a_Тариф 3.0 (22,9% / 20,9%)_x000a_Тариф 4.0 (19,9% / 17,9%)" sqref="D5:E5" xr:uid="{00000000-0002-0000-1400-000005000000}">
      <formula1>$L$22:$O$22</formula1>
    </dataValidation>
  </dataValidation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24"/>
  <sheetViews>
    <sheetView zoomScale="70" zoomScaleNormal="70" workbookViewId="0">
      <selection activeCell="G47" sqref="G47"/>
    </sheetView>
  </sheetViews>
  <sheetFormatPr defaultColWidth="9.109375" defaultRowHeight="14.4" x14ac:dyDescent="0.3"/>
  <cols>
    <col min="1" max="1" width="3.44140625" style="699" customWidth="1"/>
    <col min="2" max="2" width="21.109375" style="699" customWidth="1"/>
    <col min="3" max="3" width="21.6640625" style="699" customWidth="1"/>
    <col min="4" max="4" width="12.44140625" style="699" customWidth="1"/>
    <col min="5" max="5" width="15.109375" style="699" customWidth="1"/>
    <col min="6" max="6" width="23.6640625" style="699" customWidth="1"/>
    <col min="7" max="7" width="13.6640625" style="700" customWidth="1"/>
    <col min="8" max="8" width="9.109375" style="699"/>
    <col min="9" max="9" width="3" style="699" customWidth="1"/>
    <col min="10" max="10" width="21.33203125" style="699" customWidth="1"/>
    <col min="11" max="11" width="21.44140625" style="699" customWidth="1"/>
    <col min="12" max="12" width="13.109375" style="699" customWidth="1"/>
    <col min="13" max="13" width="12.44140625" style="699" customWidth="1"/>
    <col min="14" max="14" width="13.109375" style="699" customWidth="1"/>
    <col min="15" max="15" width="11.44140625" style="699" customWidth="1"/>
    <col min="16" max="16384" width="9.109375" style="699"/>
  </cols>
  <sheetData>
    <row r="1" spans="2:14" ht="40.200000000000003" customHeight="1" x14ac:dyDescent="0.3">
      <c r="C1" s="1055" t="s">
        <v>317</v>
      </c>
      <c r="D1" s="1055"/>
      <c r="E1" s="1055"/>
      <c r="F1" s="1055"/>
    </row>
    <row r="2" spans="2:14" ht="31.95" customHeight="1" thickBot="1" x14ac:dyDescent="0.35"/>
    <row r="3" spans="2:14" ht="34.950000000000003" customHeight="1" x14ac:dyDescent="0.3">
      <c r="B3" s="1026" t="s">
        <v>164</v>
      </c>
      <c r="C3" s="1027"/>
      <c r="D3" s="1027" t="s">
        <v>165</v>
      </c>
      <c r="E3" s="1028"/>
    </row>
    <row r="4" spans="2:14" ht="18" customHeight="1" x14ac:dyDescent="0.3">
      <c r="B4" s="1056" t="s">
        <v>136</v>
      </c>
      <c r="C4" s="1057"/>
      <c r="D4" s="1030">
        <v>700000</v>
      </c>
      <c r="E4" s="1030"/>
    </row>
    <row r="5" spans="2:14" ht="18" customHeight="1" x14ac:dyDescent="0.3">
      <c r="B5" s="1023" t="s">
        <v>318</v>
      </c>
      <c r="C5" s="1023"/>
      <c r="D5" s="1024" t="s">
        <v>388</v>
      </c>
      <c r="E5" s="1024"/>
      <c r="N5" s="716"/>
    </row>
    <row r="6" spans="2:14" ht="18" customHeight="1" x14ac:dyDescent="0.3">
      <c r="B6" s="1058" t="s">
        <v>137</v>
      </c>
      <c r="C6" s="1059"/>
      <c r="D6" s="1060" t="s">
        <v>477</v>
      </c>
      <c r="E6" s="1060"/>
    </row>
    <row r="7" spans="2:14" ht="18" customHeight="1" x14ac:dyDescent="0.3">
      <c r="B7" s="1058" t="s">
        <v>139</v>
      </c>
      <c r="C7" s="1059"/>
      <c r="D7" s="1030">
        <v>700000</v>
      </c>
      <c r="E7" s="1030"/>
    </row>
    <row r="8" spans="2:14" ht="18" customHeight="1" x14ac:dyDescent="0.3">
      <c r="B8" s="1058" t="s">
        <v>319</v>
      </c>
      <c r="C8" s="1059"/>
      <c r="D8" s="1061">
        <f>IF($D$6="Снятие наличных / перевод",ROUNDDOWN(D4/(1+HLOOKUP(D5,K23:P27,4,0)),-2),D4)</f>
        <v>700000</v>
      </c>
      <c r="E8" s="1061"/>
    </row>
    <row r="9" spans="2:14" ht="18" customHeight="1" x14ac:dyDescent="0.3">
      <c r="B9" s="1062" t="s">
        <v>476</v>
      </c>
      <c r="C9" s="1063"/>
      <c r="D9" s="1041">
        <v>0.04</v>
      </c>
      <c r="E9" s="1042"/>
    </row>
    <row r="10" spans="2:14" ht="18" customHeight="1" x14ac:dyDescent="0.3">
      <c r="B10" s="1056" t="s">
        <v>140</v>
      </c>
      <c r="C10" s="1057"/>
      <c r="D10" s="1064">
        <f>IF(AND($D$6="Снятие наличных / перевод",D7&gt;0),HLOOKUP(D5,K23:P25,2,0),HLOOKUP(D5,K23:P25,3,0))</f>
        <v>0.20899999999999999</v>
      </c>
      <c r="E10" s="1064"/>
    </row>
    <row r="11" spans="2:14" ht="18" customHeight="1" x14ac:dyDescent="0.3">
      <c r="B11" s="1058" t="s">
        <v>141</v>
      </c>
      <c r="C11" s="1059"/>
      <c r="D11" s="1061">
        <v>0</v>
      </c>
      <c r="E11" s="1061"/>
      <c r="N11" s="705"/>
    </row>
    <row r="12" spans="2:14" ht="18" customHeight="1" x14ac:dyDescent="0.3">
      <c r="B12" s="1058" t="s">
        <v>142</v>
      </c>
      <c r="C12" s="1059"/>
      <c r="D12" s="1060" t="s">
        <v>35</v>
      </c>
      <c r="E12" s="1060"/>
    </row>
    <row r="13" spans="2:14" ht="18" customHeight="1" x14ac:dyDescent="0.3">
      <c r="B13" s="1058" t="s">
        <v>143</v>
      </c>
      <c r="C13" s="1059"/>
      <c r="D13" s="1065">
        <v>45180</v>
      </c>
      <c r="E13" s="1065"/>
    </row>
    <row r="14" spans="2:14" ht="18" customHeight="1" x14ac:dyDescent="0.3">
      <c r="B14" s="1056" t="s">
        <v>286</v>
      </c>
      <c r="C14" s="1057"/>
      <c r="D14" s="1066">
        <v>24</v>
      </c>
      <c r="E14" s="1066"/>
    </row>
    <row r="15" spans="2:14" ht="18" customHeight="1" x14ac:dyDescent="0.3">
      <c r="B15" s="1058" t="s">
        <v>145</v>
      </c>
      <c r="C15" s="1059"/>
      <c r="D15" s="1067">
        <f>PMT(D10/12,D14,-(D7+IF(AND($D$6="Снятие наличных / перевод",D7&gt;0),ROUND(D7*HLOOKUP(D5,K23:P27,4,0),2),0)))+D11+IF(D12="Да",100)</f>
        <v>35935.582557358452</v>
      </c>
      <c r="E15" s="1068"/>
    </row>
    <row r="16" spans="2:14" ht="18" customHeight="1" x14ac:dyDescent="0.3">
      <c r="B16" s="1058" t="s">
        <v>160</v>
      </c>
      <c r="C16" s="1059"/>
      <c r="D16" s="1061">
        <f>SUM(G23:G173)</f>
        <v>862453.98137660255</v>
      </c>
      <c r="E16" s="1061"/>
    </row>
    <row r="17" spans="1:16" ht="18" customHeight="1" x14ac:dyDescent="0.3">
      <c r="B17" s="1058" t="s">
        <v>161</v>
      </c>
      <c r="C17" s="1059"/>
      <c r="D17" s="1061">
        <f>D16-D7</f>
        <v>162453.98137660255</v>
      </c>
      <c r="E17" s="1061"/>
    </row>
    <row r="18" spans="1:16" ht="18" customHeight="1" x14ac:dyDescent="0.3">
      <c r="B18" s="1069"/>
      <c r="C18" s="1069"/>
      <c r="D18" s="1070"/>
      <c r="E18" s="1070"/>
    </row>
    <row r="19" spans="1:16" ht="28.2" customHeight="1" x14ac:dyDescent="0.3">
      <c r="E19" s="705"/>
    </row>
    <row r="20" spans="1:16" ht="18.75" customHeight="1" x14ac:dyDescent="0.3">
      <c r="A20" s="717"/>
      <c r="B20" s="1071" t="s">
        <v>147</v>
      </c>
      <c r="C20" s="1071"/>
      <c r="D20" s="717"/>
      <c r="E20" s="717"/>
      <c r="F20" s="717"/>
      <c r="G20" s="718"/>
      <c r="J20" s="705"/>
    </row>
    <row r="21" spans="1:16" ht="13.95" customHeight="1" x14ac:dyDescent="0.3">
      <c r="A21" s="1072" t="s">
        <v>148</v>
      </c>
      <c r="B21" s="1073" t="s">
        <v>149</v>
      </c>
      <c r="C21" s="1073" t="s">
        <v>150</v>
      </c>
      <c r="D21" s="1072" t="s">
        <v>152</v>
      </c>
      <c r="E21" s="1072"/>
      <c r="F21" s="1072"/>
      <c r="G21" s="1072"/>
      <c r="J21" s="704"/>
    </row>
    <row r="22" spans="1:16" x14ac:dyDescent="0.3">
      <c r="A22" s="1072"/>
      <c r="B22" s="1073"/>
      <c r="C22" s="1073"/>
      <c r="D22" s="719" t="s">
        <v>153</v>
      </c>
      <c r="E22" s="719" t="s">
        <v>154</v>
      </c>
      <c r="F22" s="719" t="s">
        <v>155</v>
      </c>
      <c r="G22" s="720" t="s">
        <v>7</v>
      </c>
      <c r="J22" s="706"/>
      <c r="K22" s="706"/>
      <c r="L22" s="706"/>
      <c r="M22" s="706"/>
      <c r="N22" s="706"/>
      <c r="O22" s="706"/>
    </row>
    <row r="23" spans="1:16" x14ac:dyDescent="0.3">
      <c r="A23" s="717">
        <v>1</v>
      </c>
      <c r="B23" s="721">
        <f t="shared" ref="B23:B86" si="0">EDATE($D$13,A23)</f>
        <v>45210</v>
      </c>
      <c r="C23" s="722">
        <f>D7+IF(AND($D$6="Снятие наличных / перевод",D7&gt;0),ROUND(D7*HLOOKUP(D5,K23:P27,4,0),2),0)</f>
        <v>700000</v>
      </c>
      <c r="D23" s="722">
        <f>MIN(G23-F23-E23,C23)</f>
        <v>33602.249224025116</v>
      </c>
      <c r="E23" s="722">
        <f>C23*$D$9/12</f>
        <v>2333.3333333333335</v>
      </c>
      <c r="F23" s="722">
        <f>IF(C23&lt;&gt;0,$D$11)+IF(AND($D$12="Да",C23&lt;&gt;0),69)</f>
        <v>0</v>
      </c>
      <c r="G23" s="723">
        <f>IF(C23&gt;0,$D$15,0)</f>
        <v>35935.582557358452</v>
      </c>
      <c r="J23" s="706"/>
      <c r="K23" s="708" t="s">
        <v>320</v>
      </c>
      <c r="L23" s="708" t="s">
        <v>386</v>
      </c>
      <c r="M23" s="708" t="s">
        <v>387</v>
      </c>
      <c r="N23" s="708" t="s">
        <v>388</v>
      </c>
      <c r="O23" s="708" t="s">
        <v>389</v>
      </c>
      <c r="P23" s="708" t="s">
        <v>378</v>
      </c>
    </row>
    <row r="24" spans="1:16" x14ac:dyDescent="0.3">
      <c r="A24" s="717">
        <f t="shared" ref="A24:A87" si="1">A23+1</f>
        <v>2</v>
      </c>
      <c r="B24" s="721">
        <f t="shared" si="0"/>
        <v>45241</v>
      </c>
      <c r="C24" s="722">
        <f>ROUNDDOWN(C23-D23,2)</f>
        <v>666397.75</v>
      </c>
      <c r="D24" s="722">
        <f t="shared" ref="D24:D87" si="2">MIN(G24-F24-E24,C24)</f>
        <v>24329.155078191783</v>
      </c>
      <c r="E24" s="722">
        <f>C24*$D$10/12</f>
        <v>11606.427479166667</v>
      </c>
      <c r="F24" s="722">
        <f t="shared" ref="F24:F87" si="3">IF(C24&lt;&gt;0,$D$11)+IF(AND($D$12="Да",C24&lt;&gt;0),69)</f>
        <v>0</v>
      </c>
      <c r="G24" s="723">
        <f t="shared" ref="G24:G87" si="4">IF(C24&gt;0,$D$15,0)</f>
        <v>35935.582557358452</v>
      </c>
      <c r="J24" s="706"/>
      <c r="K24" s="708" t="s">
        <v>321</v>
      </c>
      <c r="L24" s="711">
        <v>0.29899999999999999</v>
      </c>
      <c r="M24" s="711">
        <v>0.249</v>
      </c>
      <c r="N24" s="711">
        <v>0.22900000000000001</v>
      </c>
      <c r="O24" s="563">
        <v>0.19900000000000001</v>
      </c>
      <c r="P24" s="711">
        <v>0.35</v>
      </c>
    </row>
    <row r="25" spans="1:16" x14ac:dyDescent="0.3">
      <c r="A25" s="717">
        <f t="shared" si="1"/>
        <v>3</v>
      </c>
      <c r="B25" s="721">
        <f t="shared" si="0"/>
        <v>45271</v>
      </c>
      <c r="C25" s="722">
        <f t="shared" ref="C25:C88" si="5">ROUNDDOWN(C24-D24,2)</f>
        <v>642068.59</v>
      </c>
      <c r="D25" s="722">
        <f t="shared" si="2"/>
        <v>24752.887948191783</v>
      </c>
      <c r="E25" s="722">
        <f>C25*$D$10/12</f>
        <v>11182.694609166667</v>
      </c>
      <c r="F25" s="722">
        <f t="shared" si="3"/>
        <v>0</v>
      </c>
      <c r="G25" s="723">
        <f t="shared" si="4"/>
        <v>35935.582557358452</v>
      </c>
      <c r="J25" s="706"/>
      <c r="K25" s="708" t="s">
        <v>322</v>
      </c>
      <c r="L25" s="711">
        <v>0.27900000000000003</v>
      </c>
      <c r="M25" s="711">
        <v>0.22900000000000001</v>
      </c>
      <c r="N25" s="711">
        <v>0.20899999999999999</v>
      </c>
      <c r="O25" s="563">
        <v>0.17899999999999999</v>
      </c>
      <c r="P25" s="711">
        <v>0.35</v>
      </c>
    </row>
    <row r="26" spans="1:16" x14ac:dyDescent="0.3">
      <c r="A26" s="717">
        <f t="shared" si="1"/>
        <v>4</v>
      </c>
      <c r="B26" s="721">
        <f t="shared" si="0"/>
        <v>45302</v>
      </c>
      <c r="C26" s="722">
        <f t="shared" si="5"/>
        <v>617315.69999999995</v>
      </c>
      <c r="D26" s="722">
        <f t="shared" si="2"/>
        <v>25184.000782358453</v>
      </c>
      <c r="E26" s="722">
        <f t="shared" ref="E26:E89" si="6">C26*$D$10/12</f>
        <v>10751.581774999999</v>
      </c>
      <c r="F26" s="722">
        <f t="shared" si="3"/>
        <v>0</v>
      </c>
      <c r="G26" s="723">
        <f>IF(C26&gt;0,$D$15,0)</f>
        <v>35935.582557358452</v>
      </c>
      <c r="J26" s="706"/>
      <c r="K26" s="708" t="s">
        <v>384</v>
      </c>
      <c r="L26" s="711">
        <v>9.9000000000000005E-2</v>
      </c>
      <c r="M26" s="711">
        <v>7.9000000000000001E-2</v>
      </c>
      <c r="N26" s="711">
        <v>5.8999999999999997E-2</v>
      </c>
      <c r="O26" s="711">
        <v>3.9E-2</v>
      </c>
      <c r="P26" s="708"/>
    </row>
    <row r="27" spans="1:16" x14ac:dyDescent="0.3">
      <c r="A27" s="717">
        <f t="shared" si="1"/>
        <v>5</v>
      </c>
      <c r="B27" s="721">
        <f t="shared" si="0"/>
        <v>45333</v>
      </c>
      <c r="C27" s="722">
        <f t="shared" si="5"/>
        <v>592131.68999999994</v>
      </c>
      <c r="D27" s="722">
        <f t="shared" si="2"/>
        <v>25622.622289858453</v>
      </c>
      <c r="E27" s="722">
        <f t="shared" si="6"/>
        <v>10312.960267499999</v>
      </c>
      <c r="F27" s="722">
        <f t="shared" si="3"/>
        <v>0</v>
      </c>
      <c r="G27" s="723">
        <f t="shared" si="4"/>
        <v>35935.582557358452</v>
      </c>
      <c r="K27" s="708" t="s">
        <v>385</v>
      </c>
      <c r="L27" s="711">
        <v>2.8000000000000001E-2</v>
      </c>
      <c r="M27" s="711">
        <v>2.5000000000000001E-2</v>
      </c>
      <c r="N27" s="711">
        <v>2.5000000000000001E-2</v>
      </c>
      <c r="O27" s="715">
        <v>0.02</v>
      </c>
      <c r="P27" s="708"/>
    </row>
    <row r="28" spans="1:16" x14ac:dyDescent="0.3">
      <c r="A28" s="717">
        <f t="shared" si="1"/>
        <v>6</v>
      </c>
      <c r="B28" s="721">
        <f t="shared" si="0"/>
        <v>45362</v>
      </c>
      <c r="C28" s="722">
        <f t="shared" si="5"/>
        <v>566509.06000000006</v>
      </c>
      <c r="D28" s="722">
        <f t="shared" si="2"/>
        <v>26068.883095691785</v>
      </c>
      <c r="E28" s="722">
        <f t="shared" si="6"/>
        <v>9866.699461666667</v>
      </c>
      <c r="F28" s="722">
        <f t="shared" si="3"/>
        <v>0</v>
      </c>
      <c r="G28" s="723">
        <f t="shared" si="4"/>
        <v>35935.582557358452</v>
      </c>
    </row>
    <row r="29" spans="1:16" x14ac:dyDescent="0.3">
      <c r="A29" s="717">
        <f t="shared" si="1"/>
        <v>7</v>
      </c>
      <c r="B29" s="721">
        <f t="shared" si="0"/>
        <v>45393</v>
      </c>
      <c r="C29" s="722">
        <f t="shared" si="5"/>
        <v>540440.17000000004</v>
      </c>
      <c r="D29" s="722">
        <f t="shared" si="2"/>
        <v>26522.916263191786</v>
      </c>
      <c r="E29" s="722">
        <f t="shared" si="6"/>
        <v>9412.6662941666673</v>
      </c>
      <c r="F29" s="722">
        <f t="shared" si="3"/>
        <v>0</v>
      </c>
      <c r="G29" s="723">
        <f t="shared" si="4"/>
        <v>35935.582557358452</v>
      </c>
    </row>
    <row r="30" spans="1:16" x14ac:dyDescent="0.3">
      <c r="A30" s="717">
        <f t="shared" si="1"/>
        <v>8</v>
      </c>
      <c r="B30" s="721">
        <f t="shared" si="0"/>
        <v>45423</v>
      </c>
      <c r="C30" s="722">
        <f t="shared" si="5"/>
        <v>513917.25</v>
      </c>
      <c r="D30" s="722">
        <f t="shared" si="2"/>
        <v>26984.857119858454</v>
      </c>
      <c r="E30" s="722">
        <f t="shared" si="6"/>
        <v>8950.7254374999993</v>
      </c>
      <c r="F30" s="722">
        <f t="shared" si="3"/>
        <v>0</v>
      </c>
      <c r="G30" s="723">
        <f t="shared" si="4"/>
        <v>35935.582557358452</v>
      </c>
    </row>
    <row r="31" spans="1:16" x14ac:dyDescent="0.3">
      <c r="A31" s="717">
        <f t="shared" si="1"/>
        <v>9</v>
      </c>
      <c r="B31" s="721">
        <f t="shared" si="0"/>
        <v>45454</v>
      </c>
      <c r="C31" s="722">
        <f t="shared" si="5"/>
        <v>486932.39</v>
      </c>
      <c r="D31" s="722">
        <f t="shared" si="2"/>
        <v>27454.843431525118</v>
      </c>
      <c r="E31" s="722">
        <f t="shared" si="6"/>
        <v>8480.7391258333337</v>
      </c>
      <c r="F31" s="722">
        <f t="shared" si="3"/>
        <v>0</v>
      </c>
      <c r="G31" s="723">
        <f t="shared" si="4"/>
        <v>35935.582557358452</v>
      </c>
    </row>
    <row r="32" spans="1:16" x14ac:dyDescent="0.3">
      <c r="A32" s="717">
        <f t="shared" si="1"/>
        <v>10</v>
      </c>
      <c r="B32" s="721">
        <f t="shared" si="0"/>
        <v>45484</v>
      </c>
      <c r="C32" s="722">
        <f t="shared" si="5"/>
        <v>459477.54</v>
      </c>
      <c r="D32" s="722">
        <f t="shared" si="2"/>
        <v>27933.015402358451</v>
      </c>
      <c r="E32" s="722">
        <f t="shared" si="6"/>
        <v>8002.5671549999997</v>
      </c>
      <c r="F32" s="722">
        <f t="shared" si="3"/>
        <v>0</v>
      </c>
      <c r="G32" s="723">
        <f t="shared" si="4"/>
        <v>35935.582557358452</v>
      </c>
    </row>
    <row r="33" spans="1:7" x14ac:dyDescent="0.3">
      <c r="A33" s="717">
        <f t="shared" si="1"/>
        <v>11</v>
      </c>
      <c r="B33" s="721">
        <f t="shared" si="0"/>
        <v>45515</v>
      </c>
      <c r="C33" s="722">
        <f t="shared" si="5"/>
        <v>431544.52</v>
      </c>
      <c r="D33" s="722">
        <f t="shared" si="2"/>
        <v>28419.515500691785</v>
      </c>
      <c r="E33" s="722">
        <f t="shared" si="6"/>
        <v>7516.0670566666668</v>
      </c>
      <c r="F33" s="722">
        <f t="shared" si="3"/>
        <v>0</v>
      </c>
      <c r="G33" s="723">
        <f t="shared" si="4"/>
        <v>35935.582557358452</v>
      </c>
    </row>
    <row r="34" spans="1:7" x14ac:dyDescent="0.3">
      <c r="A34" s="717">
        <f t="shared" si="1"/>
        <v>12</v>
      </c>
      <c r="B34" s="721">
        <f t="shared" si="0"/>
        <v>45546</v>
      </c>
      <c r="C34" s="722">
        <f t="shared" si="5"/>
        <v>403125</v>
      </c>
      <c r="D34" s="722">
        <f t="shared" si="2"/>
        <v>28914.488807358452</v>
      </c>
      <c r="E34" s="722">
        <f t="shared" si="6"/>
        <v>7021.09375</v>
      </c>
      <c r="F34" s="722">
        <f t="shared" si="3"/>
        <v>0</v>
      </c>
      <c r="G34" s="723">
        <f t="shared" si="4"/>
        <v>35935.582557358452</v>
      </c>
    </row>
    <row r="35" spans="1:7" x14ac:dyDescent="0.3">
      <c r="A35" s="717">
        <f t="shared" si="1"/>
        <v>13</v>
      </c>
      <c r="B35" s="721">
        <f t="shared" si="0"/>
        <v>45576</v>
      </c>
      <c r="C35" s="722">
        <f t="shared" si="5"/>
        <v>374210.51</v>
      </c>
      <c r="D35" s="722">
        <f t="shared" si="2"/>
        <v>29418.08284152512</v>
      </c>
      <c r="E35" s="722">
        <f t="shared" si="6"/>
        <v>6517.4997158333326</v>
      </c>
      <c r="F35" s="722">
        <f t="shared" si="3"/>
        <v>0</v>
      </c>
      <c r="G35" s="723">
        <f>IF(C35&gt;0,$D$15,0)</f>
        <v>35935.582557358452</v>
      </c>
    </row>
    <row r="36" spans="1:7" x14ac:dyDescent="0.3">
      <c r="A36" s="717">
        <f t="shared" si="1"/>
        <v>14</v>
      </c>
      <c r="B36" s="721">
        <f t="shared" si="0"/>
        <v>45607</v>
      </c>
      <c r="C36" s="722">
        <f t="shared" si="5"/>
        <v>344792.42</v>
      </c>
      <c r="D36" s="722">
        <f t="shared" si="2"/>
        <v>29930.447909025119</v>
      </c>
      <c r="E36" s="722">
        <f t="shared" si="6"/>
        <v>6005.1346483333327</v>
      </c>
      <c r="F36" s="722">
        <f t="shared" si="3"/>
        <v>0</v>
      </c>
      <c r="G36" s="723">
        <f t="shared" si="4"/>
        <v>35935.582557358452</v>
      </c>
    </row>
    <row r="37" spans="1:7" x14ac:dyDescent="0.3">
      <c r="A37" s="717">
        <f t="shared" si="1"/>
        <v>15</v>
      </c>
      <c r="B37" s="721">
        <f t="shared" si="0"/>
        <v>45637</v>
      </c>
      <c r="C37" s="722">
        <f t="shared" si="5"/>
        <v>314861.96999999997</v>
      </c>
      <c r="D37" s="722">
        <f t="shared" si="2"/>
        <v>30451.736579858451</v>
      </c>
      <c r="E37" s="722">
        <f t="shared" si="6"/>
        <v>5483.8459775000001</v>
      </c>
      <c r="F37" s="722">
        <f t="shared" si="3"/>
        <v>0</v>
      </c>
      <c r="G37" s="723">
        <f t="shared" si="4"/>
        <v>35935.582557358452</v>
      </c>
    </row>
    <row r="38" spans="1:7" x14ac:dyDescent="0.3">
      <c r="A38" s="717">
        <f t="shared" si="1"/>
        <v>16</v>
      </c>
      <c r="B38" s="721">
        <f t="shared" si="0"/>
        <v>45668</v>
      </c>
      <c r="C38" s="722">
        <f t="shared" si="5"/>
        <v>284410.23</v>
      </c>
      <c r="D38" s="722">
        <f t="shared" si="2"/>
        <v>30982.104384858452</v>
      </c>
      <c r="E38" s="722">
        <f t="shared" si="6"/>
        <v>4953.4781724999993</v>
      </c>
      <c r="F38" s="722">
        <f t="shared" si="3"/>
        <v>0</v>
      </c>
      <c r="G38" s="723">
        <f t="shared" si="4"/>
        <v>35935.582557358452</v>
      </c>
    </row>
    <row r="39" spans="1:7" x14ac:dyDescent="0.3">
      <c r="A39" s="717">
        <f t="shared" si="1"/>
        <v>17</v>
      </c>
      <c r="B39" s="721">
        <f t="shared" si="0"/>
        <v>45699</v>
      </c>
      <c r="C39" s="722">
        <f t="shared" si="5"/>
        <v>253428.12</v>
      </c>
      <c r="D39" s="722">
        <f t="shared" si="2"/>
        <v>31521.709467358451</v>
      </c>
      <c r="E39" s="722">
        <f t="shared" si="6"/>
        <v>4413.87309</v>
      </c>
      <c r="F39" s="722">
        <f t="shared" si="3"/>
        <v>0</v>
      </c>
      <c r="G39" s="723">
        <f t="shared" si="4"/>
        <v>35935.582557358452</v>
      </c>
    </row>
    <row r="40" spans="1:7" x14ac:dyDescent="0.3">
      <c r="A40" s="717">
        <f t="shared" si="1"/>
        <v>18</v>
      </c>
      <c r="B40" s="721">
        <f t="shared" si="0"/>
        <v>45727</v>
      </c>
      <c r="C40" s="722">
        <f t="shared" si="5"/>
        <v>221906.41</v>
      </c>
      <c r="D40" s="722">
        <f t="shared" si="2"/>
        <v>32070.712583191784</v>
      </c>
      <c r="E40" s="722">
        <f t="shared" si="6"/>
        <v>3864.8699741666665</v>
      </c>
      <c r="F40" s="722">
        <f t="shared" si="3"/>
        <v>0</v>
      </c>
      <c r="G40" s="723">
        <f t="shared" si="4"/>
        <v>35935.582557358452</v>
      </c>
    </row>
    <row r="41" spans="1:7" x14ac:dyDescent="0.3">
      <c r="A41" s="717">
        <f t="shared" si="1"/>
        <v>19</v>
      </c>
      <c r="B41" s="721">
        <f t="shared" si="0"/>
        <v>45758</v>
      </c>
      <c r="C41" s="722">
        <f t="shared" si="5"/>
        <v>189835.69</v>
      </c>
      <c r="D41" s="722">
        <f t="shared" si="2"/>
        <v>32629.277623191785</v>
      </c>
      <c r="E41" s="722">
        <f t="shared" si="6"/>
        <v>3306.3049341666665</v>
      </c>
      <c r="F41" s="722">
        <f t="shared" si="3"/>
        <v>0</v>
      </c>
      <c r="G41" s="723">
        <f t="shared" si="4"/>
        <v>35935.582557358452</v>
      </c>
    </row>
    <row r="42" spans="1:7" x14ac:dyDescent="0.3">
      <c r="A42" s="717">
        <f t="shared" si="1"/>
        <v>20</v>
      </c>
      <c r="B42" s="721">
        <f t="shared" si="0"/>
        <v>45788</v>
      </c>
      <c r="C42" s="722">
        <f t="shared" si="5"/>
        <v>157206.41</v>
      </c>
      <c r="D42" s="722">
        <f t="shared" si="2"/>
        <v>33197.570916525117</v>
      </c>
      <c r="E42" s="722">
        <f t="shared" si="6"/>
        <v>2738.0116408333329</v>
      </c>
      <c r="F42" s="722">
        <f t="shared" si="3"/>
        <v>0</v>
      </c>
      <c r="G42" s="723">
        <f t="shared" si="4"/>
        <v>35935.582557358452</v>
      </c>
    </row>
    <row r="43" spans="1:7" x14ac:dyDescent="0.3">
      <c r="A43" s="717">
        <f t="shared" si="1"/>
        <v>21</v>
      </c>
      <c r="B43" s="721">
        <f t="shared" si="0"/>
        <v>45819</v>
      </c>
      <c r="C43" s="722">
        <f t="shared" si="5"/>
        <v>124008.83</v>
      </c>
      <c r="D43" s="722">
        <f t="shared" si="2"/>
        <v>33775.762101525121</v>
      </c>
      <c r="E43" s="722">
        <f t="shared" si="6"/>
        <v>2159.8204558333332</v>
      </c>
      <c r="F43" s="722">
        <f t="shared" si="3"/>
        <v>0</v>
      </c>
      <c r="G43" s="723">
        <f t="shared" si="4"/>
        <v>35935.582557358452</v>
      </c>
    </row>
    <row r="44" spans="1:7" x14ac:dyDescent="0.3">
      <c r="A44" s="717">
        <f t="shared" si="1"/>
        <v>22</v>
      </c>
      <c r="B44" s="721">
        <f t="shared" si="0"/>
        <v>45849</v>
      </c>
      <c r="C44" s="722">
        <f t="shared" si="5"/>
        <v>90233.06</v>
      </c>
      <c r="D44" s="722">
        <f t="shared" si="2"/>
        <v>34364.023429025117</v>
      </c>
      <c r="E44" s="722">
        <f t="shared" si="6"/>
        <v>1571.5591283333333</v>
      </c>
      <c r="F44" s="722">
        <f t="shared" si="3"/>
        <v>0</v>
      </c>
      <c r="G44" s="723">
        <f t="shared" si="4"/>
        <v>35935.582557358452</v>
      </c>
    </row>
    <row r="45" spans="1:7" x14ac:dyDescent="0.3">
      <c r="A45" s="717">
        <f t="shared" si="1"/>
        <v>23</v>
      </c>
      <c r="B45" s="721">
        <f t="shared" si="0"/>
        <v>45880</v>
      </c>
      <c r="C45" s="722">
        <f t="shared" si="5"/>
        <v>55869.03</v>
      </c>
      <c r="D45" s="722">
        <f t="shared" si="2"/>
        <v>34962.530284858454</v>
      </c>
      <c r="E45" s="722">
        <f t="shared" si="6"/>
        <v>973.05227249999996</v>
      </c>
      <c r="F45" s="722">
        <f t="shared" si="3"/>
        <v>0</v>
      </c>
      <c r="G45" s="723">
        <f t="shared" si="4"/>
        <v>35935.582557358452</v>
      </c>
    </row>
    <row r="46" spans="1:7" x14ac:dyDescent="0.3">
      <c r="A46" s="717">
        <f t="shared" si="1"/>
        <v>24</v>
      </c>
      <c r="B46" s="721">
        <f t="shared" si="0"/>
        <v>45911</v>
      </c>
      <c r="C46" s="722">
        <f t="shared" si="5"/>
        <v>20906.490000000002</v>
      </c>
      <c r="D46" s="722">
        <f t="shared" si="2"/>
        <v>20906.490000000002</v>
      </c>
      <c r="E46" s="722">
        <f t="shared" si="6"/>
        <v>364.12136749999996</v>
      </c>
      <c r="F46" s="722">
        <f t="shared" si="3"/>
        <v>0</v>
      </c>
      <c r="G46" s="723">
        <f t="shared" si="4"/>
        <v>35935.582557358452</v>
      </c>
    </row>
    <row r="47" spans="1:7" x14ac:dyDescent="0.3">
      <c r="A47" s="717">
        <f t="shared" si="1"/>
        <v>25</v>
      </c>
      <c r="B47" s="721">
        <f t="shared" si="0"/>
        <v>45941</v>
      </c>
      <c r="C47" s="722">
        <f t="shared" si="5"/>
        <v>0</v>
      </c>
      <c r="D47" s="722">
        <f t="shared" si="2"/>
        <v>0</v>
      </c>
      <c r="E47" s="722">
        <f t="shared" si="6"/>
        <v>0</v>
      </c>
      <c r="F47" s="722">
        <f t="shared" si="3"/>
        <v>0</v>
      </c>
      <c r="G47" s="723">
        <f t="shared" si="4"/>
        <v>0</v>
      </c>
    </row>
    <row r="48" spans="1:7" x14ac:dyDescent="0.3">
      <c r="A48" s="717">
        <f t="shared" si="1"/>
        <v>26</v>
      </c>
      <c r="B48" s="721">
        <f t="shared" si="0"/>
        <v>45972</v>
      </c>
      <c r="C48" s="722">
        <f t="shared" si="5"/>
        <v>0</v>
      </c>
      <c r="D48" s="722">
        <f t="shared" si="2"/>
        <v>0</v>
      </c>
      <c r="E48" s="722">
        <f t="shared" si="6"/>
        <v>0</v>
      </c>
      <c r="F48" s="722">
        <f t="shared" si="3"/>
        <v>0</v>
      </c>
      <c r="G48" s="723">
        <f t="shared" si="4"/>
        <v>0</v>
      </c>
    </row>
    <row r="49" spans="1:7" x14ac:dyDescent="0.3">
      <c r="A49" s="717">
        <f t="shared" si="1"/>
        <v>27</v>
      </c>
      <c r="B49" s="721">
        <f t="shared" si="0"/>
        <v>46002</v>
      </c>
      <c r="C49" s="722">
        <f t="shared" si="5"/>
        <v>0</v>
      </c>
      <c r="D49" s="722">
        <f t="shared" si="2"/>
        <v>0</v>
      </c>
      <c r="E49" s="722">
        <f t="shared" si="6"/>
        <v>0</v>
      </c>
      <c r="F49" s="722">
        <f t="shared" si="3"/>
        <v>0</v>
      </c>
      <c r="G49" s="723">
        <f t="shared" si="4"/>
        <v>0</v>
      </c>
    </row>
    <row r="50" spans="1:7" x14ac:dyDescent="0.3">
      <c r="A50" s="717">
        <f t="shared" si="1"/>
        <v>28</v>
      </c>
      <c r="B50" s="721">
        <f t="shared" si="0"/>
        <v>46033</v>
      </c>
      <c r="C50" s="722">
        <f t="shared" si="5"/>
        <v>0</v>
      </c>
      <c r="D50" s="722">
        <f t="shared" si="2"/>
        <v>0</v>
      </c>
      <c r="E50" s="722">
        <f t="shared" si="6"/>
        <v>0</v>
      </c>
      <c r="F50" s="722">
        <f t="shared" si="3"/>
        <v>0</v>
      </c>
      <c r="G50" s="723">
        <f t="shared" si="4"/>
        <v>0</v>
      </c>
    </row>
    <row r="51" spans="1:7" x14ac:dyDescent="0.3">
      <c r="A51" s="717">
        <f t="shared" si="1"/>
        <v>29</v>
      </c>
      <c r="B51" s="721">
        <f t="shared" si="0"/>
        <v>46064</v>
      </c>
      <c r="C51" s="722">
        <f t="shared" si="5"/>
        <v>0</v>
      </c>
      <c r="D51" s="722">
        <f t="shared" si="2"/>
        <v>0</v>
      </c>
      <c r="E51" s="722">
        <f t="shared" si="6"/>
        <v>0</v>
      </c>
      <c r="F51" s="722">
        <f t="shared" si="3"/>
        <v>0</v>
      </c>
      <c r="G51" s="723">
        <f t="shared" si="4"/>
        <v>0</v>
      </c>
    </row>
    <row r="52" spans="1:7" x14ac:dyDescent="0.3">
      <c r="A52" s="717">
        <f t="shared" si="1"/>
        <v>30</v>
      </c>
      <c r="B52" s="721">
        <f t="shared" si="0"/>
        <v>46092</v>
      </c>
      <c r="C52" s="722">
        <f t="shared" si="5"/>
        <v>0</v>
      </c>
      <c r="D52" s="722">
        <f t="shared" si="2"/>
        <v>0</v>
      </c>
      <c r="E52" s="722">
        <f t="shared" si="6"/>
        <v>0</v>
      </c>
      <c r="F52" s="722">
        <f t="shared" si="3"/>
        <v>0</v>
      </c>
      <c r="G52" s="723">
        <f t="shared" si="4"/>
        <v>0</v>
      </c>
    </row>
    <row r="53" spans="1:7" x14ac:dyDescent="0.3">
      <c r="A53" s="717">
        <f t="shared" si="1"/>
        <v>31</v>
      </c>
      <c r="B53" s="721">
        <f t="shared" si="0"/>
        <v>46123</v>
      </c>
      <c r="C53" s="722">
        <f t="shared" si="5"/>
        <v>0</v>
      </c>
      <c r="D53" s="722">
        <f t="shared" si="2"/>
        <v>0</v>
      </c>
      <c r="E53" s="722">
        <f t="shared" si="6"/>
        <v>0</v>
      </c>
      <c r="F53" s="722">
        <f t="shared" si="3"/>
        <v>0</v>
      </c>
      <c r="G53" s="723">
        <f t="shared" si="4"/>
        <v>0</v>
      </c>
    </row>
    <row r="54" spans="1:7" x14ac:dyDescent="0.3">
      <c r="A54" s="717">
        <f t="shared" si="1"/>
        <v>32</v>
      </c>
      <c r="B54" s="721">
        <f t="shared" si="0"/>
        <v>46153</v>
      </c>
      <c r="C54" s="722">
        <f t="shared" si="5"/>
        <v>0</v>
      </c>
      <c r="D54" s="722">
        <f t="shared" si="2"/>
        <v>0</v>
      </c>
      <c r="E54" s="722">
        <f t="shared" si="6"/>
        <v>0</v>
      </c>
      <c r="F54" s="722">
        <f t="shared" si="3"/>
        <v>0</v>
      </c>
      <c r="G54" s="723">
        <f t="shared" si="4"/>
        <v>0</v>
      </c>
    </row>
    <row r="55" spans="1:7" x14ac:dyDescent="0.3">
      <c r="A55" s="717">
        <f t="shared" si="1"/>
        <v>33</v>
      </c>
      <c r="B55" s="721">
        <f t="shared" si="0"/>
        <v>46184</v>
      </c>
      <c r="C55" s="722">
        <f t="shared" si="5"/>
        <v>0</v>
      </c>
      <c r="D55" s="722">
        <f t="shared" si="2"/>
        <v>0</v>
      </c>
      <c r="E55" s="722">
        <f t="shared" si="6"/>
        <v>0</v>
      </c>
      <c r="F55" s="722">
        <f t="shared" si="3"/>
        <v>0</v>
      </c>
      <c r="G55" s="723">
        <f t="shared" si="4"/>
        <v>0</v>
      </c>
    </row>
    <row r="56" spans="1:7" x14ac:dyDescent="0.3">
      <c r="A56" s="717">
        <f t="shared" si="1"/>
        <v>34</v>
      </c>
      <c r="B56" s="721">
        <f t="shared" si="0"/>
        <v>46214</v>
      </c>
      <c r="C56" s="722">
        <f t="shared" si="5"/>
        <v>0</v>
      </c>
      <c r="D56" s="722">
        <f t="shared" si="2"/>
        <v>0</v>
      </c>
      <c r="E56" s="722">
        <f t="shared" si="6"/>
        <v>0</v>
      </c>
      <c r="F56" s="722">
        <f t="shared" si="3"/>
        <v>0</v>
      </c>
      <c r="G56" s="723">
        <f t="shared" si="4"/>
        <v>0</v>
      </c>
    </row>
    <row r="57" spans="1:7" x14ac:dyDescent="0.3">
      <c r="A57" s="717">
        <f t="shared" si="1"/>
        <v>35</v>
      </c>
      <c r="B57" s="721">
        <f t="shared" si="0"/>
        <v>46245</v>
      </c>
      <c r="C57" s="722">
        <f t="shared" si="5"/>
        <v>0</v>
      </c>
      <c r="D57" s="722">
        <f t="shared" si="2"/>
        <v>0</v>
      </c>
      <c r="E57" s="722">
        <f t="shared" si="6"/>
        <v>0</v>
      </c>
      <c r="F57" s="722">
        <f t="shared" si="3"/>
        <v>0</v>
      </c>
      <c r="G57" s="723">
        <f t="shared" si="4"/>
        <v>0</v>
      </c>
    </row>
    <row r="58" spans="1:7" x14ac:dyDescent="0.3">
      <c r="A58" s="717">
        <f t="shared" si="1"/>
        <v>36</v>
      </c>
      <c r="B58" s="721">
        <f t="shared" si="0"/>
        <v>46276</v>
      </c>
      <c r="C58" s="722">
        <f t="shared" si="5"/>
        <v>0</v>
      </c>
      <c r="D58" s="722">
        <f t="shared" si="2"/>
        <v>0</v>
      </c>
      <c r="E58" s="722">
        <f t="shared" si="6"/>
        <v>0</v>
      </c>
      <c r="F58" s="722">
        <f t="shared" si="3"/>
        <v>0</v>
      </c>
      <c r="G58" s="723">
        <f t="shared" si="4"/>
        <v>0</v>
      </c>
    </row>
    <row r="59" spans="1:7" x14ac:dyDescent="0.3">
      <c r="A59" s="717">
        <f t="shared" si="1"/>
        <v>37</v>
      </c>
      <c r="B59" s="721">
        <f t="shared" si="0"/>
        <v>46306</v>
      </c>
      <c r="C59" s="722">
        <f t="shared" si="5"/>
        <v>0</v>
      </c>
      <c r="D59" s="722">
        <f t="shared" si="2"/>
        <v>0</v>
      </c>
      <c r="E59" s="722">
        <f t="shared" si="6"/>
        <v>0</v>
      </c>
      <c r="F59" s="722">
        <f t="shared" si="3"/>
        <v>0</v>
      </c>
      <c r="G59" s="723">
        <f t="shared" si="4"/>
        <v>0</v>
      </c>
    </row>
    <row r="60" spans="1:7" x14ac:dyDescent="0.3">
      <c r="A60" s="717">
        <f t="shared" si="1"/>
        <v>38</v>
      </c>
      <c r="B60" s="721">
        <f t="shared" si="0"/>
        <v>46337</v>
      </c>
      <c r="C60" s="722">
        <f t="shared" si="5"/>
        <v>0</v>
      </c>
      <c r="D60" s="722">
        <f t="shared" si="2"/>
        <v>0</v>
      </c>
      <c r="E60" s="722">
        <f t="shared" si="6"/>
        <v>0</v>
      </c>
      <c r="F60" s="722">
        <f t="shared" si="3"/>
        <v>0</v>
      </c>
      <c r="G60" s="723">
        <f t="shared" si="4"/>
        <v>0</v>
      </c>
    </row>
    <row r="61" spans="1:7" x14ac:dyDescent="0.3">
      <c r="A61" s="717">
        <f t="shared" si="1"/>
        <v>39</v>
      </c>
      <c r="B61" s="721">
        <f t="shared" si="0"/>
        <v>46367</v>
      </c>
      <c r="C61" s="722">
        <f t="shared" si="5"/>
        <v>0</v>
      </c>
      <c r="D61" s="722">
        <f t="shared" si="2"/>
        <v>0</v>
      </c>
      <c r="E61" s="722">
        <f t="shared" si="6"/>
        <v>0</v>
      </c>
      <c r="F61" s="722">
        <f t="shared" si="3"/>
        <v>0</v>
      </c>
      <c r="G61" s="723">
        <f t="shared" si="4"/>
        <v>0</v>
      </c>
    </row>
    <row r="62" spans="1:7" x14ac:dyDescent="0.3">
      <c r="A62" s="717">
        <f t="shared" si="1"/>
        <v>40</v>
      </c>
      <c r="B62" s="721">
        <f t="shared" si="0"/>
        <v>46398</v>
      </c>
      <c r="C62" s="722">
        <f t="shared" si="5"/>
        <v>0</v>
      </c>
      <c r="D62" s="722">
        <f t="shared" si="2"/>
        <v>0</v>
      </c>
      <c r="E62" s="722">
        <f t="shared" si="6"/>
        <v>0</v>
      </c>
      <c r="F62" s="722">
        <f t="shared" si="3"/>
        <v>0</v>
      </c>
      <c r="G62" s="723">
        <f t="shared" si="4"/>
        <v>0</v>
      </c>
    </row>
    <row r="63" spans="1:7" x14ac:dyDescent="0.3">
      <c r="A63" s="717">
        <f t="shared" si="1"/>
        <v>41</v>
      </c>
      <c r="B63" s="721">
        <f t="shared" si="0"/>
        <v>46429</v>
      </c>
      <c r="C63" s="722">
        <f t="shared" si="5"/>
        <v>0</v>
      </c>
      <c r="D63" s="722">
        <f t="shared" si="2"/>
        <v>0</v>
      </c>
      <c r="E63" s="722">
        <f t="shared" si="6"/>
        <v>0</v>
      </c>
      <c r="F63" s="722">
        <f t="shared" si="3"/>
        <v>0</v>
      </c>
      <c r="G63" s="723">
        <f t="shared" si="4"/>
        <v>0</v>
      </c>
    </row>
    <row r="64" spans="1:7" x14ac:dyDescent="0.3">
      <c r="A64" s="717">
        <f t="shared" si="1"/>
        <v>42</v>
      </c>
      <c r="B64" s="721">
        <f t="shared" si="0"/>
        <v>46457</v>
      </c>
      <c r="C64" s="722">
        <f t="shared" si="5"/>
        <v>0</v>
      </c>
      <c r="D64" s="722">
        <f t="shared" si="2"/>
        <v>0</v>
      </c>
      <c r="E64" s="722">
        <f t="shared" si="6"/>
        <v>0</v>
      </c>
      <c r="F64" s="722">
        <f t="shared" si="3"/>
        <v>0</v>
      </c>
      <c r="G64" s="723">
        <f t="shared" si="4"/>
        <v>0</v>
      </c>
    </row>
    <row r="65" spans="1:15" x14ac:dyDescent="0.3">
      <c r="A65" s="717">
        <f t="shared" si="1"/>
        <v>43</v>
      </c>
      <c r="B65" s="721">
        <f t="shared" si="0"/>
        <v>46488</v>
      </c>
      <c r="C65" s="722">
        <f t="shared" si="5"/>
        <v>0</v>
      </c>
      <c r="D65" s="722">
        <f t="shared" si="2"/>
        <v>0</v>
      </c>
      <c r="E65" s="722">
        <f t="shared" si="6"/>
        <v>0</v>
      </c>
      <c r="F65" s="722">
        <f t="shared" si="3"/>
        <v>0</v>
      </c>
      <c r="G65" s="723">
        <f t="shared" si="4"/>
        <v>0</v>
      </c>
    </row>
    <row r="66" spans="1:15" x14ac:dyDescent="0.3">
      <c r="A66" s="717">
        <f t="shared" si="1"/>
        <v>44</v>
      </c>
      <c r="B66" s="721">
        <f t="shared" si="0"/>
        <v>46518</v>
      </c>
      <c r="C66" s="722">
        <f t="shared" si="5"/>
        <v>0</v>
      </c>
      <c r="D66" s="722">
        <f t="shared" si="2"/>
        <v>0</v>
      </c>
      <c r="E66" s="722">
        <f t="shared" si="6"/>
        <v>0</v>
      </c>
      <c r="F66" s="722">
        <f t="shared" si="3"/>
        <v>0</v>
      </c>
      <c r="G66" s="723">
        <f t="shared" si="4"/>
        <v>0</v>
      </c>
    </row>
    <row r="67" spans="1:15" x14ac:dyDescent="0.3">
      <c r="A67" s="717">
        <f t="shared" si="1"/>
        <v>45</v>
      </c>
      <c r="B67" s="721">
        <f t="shared" si="0"/>
        <v>46549</v>
      </c>
      <c r="C67" s="722">
        <f t="shared" si="5"/>
        <v>0</v>
      </c>
      <c r="D67" s="722">
        <f t="shared" si="2"/>
        <v>0</v>
      </c>
      <c r="E67" s="722">
        <f t="shared" si="6"/>
        <v>0</v>
      </c>
      <c r="F67" s="722">
        <f t="shared" si="3"/>
        <v>0</v>
      </c>
      <c r="G67" s="723">
        <f t="shared" si="4"/>
        <v>0</v>
      </c>
    </row>
    <row r="68" spans="1:15" x14ac:dyDescent="0.3">
      <c r="A68" s="717">
        <f t="shared" si="1"/>
        <v>46</v>
      </c>
      <c r="B68" s="721">
        <f t="shared" si="0"/>
        <v>46579</v>
      </c>
      <c r="C68" s="722">
        <f t="shared" si="5"/>
        <v>0</v>
      </c>
      <c r="D68" s="722">
        <f t="shared" si="2"/>
        <v>0</v>
      </c>
      <c r="E68" s="722">
        <f t="shared" si="6"/>
        <v>0</v>
      </c>
      <c r="F68" s="722">
        <f t="shared" si="3"/>
        <v>0</v>
      </c>
      <c r="G68" s="723">
        <f t="shared" si="4"/>
        <v>0</v>
      </c>
    </row>
    <row r="69" spans="1:15" x14ac:dyDescent="0.3">
      <c r="A69" s="717">
        <f t="shared" si="1"/>
        <v>47</v>
      </c>
      <c r="B69" s="721">
        <f t="shared" si="0"/>
        <v>46610</v>
      </c>
      <c r="C69" s="722">
        <f t="shared" si="5"/>
        <v>0</v>
      </c>
      <c r="D69" s="722">
        <f t="shared" si="2"/>
        <v>0</v>
      </c>
      <c r="E69" s="722">
        <f t="shared" si="6"/>
        <v>0</v>
      </c>
      <c r="F69" s="722">
        <f t="shared" si="3"/>
        <v>0</v>
      </c>
      <c r="G69" s="723">
        <f t="shared" si="4"/>
        <v>0</v>
      </c>
    </row>
    <row r="70" spans="1:15" x14ac:dyDescent="0.3">
      <c r="A70" s="717">
        <f t="shared" si="1"/>
        <v>48</v>
      </c>
      <c r="B70" s="721">
        <f t="shared" si="0"/>
        <v>46641</v>
      </c>
      <c r="C70" s="722">
        <f t="shared" si="5"/>
        <v>0</v>
      </c>
      <c r="D70" s="722">
        <f t="shared" si="2"/>
        <v>0</v>
      </c>
      <c r="E70" s="722">
        <f t="shared" si="6"/>
        <v>0</v>
      </c>
      <c r="F70" s="722">
        <f t="shared" si="3"/>
        <v>0</v>
      </c>
      <c r="G70" s="723">
        <f t="shared" si="4"/>
        <v>0</v>
      </c>
    </row>
    <row r="71" spans="1:15" x14ac:dyDescent="0.3">
      <c r="A71" s="717">
        <f t="shared" si="1"/>
        <v>49</v>
      </c>
      <c r="B71" s="721">
        <f t="shared" si="0"/>
        <v>46671</v>
      </c>
      <c r="C71" s="722">
        <f t="shared" si="5"/>
        <v>0</v>
      </c>
      <c r="D71" s="722">
        <f t="shared" si="2"/>
        <v>0</v>
      </c>
      <c r="E71" s="722">
        <f t="shared" si="6"/>
        <v>0</v>
      </c>
      <c r="F71" s="722">
        <f t="shared" si="3"/>
        <v>0</v>
      </c>
      <c r="G71" s="723">
        <f t="shared" si="4"/>
        <v>0</v>
      </c>
    </row>
    <row r="72" spans="1:15" x14ac:dyDescent="0.3">
      <c r="A72" s="717">
        <f t="shared" si="1"/>
        <v>50</v>
      </c>
      <c r="B72" s="721">
        <f t="shared" si="0"/>
        <v>46702</v>
      </c>
      <c r="C72" s="722">
        <f t="shared" si="5"/>
        <v>0</v>
      </c>
      <c r="D72" s="722">
        <f t="shared" si="2"/>
        <v>0</v>
      </c>
      <c r="E72" s="722">
        <f t="shared" si="6"/>
        <v>0</v>
      </c>
      <c r="F72" s="722">
        <f t="shared" si="3"/>
        <v>0</v>
      </c>
      <c r="G72" s="723">
        <f t="shared" si="4"/>
        <v>0</v>
      </c>
    </row>
    <row r="73" spans="1:15" x14ac:dyDescent="0.3">
      <c r="A73" s="717">
        <f t="shared" si="1"/>
        <v>51</v>
      </c>
      <c r="B73" s="721">
        <f t="shared" si="0"/>
        <v>46732</v>
      </c>
      <c r="C73" s="722">
        <f t="shared" si="5"/>
        <v>0</v>
      </c>
      <c r="D73" s="722">
        <f t="shared" si="2"/>
        <v>0</v>
      </c>
      <c r="E73" s="722">
        <f t="shared" si="6"/>
        <v>0</v>
      </c>
      <c r="F73" s="722">
        <f t="shared" si="3"/>
        <v>0</v>
      </c>
      <c r="G73" s="723">
        <f t="shared" si="4"/>
        <v>0</v>
      </c>
    </row>
    <row r="74" spans="1:15" x14ac:dyDescent="0.3">
      <c r="A74" s="717">
        <f t="shared" si="1"/>
        <v>52</v>
      </c>
      <c r="B74" s="721">
        <f t="shared" si="0"/>
        <v>46763</v>
      </c>
      <c r="C74" s="722">
        <f t="shared" si="5"/>
        <v>0</v>
      </c>
      <c r="D74" s="722">
        <f t="shared" si="2"/>
        <v>0</v>
      </c>
      <c r="E74" s="722">
        <f t="shared" si="6"/>
        <v>0</v>
      </c>
      <c r="F74" s="722">
        <f t="shared" si="3"/>
        <v>0</v>
      </c>
      <c r="G74" s="723">
        <f t="shared" si="4"/>
        <v>0</v>
      </c>
    </row>
    <row r="75" spans="1:15" x14ac:dyDescent="0.3">
      <c r="A75" s="717">
        <f t="shared" si="1"/>
        <v>53</v>
      </c>
      <c r="B75" s="721">
        <f t="shared" si="0"/>
        <v>46794</v>
      </c>
      <c r="C75" s="722">
        <f t="shared" si="5"/>
        <v>0</v>
      </c>
      <c r="D75" s="722">
        <f t="shared" si="2"/>
        <v>0</v>
      </c>
      <c r="E75" s="722">
        <f t="shared" si="6"/>
        <v>0</v>
      </c>
      <c r="F75" s="722">
        <f t="shared" si="3"/>
        <v>0</v>
      </c>
      <c r="G75" s="723">
        <f t="shared" si="4"/>
        <v>0</v>
      </c>
    </row>
    <row r="76" spans="1:15" x14ac:dyDescent="0.3">
      <c r="A76" s="717">
        <f t="shared" si="1"/>
        <v>54</v>
      </c>
      <c r="B76" s="721">
        <f t="shared" si="0"/>
        <v>46823</v>
      </c>
      <c r="C76" s="722">
        <f t="shared" si="5"/>
        <v>0</v>
      </c>
      <c r="D76" s="722">
        <f t="shared" si="2"/>
        <v>0</v>
      </c>
      <c r="E76" s="722">
        <f t="shared" si="6"/>
        <v>0</v>
      </c>
      <c r="F76" s="722">
        <f t="shared" si="3"/>
        <v>0</v>
      </c>
      <c r="G76" s="723">
        <f t="shared" si="4"/>
        <v>0</v>
      </c>
    </row>
    <row r="77" spans="1:15" x14ac:dyDescent="0.3">
      <c r="A77" s="717">
        <f t="shared" si="1"/>
        <v>55</v>
      </c>
      <c r="B77" s="721">
        <f t="shared" si="0"/>
        <v>46854</v>
      </c>
      <c r="C77" s="722">
        <f t="shared" si="5"/>
        <v>0</v>
      </c>
      <c r="D77" s="722">
        <f t="shared" si="2"/>
        <v>0</v>
      </c>
      <c r="E77" s="722">
        <f t="shared" si="6"/>
        <v>0</v>
      </c>
      <c r="F77" s="722">
        <f t="shared" si="3"/>
        <v>0</v>
      </c>
      <c r="G77" s="723">
        <f t="shared" si="4"/>
        <v>0</v>
      </c>
    </row>
    <row r="78" spans="1:15" x14ac:dyDescent="0.3">
      <c r="A78" s="717">
        <f t="shared" si="1"/>
        <v>56</v>
      </c>
      <c r="B78" s="721">
        <f t="shared" si="0"/>
        <v>46884</v>
      </c>
      <c r="C78" s="722">
        <f t="shared" si="5"/>
        <v>0</v>
      </c>
      <c r="D78" s="722">
        <f t="shared" si="2"/>
        <v>0</v>
      </c>
      <c r="E78" s="722">
        <f t="shared" si="6"/>
        <v>0</v>
      </c>
      <c r="F78" s="722">
        <f t="shared" si="3"/>
        <v>0</v>
      </c>
      <c r="G78" s="723">
        <f t="shared" si="4"/>
        <v>0</v>
      </c>
    </row>
    <row r="79" spans="1:15" x14ac:dyDescent="0.3">
      <c r="A79" s="717">
        <f t="shared" si="1"/>
        <v>57</v>
      </c>
      <c r="B79" s="721">
        <f t="shared" si="0"/>
        <v>46915</v>
      </c>
      <c r="C79" s="722">
        <f t="shared" si="5"/>
        <v>0</v>
      </c>
      <c r="D79" s="722">
        <f t="shared" si="2"/>
        <v>0</v>
      </c>
      <c r="E79" s="722">
        <f t="shared" si="6"/>
        <v>0</v>
      </c>
      <c r="F79" s="722">
        <f t="shared" si="3"/>
        <v>0</v>
      </c>
      <c r="G79" s="723">
        <f t="shared" si="4"/>
        <v>0</v>
      </c>
    </row>
    <row r="80" spans="1:15" x14ac:dyDescent="0.3">
      <c r="A80" s="717">
        <f t="shared" si="1"/>
        <v>58</v>
      </c>
      <c r="B80" s="721">
        <f t="shared" si="0"/>
        <v>46945</v>
      </c>
      <c r="C80" s="722">
        <f t="shared" si="5"/>
        <v>0</v>
      </c>
      <c r="D80" s="722">
        <f t="shared" si="2"/>
        <v>0</v>
      </c>
      <c r="E80" s="722">
        <f t="shared" si="6"/>
        <v>0</v>
      </c>
      <c r="F80" s="722">
        <f t="shared" si="3"/>
        <v>0</v>
      </c>
      <c r="G80" s="723">
        <f t="shared" si="4"/>
        <v>0</v>
      </c>
      <c r="I80" s="724"/>
      <c r="J80" s="725"/>
      <c r="K80" s="726"/>
      <c r="L80" s="726"/>
      <c r="M80" s="726"/>
      <c r="N80" s="726"/>
      <c r="O80" s="703"/>
    </row>
    <row r="81" spans="1:15" x14ac:dyDescent="0.3">
      <c r="A81" s="717">
        <f t="shared" si="1"/>
        <v>59</v>
      </c>
      <c r="B81" s="721">
        <f t="shared" si="0"/>
        <v>46976</v>
      </c>
      <c r="C81" s="722">
        <f t="shared" si="5"/>
        <v>0</v>
      </c>
      <c r="D81" s="722">
        <f t="shared" si="2"/>
        <v>0</v>
      </c>
      <c r="E81" s="722">
        <f t="shared" si="6"/>
        <v>0</v>
      </c>
      <c r="F81" s="722">
        <f t="shared" si="3"/>
        <v>0</v>
      </c>
      <c r="G81" s="723">
        <f t="shared" si="4"/>
        <v>0</v>
      </c>
      <c r="J81" s="727"/>
      <c r="K81" s="704"/>
      <c r="L81" s="704"/>
      <c r="M81" s="704"/>
      <c r="N81" s="704"/>
      <c r="O81" s="703"/>
    </row>
    <row r="82" spans="1:15" x14ac:dyDescent="0.3">
      <c r="A82" s="717">
        <f t="shared" si="1"/>
        <v>60</v>
      </c>
      <c r="B82" s="721">
        <f t="shared" si="0"/>
        <v>47007</v>
      </c>
      <c r="C82" s="722">
        <f t="shared" si="5"/>
        <v>0</v>
      </c>
      <c r="D82" s="722">
        <f t="shared" si="2"/>
        <v>0</v>
      </c>
      <c r="E82" s="722">
        <f t="shared" si="6"/>
        <v>0</v>
      </c>
      <c r="F82" s="722">
        <f t="shared" si="3"/>
        <v>0</v>
      </c>
      <c r="G82" s="723">
        <f t="shared" si="4"/>
        <v>0</v>
      </c>
      <c r="J82" s="727"/>
      <c r="K82" s="704"/>
      <c r="L82" s="704"/>
      <c r="M82" s="704"/>
      <c r="N82" s="704"/>
      <c r="O82" s="703"/>
    </row>
    <row r="83" spans="1:15" x14ac:dyDescent="0.3">
      <c r="A83" s="717">
        <f t="shared" si="1"/>
        <v>61</v>
      </c>
      <c r="B83" s="721">
        <f t="shared" si="0"/>
        <v>47037</v>
      </c>
      <c r="C83" s="722">
        <f t="shared" si="5"/>
        <v>0</v>
      </c>
      <c r="D83" s="722">
        <f t="shared" si="2"/>
        <v>0</v>
      </c>
      <c r="E83" s="722">
        <f t="shared" si="6"/>
        <v>0</v>
      </c>
      <c r="F83" s="722">
        <f t="shared" si="3"/>
        <v>0</v>
      </c>
      <c r="G83" s="723">
        <f t="shared" si="4"/>
        <v>0</v>
      </c>
      <c r="J83" s="727"/>
      <c r="K83" s="704"/>
      <c r="L83" s="704"/>
      <c r="M83" s="704"/>
      <c r="N83" s="704"/>
      <c r="O83" s="703"/>
    </row>
    <row r="84" spans="1:15" x14ac:dyDescent="0.3">
      <c r="A84" s="717">
        <f t="shared" si="1"/>
        <v>62</v>
      </c>
      <c r="B84" s="721">
        <f t="shared" si="0"/>
        <v>47068</v>
      </c>
      <c r="C84" s="722">
        <f t="shared" si="5"/>
        <v>0</v>
      </c>
      <c r="D84" s="722">
        <f t="shared" si="2"/>
        <v>0</v>
      </c>
      <c r="E84" s="722">
        <f t="shared" si="6"/>
        <v>0</v>
      </c>
      <c r="F84" s="722">
        <f t="shared" si="3"/>
        <v>0</v>
      </c>
      <c r="G84" s="723">
        <f t="shared" si="4"/>
        <v>0</v>
      </c>
      <c r="J84" s="727"/>
      <c r="K84" s="704"/>
      <c r="L84" s="704"/>
      <c r="M84" s="704"/>
      <c r="N84" s="704"/>
      <c r="O84" s="703"/>
    </row>
    <row r="85" spans="1:15" x14ac:dyDescent="0.3">
      <c r="A85" s="717">
        <f t="shared" si="1"/>
        <v>63</v>
      </c>
      <c r="B85" s="721">
        <f t="shared" si="0"/>
        <v>47098</v>
      </c>
      <c r="C85" s="722">
        <f t="shared" si="5"/>
        <v>0</v>
      </c>
      <c r="D85" s="722">
        <f t="shared" si="2"/>
        <v>0</v>
      </c>
      <c r="E85" s="722">
        <f t="shared" si="6"/>
        <v>0</v>
      </c>
      <c r="F85" s="722">
        <f t="shared" si="3"/>
        <v>0</v>
      </c>
      <c r="G85" s="723">
        <f t="shared" si="4"/>
        <v>0</v>
      </c>
      <c r="J85" s="727"/>
      <c r="K85" s="704"/>
      <c r="L85" s="704"/>
      <c r="M85" s="704"/>
      <c r="N85" s="704"/>
      <c r="O85" s="703"/>
    </row>
    <row r="86" spans="1:15" x14ac:dyDescent="0.3">
      <c r="A86" s="717">
        <f t="shared" si="1"/>
        <v>64</v>
      </c>
      <c r="B86" s="721">
        <f t="shared" si="0"/>
        <v>47129</v>
      </c>
      <c r="C86" s="722">
        <f t="shared" si="5"/>
        <v>0</v>
      </c>
      <c r="D86" s="722">
        <f t="shared" si="2"/>
        <v>0</v>
      </c>
      <c r="E86" s="722">
        <f t="shared" si="6"/>
        <v>0</v>
      </c>
      <c r="F86" s="722">
        <f t="shared" si="3"/>
        <v>0</v>
      </c>
      <c r="G86" s="723">
        <f t="shared" si="4"/>
        <v>0</v>
      </c>
      <c r="J86" s="727"/>
      <c r="K86" s="704"/>
      <c r="L86" s="704"/>
      <c r="M86" s="704"/>
      <c r="N86" s="704"/>
      <c r="O86" s="703"/>
    </row>
    <row r="87" spans="1:15" x14ac:dyDescent="0.3">
      <c r="A87" s="717">
        <f t="shared" si="1"/>
        <v>65</v>
      </c>
      <c r="B87" s="721">
        <f t="shared" ref="B87:B150" si="7">EDATE($D$13,A87)</f>
        <v>47160</v>
      </c>
      <c r="C87" s="722">
        <f t="shared" si="5"/>
        <v>0</v>
      </c>
      <c r="D87" s="722">
        <f t="shared" si="2"/>
        <v>0</v>
      </c>
      <c r="E87" s="722">
        <f t="shared" si="6"/>
        <v>0</v>
      </c>
      <c r="F87" s="722">
        <f t="shared" si="3"/>
        <v>0</v>
      </c>
      <c r="G87" s="723">
        <f t="shared" si="4"/>
        <v>0</v>
      </c>
      <c r="J87" s="727"/>
      <c r="K87" s="704"/>
      <c r="L87" s="704"/>
      <c r="M87" s="704"/>
      <c r="N87" s="704"/>
      <c r="O87" s="703"/>
    </row>
    <row r="88" spans="1:15" x14ac:dyDescent="0.3">
      <c r="A88" s="717">
        <f t="shared" ref="A88:A151" si="8">A87+1</f>
        <v>66</v>
      </c>
      <c r="B88" s="721">
        <f t="shared" si="7"/>
        <v>47188</v>
      </c>
      <c r="C88" s="722">
        <f t="shared" si="5"/>
        <v>0</v>
      </c>
      <c r="D88" s="722">
        <f t="shared" ref="D88:D151" si="9">MIN(G88-F88-E88,C88)</f>
        <v>0</v>
      </c>
      <c r="E88" s="722">
        <f t="shared" si="6"/>
        <v>0</v>
      </c>
      <c r="F88" s="722">
        <f t="shared" ref="F88:F151" si="10">IF(C88&lt;&gt;0,$D$11)+IF(AND($D$12="Да",C88&lt;&gt;0),69)</f>
        <v>0</v>
      </c>
      <c r="G88" s="723">
        <f t="shared" ref="G88:G151" si="11">IF(C88&gt;0,$D$15,0)</f>
        <v>0</v>
      </c>
      <c r="J88" s="727"/>
      <c r="K88" s="704"/>
      <c r="L88" s="704"/>
      <c r="M88" s="704"/>
      <c r="N88" s="704"/>
      <c r="O88" s="703"/>
    </row>
    <row r="89" spans="1:15" x14ac:dyDescent="0.3">
      <c r="A89" s="717">
        <f t="shared" si="8"/>
        <v>67</v>
      </c>
      <c r="B89" s="721">
        <f t="shared" si="7"/>
        <v>47219</v>
      </c>
      <c r="C89" s="722">
        <f t="shared" ref="C89:C152" si="12">ROUNDDOWN(C88-D88,2)</f>
        <v>0</v>
      </c>
      <c r="D89" s="722">
        <f t="shared" si="9"/>
        <v>0</v>
      </c>
      <c r="E89" s="722">
        <f t="shared" si="6"/>
        <v>0</v>
      </c>
      <c r="F89" s="722">
        <f t="shared" si="10"/>
        <v>0</v>
      </c>
      <c r="G89" s="723">
        <f t="shared" si="11"/>
        <v>0</v>
      </c>
      <c r="O89" s="700"/>
    </row>
    <row r="90" spans="1:15" x14ac:dyDescent="0.3">
      <c r="A90" s="717">
        <f t="shared" si="8"/>
        <v>68</v>
      </c>
      <c r="B90" s="721">
        <f t="shared" si="7"/>
        <v>47249</v>
      </c>
      <c r="C90" s="722">
        <f t="shared" si="12"/>
        <v>0</v>
      </c>
      <c r="D90" s="722">
        <f t="shared" si="9"/>
        <v>0</v>
      </c>
      <c r="E90" s="722">
        <f t="shared" ref="E90:E153" si="13">C90*$D$10/12</f>
        <v>0</v>
      </c>
      <c r="F90" s="722">
        <f t="shared" si="10"/>
        <v>0</v>
      </c>
      <c r="G90" s="723">
        <f t="shared" si="11"/>
        <v>0</v>
      </c>
      <c r="O90" s="700"/>
    </row>
    <row r="91" spans="1:15" x14ac:dyDescent="0.3">
      <c r="A91" s="717">
        <f t="shared" si="8"/>
        <v>69</v>
      </c>
      <c r="B91" s="721">
        <f t="shared" si="7"/>
        <v>47280</v>
      </c>
      <c r="C91" s="722">
        <f t="shared" si="12"/>
        <v>0</v>
      </c>
      <c r="D91" s="722">
        <f t="shared" si="9"/>
        <v>0</v>
      </c>
      <c r="E91" s="722">
        <f t="shared" si="13"/>
        <v>0</v>
      </c>
      <c r="F91" s="722">
        <f t="shared" si="10"/>
        <v>0</v>
      </c>
      <c r="G91" s="723">
        <f t="shared" si="11"/>
        <v>0</v>
      </c>
      <c r="O91" s="700"/>
    </row>
    <row r="92" spans="1:15" x14ac:dyDescent="0.3">
      <c r="A92" s="717">
        <f t="shared" si="8"/>
        <v>70</v>
      </c>
      <c r="B92" s="721">
        <f t="shared" si="7"/>
        <v>47310</v>
      </c>
      <c r="C92" s="722">
        <f t="shared" si="12"/>
        <v>0</v>
      </c>
      <c r="D92" s="722">
        <f t="shared" si="9"/>
        <v>0</v>
      </c>
      <c r="E92" s="722">
        <f t="shared" si="13"/>
        <v>0</v>
      </c>
      <c r="F92" s="722">
        <f t="shared" si="10"/>
        <v>0</v>
      </c>
      <c r="G92" s="723">
        <f t="shared" si="11"/>
        <v>0</v>
      </c>
      <c r="O92" s="700"/>
    </row>
    <row r="93" spans="1:15" x14ac:dyDescent="0.3">
      <c r="A93" s="717">
        <f t="shared" si="8"/>
        <v>71</v>
      </c>
      <c r="B93" s="721">
        <f t="shared" si="7"/>
        <v>47341</v>
      </c>
      <c r="C93" s="722">
        <f t="shared" si="12"/>
        <v>0</v>
      </c>
      <c r="D93" s="722">
        <f t="shared" si="9"/>
        <v>0</v>
      </c>
      <c r="E93" s="722">
        <f t="shared" si="13"/>
        <v>0</v>
      </c>
      <c r="F93" s="722">
        <f t="shared" si="10"/>
        <v>0</v>
      </c>
      <c r="G93" s="723">
        <f t="shared" si="11"/>
        <v>0</v>
      </c>
      <c r="O93" s="700"/>
    </row>
    <row r="94" spans="1:15" x14ac:dyDescent="0.3">
      <c r="A94" s="717">
        <f t="shared" si="8"/>
        <v>72</v>
      </c>
      <c r="B94" s="721">
        <f t="shared" si="7"/>
        <v>47372</v>
      </c>
      <c r="C94" s="722">
        <f t="shared" si="12"/>
        <v>0</v>
      </c>
      <c r="D94" s="722">
        <f t="shared" si="9"/>
        <v>0</v>
      </c>
      <c r="E94" s="722">
        <f t="shared" si="13"/>
        <v>0</v>
      </c>
      <c r="F94" s="722">
        <f t="shared" si="10"/>
        <v>0</v>
      </c>
      <c r="G94" s="723">
        <f t="shared" si="11"/>
        <v>0</v>
      </c>
      <c r="O94" s="700"/>
    </row>
    <row r="95" spans="1:15" x14ac:dyDescent="0.3">
      <c r="A95" s="717">
        <f t="shared" si="8"/>
        <v>73</v>
      </c>
      <c r="B95" s="721">
        <f t="shared" si="7"/>
        <v>47402</v>
      </c>
      <c r="C95" s="722">
        <f t="shared" si="12"/>
        <v>0</v>
      </c>
      <c r="D95" s="722">
        <f t="shared" si="9"/>
        <v>0</v>
      </c>
      <c r="E95" s="722">
        <f t="shared" si="13"/>
        <v>0</v>
      </c>
      <c r="F95" s="722">
        <f t="shared" si="10"/>
        <v>0</v>
      </c>
      <c r="G95" s="723">
        <f t="shared" si="11"/>
        <v>0</v>
      </c>
      <c r="O95" s="700"/>
    </row>
    <row r="96" spans="1:15" x14ac:dyDescent="0.3">
      <c r="A96" s="717">
        <f t="shared" si="8"/>
        <v>74</v>
      </c>
      <c r="B96" s="721">
        <f t="shared" si="7"/>
        <v>47433</v>
      </c>
      <c r="C96" s="722">
        <f t="shared" si="12"/>
        <v>0</v>
      </c>
      <c r="D96" s="722">
        <f t="shared" si="9"/>
        <v>0</v>
      </c>
      <c r="E96" s="722">
        <f t="shared" si="13"/>
        <v>0</v>
      </c>
      <c r="F96" s="722">
        <f t="shared" si="10"/>
        <v>0</v>
      </c>
      <c r="G96" s="723">
        <f t="shared" si="11"/>
        <v>0</v>
      </c>
      <c r="O96" s="700"/>
    </row>
    <row r="97" spans="1:15" x14ac:dyDescent="0.3">
      <c r="A97" s="717">
        <f t="shared" si="8"/>
        <v>75</v>
      </c>
      <c r="B97" s="721">
        <f t="shared" si="7"/>
        <v>47463</v>
      </c>
      <c r="C97" s="722">
        <f t="shared" si="12"/>
        <v>0</v>
      </c>
      <c r="D97" s="722">
        <f t="shared" si="9"/>
        <v>0</v>
      </c>
      <c r="E97" s="722">
        <f t="shared" si="13"/>
        <v>0</v>
      </c>
      <c r="F97" s="722">
        <f t="shared" si="10"/>
        <v>0</v>
      </c>
      <c r="G97" s="723">
        <f t="shared" si="11"/>
        <v>0</v>
      </c>
      <c r="O97" s="700"/>
    </row>
    <row r="98" spans="1:15" x14ac:dyDescent="0.3">
      <c r="A98" s="717">
        <f t="shared" si="8"/>
        <v>76</v>
      </c>
      <c r="B98" s="721">
        <f t="shared" si="7"/>
        <v>47494</v>
      </c>
      <c r="C98" s="722">
        <f t="shared" si="12"/>
        <v>0</v>
      </c>
      <c r="D98" s="722">
        <f t="shared" si="9"/>
        <v>0</v>
      </c>
      <c r="E98" s="722">
        <f t="shared" si="13"/>
        <v>0</v>
      </c>
      <c r="F98" s="722">
        <f t="shared" si="10"/>
        <v>0</v>
      </c>
      <c r="G98" s="723">
        <f t="shared" si="11"/>
        <v>0</v>
      </c>
      <c r="O98" s="700"/>
    </row>
    <row r="99" spans="1:15" x14ac:dyDescent="0.3">
      <c r="A99" s="717">
        <f t="shared" si="8"/>
        <v>77</v>
      </c>
      <c r="B99" s="721">
        <f t="shared" si="7"/>
        <v>47525</v>
      </c>
      <c r="C99" s="722">
        <f t="shared" si="12"/>
        <v>0</v>
      </c>
      <c r="D99" s="722">
        <f t="shared" si="9"/>
        <v>0</v>
      </c>
      <c r="E99" s="722">
        <f t="shared" si="13"/>
        <v>0</v>
      </c>
      <c r="F99" s="722">
        <f t="shared" si="10"/>
        <v>0</v>
      </c>
      <c r="G99" s="723">
        <f t="shared" si="11"/>
        <v>0</v>
      </c>
      <c r="O99" s="700"/>
    </row>
    <row r="100" spans="1:15" x14ac:dyDescent="0.3">
      <c r="A100" s="717">
        <f t="shared" si="8"/>
        <v>78</v>
      </c>
      <c r="B100" s="721">
        <f t="shared" si="7"/>
        <v>47553</v>
      </c>
      <c r="C100" s="722">
        <f t="shared" si="12"/>
        <v>0</v>
      </c>
      <c r="D100" s="722">
        <f t="shared" si="9"/>
        <v>0</v>
      </c>
      <c r="E100" s="722">
        <f t="shared" si="13"/>
        <v>0</v>
      </c>
      <c r="F100" s="722">
        <f t="shared" si="10"/>
        <v>0</v>
      </c>
      <c r="G100" s="723">
        <f t="shared" si="11"/>
        <v>0</v>
      </c>
      <c r="O100" s="700"/>
    </row>
    <row r="101" spans="1:15" x14ac:dyDescent="0.3">
      <c r="A101" s="717">
        <f t="shared" si="8"/>
        <v>79</v>
      </c>
      <c r="B101" s="721">
        <f t="shared" si="7"/>
        <v>47584</v>
      </c>
      <c r="C101" s="722">
        <f t="shared" si="12"/>
        <v>0</v>
      </c>
      <c r="D101" s="722">
        <f t="shared" si="9"/>
        <v>0</v>
      </c>
      <c r="E101" s="722">
        <f t="shared" si="13"/>
        <v>0</v>
      </c>
      <c r="F101" s="722">
        <f t="shared" si="10"/>
        <v>0</v>
      </c>
      <c r="G101" s="723">
        <f t="shared" si="11"/>
        <v>0</v>
      </c>
      <c r="O101" s="700"/>
    </row>
    <row r="102" spans="1:15" x14ac:dyDescent="0.3">
      <c r="A102" s="717">
        <f t="shared" si="8"/>
        <v>80</v>
      </c>
      <c r="B102" s="721">
        <f t="shared" si="7"/>
        <v>47614</v>
      </c>
      <c r="C102" s="722">
        <f t="shared" si="12"/>
        <v>0</v>
      </c>
      <c r="D102" s="722">
        <f t="shared" si="9"/>
        <v>0</v>
      </c>
      <c r="E102" s="722">
        <f t="shared" si="13"/>
        <v>0</v>
      </c>
      <c r="F102" s="722">
        <f t="shared" si="10"/>
        <v>0</v>
      </c>
      <c r="G102" s="723">
        <f t="shared" si="11"/>
        <v>0</v>
      </c>
      <c r="O102" s="700"/>
    </row>
    <row r="103" spans="1:15" x14ac:dyDescent="0.3">
      <c r="A103" s="717">
        <f t="shared" si="8"/>
        <v>81</v>
      </c>
      <c r="B103" s="721">
        <f t="shared" si="7"/>
        <v>47645</v>
      </c>
      <c r="C103" s="722">
        <f t="shared" si="12"/>
        <v>0</v>
      </c>
      <c r="D103" s="722">
        <f t="shared" si="9"/>
        <v>0</v>
      </c>
      <c r="E103" s="722">
        <f t="shared" si="13"/>
        <v>0</v>
      </c>
      <c r="F103" s="722">
        <f t="shared" si="10"/>
        <v>0</v>
      </c>
      <c r="G103" s="723">
        <f t="shared" si="11"/>
        <v>0</v>
      </c>
      <c r="O103" s="700"/>
    </row>
    <row r="104" spans="1:15" x14ac:dyDescent="0.3">
      <c r="A104" s="717">
        <f t="shared" si="8"/>
        <v>82</v>
      </c>
      <c r="B104" s="721">
        <f t="shared" si="7"/>
        <v>47675</v>
      </c>
      <c r="C104" s="722">
        <f t="shared" si="12"/>
        <v>0</v>
      </c>
      <c r="D104" s="722">
        <f t="shared" si="9"/>
        <v>0</v>
      </c>
      <c r="E104" s="722">
        <f t="shared" si="13"/>
        <v>0</v>
      </c>
      <c r="F104" s="722">
        <f t="shared" si="10"/>
        <v>0</v>
      </c>
      <c r="G104" s="723">
        <f t="shared" si="11"/>
        <v>0</v>
      </c>
      <c r="O104" s="700"/>
    </row>
    <row r="105" spans="1:15" x14ac:dyDescent="0.3">
      <c r="A105" s="717">
        <f t="shared" si="8"/>
        <v>83</v>
      </c>
      <c r="B105" s="721">
        <f t="shared" si="7"/>
        <v>47706</v>
      </c>
      <c r="C105" s="722">
        <f t="shared" si="12"/>
        <v>0</v>
      </c>
      <c r="D105" s="722">
        <f t="shared" si="9"/>
        <v>0</v>
      </c>
      <c r="E105" s="722">
        <f t="shared" si="13"/>
        <v>0</v>
      </c>
      <c r="F105" s="722">
        <f t="shared" si="10"/>
        <v>0</v>
      </c>
      <c r="G105" s="723">
        <f t="shared" si="11"/>
        <v>0</v>
      </c>
      <c r="O105" s="700"/>
    </row>
    <row r="106" spans="1:15" x14ac:dyDescent="0.3">
      <c r="A106" s="717">
        <f t="shared" si="8"/>
        <v>84</v>
      </c>
      <c r="B106" s="721">
        <f t="shared" si="7"/>
        <v>47737</v>
      </c>
      <c r="C106" s="722">
        <f t="shared" si="12"/>
        <v>0</v>
      </c>
      <c r="D106" s="722">
        <f t="shared" si="9"/>
        <v>0</v>
      </c>
      <c r="E106" s="722">
        <f t="shared" si="13"/>
        <v>0</v>
      </c>
      <c r="F106" s="722">
        <f t="shared" si="10"/>
        <v>0</v>
      </c>
      <c r="G106" s="723">
        <f t="shared" si="11"/>
        <v>0</v>
      </c>
      <c r="O106" s="700"/>
    </row>
    <row r="107" spans="1:15" x14ac:dyDescent="0.3">
      <c r="A107" s="717">
        <f t="shared" si="8"/>
        <v>85</v>
      </c>
      <c r="B107" s="721">
        <f t="shared" si="7"/>
        <v>47767</v>
      </c>
      <c r="C107" s="722">
        <f t="shared" si="12"/>
        <v>0</v>
      </c>
      <c r="D107" s="722">
        <f t="shared" si="9"/>
        <v>0</v>
      </c>
      <c r="E107" s="722">
        <f t="shared" si="13"/>
        <v>0</v>
      </c>
      <c r="F107" s="722">
        <f t="shared" si="10"/>
        <v>0</v>
      </c>
      <c r="G107" s="723">
        <f t="shared" si="11"/>
        <v>0</v>
      </c>
      <c r="O107" s="700"/>
    </row>
    <row r="108" spans="1:15" x14ac:dyDescent="0.3">
      <c r="A108" s="717">
        <f t="shared" si="8"/>
        <v>86</v>
      </c>
      <c r="B108" s="721">
        <f t="shared" si="7"/>
        <v>47798</v>
      </c>
      <c r="C108" s="722">
        <f t="shared" si="12"/>
        <v>0</v>
      </c>
      <c r="D108" s="722">
        <f t="shared" si="9"/>
        <v>0</v>
      </c>
      <c r="E108" s="722">
        <f t="shared" si="13"/>
        <v>0</v>
      </c>
      <c r="F108" s="722">
        <f t="shared" si="10"/>
        <v>0</v>
      </c>
      <c r="G108" s="723">
        <f t="shared" si="11"/>
        <v>0</v>
      </c>
      <c r="O108" s="700"/>
    </row>
    <row r="109" spans="1:15" x14ac:dyDescent="0.3">
      <c r="A109" s="717">
        <f t="shared" si="8"/>
        <v>87</v>
      </c>
      <c r="B109" s="721">
        <f t="shared" si="7"/>
        <v>47828</v>
      </c>
      <c r="C109" s="722">
        <f t="shared" si="12"/>
        <v>0</v>
      </c>
      <c r="D109" s="722">
        <f t="shared" si="9"/>
        <v>0</v>
      </c>
      <c r="E109" s="722">
        <f t="shared" si="13"/>
        <v>0</v>
      </c>
      <c r="F109" s="722">
        <f t="shared" si="10"/>
        <v>0</v>
      </c>
      <c r="G109" s="723">
        <f t="shared" si="11"/>
        <v>0</v>
      </c>
      <c r="O109" s="700"/>
    </row>
    <row r="110" spans="1:15" x14ac:dyDescent="0.3">
      <c r="A110" s="717">
        <f t="shared" si="8"/>
        <v>88</v>
      </c>
      <c r="B110" s="721">
        <f t="shared" si="7"/>
        <v>47859</v>
      </c>
      <c r="C110" s="722">
        <f t="shared" si="12"/>
        <v>0</v>
      </c>
      <c r="D110" s="722">
        <f t="shared" si="9"/>
        <v>0</v>
      </c>
      <c r="E110" s="722">
        <f t="shared" si="13"/>
        <v>0</v>
      </c>
      <c r="F110" s="722">
        <f t="shared" si="10"/>
        <v>0</v>
      </c>
      <c r="G110" s="723">
        <f t="shared" si="11"/>
        <v>0</v>
      </c>
      <c r="O110" s="700"/>
    </row>
    <row r="111" spans="1:15" x14ac:dyDescent="0.3">
      <c r="A111" s="717">
        <f t="shared" si="8"/>
        <v>89</v>
      </c>
      <c r="B111" s="721">
        <f t="shared" si="7"/>
        <v>47890</v>
      </c>
      <c r="C111" s="722">
        <f t="shared" si="12"/>
        <v>0</v>
      </c>
      <c r="D111" s="722">
        <f t="shared" si="9"/>
        <v>0</v>
      </c>
      <c r="E111" s="722">
        <f t="shared" si="13"/>
        <v>0</v>
      </c>
      <c r="F111" s="722">
        <f t="shared" si="10"/>
        <v>0</v>
      </c>
      <c r="G111" s="723">
        <f t="shared" si="11"/>
        <v>0</v>
      </c>
      <c r="O111" s="700"/>
    </row>
    <row r="112" spans="1:15" x14ac:dyDescent="0.3">
      <c r="A112" s="717">
        <f t="shared" si="8"/>
        <v>90</v>
      </c>
      <c r="B112" s="721">
        <f t="shared" si="7"/>
        <v>47918</v>
      </c>
      <c r="C112" s="722">
        <f t="shared" si="12"/>
        <v>0</v>
      </c>
      <c r="D112" s="722">
        <f t="shared" si="9"/>
        <v>0</v>
      </c>
      <c r="E112" s="722">
        <f t="shared" si="13"/>
        <v>0</v>
      </c>
      <c r="F112" s="722">
        <f t="shared" si="10"/>
        <v>0</v>
      </c>
      <c r="G112" s="723">
        <f t="shared" si="11"/>
        <v>0</v>
      </c>
      <c r="O112" s="700"/>
    </row>
    <row r="113" spans="1:15" x14ac:dyDescent="0.3">
      <c r="A113" s="717">
        <f t="shared" si="8"/>
        <v>91</v>
      </c>
      <c r="B113" s="721">
        <f t="shared" si="7"/>
        <v>47949</v>
      </c>
      <c r="C113" s="722">
        <f t="shared" si="12"/>
        <v>0</v>
      </c>
      <c r="D113" s="722">
        <f t="shared" si="9"/>
        <v>0</v>
      </c>
      <c r="E113" s="722">
        <f t="shared" si="13"/>
        <v>0</v>
      </c>
      <c r="F113" s="722">
        <f t="shared" si="10"/>
        <v>0</v>
      </c>
      <c r="G113" s="723">
        <f t="shared" si="11"/>
        <v>0</v>
      </c>
      <c r="O113" s="700"/>
    </row>
    <row r="114" spans="1:15" x14ac:dyDescent="0.3">
      <c r="A114" s="717">
        <f t="shared" si="8"/>
        <v>92</v>
      </c>
      <c r="B114" s="721">
        <f t="shared" si="7"/>
        <v>47979</v>
      </c>
      <c r="C114" s="722">
        <f t="shared" si="12"/>
        <v>0</v>
      </c>
      <c r="D114" s="722">
        <f t="shared" si="9"/>
        <v>0</v>
      </c>
      <c r="E114" s="722">
        <f t="shared" si="13"/>
        <v>0</v>
      </c>
      <c r="F114" s="722">
        <f t="shared" si="10"/>
        <v>0</v>
      </c>
      <c r="G114" s="723">
        <f t="shared" si="11"/>
        <v>0</v>
      </c>
      <c r="O114" s="700"/>
    </row>
    <row r="115" spans="1:15" x14ac:dyDescent="0.3">
      <c r="A115" s="717">
        <f t="shared" si="8"/>
        <v>93</v>
      </c>
      <c r="B115" s="721">
        <f t="shared" si="7"/>
        <v>48010</v>
      </c>
      <c r="C115" s="722">
        <f t="shared" si="12"/>
        <v>0</v>
      </c>
      <c r="D115" s="722">
        <f t="shared" si="9"/>
        <v>0</v>
      </c>
      <c r="E115" s="722">
        <f t="shared" si="13"/>
        <v>0</v>
      </c>
      <c r="F115" s="722">
        <f t="shared" si="10"/>
        <v>0</v>
      </c>
      <c r="G115" s="723">
        <f t="shared" si="11"/>
        <v>0</v>
      </c>
      <c r="O115" s="700"/>
    </row>
    <row r="116" spans="1:15" x14ac:dyDescent="0.3">
      <c r="A116" s="717">
        <f t="shared" si="8"/>
        <v>94</v>
      </c>
      <c r="B116" s="721">
        <f t="shared" si="7"/>
        <v>48040</v>
      </c>
      <c r="C116" s="722">
        <f t="shared" si="12"/>
        <v>0</v>
      </c>
      <c r="D116" s="722">
        <f t="shared" si="9"/>
        <v>0</v>
      </c>
      <c r="E116" s="722">
        <f t="shared" si="13"/>
        <v>0</v>
      </c>
      <c r="F116" s="722">
        <f t="shared" si="10"/>
        <v>0</v>
      </c>
      <c r="G116" s="723">
        <f t="shared" si="11"/>
        <v>0</v>
      </c>
      <c r="O116" s="700"/>
    </row>
    <row r="117" spans="1:15" x14ac:dyDescent="0.3">
      <c r="A117" s="717">
        <f t="shared" si="8"/>
        <v>95</v>
      </c>
      <c r="B117" s="721">
        <f t="shared" si="7"/>
        <v>48071</v>
      </c>
      <c r="C117" s="722">
        <f t="shared" si="12"/>
        <v>0</v>
      </c>
      <c r="D117" s="722">
        <f t="shared" si="9"/>
        <v>0</v>
      </c>
      <c r="E117" s="722">
        <f t="shared" si="13"/>
        <v>0</v>
      </c>
      <c r="F117" s="722">
        <f t="shared" si="10"/>
        <v>0</v>
      </c>
      <c r="G117" s="723">
        <f t="shared" si="11"/>
        <v>0</v>
      </c>
      <c r="O117" s="700"/>
    </row>
    <row r="118" spans="1:15" x14ac:dyDescent="0.3">
      <c r="A118" s="717">
        <f t="shared" si="8"/>
        <v>96</v>
      </c>
      <c r="B118" s="721">
        <f t="shared" si="7"/>
        <v>48102</v>
      </c>
      <c r="C118" s="722">
        <f t="shared" si="12"/>
        <v>0</v>
      </c>
      <c r="D118" s="722">
        <f t="shared" si="9"/>
        <v>0</v>
      </c>
      <c r="E118" s="722">
        <f t="shared" si="13"/>
        <v>0</v>
      </c>
      <c r="F118" s="722">
        <f t="shared" si="10"/>
        <v>0</v>
      </c>
      <c r="G118" s="723">
        <f t="shared" si="11"/>
        <v>0</v>
      </c>
      <c r="O118" s="700"/>
    </row>
    <row r="119" spans="1:15" x14ac:dyDescent="0.3">
      <c r="A119" s="717">
        <f t="shared" si="8"/>
        <v>97</v>
      </c>
      <c r="B119" s="721">
        <f t="shared" si="7"/>
        <v>48132</v>
      </c>
      <c r="C119" s="722">
        <f t="shared" si="12"/>
        <v>0</v>
      </c>
      <c r="D119" s="722">
        <f t="shared" si="9"/>
        <v>0</v>
      </c>
      <c r="E119" s="722">
        <f t="shared" si="13"/>
        <v>0</v>
      </c>
      <c r="F119" s="722">
        <f t="shared" si="10"/>
        <v>0</v>
      </c>
      <c r="G119" s="723">
        <f t="shared" si="11"/>
        <v>0</v>
      </c>
      <c r="O119" s="700"/>
    </row>
    <row r="120" spans="1:15" x14ac:dyDescent="0.3">
      <c r="A120" s="717">
        <f t="shared" si="8"/>
        <v>98</v>
      </c>
      <c r="B120" s="721">
        <f t="shared" si="7"/>
        <v>48163</v>
      </c>
      <c r="C120" s="722">
        <f t="shared" si="12"/>
        <v>0</v>
      </c>
      <c r="D120" s="722">
        <f t="shared" si="9"/>
        <v>0</v>
      </c>
      <c r="E120" s="722">
        <f t="shared" si="13"/>
        <v>0</v>
      </c>
      <c r="F120" s="722">
        <f t="shared" si="10"/>
        <v>0</v>
      </c>
      <c r="G120" s="723">
        <f t="shared" si="11"/>
        <v>0</v>
      </c>
      <c r="O120" s="700"/>
    </row>
    <row r="121" spans="1:15" x14ac:dyDescent="0.3">
      <c r="A121" s="717">
        <f t="shared" si="8"/>
        <v>99</v>
      </c>
      <c r="B121" s="721">
        <f t="shared" si="7"/>
        <v>48193</v>
      </c>
      <c r="C121" s="722">
        <f t="shared" si="12"/>
        <v>0</v>
      </c>
      <c r="D121" s="722">
        <f t="shared" si="9"/>
        <v>0</v>
      </c>
      <c r="E121" s="722">
        <f t="shared" si="13"/>
        <v>0</v>
      </c>
      <c r="F121" s="722">
        <f t="shared" si="10"/>
        <v>0</v>
      </c>
      <c r="G121" s="723">
        <f t="shared" si="11"/>
        <v>0</v>
      </c>
      <c r="O121" s="700"/>
    </row>
    <row r="122" spans="1:15" x14ac:dyDescent="0.3">
      <c r="A122" s="717">
        <f t="shared" si="8"/>
        <v>100</v>
      </c>
      <c r="B122" s="721">
        <f t="shared" si="7"/>
        <v>48224</v>
      </c>
      <c r="C122" s="722">
        <f t="shared" si="12"/>
        <v>0</v>
      </c>
      <c r="D122" s="722">
        <f t="shared" si="9"/>
        <v>0</v>
      </c>
      <c r="E122" s="722">
        <f t="shared" si="13"/>
        <v>0</v>
      </c>
      <c r="F122" s="722">
        <f t="shared" si="10"/>
        <v>0</v>
      </c>
      <c r="G122" s="723">
        <f t="shared" si="11"/>
        <v>0</v>
      </c>
      <c r="O122" s="700"/>
    </row>
    <row r="123" spans="1:15" x14ac:dyDescent="0.3">
      <c r="A123" s="717">
        <f t="shared" si="8"/>
        <v>101</v>
      </c>
      <c r="B123" s="721">
        <f t="shared" si="7"/>
        <v>48255</v>
      </c>
      <c r="C123" s="722">
        <f t="shared" si="12"/>
        <v>0</v>
      </c>
      <c r="D123" s="722">
        <f t="shared" si="9"/>
        <v>0</v>
      </c>
      <c r="E123" s="722">
        <f t="shared" si="13"/>
        <v>0</v>
      </c>
      <c r="F123" s="722">
        <f t="shared" si="10"/>
        <v>0</v>
      </c>
      <c r="G123" s="723">
        <f t="shared" si="11"/>
        <v>0</v>
      </c>
      <c r="O123" s="700"/>
    </row>
    <row r="124" spans="1:15" x14ac:dyDescent="0.3">
      <c r="A124" s="717">
        <f t="shared" si="8"/>
        <v>102</v>
      </c>
      <c r="B124" s="721">
        <f t="shared" si="7"/>
        <v>48284</v>
      </c>
      <c r="C124" s="722">
        <f t="shared" si="12"/>
        <v>0</v>
      </c>
      <c r="D124" s="722">
        <f t="shared" si="9"/>
        <v>0</v>
      </c>
      <c r="E124" s="722">
        <f t="shared" si="13"/>
        <v>0</v>
      </c>
      <c r="F124" s="722">
        <f t="shared" si="10"/>
        <v>0</v>
      </c>
      <c r="G124" s="723">
        <f t="shared" si="11"/>
        <v>0</v>
      </c>
      <c r="O124" s="700"/>
    </row>
    <row r="125" spans="1:15" x14ac:dyDescent="0.3">
      <c r="A125" s="717">
        <f t="shared" si="8"/>
        <v>103</v>
      </c>
      <c r="B125" s="721">
        <f t="shared" si="7"/>
        <v>48315</v>
      </c>
      <c r="C125" s="722">
        <f t="shared" si="12"/>
        <v>0</v>
      </c>
      <c r="D125" s="722">
        <f t="shared" si="9"/>
        <v>0</v>
      </c>
      <c r="E125" s="722">
        <f t="shared" si="13"/>
        <v>0</v>
      </c>
      <c r="F125" s="722">
        <f t="shared" si="10"/>
        <v>0</v>
      </c>
      <c r="G125" s="723">
        <f t="shared" si="11"/>
        <v>0</v>
      </c>
      <c r="O125" s="700"/>
    </row>
    <row r="126" spans="1:15" x14ac:dyDescent="0.3">
      <c r="A126" s="717">
        <f t="shared" si="8"/>
        <v>104</v>
      </c>
      <c r="B126" s="721">
        <f t="shared" si="7"/>
        <v>48345</v>
      </c>
      <c r="C126" s="722">
        <f t="shared" si="12"/>
        <v>0</v>
      </c>
      <c r="D126" s="722">
        <f t="shared" si="9"/>
        <v>0</v>
      </c>
      <c r="E126" s="722">
        <f t="shared" si="13"/>
        <v>0</v>
      </c>
      <c r="F126" s="722">
        <f t="shared" si="10"/>
        <v>0</v>
      </c>
      <c r="G126" s="723">
        <f t="shared" si="11"/>
        <v>0</v>
      </c>
      <c r="O126" s="700"/>
    </row>
    <row r="127" spans="1:15" x14ac:dyDescent="0.3">
      <c r="A127" s="717">
        <f t="shared" si="8"/>
        <v>105</v>
      </c>
      <c r="B127" s="721">
        <f t="shared" si="7"/>
        <v>48376</v>
      </c>
      <c r="C127" s="722">
        <f t="shared" si="12"/>
        <v>0</v>
      </c>
      <c r="D127" s="722">
        <f t="shared" si="9"/>
        <v>0</v>
      </c>
      <c r="E127" s="722">
        <f t="shared" si="13"/>
        <v>0</v>
      </c>
      <c r="F127" s="722">
        <f t="shared" si="10"/>
        <v>0</v>
      </c>
      <c r="G127" s="723">
        <f t="shared" si="11"/>
        <v>0</v>
      </c>
      <c r="O127" s="700"/>
    </row>
    <row r="128" spans="1:15" x14ac:dyDescent="0.3">
      <c r="A128" s="717">
        <f t="shared" si="8"/>
        <v>106</v>
      </c>
      <c r="B128" s="721">
        <f t="shared" si="7"/>
        <v>48406</v>
      </c>
      <c r="C128" s="722">
        <f t="shared" si="12"/>
        <v>0</v>
      </c>
      <c r="D128" s="722">
        <f t="shared" si="9"/>
        <v>0</v>
      </c>
      <c r="E128" s="722">
        <f t="shared" si="13"/>
        <v>0</v>
      </c>
      <c r="F128" s="722">
        <f t="shared" si="10"/>
        <v>0</v>
      </c>
      <c r="G128" s="723">
        <f t="shared" si="11"/>
        <v>0</v>
      </c>
      <c r="O128" s="700"/>
    </row>
    <row r="129" spans="1:15" x14ac:dyDescent="0.3">
      <c r="A129" s="717">
        <f t="shared" si="8"/>
        <v>107</v>
      </c>
      <c r="B129" s="721">
        <f t="shared" si="7"/>
        <v>48437</v>
      </c>
      <c r="C129" s="722">
        <f t="shared" si="12"/>
        <v>0</v>
      </c>
      <c r="D129" s="722">
        <f t="shared" si="9"/>
        <v>0</v>
      </c>
      <c r="E129" s="722">
        <f t="shared" si="13"/>
        <v>0</v>
      </c>
      <c r="F129" s="722">
        <f t="shared" si="10"/>
        <v>0</v>
      </c>
      <c r="G129" s="723">
        <f t="shared" si="11"/>
        <v>0</v>
      </c>
      <c r="O129" s="700"/>
    </row>
    <row r="130" spans="1:15" x14ac:dyDescent="0.3">
      <c r="A130" s="717">
        <f t="shared" si="8"/>
        <v>108</v>
      </c>
      <c r="B130" s="721">
        <f t="shared" si="7"/>
        <v>48468</v>
      </c>
      <c r="C130" s="722">
        <f t="shared" si="12"/>
        <v>0</v>
      </c>
      <c r="D130" s="722">
        <f t="shared" si="9"/>
        <v>0</v>
      </c>
      <c r="E130" s="722">
        <f t="shared" si="13"/>
        <v>0</v>
      </c>
      <c r="F130" s="722">
        <f t="shared" si="10"/>
        <v>0</v>
      </c>
      <c r="G130" s="723">
        <f t="shared" si="11"/>
        <v>0</v>
      </c>
      <c r="O130" s="700"/>
    </row>
    <row r="131" spans="1:15" x14ac:dyDescent="0.3">
      <c r="A131" s="717">
        <f t="shared" si="8"/>
        <v>109</v>
      </c>
      <c r="B131" s="721">
        <f t="shared" si="7"/>
        <v>48498</v>
      </c>
      <c r="C131" s="722">
        <f t="shared" si="12"/>
        <v>0</v>
      </c>
      <c r="D131" s="722">
        <f t="shared" si="9"/>
        <v>0</v>
      </c>
      <c r="E131" s="722">
        <f t="shared" si="13"/>
        <v>0</v>
      </c>
      <c r="F131" s="722">
        <f t="shared" si="10"/>
        <v>0</v>
      </c>
      <c r="G131" s="723">
        <f t="shared" si="11"/>
        <v>0</v>
      </c>
      <c r="O131" s="700"/>
    </row>
    <row r="132" spans="1:15" x14ac:dyDescent="0.3">
      <c r="A132" s="717">
        <f t="shared" si="8"/>
        <v>110</v>
      </c>
      <c r="B132" s="721">
        <f t="shared" si="7"/>
        <v>48529</v>
      </c>
      <c r="C132" s="722">
        <f t="shared" si="12"/>
        <v>0</v>
      </c>
      <c r="D132" s="722">
        <f t="shared" si="9"/>
        <v>0</v>
      </c>
      <c r="E132" s="722">
        <f t="shared" si="13"/>
        <v>0</v>
      </c>
      <c r="F132" s="722">
        <f t="shared" si="10"/>
        <v>0</v>
      </c>
      <c r="G132" s="723">
        <f t="shared" si="11"/>
        <v>0</v>
      </c>
      <c r="O132" s="700"/>
    </row>
    <row r="133" spans="1:15" x14ac:dyDescent="0.3">
      <c r="A133" s="717">
        <f t="shared" si="8"/>
        <v>111</v>
      </c>
      <c r="B133" s="721">
        <f t="shared" si="7"/>
        <v>48559</v>
      </c>
      <c r="C133" s="722">
        <f t="shared" si="12"/>
        <v>0</v>
      </c>
      <c r="D133" s="722">
        <f t="shared" si="9"/>
        <v>0</v>
      </c>
      <c r="E133" s="722">
        <f t="shared" si="13"/>
        <v>0</v>
      </c>
      <c r="F133" s="722">
        <f t="shared" si="10"/>
        <v>0</v>
      </c>
      <c r="G133" s="723">
        <f t="shared" si="11"/>
        <v>0</v>
      </c>
      <c r="O133" s="700"/>
    </row>
    <row r="134" spans="1:15" x14ac:dyDescent="0.3">
      <c r="A134" s="717">
        <f t="shared" si="8"/>
        <v>112</v>
      </c>
      <c r="B134" s="721">
        <f t="shared" si="7"/>
        <v>48590</v>
      </c>
      <c r="C134" s="722">
        <f t="shared" si="12"/>
        <v>0</v>
      </c>
      <c r="D134" s="722">
        <f t="shared" si="9"/>
        <v>0</v>
      </c>
      <c r="E134" s="722">
        <f t="shared" si="13"/>
        <v>0</v>
      </c>
      <c r="F134" s="722">
        <f t="shared" si="10"/>
        <v>0</v>
      </c>
      <c r="G134" s="723">
        <f t="shared" si="11"/>
        <v>0</v>
      </c>
      <c r="O134" s="700"/>
    </row>
    <row r="135" spans="1:15" x14ac:dyDescent="0.3">
      <c r="A135" s="717">
        <f t="shared" si="8"/>
        <v>113</v>
      </c>
      <c r="B135" s="721">
        <f t="shared" si="7"/>
        <v>48621</v>
      </c>
      <c r="C135" s="722">
        <f t="shared" si="12"/>
        <v>0</v>
      </c>
      <c r="D135" s="722">
        <f t="shared" si="9"/>
        <v>0</v>
      </c>
      <c r="E135" s="722">
        <f t="shared" si="13"/>
        <v>0</v>
      </c>
      <c r="F135" s="722">
        <f t="shared" si="10"/>
        <v>0</v>
      </c>
      <c r="G135" s="723">
        <f t="shared" si="11"/>
        <v>0</v>
      </c>
      <c r="O135" s="700"/>
    </row>
    <row r="136" spans="1:15" x14ac:dyDescent="0.3">
      <c r="A136" s="717">
        <f t="shared" si="8"/>
        <v>114</v>
      </c>
      <c r="B136" s="721">
        <f t="shared" si="7"/>
        <v>48649</v>
      </c>
      <c r="C136" s="722">
        <f t="shared" si="12"/>
        <v>0</v>
      </c>
      <c r="D136" s="722">
        <f t="shared" si="9"/>
        <v>0</v>
      </c>
      <c r="E136" s="722">
        <f t="shared" si="13"/>
        <v>0</v>
      </c>
      <c r="F136" s="722">
        <f t="shared" si="10"/>
        <v>0</v>
      </c>
      <c r="G136" s="723">
        <f t="shared" si="11"/>
        <v>0</v>
      </c>
      <c r="O136" s="700"/>
    </row>
    <row r="137" spans="1:15" x14ac:dyDescent="0.3">
      <c r="A137" s="717">
        <f t="shared" si="8"/>
        <v>115</v>
      </c>
      <c r="B137" s="721">
        <f t="shared" si="7"/>
        <v>48680</v>
      </c>
      <c r="C137" s="722">
        <f t="shared" si="12"/>
        <v>0</v>
      </c>
      <c r="D137" s="722">
        <f t="shared" si="9"/>
        <v>0</v>
      </c>
      <c r="E137" s="722">
        <f t="shared" si="13"/>
        <v>0</v>
      </c>
      <c r="F137" s="722">
        <f t="shared" si="10"/>
        <v>0</v>
      </c>
      <c r="G137" s="723">
        <f t="shared" si="11"/>
        <v>0</v>
      </c>
      <c r="O137" s="700"/>
    </row>
    <row r="138" spans="1:15" x14ac:dyDescent="0.3">
      <c r="A138" s="717">
        <f t="shared" si="8"/>
        <v>116</v>
      </c>
      <c r="B138" s="721">
        <f t="shared" si="7"/>
        <v>48710</v>
      </c>
      <c r="C138" s="722">
        <f t="shared" si="12"/>
        <v>0</v>
      </c>
      <c r="D138" s="722">
        <f t="shared" si="9"/>
        <v>0</v>
      </c>
      <c r="E138" s="722">
        <f t="shared" si="13"/>
        <v>0</v>
      </c>
      <c r="F138" s="722">
        <f t="shared" si="10"/>
        <v>0</v>
      </c>
      <c r="G138" s="723">
        <f t="shared" si="11"/>
        <v>0</v>
      </c>
      <c r="O138" s="700"/>
    </row>
    <row r="139" spans="1:15" x14ac:dyDescent="0.3">
      <c r="A139" s="717">
        <f t="shared" si="8"/>
        <v>117</v>
      </c>
      <c r="B139" s="721">
        <f t="shared" si="7"/>
        <v>48741</v>
      </c>
      <c r="C139" s="722">
        <f t="shared" si="12"/>
        <v>0</v>
      </c>
      <c r="D139" s="722">
        <f t="shared" si="9"/>
        <v>0</v>
      </c>
      <c r="E139" s="722">
        <f t="shared" si="13"/>
        <v>0</v>
      </c>
      <c r="F139" s="722">
        <f t="shared" si="10"/>
        <v>0</v>
      </c>
      <c r="G139" s="723">
        <f t="shared" si="11"/>
        <v>0</v>
      </c>
      <c r="O139" s="700"/>
    </row>
    <row r="140" spans="1:15" x14ac:dyDescent="0.3">
      <c r="A140" s="717">
        <f t="shared" si="8"/>
        <v>118</v>
      </c>
      <c r="B140" s="721">
        <f t="shared" si="7"/>
        <v>48771</v>
      </c>
      <c r="C140" s="722">
        <f t="shared" si="12"/>
        <v>0</v>
      </c>
      <c r="D140" s="722">
        <f t="shared" si="9"/>
        <v>0</v>
      </c>
      <c r="E140" s="722">
        <f t="shared" si="13"/>
        <v>0</v>
      </c>
      <c r="F140" s="722">
        <f t="shared" si="10"/>
        <v>0</v>
      </c>
      <c r="G140" s="723">
        <f t="shared" si="11"/>
        <v>0</v>
      </c>
      <c r="O140" s="700"/>
    </row>
    <row r="141" spans="1:15" x14ac:dyDescent="0.3">
      <c r="A141" s="717">
        <f t="shared" si="8"/>
        <v>119</v>
      </c>
      <c r="B141" s="721">
        <f t="shared" si="7"/>
        <v>48802</v>
      </c>
      <c r="C141" s="722">
        <f t="shared" si="12"/>
        <v>0</v>
      </c>
      <c r="D141" s="722">
        <f t="shared" si="9"/>
        <v>0</v>
      </c>
      <c r="E141" s="722">
        <f t="shared" si="13"/>
        <v>0</v>
      </c>
      <c r="F141" s="722">
        <f t="shared" si="10"/>
        <v>0</v>
      </c>
      <c r="G141" s="723">
        <f t="shared" si="11"/>
        <v>0</v>
      </c>
      <c r="O141" s="700"/>
    </row>
    <row r="142" spans="1:15" x14ac:dyDescent="0.3">
      <c r="A142" s="717">
        <f t="shared" si="8"/>
        <v>120</v>
      </c>
      <c r="B142" s="721">
        <f t="shared" si="7"/>
        <v>48833</v>
      </c>
      <c r="C142" s="722">
        <f t="shared" si="12"/>
        <v>0</v>
      </c>
      <c r="D142" s="722">
        <f t="shared" si="9"/>
        <v>0</v>
      </c>
      <c r="E142" s="722">
        <f t="shared" si="13"/>
        <v>0</v>
      </c>
      <c r="F142" s="722">
        <f t="shared" si="10"/>
        <v>0</v>
      </c>
      <c r="G142" s="723">
        <f t="shared" si="11"/>
        <v>0</v>
      </c>
      <c r="O142" s="700"/>
    </row>
    <row r="143" spans="1:15" x14ac:dyDescent="0.3">
      <c r="A143" s="717">
        <f t="shared" si="8"/>
        <v>121</v>
      </c>
      <c r="B143" s="721">
        <f t="shared" si="7"/>
        <v>48863</v>
      </c>
      <c r="C143" s="722">
        <f t="shared" si="12"/>
        <v>0</v>
      </c>
      <c r="D143" s="722">
        <f t="shared" si="9"/>
        <v>0</v>
      </c>
      <c r="E143" s="722">
        <f t="shared" si="13"/>
        <v>0</v>
      </c>
      <c r="F143" s="722">
        <f t="shared" si="10"/>
        <v>0</v>
      </c>
      <c r="G143" s="723">
        <f t="shared" si="11"/>
        <v>0</v>
      </c>
      <c r="O143" s="700"/>
    </row>
    <row r="144" spans="1:15" x14ac:dyDescent="0.3">
      <c r="A144" s="717">
        <f t="shared" si="8"/>
        <v>122</v>
      </c>
      <c r="B144" s="721">
        <f t="shared" si="7"/>
        <v>48894</v>
      </c>
      <c r="C144" s="722">
        <f t="shared" si="12"/>
        <v>0</v>
      </c>
      <c r="D144" s="722">
        <f t="shared" si="9"/>
        <v>0</v>
      </c>
      <c r="E144" s="722">
        <f t="shared" si="13"/>
        <v>0</v>
      </c>
      <c r="F144" s="722">
        <f t="shared" si="10"/>
        <v>0</v>
      </c>
      <c r="G144" s="723">
        <f t="shared" si="11"/>
        <v>0</v>
      </c>
      <c r="O144" s="700"/>
    </row>
    <row r="145" spans="1:15" x14ac:dyDescent="0.3">
      <c r="A145" s="717">
        <f t="shared" si="8"/>
        <v>123</v>
      </c>
      <c r="B145" s="721">
        <f t="shared" si="7"/>
        <v>48924</v>
      </c>
      <c r="C145" s="722">
        <f t="shared" si="12"/>
        <v>0</v>
      </c>
      <c r="D145" s="722">
        <f t="shared" si="9"/>
        <v>0</v>
      </c>
      <c r="E145" s="722">
        <f t="shared" si="13"/>
        <v>0</v>
      </c>
      <c r="F145" s="722">
        <f t="shared" si="10"/>
        <v>0</v>
      </c>
      <c r="G145" s="723">
        <f t="shared" si="11"/>
        <v>0</v>
      </c>
      <c r="O145" s="700"/>
    </row>
    <row r="146" spans="1:15" x14ac:dyDescent="0.3">
      <c r="A146" s="717">
        <f t="shared" si="8"/>
        <v>124</v>
      </c>
      <c r="B146" s="721">
        <f t="shared" si="7"/>
        <v>48955</v>
      </c>
      <c r="C146" s="722">
        <f t="shared" si="12"/>
        <v>0</v>
      </c>
      <c r="D146" s="722">
        <f t="shared" si="9"/>
        <v>0</v>
      </c>
      <c r="E146" s="722">
        <f t="shared" si="13"/>
        <v>0</v>
      </c>
      <c r="F146" s="722">
        <f t="shared" si="10"/>
        <v>0</v>
      </c>
      <c r="G146" s="723">
        <f t="shared" si="11"/>
        <v>0</v>
      </c>
      <c r="O146" s="700"/>
    </row>
    <row r="147" spans="1:15" x14ac:dyDescent="0.3">
      <c r="A147" s="717">
        <f t="shared" si="8"/>
        <v>125</v>
      </c>
      <c r="B147" s="721">
        <f t="shared" si="7"/>
        <v>48986</v>
      </c>
      <c r="C147" s="722">
        <f t="shared" si="12"/>
        <v>0</v>
      </c>
      <c r="D147" s="722">
        <f t="shared" si="9"/>
        <v>0</v>
      </c>
      <c r="E147" s="722">
        <f t="shared" si="13"/>
        <v>0</v>
      </c>
      <c r="F147" s="722">
        <f t="shared" si="10"/>
        <v>0</v>
      </c>
      <c r="G147" s="723">
        <f t="shared" si="11"/>
        <v>0</v>
      </c>
      <c r="O147" s="700"/>
    </row>
    <row r="148" spans="1:15" x14ac:dyDescent="0.3">
      <c r="A148" s="717">
        <f t="shared" si="8"/>
        <v>126</v>
      </c>
      <c r="B148" s="721">
        <f t="shared" si="7"/>
        <v>49014</v>
      </c>
      <c r="C148" s="722">
        <f t="shared" si="12"/>
        <v>0</v>
      </c>
      <c r="D148" s="722">
        <f t="shared" si="9"/>
        <v>0</v>
      </c>
      <c r="E148" s="722">
        <f t="shared" si="13"/>
        <v>0</v>
      </c>
      <c r="F148" s="722">
        <f t="shared" si="10"/>
        <v>0</v>
      </c>
      <c r="G148" s="723">
        <f t="shared" si="11"/>
        <v>0</v>
      </c>
      <c r="O148" s="700"/>
    </row>
    <row r="149" spans="1:15" x14ac:dyDescent="0.3">
      <c r="A149" s="717">
        <f t="shared" si="8"/>
        <v>127</v>
      </c>
      <c r="B149" s="721">
        <f t="shared" si="7"/>
        <v>49045</v>
      </c>
      <c r="C149" s="722">
        <f t="shared" si="12"/>
        <v>0</v>
      </c>
      <c r="D149" s="722">
        <f t="shared" si="9"/>
        <v>0</v>
      </c>
      <c r="E149" s="722">
        <f t="shared" si="13"/>
        <v>0</v>
      </c>
      <c r="F149" s="722">
        <f t="shared" si="10"/>
        <v>0</v>
      </c>
      <c r="G149" s="723">
        <f t="shared" si="11"/>
        <v>0</v>
      </c>
      <c r="O149" s="700"/>
    </row>
    <row r="150" spans="1:15" x14ac:dyDescent="0.3">
      <c r="A150" s="717">
        <f t="shared" si="8"/>
        <v>128</v>
      </c>
      <c r="B150" s="721">
        <f t="shared" si="7"/>
        <v>49075</v>
      </c>
      <c r="C150" s="722">
        <f t="shared" si="12"/>
        <v>0</v>
      </c>
      <c r="D150" s="722">
        <f t="shared" si="9"/>
        <v>0</v>
      </c>
      <c r="E150" s="722">
        <f t="shared" si="13"/>
        <v>0</v>
      </c>
      <c r="F150" s="722">
        <f t="shared" si="10"/>
        <v>0</v>
      </c>
      <c r="G150" s="723">
        <f t="shared" si="11"/>
        <v>0</v>
      </c>
      <c r="O150" s="700"/>
    </row>
    <row r="151" spans="1:15" x14ac:dyDescent="0.3">
      <c r="A151" s="717">
        <f t="shared" si="8"/>
        <v>129</v>
      </c>
      <c r="B151" s="721">
        <f t="shared" ref="B151:B174" si="14">EDATE($D$13,A151)</f>
        <v>49106</v>
      </c>
      <c r="C151" s="722">
        <f t="shared" si="12"/>
        <v>0</v>
      </c>
      <c r="D151" s="722">
        <f t="shared" si="9"/>
        <v>0</v>
      </c>
      <c r="E151" s="722">
        <f t="shared" si="13"/>
        <v>0</v>
      </c>
      <c r="F151" s="722">
        <f t="shared" si="10"/>
        <v>0</v>
      </c>
      <c r="G151" s="723">
        <f t="shared" si="11"/>
        <v>0</v>
      </c>
      <c r="O151" s="700"/>
    </row>
    <row r="152" spans="1:15" x14ac:dyDescent="0.3">
      <c r="A152" s="717">
        <f t="shared" ref="A152:A174" si="15">A151+1</f>
        <v>130</v>
      </c>
      <c r="B152" s="721">
        <f t="shared" si="14"/>
        <v>49136</v>
      </c>
      <c r="C152" s="722">
        <f t="shared" si="12"/>
        <v>0</v>
      </c>
      <c r="D152" s="722">
        <f t="shared" ref="D152:D174" si="16">MIN(G152-F152-E152,C152)</f>
        <v>0</v>
      </c>
      <c r="E152" s="722">
        <f t="shared" si="13"/>
        <v>0</v>
      </c>
      <c r="F152" s="722">
        <f t="shared" ref="F152:F174" si="17">IF(C152&lt;&gt;0,$D$11)+IF(AND($D$12="Да",C152&lt;&gt;0),69)</f>
        <v>0</v>
      </c>
      <c r="G152" s="723">
        <f t="shared" ref="G152:G174" si="18">IF(C152&gt;0,$D$15,0)</f>
        <v>0</v>
      </c>
      <c r="O152" s="700"/>
    </row>
    <row r="153" spans="1:15" x14ac:dyDescent="0.3">
      <c r="A153" s="717">
        <f t="shared" si="15"/>
        <v>131</v>
      </c>
      <c r="B153" s="721">
        <f t="shared" si="14"/>
        <v>49167</v>
      </c>
      <c r="C153" s="722">
        <f t="shared" ref="C153:C174" si="19">ROUNDDOWN(C152-D152,2)</f>
        <v>0</v>
      </c>
      <c r="D153" s="722">
        <f t="shared" si="16"/>
        <v>0</v>
      </c>
      <c r="E153" s="722">
        <f t="shared" si="13"/>
        <v>0</v>
      </c>
      <c r="F153" s="722">
        <f t="shared" si="17"/>
        <v>0</v>
      </c>
      <c r="G153" s="723">
        <f t="shared" si="18"/>
        <v>0</v>
      </c>
      <c r="O153" s="700"/>
    </row>
    <row r="154" spans="1:15" x14ac:dyDescent="0.3">
      <c r="A154" s="717">
        <f t="shared" si="15"/>
        <v>132</v>
      </c>
      <c r="B154" s="721">
        <f t="shared" si="14"/>
        <v>49198</v>
      </c>
      <c r="C154" s="722">
        <f t="shared" si="19"/>
        <v>0</v>
      </c>
      <c r="D154" s="722">
        <f t="shared" si="16"/>
        <v>0</v>
      </c>
      <c r="E154" s="722">
        <f t="shared" ref="E154:E174" si="20">C154*$D$10/12</f>
        <v>0</v>
      </c>
      <c r="F154" s="722">
        <f t="shared" si="17"/>
        <v>0</v>
      </c>
      <c r="G154" s="723">
        <f t="shared" si="18"/>
        <v>0</v>
      </c>
      <c r="O154" s="700"/>
    </row>
    <row r="155" spans="1:15" x14ac:dyDescent="0.3">
      <c r="A155" s="717">
        <f t="shared" si="15"/>
        <v>133</v>
      </c>
      <c r="B155" s="721">
        <f t="shared" si="14"/>
        <v>49228</v>
      </c>
      <c r="C155" s="722">
        <f t="shared" si="19"/>
        <v>0</v>
      </c>
      <c r="D155" s="722">
        <f t="shared" si="16"/>
        <v>0</v>
      </c>
      <c r="E155" s="722">
        <f t="shared" si="20"/>
        <v>0</v>
      </c>
      <c r="F155" s="722">
        <f t="shared" si="17"/>
        <v>0</v>
      </c>
      <c r="G155" s="723">
        <f t="shared" si="18"/>
        <v>0</v>
      </c>
      <c r="O155" s="700"/>
    </row>
    <row r="156" spans="1:15" x14ac:dyDescent="0.3">
      <c r="A156" s="717">
        <f t="shared" si="15"/>
        <v>134</v>
      </c>
      <c r="B156" s="721">
        <f t="shared" si="14"/>
        <v>49259</v>
      </c>
      <c r="C156" s="722">
        <f t="shared" si="19"/>
        <v>0</v>
      </c>
      <c r="D156" s="722">
        <f t="shared" si="16"/>
        <v>0</v>
      </c>
      <c r="E156" s="722">
        <f t="shared" si="20"/>
        <v>0</v>
      </c>
      <c r="F156" s="722">
        <f t="shared" si="17"/>
        <v>0</v>
      </c>
      <c r="G156" s="723">
        <f t="shared" si="18"/>
        <v>0</v>
      </c>
      <c r="O156" s="700"/>
    </row>
    <row r="157" spans="1:15" x14ac:dyDescent="0.3">
      <c r="A157" s="717">
        <f t="shared" si="15"/>
        <v>135</v>
      </c>
      <c r="B157" s="721">
        <f t="shared" si="14"/>
        <v>49289</v>
      </c>
      <c r="C157" s="722">
        <f t="shared" si="19"/>
        <v>0</v>
      </c>
      <c r="D157" s="722">
        <f t="shared" si="16"/>
        <v>0</v>
      </c>
      <c r="E157" s="722">
        <f t="shared" si="20"/>
        <v>0</v>
      </c>
      <c r="F157" s="722">
        <f t="shared" si="17"/>
        <v>0</v>
      </c>
      <c r="G157" s="723">
        <f t="shared" si="18"/>
        <v>0</v>
      </c>
      <c r="O157" s="700"/>
    </row>
    <row r="158" spans="1:15" x14ac:dyDescent="0.3">
      <c r="A158" s="717">
        <f t="shared" si="15"/>
        <v>136</v>
      </c>
      <c r="B158" s="721">
        <f t="shared" si="14"/>
        <v>49320</v>
      </c>
      <c r="C158" s="722">
        <f t="shared" si="19"/>
        <v>0</v>
      </c>
      <c r="D158" s="722">
        <f t="shared" si="16"/>
        <v>0</v>
      </c>
      <c r="E158" s="722">
        <f t="shared" si="20"/>
        <v>0</v>
      </c>
      <c r="F158" s="722">
        <f t="shared" si="17"/>
        <v>0</v>
      </c>
      <c r="G158" s="723">
        <f t="shared" si="18"/>
        <v>0</v>
      </c>
      <c r="O158" s="700"/>
    </row>
    <row r="159" spans="1:15" x14ac:dyDescent="0.3">
      <c r="A159" s="717">
        <f t="shared" si="15"/>
        <v>137</v>
      </c>
      <c r="B159" s="721">
        <f t="shared" si="14"/>
        <v>49351</v>
      </c>
      <c r="C159" s="722">
        <f t="shared" si="19"/>
        <v>0</v>
      </c>
      <c r="D159" s="722">
        <f t="shared" si="16"/>
        <v>0</v>
      </c>
      <c r="E159" s="722">
        <f t="shared" si="20"/>
        <v>0</v>
      </c>
      <c r="F159" s="722">
        <f t="shared" si="17"/>
        <v>0</v>
      </c>
      <c r="G159" s="723">
        <f t="shared" si="18"/>
        <v>0</v>
      </c>
      <c r="O159" s="700"/>
    </row>
    <row r="160" spans="1:15" x14ac:dyDescent="0.3">
      <c r="A160" s="717">
        <f t="shared" si="15"/>
        <v>138</v>
      </c>
      <c r="B160" s="721">
        <f t="shared" si="14"/>
        <v>49379</v>
      </c>
      <c r="C160" s="722">
        <f t="shared" si="19"/>
        <v>0</v>
      </c>
      <c r="D160" s="722">
        <f t="shared" si="16"/>
        <v>0</v>
      </c>
      <c r="E160" s="722">
        <f t="shared" si="20"/>
        <v>0</v>
      </c>
      <c r="F160" s="722">
        <f t="shared" si="17"/>
        <v>0</v>
      </c>
      <c r="G160" s="723">
        <f t="shared" si="18"/>
        <v>0</v>
      </c>
      <c r="O160" s="700"/>
    </row>
    <row r="161" spans="1:15" x14ac:dyDescent="0.3">
      <c r="A161" s="717">
        <f t="shared" si="15"/>
        <v>139</v>
      </c>
      <c r="B161" s="721">
        <f t="shared" si="14"/>
        <v>49410</v>
      </c>
      <c r="C161" s="722">
        <f t="shared" si="19"/>
        <v>0</v>
      </c>
      <c r="D161" s="722">
        <f t="shared" si="16"/>
        <v>0</v>
      </c>
      <c r="E161" s="722">
        <f t="shared" si="20"/>
        <v>0</v>
      </c>
      <c r="F161" s="722">
        <f t="shared" si="17"/>
        <v>0</v>
      </c>
      <c r="G161" s="723">
        <f t="shared" si="18"/>
        <v>0</v>
      </c>
      <c r="O161" s="700"/>
    </row>
    <row r="162" spans="1:15" x14ac:dyDescent="0.3">
      <c r="A162" s="717">
        <f t="shared" si="15"/>
        <v>140</v>
      </c>
      <c r="B162" s="721">
        <f t="shared" si="14"/>
        <v>49440</v>
      </c>
      <c r="C162" s="722">
        <f t="shared" si="19"/>
        <v>0</v>
      </c>
      <c r="D162" s="722">
        <f t="shared" si="16"/>
        <v>0</v>
      </c>
      <c r="E162" s="722">
        <f t="shared" si="20"/>
        <v>0</v>
      </c>
      <c r="F162" s="722">
        <f t="shared" si="17"/>
        <v>0</v>
      </c>
      <c r="G162" s="723">
        <f t="shared" si="18"/>
        <v>0</v>
      </c>
      <c r="O162" s="700"/>
    </row>
    <row r="163" spans="1:15" x14ac:dyDescent="0.3">
      <c r="A163" s="717">
        <f t="shared" si="15"/>
        <v>141</v>
      </c>
      <c r="B163" s="721">
        <f t="shared" si="14"/>
        <v>49471</v>
      </c>
      <c r="C163" s="722">
        <f t="shared" si="19"/>
        <v>0</v>
      </c>
      <c r="D163" s="722">
        <f t="shared" si="16"/>
        <v>0</v>
      </c>
      <c r="E163" s="722">
        <f t="shared" si="20"/>
        <v>0</v>
      </c>
      <c r="F163" s="722">
        <f t="shared" si="17"/>
        <v>0</v>
      </c>
      <c r="G163" s="723">
        <f t="shared" si="18"/>
        <v>0</v>
      </c>
      <c r="O163" s="700"/>
    </row>
    <row r="164" spans="1:15" x14ac:dyDescent="0.3">
      <c r="A164" s="717">
        <f t="shared" si="15"/>
        <v>142</v>
      </c>
      <c r="B164" s="721">
        <f t="shared" si="14"/>
        <v>49501</v>
      </c>
      <c r="C164" s="722">
        <f t="shared" si="19"/>
        <v>0</v>
      </c>
      <c r="D164" s="722">
        <f t="shared" si="16"/>
        <v>0</v>
      </c>
      <c r="E164" s="722">
        <f t="shared" si="20"/>
        <v>0</v>
      </c>
      <c r="F164" s="722">
        <f t="shared" si="17"/>
        <v>0</v>
      </c>
      <c r="G164" s="723">
        <f t="shared" si="18"/>
        <v>0</v>
      </c>
      <c r="O164" s="700"/>
    </row>
    <row r="165" spans="1:15" x14ac:dyDescent="0.3">
      <c r="A165" s="717">
        <f t="shared" si="15"/>
        <v>143</v>
      </c>
      <c r="B165" s="721">
        <f t="shared" si="14"/>
        <v>49532</v>
      </c>
      <c r="C165" s="722">
        <f t="shared" si="19"/>
        <v>0</v>
      </c>
      <c r="D165" s="722">
        <f t="shared" si="16"/>
        <v>0</v>
      </c>
      <c r="E165" s="722">
        <f t="shared" si="20"/>
        <v>0</v>
      </c>
      <c r="F165" s="722">
        <f t="shared" si="17"/>
        <v>0</v>
      </c>
      <c r="G165" s="723">
        <f t="shared" si="18"/>
        <v>0</v>
      </c>
      <c r="O165" s="700"/>
    </row>
    <row r="166" spans="1:15" x14ac:dyDescent="0.3">
      <c r="A166" s="717">
        <f t="shared" si="15"/>
        <v>144</v>
      </c>
      <c r="B166" s="721">
        <f t="shared" si="14"/>
        <v>49563</v>
      </c>
      <c r="C166" s="722">
        <f t="shared" si="19"/>
        <v>0</v>
      </c>
      <c r="D166" s="722">
        <f t="shared" si="16"/>
        <v>0</v>
      </c>
      <c r="E166" s="722">
        <f t="shared" si="20"/>
        <v>0</v>
      </c>
      <c r="F166" s="722">
        <f t="shared" si="17"/>
        <v>0</v>
      </c>
      <c r="G166" s="723">
        <f t="shared" si="18"/>
        <v>0</v>
      </c>
      <c r="O166" s="700"/>
    </row>
    <row r="167" spans="1:15" x14ac:dyDescent="0.3">
      <c r="A167" s="717">
        <f t="shared" si="15"/>
        <v>145</v>
      </c>
      <c r="B167" s="721">
        <f t="shared" si="14"/>
        <v>49593</v>
      </c>
      <c r="C167" s="722">
        <f t="shared" si="19"/>
        <v>0</v>
      </c>
      <c r="D167" s="722">
        <f t="shared" si="16"/>
        <v>0</v>
      </c>
      <c r="E167" s="722">
        <f t="shared" si="20"/>
        <v>0</v>
      </c>
      <c r="F167" s="722">
        <f t="shared" si="17"/>
        <v>0</v>
      </c>
      <c r="G167" s="723">
        <f t="shared" si="18"/>
        <v>0</v>
      </c>
      <c r="O167" s="700"/>
    </row>
    <row r="168" spans="1:15" x14ac:dyDescent="0.3">
      <c r="A168" s="717">
        <f t="shared" si="15"/>
        <v>146</v>
      </c>
      <c r="B168" s="721">
        <f t="shared" si="14"/>
        <v>49624</v>
      </c>
      <c r="C168" s="722">
        <f t="shared" si="19"/>
        <v>0</v>
      </c>
      <c r="D168" s="722">
        <f t="shared" si="16"/>
        <v>0</v>
      </c>
      <c r="E168" s="722">
        <f t="shared" si="20"/>
        <v>0</v>
      </c>
      <c r="F168" s="722">
        <f t="shared" si="17"/>
        <v>0</v>
      </c>
      <c r="G168" s="723">
        <f t="shared" si="18"/>
        <v>0</v>
      </c>
      <c r="O168" s="700"/>
    </row>
    <row r="169" spans="1:15" x14ac:dyDescent="0.3">
      <c r="A169" s="717">
        <f t="shared" si="15"/>
        <v>147</v>
      </c>
      <c r="B169" s="721">
        <f t="shared" si="14"/>
        <v>49654</v>
      </c>
      <c r="C169" s="722">
        <f t="shared" si="19"/>
        <v>0</v>
      </c>
      <c r="D169" s="722">
        <f t="shared" si="16"/>
        <v>0</v>
      </c>
      <c r="E169" s="722">
        <f t="shared" si="20"/>
        <v>0</v>
      </c>
      <c r="F169" s="722">
        <f t="shared" si="17"/>
        <v>0</v>
      </c>
      <c r="G169" s="723">
        <f t="shared" si="18"/>
        <v>0</v>
      </c>
      <c r="O169" s="700"/>
    </row>
    <row r="170" spans="1:15" x14ac:dyDescent="0.3">
      <c r="A170" s="717">
        <f t="shared" si="15"/>
        <v>148</v>
      </c>
      <c r="B170" s="721">
        <f t="shared" si="14"/>
        <v>49685</v>
      </c>
      <c r="C170" s="722">
        <f t="shared" si="19"/>
        <v>0</v>
      </c>
      <c r="D170" s="722">
        <f t="shared" si="16"/>
        <v>0</v>
      </c>
      <c r="E170" s="722">
        <f t="shared" si="20"/>
        <v>0</v>
      </c>
      <c r="F170" s="722">
        <f t="shared" si="17"/>
        <v>0</v>
      </c>
      <c r="G170" s="723">
        <f t="shared" si="18"/>
        <v>0</v>
      </c>
      <c r="O170" s="700"/>
    </row>
    <row r="171" spans="1:15" x14ac:dyDescent="0.3">
      <c r="A171" s="717">
        <f t="shared" si="15"/>
        <v>149</v>
      </c>
      <c r="B171" s="721">
        <f t="shared" si="14"/>
        <v>49716</v>
      </c>
      <c r="C171" s="722">
        <f t="shared" si="19"/>
        <v>0</v>
      </c>
      <c r="D171" s="722">
        <f t="shared" si="16"/>
        <v>0</v>
      </c>
      <c r="E171" s="722">
        <f t="shared" si="20"/>
        <v>0</v>
      </c>
      <c r="F171" s="722">
        <f t="shared" si="17"/>
        <v>0</v>
      </c>
      <c r="G171" s="723">
        <f t="shared" si="18"/>
        <v>0</v>
      </c>
      <c r="O171" s="700"/>
    </row>
    <row r="172" spans="1:15" x14ac:dyDescent="0.3">
      <c r="A172" s="717">
        <f t="shared" si="15"/>
        <v>150</v>
      </c>
      <c r="B172" s="721">
        <f t="shared" si="14"/>
        <v>49745</v>
      </c>
      <c r="C172" s="722">
        <f t="shared" si="19"/>
        <v>0</v>
      </c>
      <c r="D172" s="722">
        <f t="shared" si="16"/>
        <v>0</v>
      </c>
      <c r="E172" s="722">
        <f t="shared" si="20"/>
        <v>0</v>
      </c>
      <c r="F172" s="722">
        <f t="shared" si="17"/>
        <v>0</v>
      </c>
      <c r="G172" s="723">
        <f t="shared" si="18"/>
        <v>0</v>
      </c>
      <c r="O172" s="700"/>
    </row>
    <row r="173" spans="1:15" x14ac:dyDescent="0.3">
      <c r="A173" s="717">
        <f t="shared" si="15"/>
        <v>151</v>
      </c>
      <c r="B173" s="721">
        <f t="shared" si="14"/>
        <v>49776</v>
      </c>
      <c r="C173" s="722">
        <f t="shared" si="19"/>
        <v>0</v>
      </c>
      <c r="D173" s="722">
        <f t="shared" si="16"/>
        <v>0</v>
      </c>
      <c r="E173" s="722">
        <f t="shared" si="20"/>
        <v>0</v>
      </c>
      <c r="F173" s="722">
        <f t="shared" si="17"/>
        <v>0</v>
      </c>
      <c r="G173" s="723">
        <f t="shared" si="18"/>
        <v>0</v>
      </c>
      <c r="O173" s="700"/>
    </row>
    <row r="174" spans="1:15" x14ac:dyDescent="0.3">
      <c r="A174" s="717">
        <f t="shared" si="15"/>
        <v>152</v>
      </c>
      <c r="B174" s="721">
        <f t="shared" si="14"/>
        <v>49806</v>
      </c>
      <c r="C174" s="722">
        <f t="shared" si="19"/>
        <v>0</v>
      </c>
      <c r="D174" s="722">
        <f t="shared" si="16"/>
        <v>0</v>
      </c>
      <c r="E174" s="722">
        <f t="shared" si="20"/>
        <v>0</v>
      </c>
      <c r="F174" s="722">
        <f t="shared" si="17"/>
        <v>0</v>
      </c>
      <c r="G174" s="723">
        <f t="shared" si="18"/>
        <v>0</v>
      </c>
      <c r="O174" s="700"/>
    </row>
    <row r="175" spans="1:15" x14ac:dyDescent="0.3">
      <c r="O175" s="700"/>
    </row>
    <row r="176" spans="1:15" x14ac:dyDescent="0.3">
      <c r="O176" s="700"/>
    </row>
    <row r="177" spans="15:15" x14ac:dyDescent="0.3">
      <c r="O177" s="700"/>
    </row>
    <row r="178" spans="15:15" x14ac:dyDescent="0.3">
      <c r="O178" s="700"/>
    </row>
    <row r="179" spans="15:15" x14ac:dyDescent="0.3">
      <c r="O179" s="700"/>
    </row>
    <row r="180" spans="15:15" x14ac:dyDescent="0.3">
      <c r="O180" s="700"/>
    </row>
    <row r="181" spans="15:15" x14ac:dyDescent="0.3">
      <c r="O181" s="700"/>
    </row>
    <row r="182" spans="15:15" x14ac:dyDescent="0.3">
      <c r="O182" s="700"/>
    </row>
    <row r="183" spans="15:15" x14ac:dyDescent="0.3">
      <c r="O183" s="700"/>
    </row>
    <row r="184" spans="15:15" x14ac:dyDescent="0.3">
      <c r="O184" s="700"/>
    </row>
    <row r="185" spans="15:15" x14ac:dyDescent="0.3">
      <c r="O185" s="700"/>
    </row>
    <row r="186" spans="15:15" x14ac:dyDescent="0.3">
      <c r="O186" s="700"/>
    </row>
    <row r="187" spans="15:15" x14ac:dyDescent="0.3">
      <c r="O187" s="700"/>
    </row>
    <row r="188" spans="15:15" x14ac:dyDescent="0.3">
      <c r="O188" s="700"/>
    </row>
    <row r="189" spans="15:15" x14ac:dyDescent="0.3">
      <c r="O189" s="700"/>
    </row>
    <row r="190" spans="15:15" x14ac:dyDescent="0.3">
      <c r="O190" s="700"/>
    </row>
    <row r="191" spans="15:15" x14ac:dyDescent="0.3">
      <c r="O191" s="700"/>
    </row>
    <row r="192" spans="15:15" x14ac:dyDescent="0.3">
      <c r="O192" s="700"/>
    </row>
    <row r="193" spans="15:15" x14ac:dyDescent="0.3">
      <c r="O193" s="700"/>
    </row>
    <row r="194" spans="15:15" x14ac:dyDescent="0.3">
      <c r="O194" s="700"/>
    </row>
    <row r="195" spans="15:15" x14ac:dyDescent="0.3">
      <c r="O195" s="700"/>
    </row>
    <row r="196" spans="15:15" x14ac:dyDescent="0.3">
      <c r="O196" s="700"/>
    </row>
    <row r="197" spans="15:15" x14ac:dyDescent="0.3">
      <c r="O197" s="700"/>
    </row>
    <row r="198" spans="15:15" x14ac:dyDescent="0.3">
      <c r="O198" s="700"/>
    </row>
    <row r="199" spans="15:15" x14ac:dyDescent="0.3">
      <c r="O199" s="700"/>
    </row>
    <row r="200" spans="15:15" x14ac:dyDescent="0.3">
      <c r="O200" s="700"/>
    </row>
    <row r="201" spans="15:15" x14ac:dyDescent="0.3">
      <c r="O201" s="700"/>
    </row>
    <row r="202" spans="15:15" x14ac:dyDescent="0.3">
      <c r="O202" s="700"/>
    </row>
    <row r="203" spans="15:15" x14ac:dyDescent="0.3">
      <c r="O203" s="700"/>
    </row>
    <row r="204" spans="15:15" x14ac:dyDescent="0.3">
      <c r="O204" s="700"/>
    </row>
    <row r="205" spans="15:15" x14ac:dyDescent="0.3">
      <c r="O205" s="700"/>
    </row>
    <row r="206" spans="15:15" x14ac:dyDescent="0.3">
      <c r="O206" s="700"/>
    </row>
    <row r="207" spans="15:15" x14ac:dyDescent="0.3">
      <c r="O207" s="700"/>
    </row>
    <row r="208" spans="15:15" x14ac:dyDescent="0.3">
      <c r="O208" s="700"/>
    </row>
    <row r="209" spans="15:15" x14ac:dyDescent="0.3">
      <c r="O209" s="700"/>
    </row>
    <row r="210" spans="15:15" x14ac:dyDescent="0.3">
      <c r="O210" s="700"/>
    </row>
    <row r="211" spans="15:15" x14ac:dyDescent="0.3">
      <c r="O211" s="700"/>
    </row>
    <row r="212" spans="15:15" x14ac:dyDescent="0.3">
      <c r="O212" s="700"/>
    </row>
    <row r="213" spans="15:15" x14ac:dyDescent="0.3">
      <c r="O213" s="700"/>
    </row>
    <row r="214" spans="15:15" x14ac:dyDescent="0.3">
      <c r="O214" s="700"/>
    </row>
    <row r="215" spans="15:15" x14ac:dyDescent="0.3">
      <c r="O215" s="700"/>
    </row>
    <row r="216" spans="15:15" x14ac:dyDescent="0.3">
      <c r="O216" s="700"/>
    </row>
    <row r="217" spans="15:15" x14ac:dyDescent="0.3">
      <c r="O217" s="700"/>
    </row>
    <row r="218" spans="15:15" x14ac:dyDescent="0.3">
      <c r="O218" s="700"/>
    </row>
    <row r="219" spans="15:15" x14ac:dyDescent="0.3">
      <c r="O219" s="700"/>
    </row>
    <row r="220" spans="15:15" x14ac:dyDescent="0.3">
      <c r="O220" s="700"/>
    </row>
    <row r="221" spans="15:15" x14ac:dyDescent="0.3">
      <c r="O221" s="700"/>
    </row>
    <row r="222" spans="15:15" x14ac:dyDescent="0.3">
      <c r="O222" s="700"/>
    </row>
    <row r="223" spans="15:15" x14ac:dyDescent="0.3">
      <c r="O223" s="700"/>
    </row>
    <row r="224" spans="15:15" x14ac:dyDescent="0.3">
      <c r="O224" s="700"/>
    </row>
    <row r="225" spans="15:15" x14ac:dyDescent="0.3">
      <c r="O225" s="700"/>
    </row>
    <row r="226" spans="15:15" x14ac:dyDescent="0.3">
      <c r="O226" s="700"/>
    </row>
    <row r="227" spans="15:15" x14ac:dyDescent="0.3">
      <c r="O227" s="700"/>
    </row>
    <row r="228" spans="15:15" x14ac:dyDescent="0.3">
      <c r="O228" s="700"/>
    </row>
    <row r="229" spans="15:15" x14ac:dyDescent="0.3">
      <c r="O229" s="700"/>
    </row>
    <row r="230" spans="15:15" x14ac:dyDescent="0.3">
      <c r="O230" s="700"/>
    </row>
    <row r="231" spans="15:15" x14ac:dyDescent="0.3">
      <c r="O231" s="700"/>
    </row>
    <row r="232" spans="15:15" x14ac:dyDescent="0.3">
      <c r="O232" s="700"/>
    </row>
    <row r="233" spans="15:15" x14ac:dyDescent="0.3">
      <c r="O233" s="700"/>
    </row>
    <row r="234" spans="15:15" x14ac:dyDescent="0.3">
      <c r="O234" s="700"/>
    </row>
    <row r="235" spans="15:15" x14ac:dyDescent="0.3">
      <c r="O235" s="700"/>
    </row>
    <row r="236" spans="15:15" x14ac:dyDescent="0.3">
      <c r="O236" s="700"/>
    </row>
    <row r="237" spans="15:15" x14ac:dyDescent="0.3">
      <c r="O237" s="700"/>
    </row>
    <row r="238" spans="15:15" x14ac:dyDescent="0.3">
      <c r="O238" s="700"/>
    </row>
    <row r="239" spans="15:15" x14ac:dyDescent="0.3">
      <c r="O239" s="700"/>
    </row>
    <row r="240" spans="15:15" x14ac:dyDescent="0.3">
      <c r="O240" s="700"/>
    </row>
    <row r="241" spans="15:15" x14ac:dyDescent="0.3">
      <c r="O241" s="700"/>
    </row>
    <row r="242" spans="15:15" x14ac:dyDescent="0.3">
      <c r="O242" s="700"/>
    </row>
    <row r="243" spans="15:15" x14ac:dyDescent="0.3">
      <c r="O243" s="700"/>
    </row>
    <row r="244" spans="15:15" x14ac:dyDescent="0.3">
      <c r="O244" s="700"/>
    </row>
    <row r="245" spans="15:15" x14ac:dyDescent="0.3">
      <c r="O245" s="700"/>
    </row>
    <row r="246" spans="15:15" x14ac:dyDescent="0.3">
      <c r="O246" s="700"/>
    </row>
    <row r="247" spans="15:15" x14ac:dyDescent="0.3">
      <c r="O247" s="700"/>
    </row>
    <row r="248" spans="15:15" x14ac:dyDescent="0.3">
      <c r="O248" s="700"/>
    </row>
    <row r="249" spans="15:15" x14ac:dyDescent="0.3">
      <c r="O249" s="700"/>
    </row>
    <row r="250" spans="15:15" x14ac:dyDescent="0.3">
      <c r="O250" s="700"/>
    </row>
    <row r="251" spans="15:15" x14ac:dyDescent="0.3">
      <c r="O251" s="700"/>
    </row>
    <row r="252" spans="15:15" x14ac:dyDescent="0.3">
      <c r="O252" s="700"/>
    </row>
    <row r="253" spans="15:15" x14ac:dyDescent="0.3">
      <c r="O253" s="700"/>
    </row>
    <row r="254" spans="15:15" x14ac:dyDescent="0.3">
      <c r="O254" s="700"/>
    </row>
    <row r="255" spans="15:15" x14ac:dyDescent="0.3">
      <c r="O255" s="700"/>
    </row>
    <row r="256" spans="15:15" x14ac:dyDescent="0.3">
      <c r="O256" s="700"/>
    </row>
    <row r="257" spans="15:15" x14ac:dyDescent="0.3">
      <c r="O257" s="700"/>
    </row>
    <row r="258" spans="15:15" x14ac:dyDescent="0.3">
      <c r="O258" s="700"/>
    </row>
    <row r="259" spans="15:15" x14ac:dyDescent="0.3">
      <c r="O259" s="700"/>
    </row>
    <row r="260" spans="15:15" x14ac:dyDescent="0.3">
      <c r="O260" s="700"/>
    </row>
    <row r="261" spans="15:15" x14ac:dyDescent="0.3">
      <c r="O261" s="700"/>
    </row>
    <row r="262" spans="15:15" x14ac:dyDescent="0.3">
      <c r="O262" s="700"/>
    </row>
    <row r="263" spans="15:15" x14ac:dyDescent="0.3">
      <c r="O263" s="700"/>
    </row>
    <row r="264" spans="15:15" x14ac:dyDescent="0.3">
      <c r="O264" s="700"/>
    </row>
    <row r="265" spans="15:15" x14ac:dyDescent="0.3">
      <c r="O265" s="700"/>
    </row>
    <row r="266" spans="15:15" x14ac:dyDescent="0.3">
      <c r="O266" s="700"/>
    </row>
    <row r="267" spans="15:15" x14ac:dyDescent="0.3">
      <c r="O267" s="700"/>
    </row>
    <row r="268" spans="15:15" x14ac:dyDescent="0.3">
      <c r="O268" s="700"/>
    </row>
    <row r="269" spans="15:15" x14ac:dyDescent="0.3">
      <c r="O269" s="700"/>
    </row>
    <row r="270" spans="15:15" x14ac:dyDescent="0.3">
      <c r="O270" s="700"/>
    </row>
    <row r="271" spans="15:15" x14ac:dyDescent="0.3">
      <c r="O271" s="700"/>
    </row>
    <row r="272" spans="15:15" x14ac:dyDescent="0.3">
      <c r="O272" s="700"/>
    </row>
    <row r="273" spans="15:15" x14ac:dyDescent="0.3">
      <c r="O273" s="700"/>
    </row>
    <row r="274" spans="15:15" x14ac:dyDescent="0.3">
      <c r="O274" s="700"/>
    </row>
    <row r="275" spans="15:15" x14ac:dyDescent="0.3">
      <c r="O275" s="700"/>
    </row>
    <row r="276" spans="15:15" x14ac:dyDescent="0.3">
      <c r="O276" s="700"/>
    </row>
    <row r="277" spans="15:15" x14ac:dyDescent="0.3">
      <c r="O277" s="700"/>
    </row>
    <row r="278" spans="15:15" x14ac:dyDescent="0.3">
      <c r="O278" s="700"/>
    </row>
    <row r="279" spans="15:15" x14ac:dyDescent="0.3">
      <c r="O279" s="700"/>
    </row>
    <row r="280" spans="15:15" x14ac:dyDescent="0.3">
      <c r="O280" s="700"/>
    </row>
    <row r="281" spans="15:15" x14ac:dyDescent="0.3">
      <c r="O281" s="700"/>
    </row>
    <row r="282" spans="15:15" x14ac:dyDescent="0.3">
      <c r="O282" s="700"/>
    </row>
    <row r="283" spans="15:15" x14ac:dyDescent="0.3">
      <c r="O283" s="700"/>
    </row>
    <row r="284" spans="15:15" x14ac:dyDescent="0.3">
      <c r="O284" s="700"/>
    </row>
    <row r="285" spans="15:15" x14ac:dyDescent="0.3">
      <c r="O285" s="700"/>
    </row>
    <row r="286" spans="15:15" x14ac:dyDescent="0.3">
      <c r="O286" s="700"/>
    </row>
    <row r="287" spans="15:15" x14ac:dyDescent="0.3">
      <c r="O287" s="700"/>
    </row>
    <row r="288" spans="15:15" x14ac:dyDescent="0.3">
      <c r="O288" s="700"/>
    </row>
    <row r="289" spans="15:15" x14ac:dyDescent="0.3">
      <c r="O289" s="700"/>
    </row>
    <row r="290" spans="15:15" x14ac:dyDescent="0.3">
      <c r="O290" s="700"/>
    </row>
    <row r="291" spans="15:15" x14ac:dyDescent="0.3">
      <c r="O291" s="700"/>
    </row>
    <row r="292" spans="15:15" x14ac:dyDescent="0.3">
      <c r="O292" s="700"/>
    </row>
    <row r="293" spans="15:15" x14ac:dyDescent="0.3">
      <c r="O293" s="700"/>
    </row>
    <row r="294" spans="15:15" x14ac:dyDescent="0.3">
      <c r="O294" s="700"/>
    </row>
    <row r="295" spans="15:15" x14ac:dyDescent="0.3">
      <c r="O295" s="700"/>
    </row>
    <row r="296" spans="15:15" x14ac:dyDescent="0.3">
      <c r="O296" s="700"/>
    </row>
    <row r="297" spans="15:15" x14ac:dyDescent="0.3">
      <c r="O297" s="700"/>
    </row>
    <row r="298" spans="15:15" x14ac:dyDescent="0.3">
      <c r="O298" s="700"/>
    </row>
    <row r="299" spans="15:15" x14ac:dyDescent="0.3">
      <c r="O299" s="700"/>
    </row>
    <row r="300" spans="15:15" x14ac:dyDescent="0.3">
      <c r="O300" s="700"/>
    </row>
    <row r="301" spans="15:15" x14ac:dyDescent="0.3">
      <c r="O301" s="700"/>
    </row>
    <row r="302" spans="15:15" x14ac:dyDescent="0.3">
      <c r="O302" s="700"/>
    </row>
    <row r="303" spans="15:15" x14ac:dyDescent="0.3">
      <c r="O303" s="700"/>
    </row>
    <row r="304" spans="15:15" x14ac:dyDescent="0.3">
      <c r="O304" s="700"/>
    </row>
    <row r="305" spans="15:15" x14ac:dyDescent="0.3">
      <c r="O305" s="700"/>
    </row>
    <row r="306" spans="15:15" x14ac:dyDescent="0.3">
      <c r="O306" s="700"/>
    </row>
    <row r="307" spans="15:15" x14ac:dyDescent="0.3">
      <c r="O307" s="700"/>
    </row>
    <row r="308" spans="15:15" x14ac:dyDescent="0.3">
      <c r="O308" s="700"/>
    </row>
    <row r="309" spans="15:15" x14ac:dyDescent="0.3">
      <c r="O309" s="700"/>
    </row>
    <row r="310" spans="15:15" x14ac:dyDescent="0.3">
      <c r="O310" s="700"/>
    </row>
    <row r="311" spans="15:15" x14ac:dyDescent="0.3">
      <c r="O311" s="700"/>
    </row>
    <row r="312" spans="15:15" x14ac:dyDescent="0.3">
      <c r="O312" s="700"/>
    </row>
    <row r="313" spans="15:15" x14ac:dyDescent="0.3">
      <c r="O313" s="700"/>
    </row>
    <row r="314" spans="15:15" x14ac:dyDescent="0.3">
      <c r="O314" s="700"/>
    </row>
    <row r="315" spans="15:15" x14ac:dyDescent="0.3">
      <c r="O315" s="700"/>
    </row>
    <row r="316" spans="15:15" x14ac:dyDescent="0.3">
      <c r="O316" s="700"/>
    </row>
    <row r="317" spans="15:15" x14ac:dyDescent="0.3">
      <c r="O317" s="700"/>
    </row>
    <row r="318" spans="15:15" x14ac:dyDescent="0.3">
      <c r="O318" s="700"/>
    </row>
    <row r="319" spans="15:15" x14ac:dyDescent="0.3">
      <c r="O319" s="700"/>
    </row>
    <row r="320" spans="15:15" x14ac:dyDescent="0.3">
      <c r="O320" s="700"/>
    </row>
    <row r="321" spans="15:15" x14ac:dyDescent="0.3">
      <c r="O321" s="700"/>
    </row>
    <row r="322" spans="15:15" x14ac:dyDescent="0.3">
      <c r="O322" s="700"/>
    </row>
    <row r="323" spans="15:15" x14ac:dyDescent="0.3">
      <c r="O323" s="700"/>
    </row>
    <row r="324" spans="15:15" x14ac:dyDescent="0.3">
      <c r="O324" s="700"/>
    </row>
  </sheetData>
  <sheetProtection sheet="1" objects="1" scenarios="1"/>
  <mergeCells count="38">
    <mergeCell ref="B18:C18"/>
    <mergeCell ref="D18:E18"/>
    <mergeCell ref="B20:C20"/>
    <mergeCell ref="A21:A22"/>
    <mergeCell ref="B21:B22"/>
    <mergeCell ref="C21:C22"/>
    <mergeCell ref="D21:G21"/>
    <mergeCell ref="B15:C15"/>
    <mergeCell ref="D15:E15"/>
    <mergeCell ref="B16:C16"/>
    <mergeCell ref="D16:E16"/>
    <mergeCell ref="B17:C17"/>
    <mergeCell ref="D17:E17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B6:C6"/>
    <mergeCell ref="D6:E6"/>
    <mergeCell ref="B7:C7"/>
    <mergeCell ref="D7:E7"/>
    <mergeCell ref="B8:C8"/>
    <mergeCell ref="D8:E8"/>
    <mergeCell ref="B5:C5"/>
    <mergeCell ref="D5:E5"/>
    <mergeCell ref="C1:F1"/>
    <mergeCell ref="B3:C3"/>
    <mergeCell ref="D3:E3"/>
    <mergeCell ref="B4:C4"/>
    <mergeCell ref="D4:E4"/>
  </mergeCells>
  <conditionalFormatting sqref="A1:C1 D19:XFD19 F14:XFD18 A16:A19 A20:H79 A2:A3 F3:XFD3 D4:XFD4 A4:B4 D14:D15 G1:XFD2 A6:B15 A5 F5:XFD5 K23:N25 P20:XFD79 D6:M8 O6:XFD9 O11:XFD13 P10:XFD10 N6:N10 D10:M13 D9 F9:M9 A80:XFD1048576">
    <cfRule type="expression" priority="5">
      <formula>IF(1=1,1,0)</formula>
    </cfRule>
  </conditionalFormatting>
  <conditionalFormatting sqref="A23:G174">
    <cfRule type="expression" dxfId="0" priority="4">
      <formula>IF(#REF!=0,1,0)</formula>
    </cfRule>
  </conditionalFormatting>
  <conditionalFormatting sqref="B16:B18 D16:D18">
    <cfRule type="expression" priority="3">
      <formula>IF(1=1,1,0)</formula>
    </cfRule>
  </conditionalFormatting>
  <conditionalFormatting sqref="B5:E5">
    <cfRule type="expression" priority="2">
      <formula>IF(1=1,1,0)</formula>
    </cfRule>
  </conditionalFormatting>
  <conditionalFormatting sqref="K26:O27">
    <cfRule type="expression" priority="1">
      <formula>IF(1=1,1,0)</formula>
    </cfRule>
  </conditionalFormatting>
  <dataValidations count="7">
    <dataValidation allowBlank="1" showInputMessage="1" showErrorMessage="1" promptTitle="Важно!" prompt="Обязательный ежемесячный платеж не может быть меньше, чем предусмотрен условиями договора" sqref="D15:E15" xr:uid="{00000000-0002-0000-1500-000000000000}"/>
    <dataValidation type="list" allowBlank="1" showInputMessage="1" showErrorMessage="1" promptTitle="Выберите из списка" prompt="Укажите, подключил ли клиент услугу &quot;СМС-информирование&quot;" sqref="D12" xr:uid="{00000000-0002-0000-1500-000001000000}">
      <formula1>"Да,Нет"</formula1>
    </dataValidation>
    <dataValidation type="list" showInputMessage="1" showErrorMessage="1" promptTitle="Выберите из списка" prompt="Укажите, какую операцию совершает Клиент" sqref="D6:E6" xr:uid="{00000000-0002-0000-1500-000002000000}">
      <formula1>"Покупка по карте,Снятие наличных / Перевод"</formula1>
    </dataValidation>
    <dataValidation type="whole" allowBlank="1" showInputMessage="1" showErrorMessage="1" errorTitle="Неверные данные" error="Кредитный лимит не может быть меньше 10 тыс. и больше 6 млн. рублей" promptTitle="Укажите сумму" prompt="Укажите сумму кредитного лимита по договору" sqref="D4:E4" xr:uid="{00000000-0002-0000-1500-000003000000}">
      <formula1>10000</formula1>
      <formula2>6000000</formula2>
    </dataValidation>
    <dataValidation type="date" errorStyle="warning" operator="greaterThanOrEqual" allowBlank="1" showInputMessage="1" showErrorMessage="1" errorTitle="Неправильное значение" error="Введите дату в формате ДД.ММ.ГГГГ. Дата не может быть раньше чем 01.09.2020" promptTitle="Введите дату" prompt="Укажите дату заключения договора в формате ДД.ММ.ГГГГ (не ранее 01.09.2020)" sqref="D13:E13" xr:uid="{00000000-0002-0000-1500-000004000000}">
      <formula1>44075</formula1>
    </dataValidation>
    <dataValidation type="decimal" allowBlank="1" showInputMessage="1" showErrorMessage="1" errorTitle="Проверьте сумму операции" error="Сумма первой операции не должна превышать максимально доступную сумму" sqref="D7:E7" xr:uid="{00000000-0002-0000-1500-000005000000}">
      <formula1>0</formula1>
      <formula2>D8</formula2>
    </dataValidation>
    <dataValidation type="list" allowBlank="1" showInputMessage="1" showErrorMessage="1" promptTitle="Выберите из списка" prompt="Укажите тариф:_x000a_Тариф 1.0 (29,9% / 27,9%)_x000a_Тариф 2.0 (24,9% / 22,9%)_x000a_Тариф 3.0 (22,9% / 20,9%)_x000a_Тариф 4.0 (19,9% / 17,9%)" sqref="D5:E5" xr:uid="{00000000-0002-0000-1500-000006000000}">
      <formula1>$L$23:$O$23</formula1>
    </dataValidation>
  </dataValidation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3"/>
  <dimension ref="A1:M24"/>
  <sheetViews>
    <sheetView showGridLines="0" zoomScale="70" zoomScaleNormal="70" workbookViewId="0">
      <selection activeCell="B3" sqref="B3"/>
    </sheetView>
  </sheetViews>
  <sheetFormatPr defaultColWidth="8.6640625" defaultRowHeight="13.2" x14ac:dyDescent="0.25"/>
  <cols>
    <col min="1" max="1" width="41.6640625" customWidth="1"/>
    <col min="2" max="2" width="27.44140625" customWidth="1"/>
    <col min="3" max="3" width="23.33203125" customWidth="1"/>
    <col min="4" max="6" width="21.6640625" customWidth="1"/>
    <col min="7" max="7" width="2.44140625" customWidth="1"/>
    <col min="8" max="8" width="13" customWidth="1"/>
    <col min="9" max="9" width="6.33203125" customWidth="1"/>
    <col min="19" max="47" width="0" hidden="1" customWidth="1"/>
  </cols>
  <sheetData>
    <row r="1" spans="1:13" ht="21" customHeight="1" x14ac:dyDescent="0.25">
      <c r="A1" s="1077" t="s">
        <v>251</v>
      </c>
      <c r="B1" s="1077"/>
      <c r="C1" s="91"/>
      <c r="D1" s="1079"/>
      <c r="E1" s="1079"/>
      <c r="F1" s="1079"/>
      <c r="G1" s="91"/>
      <c r="H1" s="61"/>
    </row>
    <row r="2" spans="1:13" ht="40.200000000000003" customHeight="1" thickBot="1" x14ac:dyDescent="0.3">
      <c r="A2" s="1078"/>
      <c r="B2" s="1078"/>
      <c r="C2" s="91"/>
      <c r="D2" s="1079"/>
      <c r="E2" s="1079"/>
      <c r="F2" s="1079"/>
      <c r="G2" s="91"/>
      <c r="H2" s="92" t="s">
        <v>57</v>
      </c>
      <c r="I2" s="92"/>
      <c r="J2" s="92"/>
      <c r="K2" s="92">
        <f>IF(DAY(B7)&lt;4,DAY(B7)+3,IF(DAY(B7)&gt;28,DAY(B7)-3,DAY(B7)))</f>
        <v>26</v>
      </c>
      <c r="L2" s="92"/>
      <c r="M2" s="93" t="s">
        <v>335</v>
      </c>
    </row>
    <row r="3" spans="1:13" ht="18" customHeight="1" x14ac:dyDescent="0.25">
      <c r="A3" s="391" t="s">
        <v>250</v>
      </c>
      <c r="B3" s="394" t="s">
        <v>103</v>
      </c>
      <c r="C3" s="396" t="s">
        <v>263</v>
      </c>
      <c r="D3" s="1079"/>
      <c r="E3" s="1079"/>
      <c r="F3" s="1079"/>
      <c r="G3" s="91"/>
      <c r="H3" s="92" t="s">
        <v>58</v>
      </c>
      <c r="I3" s="93">
        <v>0.39900000000000002</v>
      </c>
      <c r="J3" s="94">
        <v>4.9000000000000002E-2</v>
      </c>
      <c r="K3" s="92">
        <f>MONTH(EDATE(B7,1))</f>
        <v>10</v>
      </c>
      <c r="L3" s="92" t="s">
        <v>20</v>
      </c>
      <c r="M3" s="93" t="s">
        <v>20</v>
      </c>
    </row>
    <row r="4" spans="1:13" ht="30" customHeight="1" x14ac:dyDescent="0.25">
      <c r="A4" s="392" t="s">
        <v>252</v>
      </c>
      <c r="B4" s="387" t="s">
        <v>29</v>
      </c>
      <c r="C4" s="396" t="s">
        <v>264</v>
      </c>
      <c r="D4" s="1079"/>
      <c r="E4" s="1079"/>
      <c r="F4" s="1079"/>
      <c r="G4" s="91"/>
      <c r="H4" s="92" t="s">
        <v>103</v>
      </c>
      <c r="I4" s="93">
        <v>0.39900000000000002</v>
      </c>
      <c r="J4" s="94">
        <v>4.9000000000000002E-2</v>
      </c>
      <c r="K4" s="92">
        <f>YEAR(EDATE(B7,1))</f>
        <v>2021</v>
      </c>
      <c r="L4" s="92" t="s">
        <v>29</v>
      </c>
      <c r="M4" s="93" t="s">
        <v>20</v>
      </c>
    </row>
    <row r="5" spans="1:13" ht="22.2" customHeight="1" x14ac:dyDescent="0.25">
      <c r="A5" s="391" t="s">
        <v>254</v>
      </c>
      <c r="B5" s="387">
        <v>10000</v>
      </c>
      <c r="C5" s="396" t="s">
        <v>267</v>
      </c>
      <c r="D5" s="1079"/>
      <c r="E5" s="1079"/>
      <c r="F5" s="1079"/>
      <c r="G5" s="91"/>
      <c r="H5" s="92"/>
      <c r="I5" s="93"/>
      <c r="J5" s="94"/>
    </row>
    <row r="6" spans="1:13" ht="22.95" customHeight="1" x14ac:dyDescent="0.25">
      <c r="A6" s="391" t="s">
        <v>253</v>
      </c>
      <c r="B6" s="387">
        <v>20000</v>
      </c>
      <c r="C6" s="396" t="s">
        <v>265</v>
      </c>
      <c r="D6" s="1079"/>
      <c r="E6" s="1079"/>
      <c r="F6" s="1079"/>
      <c r="G6" s="91"/>
      <c r="H6" s="92"/>
      <c r="I6" s="93"/>
      <c r="J6" s="94"/>
    </row>
    <row r="7" spans="1:13" ht="22.95" customHeight="1" x14ac:dyDescent="0.25">
      <c r="A7" s="391" t="s">
        <v>59</v>
      </c>
      <c r="B7" s="395">
        <v>44465</v>
      </c>
      <c r="C7" s="396" t="s">
        <v>266</v>
      </c>
      <c r="D7" s="1079"/>
      <c r="E7" s="1079"/>
      <c r="F7" s="1079"/>
      <c r="G7" s="91"/>
    </row>
    <row r="8" spans="1:13" ht="22.95" customHeight="1" x14ac:dyDescent="0.25">
      <c r="A8" s="391" t="s">
        <v>255</v>
      </c>
      <c r="B8" s="388">
        <f>DATE(K4,K3,K2)</f>
        <v>44495</v>
      </c>
    </row>
    <row r="9" spans="1:13" ht="24" customHeight="1" x14ac:dyDescent="0.25">
      <c r="A9" s="1080" t="s">
        <v>256</v>
      </c>
      <c r="B9" s="1080"/>
    </row>
    <row r="10" spans="1:13" ht="16.95" customHeight="1" x14ac:dyDescent="0.25">
      <c r="A10" s="391" t="s">
        <v>337</v>
      </c>
      <c r="B10" s="389">
        <f>ROUNDUP(B12+B13+B14+B15+B16,-2)</f>
        <v>1800</v>
      </c>
    </row>
    <row r="11" spans="1:13" ht="21" customHeight="1" x14ac:dyDescent="0.25">
      <c r="A11" s="1074" t="s">
        <v>262</v>
      </c>
      <c r="B11" s="1075"/>
    </row>
    <row r="12" spans="1:13" ht="16.95" customHeight="1" x14ac:dyDescent="0.25">
      <c r="A12" s="391" t="s">
        <v>257</v>
      </c>
      <c r="B12" s="389">
        <f>IF(B6&lt;&gt;"",B6*3%,0)</f>
        <v>600</v>
      </c>
    </row>
    <row r="13" spans="1:13" ht="16.95" customHeight="1" x14ac:dyDescent="0.25">
      <c r="A13" s="391" t="s">
        <v>258</v>
      </c>
      <c r="B13" s="389">
        <f>IF(B5&lt;&gt;"",B5*3%,0)</f>
        <v>300</v>
      </c>
    </row>
    <row r="14" spans="1:13" ht="16.95" customHeight="1" x14ac:dyDescent="0.25">
      <c r="A14" s="391" t="s">
        <v>259</v>
      </c>
      <c r="B14" s="389">
        <f>0</f>
        <v>0</v>
      </c>
    </row>
    <row r="15" spans="1:13" ht="16.95" customHeight="1" x14ac:dyDescent="0.25">
      <c r="A15" s="391" t="s">
        <v>260</v>
      </c>
      <c r="B15" s="389">
        <f>IF(B5=0,0,B5*VLOOKUP(B3,H3:J4,3,FALSE)+390)</f>
        <v>880</v>
      </c>
    </row>
    <row r="16" spans="1:13" ht="16.95" customHeight="1" thickBot="1" x14ac:dyDescent="0.3">
      <c r="A16" s="393" t="s">
        <v>261</v>
      </c>
      <c r="B16" s="390">
        <f>IF(VLOOKUP(B3,H3:M4,6,FALSE)="да",0,B5*VLOOKUP(B3,H3:I6,2,FALSE)*(B8-B7)/365)</f>
        <v>0</v>
      </c>
      <c r="C16" s="1081" t="s">
        <v>336</v>
      </c>
      <c r="D16" s="1082"/>
      <c r="E16" s="529"/>
    </row>
    <row r="18" spans="1:3" x14ac:dyDescent="0.25">
      <c r="A18" s="1076" t="s">
        <v>268</v>
      </c>
      <c r="B18" s="1076"/>
      <c r="C18" s="1076"/>
    </row>
    <row r="19" spans="1:3" x14ac:dyDescent="0.25">
      <c r="A19" s="1076"/>
      <c r="B19" s="1076"/>
      <c r="C19" s="1076"/>
    </row>
    <row r="20" spans="1:3" x14ac:dyDescent="0.25">
      <c r="A20" s="1076"/>
      <c r="B20" s="1076"/>
      <c r="C20" s="1076"/>
    </row>
    <row r="21" spans="1:3" x14ac:dyDescent="0.25">
      <c r="A21" s="1076"/>
      <c r="B21" s="1076"/>
      <c r="C21" s="1076"/>
    </row>
    <row r="22" spans="1:3" x14ac:dyDescent="0.25">
      <c r="A22" s="1076"/>
      <c r="B22" s="1076"/>
      <c r="C22" s="1076"/>
    </row>
    <row r="23" spans="1:3" x14ac:dyDescent="0.25">
      <c r="A23" s="1076"/>
      <c r="B23" s="1076"/>
      <c r="C23" s="1076"/>
    </row>
    <row r="24" spans="1:3" x14ac:dyDescent="0.25">
      <c r="A24" s="1076"/>
      <c r="B24" s="1076"/>
      <c r="C24" s="1076"/>
    </row>
  </sheetData>
  <sheetProtection sheet="1" objects="1" scenarios="1"/>
  <mergeCells count="6">
    <mergeCell ref="A11:B11"/>
    <mergeCell ref="A18:C24"/>
    <mergeCell ref="A1:B2"/>
    <mergeCell ref="D1:F7"/>
    <mergeCell ref="A9:B9"/>
    <mergeCell ref="C16:D16"/>
  </mergeCells>
  <dataValidations count="2">
    <dataValidation type="list" allowBlank="1" showInputMessage="1" showErrorMessage="1" sqref="B4" xr:uid="{00000000-0002-0000-1600-000000000000}">
      <formula1>$L$3:$L$4</formula1>
    </dataValidation>
    <dataValidation type="list" allowBlank="1" showInputMessage="1" showErrorMessage="1" sqref="B3" xr:uid="{00000000-0002-0000-1600-000001000000}">
      <formula1>$H$3:$H$4</formula1>
    </dataValidation>
  </dataValidation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5"/>
  <dimension ref="A1:AU199"/>
  <sheetViews>
    <sheetView showGridLines="0" workbookViewId="0">
      <selection activeCell="F3" sqref="F3"/>
    </sheetView>
  </sheetViews>
  <sheetFormatPr defaultColWidth="8.6640625" defaultRowHeight="13.2" x14ac:dyDescent="0.25"/>
  <cols>
    <col min="1" max="1" width="30.6640625" style="2" customWidth="1"/>
    <col min="2" max="2" width="20.6640625" style="2" customWidth="1"/>
    <col min="3" max="3" width="15.6640625" style="1" customWidth="1"/>
    <col min="4" max="4" width="16.6640625" style="1" customWidth="1"/>
    <col min="5" max="5" width="6" style="1" customWidth="1"/>
    <col min="6" max="6" width="12.109375" style="1" customWidth="1"/>
    <col min="7" max="7" width="10.6640625" style="1" customWidth="1"/>
    <col min="8" max="8" width="15.6640625" style="1" customWidth="1"/>
    <col min="9" max="9" width="15.6640625" style="2" customWidth="1"/>
    <col min="10" max="11" width="15.6640625" style="2" hidden="1" customWidth="1"/>
    <col min="12" max="14" width="15.6640625" style="57" hidden="1" customWidth="1"/>
    <col min="15" max="15" width="15.6640625" style="1" customWidth="1"/>
    <col min="16" max="16" width="15" style="3" customWidth="1"/>
    <col min="17" max="21" width="15" style="3" hidden="1" customWidth="1"/>
    <col min="22" max="22" width="15.6640625" style="2" customWidth="1"/>
    <col min="23" max="23" width="11.109375" style="2" customWidth="1"/>
    <col min="24" max="24" width="11.44140625" style="44" hidden="1" customWidth="1"/>
    <col min="25" max="25" width="2.44140625" style="2" hidden="1" customWidth="1"/>
    <col min="26" max="26" width="11.6640625" style="2" hidden="1" customWidth="1"/>
    <col min="27" max="27" width="16.109375" style="2" hidden="1" customWidth="1"/>
    <col min="28" max="28" width="16.109375" style="2" customWidth="1"/>
    <col min="29" max="30" width="15" style="2" customWidth="1"/>
    <col min="31" max="31" width="12.44140625" style="2" customWidth="1"/>
    <col min="32" max="32" width="11.44140625" style="2" customWidth="1"/>
    <col min="33" max="36" width="15" style="3" customWidth="1"/>
    <col min="37" max="37" width="14" style="2" customWidth="1"/>
    <col min="38" max="38" width="6.44140625" style="2" customWidth="1"/>
    <col min="39" max="39" width="9.6640625" style="57" customWidth="1"/>
    <col min="40" max="40" width="17.109375" style="2" customWidth="1"/>
    <col min="41" max="47" width="14.33203125" style="2" customWidth="1"/>
    <col min="48" max="16384" width="8.6640625" style="2"/>
  </cols>
  <sheetData>
    <row r="1" spans="1:47" ht="79.95" customHeight="1" x14ac:dyDescent="0.2">
      <c r="A1" s="1089" t="s">
        <v>233</v>
      </c>
      <c r="B1" s="1090"/>
      <c r="C1" s="1090"/>
      <c r="D1" s="1091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4"/>
      <c r="U1" s="374"/>
      <c r="V1" s="374"/>
      <c r="W1" s="374"/>
      <c r="X1" s="95"/>
      <c r="AG1" s="2"/>
      <c r="AH1" s="2"/>
      <c r="AI1" s="2"/>
      <c r="AJ1" s="2"/>
      <c r="AM1" s="62"/>
    </row>
    <row r="2" spans="1:47" ht="25.95" customHeight="1" x14ac:dyDescent="0.2">
      <c r="A2" s="1092" t="s">
        <v>235</v>
      </c>
      <c r="B2" s="1093"/>
      <c r="C2" s="1093"/>
      <c r="D2" s="109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74"/>
      <c r="X2" s="95"/>
      <c r="AG2" s="2"/>
      <c r="AH2" s="2"/>
      <c r="AI2" s="2"/>
      <c r="AJ2" s="2"/>
    </row>
    <row r="3" spans="1:47" hidden="1" x14ac:dyDescent="0.25">
      <c r="A3" s="5" t="s">
        <v>11</v>
      </c>
      <c r="B3" s="4"/>
      <c r="C3" s="37"/>
      <c r="D3" s="38"/>
      <c r="E3" s="1" t="s">
        <v>20</v>
      </c>
      <c r="F3" s="6" t="s">
        <v>15</v>
      </c>
      <c r="G3" s="6"/>
      <c r="H3" s="6">
        <v>100</v>
      </c>
      <c r="I3" s="27">
        <v>41274</v>
      </c>
      <c r="J3" s="2">
        <v>6</v>
      </c>
      <c r="K3" s="6" t="s">
        <v>0</v>
      </c>
      <c r="L3" s="6"/>
      <c r="M3" s="1"/>
      <c r="N3" s="7">
        <f>G11</f>
        <v>42998</v>
      </c>
      <c r="O3" s="2" t="s">
        <v>60</v>
      </c>
      <c r="P3" s="2" t="s">
        <v>61</v>
      </c>
      <c r="Q3" s="2" t="s">
        <v>62</v>
      </c>
      <c r="R3" s="2" t="s">
        <v>63</v>
      </c>
      <c r="S3" s="2" t="s">
        <v>64</v>
      </c>
      <c r="T3" s="2" t="s">
        <v>65</v>
      </c>
      <c r="U3" s="2"/>
      <c r="V3" s="2">
        <f>IF(C18&lt;=50000,0.399,IF(C18&lt;=100000,0.369,0.299))</f>
        <v>0.29899999999999999</v>
      </c>
      <c r="X3" s="6"/>
      <c r="Y3" s="6"/>
      <c r="Z3" s="6"/>
      <c r="AA3" s="6"/>
      <c r="AD3" s="61"/>
      <c r="AG3" s="2"/>
      <c r="AH3" s="2"/>
      <c r="AI3" s="2"/>
      <c r="AJ3" s="2"/>
      <c r="AM3" s="2"/>
    </row>
    <row r="4" spans="1:47" ht="12" hidden="1" x14ac:dyDescent="0.25">
      <c r="A4" s="8" t="s">
        <v>10</v>
      </c>
      <c r="B4" s="8"/>
      <c r="C4" s="37"/>
      <c r="D4" s="39"/>
      <c r="E4" s="9" t="s">
        <v>29</v>
      </c>
      <c r="F4" s="2" t="s">
        <v>17</v>
      </c>
      <c r="G4" s="2"/>
      <c r="H4" s="2">
        <v>7.4000000000000003E-3</v>
      </c>
      <c r="I4" s="59">
        <v>41750</v>
      </c>
      <c r="J4" s="2">
        <v>48</v>
      </c>
      <c r="K4" s="11" t="s">
        <v>18</v>
      </c>
      <c r="L4" s="11"/>
      <c r="M4" s="10"/>
      <c r="N4" s="13">
        <f>(C18+J7)*C22/12*(1+C22/12)^(C20-I7)/((1+C22/12)^(C20-I7)-1)</f>
        <v>22783.127420768928</v>
      </c>
      <c r="O4" s="2">
        <f>IF(C14&lt;G5,V3,IF(C14&lt;G6,V4,IF(C14&lt;F7,V5,IF(C18&lt;=100000,0.499,IF(C18&lt;=300000,0.399,0.299)))))</f>
        <v>0.29899999999999999</v>
      </c>
      <c r="P4" s="2">
        <f>IF(C18&lt;=100000,0.499,IF(C18&lt;=300000,0.399,0.299))</f>
        <v>0.29899999999999999</v>
      </c>
      <c r="Q4" s="2">
        <f>0.299</f>
        <v>0.29899999999999999</v>
      </c>
      <c r="R4" s="2">
        <f>0.299</f>
        <v>0.29899999999999999</v>
      </c>
      <c r="S4" s="2">
        <f>0.199</f>
        <v>0.19900000000000001</v>
      </c>
      <c r="T4" s="2">
        <v>0.15</v>
      </c>
      <c r="U4" s="2"/>
      <c r="V4" s="2">
        <f>IF(C18&lt;=50000,0.499,IF(C18&lt;=100000,0.399,0.299))</f>
        <v>0.29899999999999999</v>
      </c>
      <c r="X4" s="11"/>
      <c r="Y4" s="11"/>
      <c r="Z4" s="11"/>
      <c r="AA4" s="11"/>
      <c r="AD4" s="57"/>
      <c r="AG4" s="2"/>
      <c r="AH4" s="2"/>
      <c r="AI4" s="2"/>
      <c r="AJ4" s="2"/>
      <c r="AM4" s="2"/>
    </row>
    <row r="5" spans="1:47" hidden="1" x14ac:dyDescent="0.25">
      <c r="A5" s="8" t="s">
        <v>8</v>
      </c>
      <c r="B5" s="8"/>
      <c r="C5" s="37"/>
      <c r="D5" s="41"/>
      <c r="E5" s="12">
        <v>0</v>
      </c>
      <c r="F5" s="123">
        <v>50000</v>
      </c>
      <c r="G5" s="53">
        <v>41365</v>
      </c>
      <c r="H5" s="1">
        <v>500</v>
      </c>
      <c r="I5" s="2">
        <f>ROUNDUP(($N$4)/H3,0)*H3</f>
        <v>22800</v>
      </c>
      <c r="J5" s="2" t="e">
        <f>CEILING(LOG((C11/C18)/(C11/C18-C22/12),1+C22/12),1)</f>
        <v>#NUM!</v>
      </c>
      <c r="K5" s="3" t="s">
        <v>22</v>
      </c>
      <c r="L5" s="3"/>
      <c r="M5" s="2">
        <f>ROUNDUP((N5+D23)/H3,0)*H3</f>
        <v>14400</v>
      </c>
      <c r="N5" s="13">
        <f>(C18+J7)*M6/12*(1+M6/12)^(C20+N6)/((1+M6/12)^(C20+N6)-1)</f>
        <v>13338.684797987125</v>
      </c>
      <c r="O5" s="2">
        <f>IF(C14&lt;G5,0.199,IF(C14&lt;G6,IF(C18&lt;=50000,0.399,IF(C18&lt;=100000,0.299,0.199)),IF(C14&lt;F7,IF(C18&lt;=75000,0.399,IF(C18&lt;=200000,0.299,0.199)),O4)))</f>
        <v>0.29899999999999999</v>
      </c>
      <c r="P5" s="2">
        <f>P4-0.1</f>
        <v>0.19899999999999998</v>
      </c>
      <c r="Q5" s="2">
        <f>0.199</f>
        <v>0.19900000000000001</v>
      </c>
      <c r="R5" s="2">
        <f>0.199</f>
        <v>0.19900000000000001</v>
      </c>
      <c r="S5" s="2">
        <f>0.199</f>
        <v>0.19900000000000001</v>
      </c>
      <c r="T5" s="2">
        <f>T4</f>
        <v>0.15</v>
      </c>
      <c r="U5" s="2"/>
      <c r="V5" s="2">
        <f>IF(C18&lt;=75000,0.499,IF(C18&lt;=200000,0.399,0.299))</f>
        <v>0.29899999999999999</v>
      </c>
      <c r="X5" s="3"/>
      <c r="Y5" s="3"/>
      <c r="Z5" s="3"/>
      <c r="AA5" s="3"/>
      <c r="AD5" s="61"/>
      <c r="AG5" s="2"/>
      <c r="AH5" s="2"/>
      <c r="AI5" s="2"/>
      <c r="AJ5" s="2"/>
      <c r="AM5" s="2"/>
    </row>
    <row r="6" spans="1:47" ht="13.8" hidden="1" thickBot="1" x14ac:dyDescent="0.3">
      <c r="A6" s="5" t="s">
        <v>1</v>
      </c>
      <c r="B6" s="8"/>
      <c r="C6" s="40"/>
      <c r="D6" s="42"/>
      <c r="E6" s="14"/>
      <c r="F6" s="123">
        <f>IF(C14&lt;G5,300000,2000000)</f>
        <v>2000000</v>
      </c>
      <c r="G6" s="53">
        <v>41501</v>
      </c>
      <c r="H6" s="53">
        <v>41882</v>
      </c>
      <c r="I6" s="2">
        <f>IF(C14&gt;H6,XIRR(Z11:Z191,AA11:AA191)*12,XIRR(Z11:Z191,G11:G191))</f>
        <v>0.51606942415237422</v>
      </c>
      <c r="J6" s="66">
        <f>IRR($Z$11:$Z$191)*12</f>
        <v>0.51606941652657401</v>
      </c>
      <c r="K6" s="3"/>
      <c r="L6" s="3"/>
      <c r="M6" s="15">
        <f>IF(C14&gt;I4,C22,C22+0.05)</f>
        <v>9.9000000000000005E-2</v>
      </c>
      <c r="N6" s="2">
        <f xml:space="preserve"> IF(C14&gt;I4,36,24)</f>
        <v>36</v>
      </c>
      <c r="O6" s="2" t="s">
        <v>68</v>
      </c>
      <c r="P6" s="2" t="s">
        <v>35</v>
      </c>
      <c r="Q6" s="2"/>
      <c r="R6" s="2"/>
      <c r="S6" s="2"/>
      <c r="V6" s="3"/>
      <c r="W6" s="3"/>
      <c r="X6" s="2"/>
      <c r="Y6" s="57"/>
      <c r="AG6" s="2"/>
      <c r="AH6" s="2"/>
      <c r="AI6" s="2"/>
      <c r="AJ6" s="2"/>
      <c r="AM6" s="2"/>
    </row>
    <row r="7" spans="1:47" hidden="1" x14ac:dyDescent="0.25">
      <c r="A7" s="5"/>
      <c r="B7" s="8"/>
      <c r="C7" s="40"/>
      <c r="D7" s="42"/>
      <c r="E7" s="58"/>
      <c r="F7" s="53">
        <v>41632</v>
      </c>
      <c r="G7" s="53">
        <v>41820</v>
      </c>
      <c r="H7" s="53">
        <v>41857</v>
      </c>
      <c r="I7" s="2">
        <f>C11*C12+3</f>
        <v>15</v>
      </c>
      <c r="J7" s="2">
        <f>IF(CODE(C16)=209,V11*0.03,0)</f>
        <v>0</v>
      </c>
      <c r="K7" s="3"/>
      <c r="L7" s="3"/>
      <c r="M7" s="15"/>
      <c r="N7" s="2"/>
      <c r="O7" s="15">
        <v>1E-3</v>
      </c>
      <c r="P7" s="2">
        <v>0</v>
      </c>
      <c r="Q7" s="2"/>
      <c r="R7" s="2"/>
      <c r="S7" s="2"/>
      <c r="V7" s="3"/>
      <c r="W7" s="3"/>
      <c r="X7" s="2"/>
      <c r="Y7" s="57"/>
      <c r="Z7" s="57"/>
      <c r="AC7" s="96"/>
      <c r="AD7" s="96"/>
      <c r="AE7" s="96"/>
      <c r="AF7" s="96"/>
      <c r="AG7" s="96"/>
      <c r="AH7" s="96"/>
      <c r="AI7" s="2"/>
      <c r="AJ7" s="2"/>
      <c r="AM7" s="2"/>
    </row>
    <row r="8" spans="1:47" ht="12" customHeight="1" x14ac:dyDescent="0.25">
      <c r="A8" s="839" t="s">
        <v>164</v>
      </c>
      <c r="B8" s="839"/>
      <c r="C8" s="839" t="s">
        <v>165</v>
      </c>
      <c r="D8" s="839"/>
      <c r="E8" s="2"/>
      <c r="F8" s="1085" t="s">
        <v>248</v>
      </c>
      <c r="G8" s="1085"/>
      <c r="H8" s="1085"/>
      <c r="I8" s="1085"/>
      <c r="J8" s="1085"/>
      <c r="K8" s="1085"/>
      <c r="L8" s="1085"/>
      <c r="M8" s="1085"/>
      <c r="N8" s="1085"/>
      <c r="O8" s="1085"/>
      <c r="P8" s="1085"/>
      <c r="Q8" s="1085"/>
      <c r="R8" s="1085"/>
      <c r="S8" s="1085"/>
      <c r="T8" s="1085"/>
      <c r="U8" s="1085"/>
      <c r="V8" s="1085"/>
      <c r="W8" s="1085"/>
      <c r="X8" s="49"/>
      <c r="AA8" s="3"/>
      <c r="AB8" s="15"/>
      <c r="AC8" s="13"/>
      <c r="AD8" s="13"/>
      <c r="AE8" s="13"/>
      <c r="AG8" s="2"/>
      <c r="AH8" s="2"/>
      <c r="AI8" s="2"/>
      <c r="AJ8" s="2"/>
      <c r="AN8" s="65"/>
      <c r="AO8" s="65"/>
      <c r="AP8" s="65"/>
      <c r="AQ8" s="65"/>
      <c r="AR8" s="65"/>
      <c r="AS8" s="65"/>
      <c r="AT8" s="65"/>
      <c r="AU8" s="65"/>
    </row>
    <row r="9" spans="1:47" ht="12" customHeight="1" x14ac:dyDescent="0.25">
      <c r="A9" s="839"/>
      <c r="B9" s="839"/>
      <c r="C9" s="839"/>
      <c r="D9" s="839"/>
      <c r="E9" s="2"/>
      <c r="F9" s="1085"/>
      <c r="G9" s="1085"/>
      <c r="H9" s="1085"/>
      <c r="I9" s="1085"/>
      <c r="J9" s="1085"/>
      <c r="K9" s="1085"/>
      <c r="L9" s="1085"/>
      <c r="M9" s="1085"/>
      <c r="N9" s="1085"/>
      <c r="O9" s="1085"/>
      <c r="P9" s="1085"/>
      <c r="Q9" s="1085"/>
      <c r="R9" s="1085"/>
      <c r="S9" s="1085"/>
      <c r="T9" s="1085"/>
      <c r="U9" s="1085"/>
      <c r="V9" s="1085"/>
      <c r="W9" s="1085"/>
      <c r="X9" s="49"/>
      <c r="AA9" s="3"/>
      <c r="AB9" s="15"/>
      <c r="AC9" s="13"/>
      <c r="AD9" s="13"/>
      <c r="AE9" s="13"/>
      <c r="AG9" s="2"/>
      <c r="AH9" s="2"/>
      <c r="AI9" s="2"/>
      <c r="AJ9" s="2"/>
    </row>
    <row r="10" spans="1:47" ht="43.95" customHeight="1" x14ac:dyDescent="0.25">
      <c r="A10" s="1095" t="s">
        <v>236</v>
      </c>
      <c r="B10" s="1095"/>
      <c r="C10" s="1086">
        <v>300000</v>
      </c>
      <c r="D10" s="1086"/>
      <c r="F10" s="326" t="s">
        <v>148</v>
      </c>
      <c r="G10" s="326" t="s">
        <v>244</v>
      </c>
      <c r="H10" s="326" t="s">
        <v>245</v>
      </c>
      <c r="I10" s="326" t="s">
        <v>191</v>
      </c>
      <c r="J10" s="237"/>
      <c r="K10" s="237"/>
      <c r="L10" s="385"/>
      <c r="M10" s="385"/>
      <c r="N10" s="385"/>
      <c r="O10" s="326" t="s">
        <v>192</v>
      </c>
      <c r="P10" s="326" t="s">
        <v>246</v>
      </c>
      <c r="Q10" s="237" t="s">
        <v>39</v>
      </c>
      <c r="R10" s="237" t="s">
        <v>38</v>
      </c>
      <c r="S10" s="237" t="s">
        <v>37</v>
      </c>
      <c r="T10" s="237" t="s">
        <v>40</v>
      </c>
      <c r="U10" s="237"/>
      <c r="V10" s="326" t="s">
        <v>193</v>
      </c>
      <c r="W10" s="386" t="s">
        <v>247</v>
      </c>
      <c r="X10" s="50" t="s">
        <v>31</v>
      </c>
      <c r="Y10" s="16"/>
      <c r="Z10" s="16"/>
      <c r="AC10" s="57"/>
      <c r="AD10" s="96"/>
      <c r="AE10" s="96"/>
      <c r="AF10" s="96"/>
      <c r="AG10" s="96"/>
      <c r="AH10" s="96"/>
      <c r="AI10" s="96"/>
      <c r="AJ10" s="96"/>
      <c r="AK10" s="96"/>
      <c r="AM10" s="2"/>
    </row>
    <row r="11" spans="1:47" ht="18" customHeight="1" x14ac:dyDescent="0.25">
      <c r="A11" s="1097" t="s">
        <v>237</v>
      </c>
      <c r="B11" s="1097"/>
      <c r="C11" s="1098">
        <v>3</v>
      </c>
      <c r="D11" s="1098"/>
      <c r="F11" s="379"/>
      <c r="G11" s="380">
        <f>C14</f>
        <v>42998</v>
      </c>
      <c r="H11" s="381">
        <f>-C18/C11</f>
        <v>-300000</v>
      </c>
      <c r="I11" s="340"/>
      <c r="J11" s="340"/>
      <c r="K11" s="340"/>
      <c r="L11" s="382">
        <f t="shared" ref="L11:L12" si="0">DATEVALUE(CONCATENATE("01/01/",YEAR(G11)))</f>
        <v>42736</v>
      </c>
      <c r="M11" s="382">
        <f t="shared" ref="M11:M12" si="1">DATEVALUE(CONCATENATE("01/01/",YEAR(G11)+1))</f>
        <v>43101</v>
      </c>
      <c r="N11" s="382">
        <f t="shared" ref="N11:N12" si="2">DATEVALUE(CONCATENATE("01/01/",YEAR(G11)-1))</f>
        <v>42370</v>
      </c>
      <c r="O11" s="197"/>
      <c r="P11" s="197"/>
      <c r="Q11" s="197"/>
      <c r="R11" s="197"/>
      <c r="S11" s="197"/>
      <c r="T11" s="197"/>
      <c r="U11" s="197"/>
      <c r="V11" s="341">
        <f>C18/C11</f>
        <v>300000</v>
      </c>
      <c r="W11" s="197"/>
      <c r="X11" s="36"/>
      <c r="Y11" s="16"/>
      <c r="Z11" s="34">
        <f>H11-P11</f>
        <v>-300000</v>
      </c>
      <c r="AA11" s="57">
        <f>G11</f>
        <v>42998</v>
      </c>
      <c r="AB11" s="96"/>
      <c r="AC11" s="96"/>
      <c r="AD11" s="96"/>
      <c r="AE11" s="96"/>
      <c r="AF11" s="96"/>
      <c r="AG11" s="96"/>
      <c r="AH11" s="96"/>
      <c r="AI11" s="96"/>
      <c r="AJ11" s="2"/>
      <c r="AM11" s="2"/>
    </row>
    <row r="12" spans="1:47" ht="18" customHeight="1" x14ac:dyDescent="0.3">
      <c r="A12" s="1097" t="s">
        <v>66</v>
      </c>
      <c r="B12" s="1097"/>
      <c r="C12" s="1099">
        <v>4</v>
      </c>
      <c r="D12" s="1099"/>
      <c r="F12" s="383">
        <f>1</f>
        <v>1</v>
      </c>
      <c r="G12" s="384">
        <f t="shared" ref="G12:G75" si="3">IF((OR(DAY($N$3)=29,DAY($N$3)=30,DAY($N$3)=31)),(EDATE($C$14-3,F12)),(IF((OR(DAY($N$3)=1,DAY($N$3)=2,DAY($N$3)=3)),(EDATE($C$14,F12)+3),EDATE($C$14,F12))))</f>
        <v>43028</v>
      </c>
      <c r="H12" s="340">
        <f t="shared" ref="H12:H43" si="4">IF(F12&lt;=$I$7,I12+P12,IF(AND(V11+P12+I12&gt;H11,H11&lt;&gt;0),$C$21,IF(V11=0,0,V11+P12+I12+I13)))</f>
        <v>3431.1</v>
      </c>
      <c r="I12" s="340">
        <f t="shared" ref="I12:I75" si="5">IF($C$14&gt;$G$7,IF(L12=L11,J12,K12),IF(L11=L10,J12,K12))</f>
        <v>2441.1</v>
      </c>
      <c r="J12" s="340">
        <f>IF($C$14&gt;$G$7,ROUND(V11*$C$22/(M11-L11)*(G12-G11),2),0)</f>
        <v>2441.1</v>
      </c>
      <c r="K12" s="340">
        <f>IF($C$14&gt;$G$7,ROUND(V11*$C$22/(M11-L11)*(G12-L11+1),2)+ROUND(V11*$C$22/(L11-N11)*(L11-G11-1),2),0)</f>
        <v>2499.5699999999997</v>
      </c>
      <c r="L12" s="382">
        <f t="shared" si="0"/>
        <v>42736</v>
      </c>
      <c r="M12" s="382">
        <f t="shared" si="1"/>
        <v>43101</v>
      </c>
      <c r="N12" s="382">
        <f t="shared" si="2"/>
        <v>42370</v>
      </c>
      <c r="O12" s="340">
        <f t="shared" ref="O12:O75" si="6">IF(W12=0,0,IF(W12=1,V11,IF(V11+P12+I12&gt;H11,H12-I12-P12,V11)))</f>
        <v>0</v>
      </c>
      <c r="P12" s="340">
        <f>IF(R12&gt;$C$21,$C$21-I12,IF(X12=0,0,$D$23)+IF(CODE(C16)=209,J7,0))</f>
        <v>990</v>
      </c>
      <c r="Q12" s="340"/>
      <c r="R12" s="340">
        <f t="shared" ref="R12:R75" si="7">I12+S12</f>
        <v>3431.1</v>
      </c>
      <c r="S12" s="340">
        <f>IF(X12=0,0,$D$23)+IF(CODE(C16)=209,J7,0)</f>
        <v>990</v>
      </c>
      <c r="T12" s="340">
        <f t="shared" ref="T12:T75" si="8">IF(X12=0,0,$D$23)</f>
        <v>990</v>
      </c>
      <c r="U12" s="340">
        <f>IF(AND(F12&lt;$I$7-3,MOD(F12,$C$12)=0),1,0)</f>
        <v>0</v>
      </c>
      <c r="V12" s="340">
        <f t="shared" ref="V12:V75" si="9">IF(OR(W12=1,V11=0),0,V11-O12)+U12*$C$10</f>
        <v>300000</v>
      </c>
      <c r="W12" s="198">
        <f>C20</f>
        <v>63</v>
      </c>
      <c r="X12" s="36">
        <f>IF(ISERR(CEILING(FLOOR(NPER($C$22/12,-$N$4,V11),0.1),1))=TRUE,0,CEILING(FLOOR(NPER($C$22/12,-$N$4,V11),0.1),1))</f>
        <v>14</v>
      </c>
      <c r="Z12" s="34">
        <f t="shared" ref="Z12:Z75" si="10">I12+O12+P12-T12</f>
        <v>2441.1</v>
      </c>
      <c r="AA12" s="57">
        <f t="shared" ref="AA12:AA75" si="11">IF((OR(DAY($N$3)=29,DAY($N$3)=30,DAY($N$3)=31)),($C$14-3+F12*365),(IF((OR(DAY($N$3)=1,DAY($N$3)=2,DAY($N$3)=3)),($C$14+F12*365+3),($C$14+F12*365))))</f>
        <v>43363</v>
      </c>
      <c r="AB12" s="96"/>
      <c r="AC12" s="96"/>
      <c r="AD12" s="96"/>
      <c r="AE12" s="96"/>
      <c r="AF12" s="96"/>
      <c r="AG12" s="96"/>
      <c r="AH12" s="96"/>
      <c r="AI12" s="96"/>
      <c r="AJ12" s="2"/>
      <c r="AM12" s="2"/>
    </row>
    <row r="13" spans="1:47" ht="18" customHeight="1" x14ac:dyDescent="0.25">
      <c r="A13" s="1097" t="s">
        <v>238</v>
      </c>
      <c r="B13" s="1097"/>
      <c r="C13" s="1087" t="s">
        <v>68</v>
      </c>
      <c r="D13" s="1087"/>
      <c r="F13" s="383">
        <f>F12+1</f>
        <v>2</v>
      </c>
      <c r="G13" s="384">
        <f t="shared" si="3"/>
        <v>43059</v>
      </c>
      <c r="H13" s="340">
        <f t="shared" si="4"/>
        <v>3512.47</v>
      </c>
      <c r="I13" s="340">
        <f t="shared" si="5"/>
        <v>2522.4699999999998</v>
      </c>
      <c r="J13" s="340">
        <f t="shared" ref="J13:J76" si="12">IF($C$14&gt;$G$7,ROUND(V12*$C$22/(M13-L13)*(G13-G12),2),ROUND(V11*$C$22/(M12-L12)*(G12-G11),2))</f>
        <v>2522.4699999999998</v>
      </c>
      <c r="K13" s="340">
        <f t="shared" ref="K13:K76" si="13">IF($C$14&gt;$G$7,ROUND(V12*$C$22/(M13-L13)*(G13-L13+1),2)+ROUND(V12*$C$22/(L13-N13)*(L13-G12-1),2),ROUND(V11*$C$22/(M12-L12)*(G12-L12),2)+ROUND(V11*$C$22/(L12-N12)*(L12-G11),2))</f>
        <v>2587.6100000000006</v>
      </c>
      <c r="L13" s="382">
        <f>DATEVALUE(CONCATENATE("01/01/",YEAR(G13)))</f>
        <v>42736</v>
      </c>
      <c r="M13" s="382">
        <f>DATEVALUE(CONCATENATE("01/01/",YEAR(G13)+1))</f>
        <v>43101</v>
      </c>
      <c r="N13" s="382">
        <f>DATEVALUE(CONCATENATE("01/01/",YEAR(G13)-1))</f>
        <v>42370</v>
      </c>
      <c r="O13" s="340">
        <f t="shared" si="6"/>
        <v>0</v>
      </c>
      <c r="P13" s="340">
        <f>IF(R13&gt;$C$21,$C$21-I13,IF(X13=0,0,S13))</f>
        <v>990</v>
      </c>
      <c r="Q13" s="340">
        <f>S12-P12</f>
        <v>0</v>
      </c>
      <c r="R13" s="340">
        <f t="shared" si="7"/>
        <v>3512.47</v>
      </c>
      <c r="S13" s="340">
        <f>IF(X13=0,0,$D$23)+Q13</f>
        <v>990</v>
      </c>
      <c r="T13" s="340">
        <f t="shared" si="8"/>
        <v>990</v>
      </c>
      <c r="U13" s="340">
        <f t="shared" ref="U13:U76" si="14">IF(AND(F13&lt;$I$7-3,MOD(F13,$C$12)=0),1,0)</f>
        <v>0</v>
      </c>
      <c r="V13" s="340">
        <f t="shared" si="9"/>
        <v>300000</v>
      </c>
      <c r="W13" s="198">
        <f>IF((W12-1)&lt;0,0,W12-1)</f>
        <v>62</v>
      </c>
      <c r="X13" s="36">
        <f t="shared" ref="X13:X75" si="15">IF(ISERR(CEILING(FLOOR(NPER($C$22/12,-$N$4,V12),0.1),1))=TRUE,0,CEILING(FLOOR(NPER($C$22/12,-$N$4,V12),0.1),1))</f>
        <v>14</v>
      </c>
      <c r="Z13" s="34">
        <f t="shared" si="10"/>
        <v>2522.4699999999998</v>
      </c>
      <c r="AA13" s="57">
        <f t="shared" si="11"/>
        <v>43728</v>
      </c>
      <c r="AB13" s="96"/>
      <c r="AC13" s="96"/>
      <c r="AD13" s="96"/>
      <c r="AE13" s="96"/>
      <c r="AF13" s="96"/>
      <c r="AG13" s="96"/>
      <c r="AH13" s="96"/>
      <c r="AI13" s="96"/>
      <c r="AJ13" s="2"/>
      <c r="AM13" s="2"/>
    </row>
    <row r="14" spans="1:47" ht="18" customHeight="1" x14ac:dyDescent="0.25">
      <c r="A14" s="1097" t="s">
        <v>239</v>
      </c>
      <c r="B14" s="1097"/>
      <c r="C14" s="1088">
        <v>42998</v>
      </c>
      <c r="D14" s="1088"/>
      <c r="F14" s="383">
        <f t="shared" ref="F14:F77" si="16">F13+1</f>
        <v>3</v>
      </c>
      <c r="G14" s="384">
        <f t="shared" si="3"/>
        <v>43089</v>
      </c>
      <c r="H14" s="340">
        <f t="shared" si="4"/>
        <v>3431.1</v>
      </c>
      <c r="I14" s="340">
        <f t="shared" si="5"/>
        <v>2441.1</v>
      </c>
      <c r="J14" s="340">
        <f t="shared" si="12"/>
        <v>2441.1</v>
      </c>
      <c r="K14" s="340">
        <f t="shared" si="13"/>
        <v>2513.130000000001</v>
      </c>
      <c r="L14" s="382">
        <f t="shared" ref="L14:L77" si="17">DATEVALUE(CONCATENATE("01/01/",YEAR(G14)))</f>
        <v>42736</v>
      </c>
      <c r="M14" s="382">
        <f t="shared" ref="M14:M77" si="18">DATEVALUE(CONCATENATE("01/01/",YEAR(G14)+1))</f>
        <v>43101</v>
      </c>
      <c r="N14" s="382">
        <f t="shared" ref="N14:N77" si="19">DATEVALUE(CONCATENATE("01/01/",YEAR(G14)-1))</f>
        <v>42370</v>
      </c>
      <c r="O14" s="340">
        <f t="shared" si="6"/>
        <v>0</v>
      </c>
      <c r="P14" s="340">
        <f>IF(R14&gt;$C$21,$C$21-I14,IF(X14=0,0,S14))</f>
        <v>990</v>
      </c>
      <c r="Q14" s="340">
        <f t="shared" ref="Q14:Q77" si="20">S13-P13</f>
        <v>0</v>
      </c>
      <c r="R14" s="340">
        <f t="shared" si="7"/>
        <v>3431.1</v>
      </c>
      <c r="S14" s="340">
        <f>IF(X14=0,0,$D$23)+Q14</f>
        <v>990</v>
      </c>
      <c r="T14" s="340">
        <f t="shared" si="8"/>
        <v>990</v>
      </c>
      <c r="U14" s="340">
        <f t="shared" si="14"/>
        <v>0</v>
      </c>
      <c r="V14" s="340">
        <f t="shared" si="9"/>
        <v>300000</v>
      </c>
      <c r="W14" s="198">
        <f t="shared" ref="W14:W77" si="21">IF((W13-1)&lt;0,0,W13-1)</f>
        <v>61</v>
      </c>
      <c r="X14" s="36">
        <f t="shared" si="15"/>
        <v>14</v>
      </c>
      <c r="Z14" s="34">
        <f t="shared" si="10"/>
        <v>2441.1</v>
      </c>
      <c r="AA14" s="57">
        <f t="shared" si="11"/>
        <v>44093</v>
      </c>
      <c r="AB14" s="96"/>
      <c r="AC14" s="96"/>
      <c r="AD14" s="96"/>
      <c r="AE14" s="96"/>
      <c r="AF14" s="96"/>
      <c r="AG14" s="96"/>
      <c r="AH14" s="96"/>
      <c r="AI14" s="96"/>
      <c r="AJ14" s="2"/>
      <c r="AM14" s="2"/>
    </row>
    <row r="15" spans="1:47" ht="18" customHeight="1" x14ac:dyDescent="0.25">
      <c r="A15" s="1097" t="s">
        <v>240</v>
      </c>
      <c r="B15" s="1097"/>
      <c r="C15" s="1096">
        <v>48</v>
      </c>
      <c r="D15" s="1096"/>
      <c r="F15" s="383">
        <f t="shared" si="16"/>
        <v>4</v>
      </c>
      <c r="G15" s="384">
        <f t="shared" si="3"/>
        <v>43120</v>
      </c>
      <c r="H15" s="340">
        <f t="shared" si="4"/>
        <v>3512.4700000000003</v>
      </c>
      <c r="I15" s="340">
        <f t="shared" si="5"/>
        <v>2522.4700000000003</v>
      </c>
      <c r="J15" s="340">
        <f t="shared" si="12"/>
        <v>2522.4699999999998</v>
      </c>
      <c r="K15" s="340">
        <f t="shared" si="13"/>
        <v>2522.4700000000003</v>
      </c>
      <c r="L15" s="382">
        <f t="shared" si="17"/>
        <v>43101</v>
      </c>
      <c r="M15" s="382">
        <f t="shared" si="18"/>
        <v>43466</v>
      </c>
      <c r="N15" s="382">
        <f t="shared" si="19"/>
        <v>42736</v>
      </c>
      <c r="O15" s="340">
        <f t="shared" si="6"/>
        <v>0</v>
      </c>
      <c r="P15" s="340">
        <f>IF(R15&gt;$C$21,$C$21-I15,IF(X15=0,0,S15))</f>
        <v>990</v>
      </c>
      <c r="Q15" s="340">
        <f t="shared" si="20"/>
        <v>0</v>
      </c>
      <c r="R15" s="340">
        <f t="shared" si="7"/>
        <v>3512.4700000000003</v>
      </c>
      <c r="S15" s="340">
        <f>IF(X15=0,0,$D$23)+Q15</f>
        <v>990</v>
      </c>
      <c r="T15" s="340">
        <f t="shared" si="8"/>
        <v>990</v>
      </c>
      <c r="U15" s="340">
        <f t="shared" si="14"/>
        <v>1</v>
      </c>
      <c r="V15" s="340">
        <f t="shared" si="9"/>
        <v>600000</v>
      </c>
      <c r="W15" s="198">
        <f t="shared" si="21"/>
        <v>60</v>
      </c>
      <c r="X15" s="36">
        <f t="shared" si="15"/>
        <v>14</v>
      </c>
      <c r="Y15" s="97"/>
      <c r="Z15" s="34">
        <f t="shared" si="10"/>
        <v>2522.4700000000003</v>
      </c>
      <c r="AA15" s="57">
        <f t="shared" si="11"/>
        <v>44458</v>
      </c>
      <c r="AB15" s="96"/>
      <c r="AC15" s="96"/>
      <c r="AD15" s="96"/>
      <c r="AE15" s="96"/>
      <c r="AF15" s="96"/>
      <c r="AG15" s="96"/>
      <c r="AH15" s="96"/>
      <c r="AI15" s="96"/>
      <c r="AJ15" s="2"/>
      <c r="AM15" s="2"/>
    </row>
    <row r="16" spans="1:47" ht="18" customHeight="1" x14ac:dyDescent="0.25">
      <c r="A16" s="1097" t="s">
        <v>234</v>
      </c>
      <c r="B16" s="1097"/>
      <c r="C16" s="1096" t="s">
        <v>60</v>
      </c>
      <c r="D16" s="1096"/>
      <c r="F16" s="383">
        <f>F15+1</f>
        <v>5</v>
      </c>
      <c r="G16" s="384">
        <f t="shared" si="3"/>
        <v>43151</v>
      </c>
      <c r="H16" s="340">
        <f t="shared" si="4"/>
        <v>6034.93</v>
      </c>
      <c r="I16" s="340">
        <f t="shared" si="5"/>
        <v>5044.93</v>
      </c>
      <c r="J16" s="340">
        <f t="shared" si="12"/>
        <v>5044.93</v>
      </c>
      <c r="K16" s="340">
        <f t="shared" si="13"/>
        <v>5044.9399999999996</v>
      </c>
      <c r="L16" s="382">
        <f t="shared" si="17"/>
        <v>43101</v>
      </c>
      <c r="M16" s="382">
        <f t="shared" si="18"/>
        <v>43466</v>
      </c>
      <c r="N16" s="382">
        <f t="shared" si="19"/>
        <v>42736</v>
      </c>
      <c r="O16" s="340">
        <f t="shared" si="6"/>
        <v>0</v>
      </c>
      <c r="P16" s="340">
        <f>IF(R16&gt;$C$21,$C$21-I16,IF(X16=0,0,S16))</f>
        <v>990</v>
      </c>
      <c r="Q16" s="340">
        <f t="shared" si="20"/>
        <v>0</v>
      </c>
      <c r="R16" s="340">
        <f t="shared" si="7"/>
        <v>6034.93</v>
      </c>
      <c r="S16" s="340">
        <f>IF(X16=0,0,$D$23)+Q16</f>
        <v>990</v>
      </c>
      <c r="T16" s="340">
        <f t="shared" si="8"/>
        <v>990</v>
      </c>
      <c r="U16" s="340">
        <f t="shared" si="14"/>
        <v>0</v>
      </c>
      <c r="V16" s="340">
        <f t="shared" si="9"/>
        <v>600000</v>
      </c>
      <c r="W16" s="198">
        <f>IF((W15-1)&lt;0,0,W15-1)</f>
        <v>59</v>
      </c>
      <c r="X16" s="36">
        <f t="shared" si="15"/>
        <v>30</v>
      </c>
      <c r="Y16" s="16"/>
      <c r="Z16" s="34">
        <f t="shared" si="10"/>
        <v>5044.93</v>
      </c>
      <c r="AA16" s="57">
        <f t="shared" si="11"/>
        <v>44823</v>
      </c>
      <c r="AB16" s="96"/>
      <c r="AC16" s="96"/>
      <c r="AD16" s="96"/>
      <c r="AE16" s="96"/>
      <c r="AF16" s="96"/>
      <c r="AG16" s="96"/>
      <c r="AH16" s="96"/>
      <c r="AI16" s="96"/>
      <c r="AJ16" s="2"/>
      <c r="AM16" s="2"/>
    </row>
    <row r="17" spans="1:39" ht="25.95" customHeight="1" x14ac:dyDescent="0.25">
      <c r="A17" s="959" t="s">
        <v>19</v>
      </c>
      <c r="B17" s="959"/>
      <c r="C17" s="959"/>
      <c r="D17" s="959"/>
      <c r="F17" s="383">
        <f>F16+1</f>
        <v>6</v>
      </c>
      <c r="G17" s="384">
        <f t="shared" si="3"/>
        <v>43179</v>
      </c>
      <c r="H17" s="340">
        <f t="shared" si="4"/>
        <v>5546.71</v>
      </c>
      <c r="I17" s="340">
        <f t="shared" si="5"/>
        <v>4556.71</v>
      </c>
      <c r="J17" s="340">
        <f t="shared" si="12"/>
        <v>4556.71</v>
      </c>
      <c r="K17" s="340">
        <f t="shared" si="13"/>
        <v>4556.7100000000009</v>
      </c>
      <c r="L17" s="382">
        <f t="shared" si="17"/>
        <v>43101</v>
      </c>
      <c r="M17" s="382">
        <f t="shared" si="18"/>
        <v>43466</v>
      </c>
      <c r="N17" s="382">
        <f t="shared" si="19"/>
        <v>42736</v>
      </c>
      <c r="O17" s="340">
        <f>IF(W17=0,0,IF(W17=1,V16,IF(V16+P17+I17&gt;H16,H17-I17-P17,V16)))</f>
        <v>0</v>
      </c>
      <c r="P17" s="340">
        <f>IF(R17&gt;$C$21,$C$21-I17,IF(X17=0,0,S17))</f>
        <v>990</v>
      </c>
      <c r="Q17" s="340">
        <f t="shared" si="20"/>
        <v>0</v>
      </c>
      <c r="R17" s="340">
        <f t="shared" si="7"/>
        <v>5546.71</v>
      </c>
      <c r="S17" s="340">
        <f t="shared" ref="S17:S80" si="22">IF(X17=0,0,$D$23)</f>
        <v>990</v>
      </c>
      <c r="T17" s="340">
        <f t="shared" si="8"/>
        <v>990</v>
      </c>
      <c r="U17" s="340">
        <f t="shared" si="14"/>
        <v>0</v>
      </c>
      <c r="V17" s="340">
        <f>IF(OR(W17=1,V16=0),0,V16-O17)+U17*$C$10</f>
        <v>600000</v>
      </c>
      <c r="W17" s="198">
        <f>IF((W16-1)&lt;0,0,W16-1)</f>
        <v>58</v>
      </c>
      <c r="X17" s="36">
        <f t="shared" si="15"/>
        <v>30</v>
      </c>
      <c r="Z17" s="34">
        <f t="shared" si="10"/>
        <v>4556.71</v>
      </c>
      <c r="AA17" s="57">
        <f t="shared" si="11"/>
        <v>45188</v>
      </c>
      <c r="AB17" s="96"/>
      <c r="AC17" s="96"/>
      <c r="AD17" s="96"/>
      <c r="AE17" s="96"/>
      <c r="AF17" s="96"/>
      <c r="AG17" s="96"/>
      <c r="AH17" s="96"/>
      <c r="AI17" s="96"/>
      <c r="AJ17" s="2"/>
      <c r="AM17" s="2"/>
    </row>
    <row r="18" spans="1:39" ht="18" customHeight="1" x14ac:dyDescent="0.3">
      <c r="A18" s="1100" t="s">
        <v>9</v>
      </c>
      <c r="B18" s="1101"/>
      <c r="C18" s="1083">
        <f>IF(C10*C11&lt;F5,"&lt; мин",IF(C10*C11&gt;F6,"&gt; мах",C10*C11))</f>
        <v>900000</v>
      </c>
      <c r="D18" s="1083"/>
      <c r="F18" s="383">
        <f t="shared" si="16"/>
        <v>7</v>
      </c>
      <c r="G18" s="384">
        <f t="shared" si="3"/>
        <v>43210</v>
      </c>
      <c r="H18" s="340">
        <f t="shared" si="4"/>
        <v>6034.93</v>
      </c>
      <c r="I18" s="340">
        <f t="shared" si="5"/>
        <v>5044.93</v>
      </c>
      <c r="J18" s="340">
        <f t="shared" si="12"/>
        <v>5044.93</v>
      </c>
      <c r="K18" s="340">
        <f t="shared" si="13"/>
        <v>5044.9299999999985</v>
      </c>
      <c r="L18" s="382">
        <f t="shared" si="17"/>
        <v>43101</v>
      </c>
      <c r="M18" s="382">
        <f t="shared" si="18"/>
        <v>43466</v>
      </c>
      <c r="N18" s="382">
        <f t="shared" si="19"/>
        <v>42736</v>
      </c>
      <c r="O18" s="340">
        <f t="shared" si="6"/>
        <v>0</v>
      </c>
      <c r="P18" s="340">
        <f>IF(R18&gt;$C$21,$C$21-I18,IF(W18=0,0,S18))</f>
        <v>990</v>
      </c>
      <c r="Q18" s="340">
        <f t="shared" si="20"/>
        <v>0</v>
      </c>
      <c r="R18" s="340">
        <f t="shared" si="7"/>
        <v>6034.93</v>
      </c>
      <c r="S18" s="340">
        <f t="shared" si="22"/>
        <v>990</v>
      </c>
      <c r="T18" s="340">
        <f t="shared" si="8"/>
        <v>990</v>
      </c>
      <c r="U18" s="340">
        <f t="shared" si="14"/>
        <v>0</v>
      </c>
      <c r="V18" s="340">
        <f t="shared" si="9"/>
        <v>600000</v>
      </c>
      <c r="W18" s="198">
        <f t="shared" si="21"/>
        <v>57</v>
      </c>
      <c r="X18" s="36">
        <f t="shared" si="15"/>
        <v>30</v>
      </c>
      <c r="Z18" s="34">
        <f t="shared" si="10"/>
        <v>5044.93</v>
      </c>
      <c r="AA18" s="57">
        <f t="shared" si="11"/>
        <v>45553</v>
      </c>
      <c r="AB18" s="96"/>
      <c r="AC18" s="96"/>
      <c r="AD18" s="96"/>
      <c r="AE18" s="96"/>
      <c r="AF18" s="96"/>
      <c r="AG18" s="96"/>
      <c r="AH18" s="96"/>
      <c r="AI18" s="96"/>
      <c r="AJ18" s="2"/>
      <c r="AM18" s="2"/>
    </row>
    <row r="19" spans="1:39" ht="18" customHeight="1" x14ac:dyDescent="0.3">
      <c r="A19" s="1101" t="s">
        <v>241</v>
      </c>
      <c r="B19" s="1101"/>
      <c r="C19" s="1084">
        <f>C18</f>
        <v>900000</v>
      </c>
      <c r="D19" s="1084"/>
      <c r="F19" s="383">
        <f t="shared" si="16"/>
        <v>8</v>
      </c>
      <c r="G19" s="384">
        <f t="shared" si="3"/>
        <v>43240</v>
      </c>
      <c r="H19" s="340">
        <f t="shared" si="4"/>
        <v>5872.19</v>
      </c>
      <c r="I19" s="340">
        <f t="shared" si="5"/>
        <v>4882.1899999999996</v>
      </c>
      <c r="J19" s="340">
        <f t="shared" si="12"/>
        <v>4882.1899999999996</v>
      </c>
      <c r="K19" s="340">
        <f t="shared" si="13"/>
        <v>4882.1900000000023</v>
      </c>
      <c r="L19" s="382">
        <f t="shared" si="17"/>
        <v>43101</v>
      </c>
      <c r="M19" s="382">
        <f t="shared" si="18"/>
        <v>43466</v>
      </c>
      <c r="N19" s="382">
        <f t="shared" si="19"/>
        <v>42736</v>
      </c>
      <c r="O19" s="340">
        <f t="shared" si="6"/>
        <v>0</v>
      </c>
      <c r="P19" s="340">
        <f t="shared" ref="P19:P50" si="23">IF(R19&gt;$C$21,$C$21-I19,IF(X19=0,0,S19))</f>
        <v>990</v>
      </c>
      <c r="Q19" s="340">
        <f t="shared" si="20"/>
        <v>0</v>
      </c>
      <c r="R19" s="340">
        <f t="shared" si="7"/>
        <v>5872.19</v>
      </c>
      <c r="S19" s="340">
        <f t="shared" si="22"/>
        <v>990</v>
      </c>
      <c r="T19" s="340">
        <f t="shared" si="8"/>
        <v>990</v>
      </c>
      <c r="U19" s="340">
        <f t="shared" si="14"/>
        <v>1</v>
      </c>
      <c r="V19" s="340">
        <f t="shared" si="9"/>
        <v>900000</v>
      </c>
      <c r="W19" s="198">
        <f t="shared" si="21"/>
        <v>56</v>
      </c>
      <c r="X19" s="36">
        <f t="shared" si="15"/>
        <v>30</v>
      </c>
      <c r="Z19" s="34">
        <f t="shared" si="10"/>
        <v>4882.1899999999996</v>
      </c>
      <c r="AA19" s="57">
        <f t="shared" si="11"/>
        <v>45918</v>
      </c>
      <c r="AB19" s="96"/>
      <c r="AC19" s="96"/>
      <c r="AD19" s="96"/>
      <c r="AE19" s="96"/>
      <c r="AF19" s="96"/>
      <c r="AG19" s="96"/>
      <c r="AH19" s="96"/>
      <c r="AI19" s="96"/>
      <c r="AJ19" s="2"/>
      <c r="AM19" s="2"/>
    </row>
    <row r="20" spans="1:39" ht="18" customHeight="1" x14ac:dyDescent="0.3">
      <c r="A20" s="1101" t="s">
        <v>242</v>
      </c>
      <c r="B20" s="1101"/>
      <c r="C20" s="1103">
        <f>C11*C12+3+C15</f>
        <v>63</v>
      </c>
      <c r="D20" s="1103"/>
      <c r="F20" s="383">
        <f t="shared" si="16"/>
        <v>9</v>
      </c>
      <c r="G20" s="384">
        <f t="shared" si="3"/>
        <v>43271</v>
      </c>
      <c r="H20" s="340">
        <f t="shared" si="4"/>
        <v>8557.4</v>
      </c>
      <c r="I20" s="340">
        <f t="shared" si="5"/>
        <v>7567.4</v>
      </c>
      <c r="J20" s="340">
        <f t="shared" si="12"/>
        <v>7567.4</v>
      </c>
      <c r="K20" s="340">
        <f t="shared" si="13"/>
        <v>7567.4000000000015</v>
      </c>
      <c r="L20" s="382">
        <f t="shared" si="17"/>
        <v>43101</v>
      </c>
      <c r="M20" s="382">
        <f t="shared" si="18"/>
        <v>43466</v>
      </c>
      <c r="N20" s="382">
        <f t="shared" si="19"/>
        <v>42736</v>
      </c>
      <c r="O20" s="340">
        <f t="shared" si="6"/>
        <v>0</v>
      </c>
      <c r="P20" s="340">
        <f t="shared" si="23"/>
        <v>990</v>
      </c>
      <c r="Q20" s="340">
        <f t="shared" si="20"/>
        <v>0</v>
      </c>
      <c r="R20" s="340">
        <f t="shared" si="7"/>
        <v>8557.4</v>
      </c>
      <c r="S20" s="340">
        <f t="shared" si="22"/>
        <v>990</v>
      </c>
      <c r="T20" s="340">
        <f t="shared" si="8"/>
        <v>990</v>
      </c>
      <c r="U20" s="340">
        <f t="shared" si="14"/>
        <v>0</v>
      </c>
      <c r="V20" s="340">
        <f t="shared" si="9"/>
        <v>900000</v>
      </c>
      <c r="W20" s="198">
        <f t="shared" si="21"/>
        <v>55</v>
      </c>
      <c r="X20" s="36">
        <f t="shared" si="15"/>
        <v>48</v>
      </c>
      <c r="Z20" s="34">
        <f t="shared" si="10"/>
        <v>7567.4</v>
      </c>
      <c r="AA20" s="57">
        <f t="shared" si="11"/>
        <v>46283</v>
      </c>
      <c r="AB20" s="96"/>
      <c r="AC20" s="96"/>
      <c r="AD20" s="96"/>
      <c r="AE20" s="96"/>
      <c r="AF20" s="96"/>
      <c r="AG20" s="96"/>
      <c r="AH20" s="96"/>
      <c r="AI20" s="96"/>
      <c r="AJ20" s="2"/>
      <c r="AM20" s="2"/>
    </row>
    <row r="21" spans="1:39" ht="18" customHeight="1" x14ac:dyDescent="0.3">
      <c r="A21" s="1101" t="s">
        <v>243</v>
      </c>
      <c r="B21" s="1101"/>
      <c r="C21" s="1104">
        <f>ROUNDUP(($N$4+$D$23)/H3,0)*H3</f>
        <v>23800</v>
      </c>
      <c r="D21" s="1104"/>
      <c r="F21" s="383">
        <f t="shared" si="16"/>
        <v>10</v>
      </c>
      <c r="G21" s="384">
        <f t="shared" si="3"/>
        <v>43301</v>
      </c>
      <c r="H21" s="340">
        <f t="shared" si="4"/>
        <v>8313.2900000000009</v>
      </c>
      <c r="I21" s="340">
        <f t="shared" si="5"/>
        <v>7323.29</v>
      </c>
      <c r="J21" s="340">
        <f t="shared" si="12"/>
        <v>7323.29</v>
      </c>
      <c r="K21" s="340">
        <f t="shared" si="13"/>
        <v>7323.2900000000009</v>
      </c>
      <c r="L21" s="382">
        <f t="shared" si="17"/>
        <v>43101</v>
      </c>
      <c r="M21" s="382">
        <f t="shared" si="18"/>
        <v>43466</v>
      </c>
      <c r="N21" s="382">
        <f t="shared" si="19"/>
        <v>42736</v>
      </c>
      <c r="O21" s="340">
        <f t="shared" si="6"/>
        <v>9.0949470177292824E-13</v>
      </c>
      <c r="P21" s="340">
        <f t="shared" si="23"/>
        <v>990</v>
      </c>
      <c r="Q21" s="340">
        <f t="shared" si="20"/>
        <v>0</v>
      </c>
      <c r="R21" s="340">
        <f t="shared" si="7"/>
        <v>8313.2900000000009</v>
      </c>
      <c r="S21" s="340">
        <f t="shared" si="22"/>
        <v>990</v>
      </c>
      <c r="T21" s="340">
        <f t="shared" si="8"/>
        <v>990</v>
      </c>
      <c r="U21" s="340">
        <f t="shared" si="14"/>
        <v>0</v>
      </c>
      <c r="V21" s="340">
        <f t="shared" si="9"/>
        <v>900000</v>
      </c>
      <c r="W21" s="198">
        <f t="shared" si="21"/>
        <v>54</v>
      </c>
      <c r="X21" s="36">
        <f t="shared" si="15"/>
        <v>48</v>
      </c>
      <c r="Z21" s="34">
        <f t="shared" si="10"/>
        <v>7323.2900000000009</v>
      </c>
      <c r="AA21" s="57">
        <f t="shared" si="11"/>
        <v>46648</v>
      </c>
      <c r="AB21" s="96"/>
      <c r="AC21" s="96"/>
      <c r="AD21" s="96"/>
      <c r="AE21" s="96"/>
      <c r="AF21" s="96"/>
      <c r="AG21" s="96"/>
      <c r="AH21" s="96"/>
      <c r="AI21" s="96"/>
      <c r="AJ21" s="2"/>
      <c r="AM21" s="2"/>
    </row>
    <row r="22" spans="1:39" ht="18" customHeight="1" x14ac:dyDescent="0.3">
      <c r="A22" s="1101" t="s">
        <v>2</v>
      </c>
      <c r="B22" s="1101"/>
      <c r="C22" s="1105">
        <v>9.9000000000000005E-2</v>
      </c>
      <c r="D22" s="1105"/>
      <c r="F22" s="383">
        <f t="shared" si="16"/>
        <v>11</v>
      </c>
      <c r="G22" s="384">
        <f t="shared" si="3"/>
        <v>43332</v>
      </c>
      <c r="H22" s="340">
        <f t="shared" si="4"/>
        <v>8557.4</v>
      </c>
      <c r="I22" s="340">
        <f t="shared" si="5"/>
        <v>7567.4</v>
      </c>
      <c r="J22" s="340">
        <f t="shared" si="12"/>
        <v>7567.4</v>
      </c>
      <c r="K22" s="340">
        <f t="shared" si="13"/>
        <v>7567.3899999999994</v>
      </c>
      <c r="L22" s="382">
        <f t="shared" si="17"/>
        <v>43101</v>
      </c>
      <c r="M22" s="382">
        <f t="shared" si="18"/>
        <v>43466</v>
      </c>
      <c r="N22" s="382">
        <f t="shared" si="19"/>
        <v>42736</v>
      </c>
      <c r="O22" s="340">
        <f t="shared" si="6"/>
        <v>0</v>
      </c>
      <c r="P22" s="340">
        <f t="shared" si="23"/>
        <v>990</v>
      </c>
      <c r="Q22" s="340">
        <f t="shared" si="20"/>
        <v>0</v>
      </c>
      <c r="R22" s="340">
        <f t="shared" si="7"/>
        <v>8557.4</v>
      </c>
      <c r="S22" s="340">
        <f t="shared" si="22"/>
        <v>990</v>
      </c>
      <c r="T22" s="340">
        <f t="shared" si="8"/>
        <v>990</v>
      </c>
      <c r="U22" s="340">
        <f t="shared" si="14"/>
        <v>0</v>
      </c>
      <c r="V22" s="340">
        <f t="shared" si="9"/>
        <v>900000</v>
      </c>
      <c r="W22" s="198">
        <f t="shared" si="21"/>
        <v>53</v>
      </c>
      <c r="X22" s="36">
        <f t="shared" si="15"/>
        <v>48</v>
      </c>
      <c r="Z22" s="34">
        <f t="shared" si="10"/>
        <v>7567.4</v>
      </c>
      <c r="AA22" s="57">
        <f t="shared" si="11"/>
        <v>47013</v>
      </c>
      <c r="AB22" s="96"/>
      <c r="AC22" s="96"/>
      <c r="AD22" s="96"/>
      <c r="AE22" s="96"/>
      <c r="AF22" s="96"/>
      <c r="AG22" s="96"/>
      <c r="AH22" s="96"/>
      <c r="AI22" s="96"/>
      <c r="AJ22" s="2"/>
      <c r="AM22" s="2"/>
    </row>
    <row r="23" spans="1:39" ht="18" customHeight="1" x14ac:dyDescent="0.3">
      <c r="A23" s="1101" t="s">
        <v>83</v>
      </c>
      <c r="B23" s="1101"/>
      <c r="C23" s="375">
        <f>IF(C13=O6,O7,IF(C13=P6,P7,P6))</f>
        <v>1E-3</v>
      </c>
      <c r="D23" s="376">
        <f>ROUNDUP($C$18*110%*$C$23,2)</f>
        <v>990</v>
      </c>
      <c r="F23" s="383">
        <f t="shared" si="16"/>
        <v>12</v>
      </c>
      <c r="G23" s="384">
        <f t="shared" si="3"/>
        <v>43363</v>
      </c>
      <c r="H23" s="340">
        <f t="shared" si="4"/>
        <v>8557.4</v>
      </c>
      <c r="I23" s="340">
        <f t="shared" si="5"/>
        <v>7567.4</v>
      </c>
      <c r="J23" s="340">
        <f t="shared" si="12"/>
        <v>7567.4</v>
      </c>
      <c r="K23" s="340">
        <f t="shared" si="13"/>
        <v>7567.4000000000015</v>
      </c>
      <c r="L23" s="382">
        <f t="shared" si="17"/>
        <v>43101</v>
      </c>
      <c r="M23" s="382">
        <f t="shared" si="18"/>
        <v>43466</v>
      </c>
      <c r="N23" s="382">
        <f t="shared" si="19"/>
        <v>42736</v>
      </c>
      <c r="O23" s="340">
        <f t="shared" si="6"/>
        <v>0</v>
      </c>
      <c r="P23" s="340">
        <f t="shared" si="23"/>
        <v>990</v>
      </c>
      <c r="Q23" s="340">
        <f t="shared" si="20"/>
        <v>0</v>
      </c>
      <c r="R23" s="340">
        <f t="shared" si="7"/>
        <v>8557.4</v>
      </c>
      <c r="S23" s="340">
        <f t="shared" si="22"/>
        <v>990</v>
      </c>
      <c r="T23" s="340">
        <f t="shared" si="8"/>
        <v>990</v>
      </c>
      <c r="U23" s="340">
        <f t="shared" si="14"/>
        <v>0</v>
      </c>
      <c r="V23" s="340">
        <f>IF(OR(W23=1,V22=0),0,V22-O23)+U23*$C$10</f>
        <v>900000</v>
      </c>
      <c r="W23" s="198">
        <f t="shared" si="21"/>
        <v>52</v>
      </c>
      <c r="X23" s="36">
        <f t="shared" si="15"/>
        <v>48</v>
      </c>
      <c r="Z23" s="34">
        <f t="shared" si="10"/>
        <v>7567.4</v>
      </c>
      <c r="AA23" s="57">
        <f t="shared" si="11"/>
        <v>47378</v>
      </c>
      <c r="AB23" s="96"/>
      <c r="AC23" s="96"/>
      <c r="AD23" s="96"/>
      <c r="AE23" s="96"/>
      <c r="AF23" s="96"/>
      <c r="AG23" s="96"/>
      <c r="AH23" s="96"/>
      <c r="AI23" s="96"/>
      <c r="AJ23" s="2"/>
      <c r="AM23" s="2"/>
    </row>
    <row r="24" spans="1:39" ht="18" customHeight="1" thickBot="1" x14ac:dyDescent="0.35">
      <c r="A24" s="1102" t="s">
        <v>67</v>
      </c>
      <c r="B24" s="1102"/>
      <c r="C24" s="377">
        <f>IF($J$6&lt;C22,C22,$J$6)</f>
        <v>0.51606941652657401</v>
      </c>
      <c r="D24" s="378">
        <f>H192</f>
        <v>1237325.1700000002</v>
      </c>
      <c r="F24" s="383">
        <f t="shared" si="16"/>
        <v>13</v>
      </c>
      <c r="G24" s="384">
        <f t="shared" si="3"/>
        <v>43393</v>
      </c>
      <c r="H24" s="340">
        <f t="shared" si="4"/>
        <v>8313.2900000000009</v>
      </c>
      <c r="I24" s="340">
        <f>IF($C$14&gt;$G$7,IF(L24=L23,J24,K24),IF(L23=L22,J24,K24))</f>
        <v>7323.29</v>
      </c>
      <c r="J24" s="340">
        <f>IF($C$14&gt;$G$7,ROUND(V23*$C$22/(M24-L24)*(G24-G23),2),ROUND(V22*$C$22/(M23-L23)*(G23-G22),2))</f>
        <v>7323.29</v>
      </c>
      <c r="K24" s="340">
        <f t="shared" si="13"/>
        <v>7323.2900000000009</v>
      </c>
      <c r="L24" s="382">
        <f t="shared" si="17"/>
        <v>43101</v>
      </c>
      <c r="M24" s="382">
        <f t="shared" si="18"/>
        <v>43466</v>
      </c>
      <c r="N24" s="382">
        <f t="shared" si="19"/>
        <v>42736</v>
      </c>
      <c r="O24" s="340">
        <f t="shared" si="6"/>
        <v>9.0949470177292824E-13</v>
      </c>
      <c r="P24" s="340">
        <f t="shared" si="23"/>
        <v>990</v>
      </c>
      <c r="Q24" s="340">
        <f t="shared" si="20"/>
        <v>0</v>
      </c>
      <c r="R24" s="340">
        <f t="shared" si="7"/>
        <v>8313.2900000000009</v>
      </c>
      <c r="S24" s="340">
        <f t="shared" si="22"/>
        <v>990</v>
      </c>
      <c r="T24" s="340">
        <f t="shared" si="8"/>
        <v>990</v>
      </c>
      <c r="U24" s="340">
        <f t="shared" si="14"/>
        <v>0</v>
      </c>
      <c r="V24" s="340">
        <f t="shared" si="9"/>
        <v>900000</v>
      </c>
      <c r="W24" s="198">
        <f t="shared" si="21"/>
        <v>51</v>
      </c>
      <c r="X24" s="36">
        <f t="shared" si="15"/>
        <v>48</v>
      </c>
      <c r="Z24" s="34">
        <f t="shared" si="10"/>
        <v>7323.2900000000009</v>
      </c>
      <c r="AA24" s="57">
        <f t="shared" si="11"/>
        <v>47743</v>
      </c>
      <c r="AB24" s="96"/>
      <c r="AC24" s="96"/>
      <c r="AD24" s="96"/>
      <c r="AE24" s="96"/>
      <c r="AF24" s="96"/>
      <c r="AG24" s="96"/>
      <c r="AH24" s="96"/>
      <c r="AI24" s="96"/>
      <c r="AJ24" s="2"/>
      <c r="AM24" s="2"/>
    </row>
    <row r="25" spans="1:39" ht="12" x14ac:dyDescent="0.25">
      <c r="C25" s="16"/>
      <c r="D25" s="2"/>
      <c r="F25" s="383">
        <f t="shared" si="16"/>
        <v>14</v>
      </c>
      <c r="G25" s="384">
        <f t="shared" si="3"/>
        <v>43424</v>
      </c>
      <c r="H25" s="340">
        <f t="shared" si="4"/>
        <v>8557.4</v>
      </c>
      <c r="I25" s="340">
        <f t="shared" si="5"/>
        <v>7567.4</v>
      </c>
      <c r="J25" s="340">
        <f t="shared" si="12"/>
        <v>7567.4</v>
      </c>
      <c r="K25" s="340">
        <f t="shared" si="13"/>
        <v>7567.3999999999942</v>
      </c>
      <c r="L25" s="382">
        <f t="shared" si="17"/>
        <v>43101</v>
      </c>
      <c r="M25" s="382">
        <f t="shared" si="18"/>
        <v>43466</v>
      </c>
      <c r="N25" s="382">
        <f t="shared" si="19"/>
        <v>42736</v>
      </c>
      <c r="O25" s="340">
        <f t="shared" si="6"/>
        <v>0</v>
      </c>
      <c r="P25" s="340">
        <f t="shared" si="23"/>
        <v>990</v>
      </c>
      <c r="Q25" s="340">
        <f t="shared" si="20"/>
        <v>0</v>
      </c>
      <c r="R25" s="340">
        <f t="shared" si="7"/>
        <v>8557.4</v>
      </c>
      <c r="S25" s="340">
        <f t="shared" si="22"/>
        <v>990</v>
      </c>
      <c r="T25" s="340">
        <f t="shared" si="8"/>
        <v>990</v>
      </c>
      <c r="U25" s="340">
        <f t="shared" si="14"/>
        <v>0</v>
      </c>
      <c r="V25" s="340">
        <f t="shared" si="9"/>
        <v>900000</v>
      </c>
      <c r="W25" s="198">
        <f t="shared" si="21"/>
        <v>50</v>
      </c>
      <c r="X25" s="36">
        <f t="shared" si="15"/>
        <v>48</v>
      </c>
      <c r="Z25" s="34">
        <f t="shared" si="10"/>
        <v>7567.4</v>
      </c>
      <c r="AA25" s="57">
        <f t="shared" si="11"/>
        <v>48108</v>
      </c>
      <c r="AB25" s="96"/>
      <c r="AC25" s="96"/>
      <c r="AD25" s="96"/>
      <c r="AE25" s="96"/>
      <c r="AF25" s="96"/>
      <c r="AG25" s="96"/>
      <c r="AH25" s="96"/>
      <c r="AI25" s="96"/>
      <c r="AJ25" s="2"/>
      <c r="AM25" s="2"/>
    </row>
    <row r="26" spans="1:39" ht="12" x14ac:dyDescent="0.25">
      <c r="C26" s="98"/>
      <c r="D26" s="46"/>
      <c r="F26" s="383">
        <f t="shared" si="16"/>
        <v>15</v>
      </c>
      <c r="G26" s="384">
        <f t="shared" si="3"/>
        <v>43454</v>
      </c>
      <c r="H26" s="340">
        <f t="shared" si="4"/>
        <v>8313.2900000000009</v>
      </c>
      <c r="I26" s="340">
        <f t="shared" si="5"/>
        <v>7323.29</v>
      </c>
      <c r="J26" s="340">
        <f t="shared" si="12"/>
        <v>7323.29</v>
      </c>
      <c r="K26" s="340">
        <f t="shared" si="13"/>
        <v>7323.2799999999988</v>
      </c>
      <c r="L26" s="382">
        <f t="shared" si="17"/>
        <v>43101</v>
      </c>
      <c r="M26" s="382">
        <f t="shared" si="18"/>
        <v>43466</v>
      </c>
      <c r="N26" s="382">
        <f t="shared" si="19"/>
        <v>42736</v>
      </c>
      <c r="O26" s="340">
        <f>IF(W26=0,0,IF(W26=1,V25,IF(V25+P26+I26&gt;H25,H26-I26-P26,V25)))</f>
        <v>9.0949470177292824E-13</v>
      </c>
      <c r="P26" s="340">
        <f t="shared" si="23"/>
        <v>990</v>
      </c>
      <c r="Q26" s="340">
        <f t="shared" si="20"/>
        <v>0</v>
      </c>
      <c r="R26" s="340">
        <f t="shared" si="7"/>
        <v>8313.2900000000009</v>
      </c>
      <c r="S26" s="340">
        <f t="shared" si="22"/>
        <v>990</v>
      </c>
      <c r="T26" s="340">
        <f t="shared" si="8"/>
        <v>990</v>
      </c>
      <c r="U26" s="340">
        <f t="shared" si="14"/>
        <v>0</v>
      </c>
      <c r="V26" s="340">
        <f t="shared" si="9"/>
        <v>900000</v>
      </c>
      <c r="W26" s="198">
        <f t="shared" si="21"/>
        <v>49</v>
      </c>
      <c r="X26" s="36">
        <f t="shared" si="15"/>
        <v>48</v>
      </c>
      <c r="Z26" s="34">
        <f t="shared" si="10"/>
        <v>7323.2900000000009</v>
      </c>
      <c r="AA26" s="57">
        <f t="shared" si="11"/>
        <v>48473</v>
      </c>
      <c r="AB26" s="96"/>
      <c r="AC26" s="96"/>
      <c r="AD26" s="96"/>
      <c r="AE26" s="96"/>
      <c r="AF26" s="96"/>
      <c r="AG26" s="96"/>
      <c r="AH26" s="96"/>
      <c r="AI26" s="96"/>
      <c r="AJ26" s="2"/>
      <c r="AM26" s="2"/>
    </row>
    <row r="27" spans="1:39" s="16" customFormat="1" ht="12" x14ac:dyDescent="0.25">
      <c r="A27" s="2"/>
      <c r="B27" s="2"/>
      <c r="C27" s="2"/>
      <c r="D27" s="13"/>
      <c r="F27" s="383">
        <f t="shared" si="16"/>
        <v>16</v>
      </c>
      <c r="G27" s="384">
        <f t="shared" si="3"/>
        <v>43485</v>
      </c>
      <c r="H27" s="340">
        <f t="shared" si="4"/>
        <v>23800</v>
      </c>
      <c r="I27" s="340">
        <f t="shared" si="5"/>
        <v>7567.4</v>
      </c>
      <c r="J27" s="340">
        <f t="shared" si="12"/>
        <v>7567.4</v>
      </c>
      <c r="K27" s="340">
        <f t="shared" si="13"/>
        <v>7567.4</v>
      </c>
      <c r="L27" s="382">
        <f t="shared" si="17"/>
        <v>43466</v>
      </c>
      <c r="M27" s="382">
        <f t="shared" si="18"/>
        <v>43831</v>
      </c>
      <c r="N27" s="382">
        <f t="shared" si="19"/>
        <v>43101</v>
      </c>
      <c r="O27" s="340">
        <f t="shared" si="6"/>
        <v>15242.6</v>
      </c>
      <c r="P27" s="340">
        <f t="shared" si="23"/>
        <v>990</v>
      </c>
      <c r="Q27" s="340">
        <f t="shared" si="20"/>
        <v>0</v>
      </c>
      <c r="R27" s="340">
        <f t="shared" si="7"/>
        <v>8557.4</v>
      </c>
      <c r="S27" s="340">
        <f t="shared" si="22"/>
        <v>990</v>
      </c>
      <c r="T27" s="340">
        <f t="shared" si="8"/>
        <v>990</v>
      </c>
      <c r="U27" s="340">
        <f t="shared" si="14"/>
        <v>0</v>
      </c>
      <c r="V27" s="340">
        <f t="shared" si="9"/>
        <v>884757.4</v>
      </c>
      <c r="W27" s="198">
        <f t="shared" si="21"/>
        <v>48</v>
      </c>
      <c r="X27" s="36">
        <f t="shared" si="15"/>
        <v>48</v>
      </c>
      <c r="Y27" s="2"/>
      <c r="Z27" s="34">
        <f t="shared" si="10"/>
        <v>22810</v>
      </c>
      <c r="AA27" s="57">
        <f t="shared" si="11"/>
        <v>48838</v>
      </c>
      <c r="AB27" s="96"/>
      <c r="AC27" s="96"/>
      <c r="AD27" s="96"/>
      <c r="AE27" s="96"/>
      <c r="AF27" s="96"/>
      <c r="AG27" s="96"/>
      <c r="AH27" s="96"/>
      <c r="AI27" s="96"/>
    </row>
    <row r="28" spans="1:39" s="16" customFormat="1" ht="12" x14ac:dyDescent="0.25">
      <c r="A28" s="2"/>
      <c r="B28" s="2"/>
      <c r="C28" s="13"/>
      <c r="D28" s="13"/>
      <c r="F28" s="383">
        <f t="shared" si="16"/>
        <v>17</v>
      </c>
      <c r="G28" s="384">
        <f t="shared" si="3"/>
        <v>43516</v>
      </c>
      <c r="H28" s="340">
        <f t="shared" si="4"/>
        <v>23800</v>
      </c>
      <c r="I28" s="340">
        <f t="shared" si="5"/>
        <v>7439.23</v>
      </c>
      <c r="J28" s="340">
        <f t="shared" si="12"/>
        <v>7439.23</v>
      </c>
      <c r="K28" s="340">
        <f t="shared" si="13"/>
        <v>7439.23</v>
      </c>
      <c r="L28" s="382">
        <f t="shared" si="17"/>
        <v>43466</v>
      </c>
      <c r="M28" s="382">
        <f t="shared" si="18"/>
        <v>43831</v>
      </c>
      <c r="N28" s="382">
        <f t="shared" si="19"/>
        <v>43101</v>
      </c>
      <c r="O28" s="340">
        <f t="shared" si="6"/>
        <v>15370.77</v>
      </c>
      <c r="P28" s="340">
        <f t="shared" si="23"/>
        <v>990</v>
      </c>
      <c r="Q28" s="340">
        <f t="shared" si="20"/>
        <v>0</v>
      </c>
      <c r="R28" s="340">
        <f t="shared" si="7"/>
        <v>8429.23</v>
      </c>
      <c r="S28" s="340">
        <f t="shared" si="22"/>
        <v>990</v>
      </c>
      <c r="T28" s="340">
        <f t="shared" si="8"/>
        <v>990</v>
      </c>
      <c r="U28" s="340">
        <f t="shared" si="14"/>
        <v>0</v>
      </c>
      <c r="V28" s="340">
        <f t="shared" si="9"/>
        <v>869386.63</v>
      </c>
      <c r="W28" s="198">
        <f t="shared" si="21"/>
        <v>47</v>
      </c>
      <c r="X28" s="36">
        <f t="shared" si="15"/>
        <v>47</v>
      </c>
      <c r="Y28" s="2"/>
      <c r="Z28" s="34">
        <f t="shared" si="10"/>
        <v>22810</v>
      </c>
      <c r="AA28" s="57">
        <f t="shared" si="11"/>
        <v>49203</v>
      </c>
      <c r="AB28" s="96"/>
      <c r="AC28" s="96"/>
      <c r="AD28" s="96"/>
      <c r="AE28" s="96"/>
      <c r="AF28" s="96"/>
      <c r="AG28" s="96"/>
      <c r="AH28" s="96"/>
      <c r="AI28" s="96"/>
    </row>
    <row r="29" spans="1:39" s="16" customFormat="1" ht="12" x14ac:dyDescent="0.25">
      <c r="A29" s="2"/>
      <c r="B29" s="2"/>
      <c r="C29" s="2"/>
      <c r="D29" s="13"/>
      <c r="F29" s="383">
        <f t="shared" si="16"/>
        <v>18</v>
      </c>
      <c r="G29" s="384">
        <f t="shared" si="3"/>
        <v>43544</v>
      </c>
      <c r="H29" s="340">
        <f t="shared" si="4"/>
        <v>23800</v>
      </c>
      <c r="I29" s="340">
        <f t="shared" si="5"/>
        <v>6602.57</v>
      </c>
      <c r="J29" s="340">
        <f t="shared" si="12"/>
        <v>6602.57</v>
      </c>
      <c r="K29" s="340">
        <f t="shared" si="13"/>
        <v>6602.5699999999979</v>
      </c>
      <c r="L29" s="382">
        <f t="shared" si="17"/>
        <v>43466</v>
      </c>
      <c r="M29" s="382">
        <f t="shared" si="18"/>
        <v>43831</v>
      </c>
      <c r="N29" s="382">
        <f t="shared" si="19"/>
        <v>43101</v>
      </c>
      <c r="O29" s="340">
        <f t="shared" si="6"/>
        <v>16207.43</v>
      </c>
      <c r="P29" s="340">
        <f t="shared" si="23"/>
        <v>990</v>
      </c>
      <c r="Q29" s="340">
        <f t="shared" si="20"/>
        <v>0</v>
      </c>
      <c r="R29" s="340">
        <f t="shared" si="7"/>
        <v>7592.57</v>
      </c>
      <c r="S29" s="340">
        <f t="shared" si="22"/>
        <v>990</v>
      </c>
      <c r="T29" s="340">
        <f t="shared" si="8"/>
        <v>990</v>
      </c>
      <c r="U29" s="340">
        <f t="shared" si="14"/>
        <v>0</v>
      </c>
      <c r="V29" s="340">
        <f t="shared" si="9"/>
        <v>853179.2</v>
      </c>
      <c r="W29" s="198">
        <f t="shared" si="21"/>
        <v>46</v>
      </c>
      <c r="X29" s="36">
        <f t="shared" si="15"/>
        <v>46</v>
      </c>
      <c r="Y29" s="2"/>
      <c r="Z29" s="34">
        <f t="shared" si="10"/>
        <v>22810</v>
      </c>
      <c r="AA29" s="57">
        <f t="shared" si="11"/>
        <v>49568</v>
      </c>
      <c r="AB29" s="96"/>
      <c r="AC29" s="96"/>
      <c r="AD29" s="96"/>
      <c r="AE29" s="96"/>
      <c r="AF29" s="96"/>
      <c r="AG29" s="96"/>
      <c r="AH29" s="96"/>
      <c r="AI29" s="96"/>
    </row>
    <row r="30" spans="1:39" s="16" customFormat="1" ht="12" x14ac:dyDescent="0.25">
      <c r="A30" s="2"/>
      <c r="B30" s="2"/>
      <c r="C30" s="2"/>
      <c r="D30" s="13"/>
      <c r="F30" s="383">
        <f t="shared" si="16"/>
        <v>19</v>
      </c>
      <c r="G30" s="384">
        <f t="shared" si="3"/>
        <v>43575</v>
      </c>
      <c r="H30" s="340">
        <f t="shared" si="4"/>
        <v>23800</v>
      </c>
      <c r="I30" s="340">
        <f t="shared" si="5"/>
        <v>7173.72</v>
      </c>
      <c r="J30" s="340">
        <f t="shared" si="12"/>
        <v>7173.72</v>
      </c>
      <c r="K30" s="340">
        <f t="shared" si="13"/>
        <v>7173.7200000000012</v>
      </c>
      <c r="L30" s="382">
        <f t="shared" si="17"/>
        <v>43466</v>
      </c>
      <c r="M30" s="382">
        <f t="shared" si="18"/>
        <v>43831</v>
      </c>
      <c r="N30" s="382">
        <f t="shared" si="19"/>
        <v>43101</v>
      </c>
      <c r="O30" s="340">
        <f t="shared" si="6"/>
        <v>15636.279999999999</v>
      </c>
      <c r="P30" s="340">
        <f t="shared" si="23"/>
        <v>990</v>
      </c>
      <c r="Q30" s="340">
        <f t="shared" si="20"/>
        <v>0</v>
      </c>
      <c r="R30" s="340">
        <f t="shared" si="7"/>
        <v>8163.72</v>
      </c>
      <c r="S30" s="340">
        <f t="shared" si="22"/>
        <v>990</v>
      </c>
      <c r="T30" s="340">
        <f t="shared" si="8"/>
        <v>990</v>
      </c>
      <c r="U30" s="340">
        <f t="shared" si="14"/>
        <v>0</v>
      </c>
      <c r="V30" s="340">
        <f t="shared" si="9"/>
        <v>837542.91999999993</v>
      </c>
      <c r="W30" s="198">
        <f t="shared" si="21"/>
        <v>45</v>
      </c>
      <c r="X30" s="36">
        <f t="shared" si="15"/>
        <v>45</v>
      </c>
      <c r="Y30" s="2"/>
      <c r="Z30" s="34">
        <f t="shared" si="10"/>
        <v>22810</v>
      </c>
      <c r="AA30" s="57">
        <f t="shared" si="11"/>
        <v>49933</v>
      </c>
      <c r="AB30" s="96"/>
      <c r="AC30" s="96"/>
      <c r="AD30" s="96"/>
      <c r="AE30" s="96"/>
      <c r="AF30" s="96"/>
      <c r="AG30" s="96"/>
      <c r="AH30" s="96"/>
      <c r="AI30" s="96"/>
    </row>
    <row r="31" spans="1:39" s="16" customFormat="1" ht="12" customHeight="1" x14ac:dyDescent="0.25">
      <c r="A31" s="2"/>
      <c r="B31" s="2"/>
      <c r="C31" s="2"/>
      <c r="D31" s="2"/>
      <c r="F31" s="383">
        <f t="shared" si="16"/>
        <v>20</v>
      </c>
      <c r="G31" s="384">
        <f t="shared" si="3"/>
        <v>43605</v>
      </c>
      <c r="H31" s="340">
        <f t="shared" si="4"/>
        <v>23800</v>
      </c>
      <c r="I31" s="340">
        <f t="shared" si="5"/>
        <v>6815.08</v>
      </c>
      <c r="J31" s="340">
        <f t="shared" si="12"/>
        <v>6815.08</v>
      </c>
      <c r="K31" s="340">
        <f t="shared" si="13"/>
        <v>6815.07</v>
      </c>
      <c r="L31" s="382">
        <f t="shared" si="17"/>
        <v>43466</v>
      </c>
      <c r="M31" s="382">
        <f t="shared" si="18"/>
        <v>43831</v>
      </c>
      <c r="N31" s="382">
        <f t="shared" si="19"/>
        <v>43101</v>
      </c>
      <c r="O31" s="340">
        <f t="shared" si="6"/>
        <v>15994.919999999998</v>
      </c>
      <c r="P31" s="340">
        <f t="shared" si="23"/>
        <v>990</v>
      </c>
      <c r="Q31" s="340">
        <f t="shared" si="20"/>
        <v>0</v>
      </c>
      <c r="R31" s="340">
        <f t="shared" si="7"/>
        <v>7805.08</v>
      </c>
      <c r="S31" s="340">
        <f t="shared" si="22"/>
        <v>990</v>
      </c>
      <c r="T31" s="340">
        <f t="shared" si="8"/>
        <v>990</v>
      </c>
      <c r="U31" s="340">
        <f t="shared" si="14"/>
        <v>0</v>
      </c>
      <c r="V31" s="340">
        <f t="shared" si="9"/>
        <v>821547.99999999988</v>
      </c>
      <c r="W31" s="198">
        <f t="shared" si="21"/>
        <v>44</v>
      </c>
      <c r="X31" s="36">
        <f t="shared" si="15"/>
        <v>44</v>
      </c>
      <c r="Y31" s="2"/>
      <c r="Z31" s="34">
        <f t="shared" si="10"/>
        <v>22810</v>
      </c>
      <c r="AA31" s="57">
        <f t="shared" si="11"/>
        <v>50298</v>
      </c>
      <c r="AB31" s="96"/>
      <c r="AC31" s="96"/>
      <c r="AD31" s="96"/>
      <c r="AE31" s="96"/>
      <c r="AF31" s="96"/>
      <c r="AG31" s="96"/>
      <c r="AH31" s="96"/>
      <c r="AI31" s="96"/>
    </row>
    <row r="32" spans="1:39" s="16" customFormat="1" ht="12" x14ac:dyDescent="0.25">
      <c r="A32" s="2"/>
      <c r="B32" s="2"/>
      <c r="C32" s="2"/>
      <c r="D32" s="2"/>
      <c r="F32" s="383">
        <f>F31+1</f>
        <v>21</v>
      </c>
      <c r="G32" s="384">
        <f t="shared" si="3"/>
        <v>43636</v>
      </c>
      <c r="H32" s="340">
        <f t="shared" si="4"/>
        <v>23800</v>
      </c>
      <c r="I32" s="340">
        <f t="shared" si="5"/>
        <v>6907.76</v>
      </c>
      <c r="J32" s="340">
        <f t="shared" si="12"/>
        <v>6907.76</v>
      </c>
      <c r="K32" s="340">
        <f t="shared" si="13"/>
        <v>6907.75</v>
      </c>
      <c r="L32" s="382">
        <f t="shared" si="17"/>
        <v>43466</v>
      </c>
      <c r="M32" s="382">
        <f t="shared" si="18"/>
        <v>43831</v>
      </c>
      <c r="N32" s="382">
        <f t="shared" si="19"/>
        <v>43101</v>
      </c>
      <c r="O32" s="340">
        <f t="shared" si="6"/>
        <v>15902.239999999998</v>
      </c>
      <c r="P32" s="340">
        <f t="shared" si="23"/>
        <v>990</v>
      </c>
      <c r="Q32" s="340">
        <f>S31-P31</f>
        <v>0</v>
      </c>
      <c r="R32" s="340">
        <f t="shared" si="7"/>
        <v>7897.76</v>
      </c>
      <c r="S32" s="340">
        <f t="shared" si="22"/>
        <v>990</v>
      </c>
      <c r="T32" s="340">
        <f t="shared" si="8"/>
        <v>990</v>
      </c>
      <c r="U32" s="340">
        <f t="shared" si="14"/>
        <v>0</v>
      </c>
      <c r="V32" s="340">
        <f t="shared" si="9"/>
        <v>805645.75999999989</v>
      </c>
      <c r="W32" s="198">
        <f>IF((W31-1)&lt;0,0,W31-1)</f>
        <v>43</v>
      </c>
      <c r="X32" s="36">
        <f t="shared" si="15"/>
        <v>43</v>
      </c>
      <c r="Y32" s="2"/>
      <c r="Z32" s="34">
        <f t="shared" si="10"/>
        <v>22810</v>
      </c>
      <c r="AA32" s="57">
        <f t="shared" si="11"/>
        <v>50663</v>
      </c>
      <c r="AB32" s="96"/>
      <c r="AC32" s="96"/>
      <c r="AD32" s="96"/>
      <c r="AE32" s="96"/>
      <c r="AF32" s="96"/>
      <c r="AG32" s="96"/>
      <c r="AH32" s="96"/>
      <c r="AI32" s="96"/>
    </row>
    <row r="33" spans="1:35" s="16" customFormat="1" ht="12" x14ac:dyDescent="0.25">
      <c r="A33" s="2"/>
      <c r="B33" s="2"/>
      <c r="C33" s="2"/>
      <c r="D33" s="2"/>
      <c r="F33" s="383">
        <f>F32+1</f>
        <v>22</v>
      </c>
      <c r="G33" s="384">
        <f t="shared" si="3"/>
        <v>43666</v>
      </c>
      <c r="H33" s="340">
        <f t="shared" si="4"/>
        <v>23800</v>
      </c>
      <c r="I33" s="340">
        <f t="shared" si="5"/>
        <v>6555.53</v>
      </c>
      <c r="J33" s="340">
        <f t="shared" si="12"/>
        <v>6555.53</v>
      </c>
      <c r="K33" s="340">
        <f t="shared" si="13"/>
        <v>6555.5299999999988</v>
      </c>
      <c r="L33" s="382">
        <f t="shared" si="17"/>
        <v>43466</v>
      </c>
      <c r="M33" s="382">
        <f t="shared" si="18"/>
        <v>43831</v>
      </c>
      <c r="N33" s="382">
        <f t="shared" si="19"/>
        <v>43101</v>
      </c>
      <c r="O33" s="340">
        <f t="shared" si="6"/>
        <v>16254.470000000001</v>
      </c>
      <c r="P33" s="340">
        <f t="shared" si="23"/>
        <v>990</v>
      </c>
      <c r="Q33" s="340">
        <f>S32-P32</f>
        <v>0</v>
      </c>
      <c r="R33" s="340">
        <f t="shared" si="7"/>
        <v>7545.53</v>
      </c>
      <c r="S33" s="340">
        <f t="shared" si="22"/>
        <v>990</v>
      </c>
      <c r="T33" s="340">
        <f t="shared" si="8"/>
        <v>990</v>
      </c>
      <c r="U33" s="340">
        <f t="shared" si="14"/>
        <v>0</v>
      </c>
      <c r="V33" s="340">
        <f t="shared" si="9"/>
        <v>789391.28999999992</v>
      </c>
      <c r="W33" s="198">
        <f>IF((W32-1)&lt;0,0,W32-1)</f>
        <v>42</v>
      </c>
      <c r="X33" s="36">
        <f t="shared" si="15"/>
        <v>42</v>
      </c>
      <c r="Y33" s="2"/>
      <c r="Z33" s="34">
        <f t="shared" si="10"/>
        <v>22810</v>
      </c>
      <c r="AA33" s="57">
        <f t="shared" si="11"/>
        <v>51028</v>
      </c>
      <c r="AB33" s="96"/>
      <c r="AC33" s="96"/>
      <c r="AD33" s="96"/>
      <c r="AE33" s="96"/>
      <c r="AF33" s="96"/>
      <c r="AG33" s="96"/>
      <c r="AH33" s="96"/>
      <c r="AI33" s="96"/>
    </row>
    <row r="34" spans="1:35" s="16" customFormat="1" ht="12" x14ac:dyDescent="0.25">
      <c r="A34" s="2"/>
      <c r="B34" s="2"/>
      <c r="C34" s="2"/>
      <c r="D34" s="2"/>
      <c r="E34" s="2"/>
      <c r="F34" s="383">
        <f t="shared" si="16"/>
        <v>23</v>
      </c>
      <c r="G34" s="384">
        <f t="shared" si="3"/>
        <v>43697</v>
      </c>
      <c r="H34" s="340">
        <f t="shared" si="4"/>
        <v>23800</v>
      </c>
      <c r="I34" s="340">
        <f t="shared" si="5"/>
        <v>6637.37</v>
      </c>
      <c r="J34" s="340">
        <f t="shared" si="12"/>
        <v>6637.37</v>
      </c>
      <c r="K34" s="340">
        <f t="shared" si="13"/>
        <v>6637.3800000000047</v>
      </c>
      <c r="L34" s="382">
        <f t="shared" si="17"/>
        <v>43466</v>
      </c>
      <c r="M34" s="382">
        <f t="shared" si="18"/>
        <v>43831</v>
      </c>
      <c r="N34" s="382">
        <f t="shared" si="19"/>
        <v>43101</v>
      </c>
      <c r="O34" s="340">
        <f t="shared" si="6"/>
        <v>16172.630000000001</v>
      </c>
      <c r="P34" s="340">
        <f t="shared" si="23"/>
        <v>990</v>
      </c>
      <c r="Q34" s="340">
        <f t="shared" si="20"/>
        <v>0</v>
      </c>
      <c r="R34" s="340">
        <f t="shared" si="7"/>
        <v>7627.37</v>
      </c>
      <c r="S34" s="340">
        <f t="shared" si="22"/>
        <v>990</v>
      </c>
      <c r="T34" s="340">
        <f t="shared" si="8"/>
        <v>990</v>
      </c>
      <c r="U34" s="340">
        <f t="shared" si="14"/>
        <v>0</v>
      </c>
      <c r="V34" s="340">
        <f t="shared" si="9"/>
        <v>773218.65999999992</v>
      </c>
      <c r="W34" s="198">
        <f t="shared" si="21"/>
        <v>41</v>
      </c>
      <c r="X34" s="36">
        <f t="shared" si="15"/>
        <v>41</v>
      </c>
      <c r="Y34" s="2"/>
      <c r="Z34" s="34">
        <f t="shared" si="10"/>
        <v>22810</v>
      </c>
      <c r="AA34" s="57">
        <f t="shared" si="11"/>
        <v>51393</v>
      </c>
      <c r="AB34" s="96"/>
      <c r="AC34" s="96"/>
      <c r="AD34" s="96"/>
      <c r="AE34" s="96"/>
      <c r="AF34" s="96"/>
      <c r="AG34" s="96"/>
      <c r="AH34" s="96"/>
      <c r="AI34" s="96"/>
    </row>
    <row r="35" spans="1:35" s="16" customFormat="1" ht="12" x14ac:dyDescent="0.25">
      <c r="A35" s="2"/>
      <c r="B35" s="2"/>
      <c r="C35" s="2"/>
      <c r="D35" s="2"/>
      <c r="E35" s="2"/>
      <c r="F35" s="383">
        <f t="shared" si="16"/>
        <v>24</v>
      </c>
      <c r="G35" s="384">
        <f t="shared" si="3"/>
        <v>43728</v>
      </c>
      <c r="H35" s="340">
        <f t="shared" si="4"/>
        <v>23800</v>
      </c>
      <c r="I35" s="340">
        <f t="shared" si="5"/>
        <v>6501.39</v>
      </c>
      <c r="J35" s="340">
        <f t="shared" si="12"/>
        <v>6501.39</v>
      </c>
      <c r="K35" s="340">
        <f t="shared" si="13"/>
        <v>6501.3899999999994</v>
      </c>
      <c r="L35" s="382">
        <f t="shared" si="17"/>
        <v>43466</v>
      </c>
      <c r="M35" s="382">
        <f t="shared" si="18"/>
        <v>43831</v>
      </c>
      <c r="N35" s="382">
        <f t="shared" si="19"/>
        <v>43101</v>
      </c>
      <c r="O35" s="340">
        <f t="shared" si="6"/>
        <v>16308.61</v>
      </c>
      <c r="P35" s="340">
        <f t="shared" si="23"/>
        <v>990</v>
      </c>
      <c r="Q35" s="340">
        <f t="shared" si="20"/>
        <v>0</v>
      </c>
      <c r="R35" s="340">
        <f t="shared" si="7"/>
        <v>7491.39</v>
      </c>
      <c r="S35" s="340">
        <f t="shared" si="22"/>
        <v>990</v>
      </c>
      <c r="T35" s="340">
        <f t="shared" si="8"/>
        <v>990</v>
      </c>
      <c r="U35" s="340">
        <f t="shared" si="14"/>
        <v>0</v>
      </c>
      <c r="V35" s="340">
        <f t="shared" si="9"/>
        <v>756910.04999999993</v>
      </c>
      <c r="W35" s="198">
        <f t="shared" si="21"/>
        <v>40</v>
      </c>
      <c r="X35" s="36">
        <f t="shared" si="15"/>
        <v>40</v>
      </c>
      <c r="Y35" s="2"/>
      <c r="Z35" s="34">
        <f t="shared" si="10"/>
        <v>22810</v>
      </c>
      <c r="AA35" s="57">
        <f t="shared" si="11"/>
        <v>51758</v>
      </c>
      <c r="AB35" s="96"/>
      <c r="AC35" s="96"/>
      <c r="AD35" s="96"/>
      <c r="AE35" s="96"/>
      <c r="AF35" s="96"/>
      <c r="AG35" s="96"/>
      <c r="AH35" s="96"/>
      <c r="AI35" s="96"/>
    </row>
    <row r="36" spans="1:35" s="16" customFormat="1" ht="12" x14ac:dyDescent="0.25">
      <c r="A36" s="2"/>
      <c r="B36" s="2"/>
      <c r="C36" s="2"/>
      <c r="D36" s="2"/>
      <c r="E36" s="2"/>
      <c r="F36" s="383">
        <f t="shared" si="16"/>
        <v>25</v>
      </c>
      <c r="G36" s="384">
        <f t="shared" si="3"/>
        <v>43758</v>
      </c>
      <c r="H36" s="340">
        <f t="shared" si="4"/>
        <v>23800</v>
      </c>
      <c r="I36" s="340">
        <f t="shared" si="5"/>
        <v>6158.97</v>
      </c>
      <c r="J36" s="340">
        <f t="shared" si="12"/>
        <v>6158.97</v>
      </c>
      <c r="K36" s="340">
        <f t="shared" si="13"/>
        <v>6158.9599999999991</v>
      </c>
      <c r="L36" s="382">
        <f t="shared" si="17"/>
        <v>43466</v>
      </c>
      <c r="M36" s="382">
        <f t="shared" si="18"/>
        <v>43831</v>
      </c>
      <c r="N36" s="382">
        <f t="shared" si="19"/>
        <v>43101</v>
      </c>
      <c r="O36" s="340">
        <f t="shared" si="6"/>
        <v>16651.03</v>
      </c>
      <c r="P36" s="340">
        <f t="shared" si="23"/>
        <v>990</v>
      </c>
      <c r="Q36" s="340">
        <f t="shared" si="20"/>
        <v>0</v>
      </c>
      <c r="R36" s="340">
        <f t="shared" si="7"/>
        <v>7148.97</v>
      </c>
      <c r="S36" s="340">
        <f t="shared" si="22"/>
        <v>990</v>
      </c>
      <c r="T36" s="340">
        <f t="shared" si="8"/>
        <v>990</v>
      </c>
      <c r="U36" s="340">
        <f t="shared" si="14"/>
        <v>0</v>
      </c>
      <c r="V36" s="340">
        <f t="shared" si="9"/>
        <v>740259.0199999999</v>
      </c>
      <c r="W36" s="198">
        <f t="shared" si="21"/>
        <v>39</v>
      </c>
      <c r="X36" s="36">
        <f t="shared" si="15"/>
        <v>39</v>
      </c>
      <c r="Y36" s="2"/>
      <c r="Z36" s="34">
        <f t="shared" si="10"/>
        <v>22810</v>
      </c>
      <c r="AA36" s="57">
        <f t="shared" si="11"/>
        <v>52123</v>
      </c>
      <c r="AB36" s="96"/>
      <c r="AC36" s="96"/>
      <c r="AD36" s="96"/>
      <c r="AE36" s="96"/>
      <c r="AF36" s="96"/>
      <c r="AG36" s="96"/>
      <c r="AH36" s="96"/>
      <c r="AI36" s="96"/>
    </row>
    <row r="37" spans="1:35" s="16" customFormat="1" ht="12" x14ac:dyDescent="0.25">
      <c r="A37" s="2"/>
      <c r="B37" s="2"/>
      <c r="C37" s="2"/>
      <c r="D37" s="2"/>
      <c r="E37" s="2"/>
      <c r="F37" s="383">
        <f t="shared" si="16"/>
        <v>26</v>
      </c>
      <c r="G37" s="384">
        <f t="shared" si="3"/>
        <v>43789</v>
      </c>
      <c r="H37" s="340">
        <f t="shared" si="4"/>
        <v>23800</v>
      </c>
      <c r="I37" s="340">
        <f t="shared" si="5"/>
        <v>6224.26</v>
      </c>
      <c r="J37" s="340">
        <f t="shared" si="12"/>
        <v>6224.26</v>
      </c>
      <c r="K37" s="340">
        <f t="shared" si="13"/>
        <v>6224.2599999999948</v>
      </c>
      <c r="L37" s="382">
        <f t="shared" si="17"/>
        <v>43466</v>
      </c>
      <c r="M37" s="382">
        <f t="shared" si="18"/>
        <v>43831</v>
      </c>
      <c r="N37" s="382">
        <f t="shared" si="19"/>
        <v>43101</v>
      </c>
      <c r="O37" s="340">
        <f t="shared" si="6"/>
        <v>16585.739999999998</v>
      </c>
      <c r="P37" s="340">
        <f t="shared" si="23"/>
        <v>990</v>
      </c>
      <c r="Q37" s="340">
        <f t="shared" si="20"/>
        <v>0</v>
      </c>
      <c r="R37" s="340">
        <f t="shared" si="7"/>
        <v>7214.26</v>
      </c>
      <c r="S37" s="340">
        <f t="shared" si="22"/>
        <v>990</v>
      </c>
      <c r="T37" s="340">
        <f t="shared" si="8"/>
        <v>990</v>
      </c>
      <c r="U37" s="340">
        <f t="shared" si="14"/>
        <v>0</v>
      </c>
      <c r="V37" s="340">
        <f t="shared" si="9"/>
        <v>723673.27999999991</v>
      </c>
      <c r="W37" s="198">
        <f t="shared" si="21"/>
        <v>38</v>
      </c>
      <c r="X37" s="36">
        <f t="shared" si="15"/>
        <v>38</v>
      </c>
      <c r="Y37" s="2"/>
      <c r="Z37" s="34">
        <f t="shared" si="10"/>
        <v>22810</v>
      </c>
      <c r="AA37" s="57">
        <f t="shared" si="11"/>
        <v>52488</v>
      </c>
      <c r="AB37" s="96"/>
      <c r="AC37" s="96"/>
      <c r="AD37" s="96"/>
      <c r="AE37" s="96"/>
      <c r="AF37" s="96"/>
      <c r="AG37" s="96"/>
      <c r="AH37" s="96"/>
      <c r="AI37" s="96"/>
    </row>
    <row r="38" spans="1:35" s="16" customFormat="1" ht="12" x14ac:dyDescent="0.25">
      <c r="A38" s="2"/>
      <c r="B38" s="2"/>
      <c r="C38" s="13"/>
      <c r="D38" s="2"/>
      <c r="E38" s="2"/>
      <c r="F38" s="383">
        <f t="shared" si="16"/>
        <v>27</v>
      </c>
      <c r="G38" s="384">
        <f t="shared" si="3"/>
        <v>43819</v>
      </c>
      <c r="H38" s="340">
        <f t="shared" si="4"/>
        <v>23800</v>
      </c>
      <c r="I38" s="340">
        <f t="shared" si="5"/>
        <v>5888.52</v>
      </c>
      <c r="J38" s="340">
        <f t="shared" si="12"/>
        <v>5888.52</v>
      </c>
      <c r="K38" s="340">
        <f t="shared" si="13"/>
        <v>5888.5199999999968</v>
      </c>
      <c r="L38" s="382">
        <f t="shared" si="17"/>
        <v>43466</v>
      </c>
      <c r="M38" s="382">
        <f t="shared" si="18"/>
        <v>43831</v>
      </c>
      <c r="N38" s="382">
        <f t="shared" si="19"/>
        <v>43101</v>
      </c>
      <c r="O38" s="340">
        <f t="shared" si="6"/>
        <v>16921.48</v>
      </c>
      <c r="P38" s="340">
        <f t="shared" si="23"/>
        <v>990</v>
      </c>
      <c r="Q38" s="340">
        <f t="shared" si="20"/>
        <v>0</v>
      </c>
      <c r="R38" s="340">
        <f t="shared" si="7"/>
        <v>6878.52</v>
      </c>
      <c r="S38" s="340">
        <f t="shared" si="22"/>
        <v>990</v>
      </c>
      <c r="T38" s="340">
        <f t="shared" si="8"/>
        <v>990</v>
      </c>
      <c r="U38" s="340">
        <f t="shared" si="14"/>
        <v>0</v>
      </c>
      <c r="V38" s="340">
        <f t="shared" si="9"/>
        <v>706751.79999999993</v>
      </c>
      <c r="W38" s="198">
        <f t="shared" si="21"/>
        <v>37</v>
      </c>
      <c r="X38" s="36">
        <f t="shared" si="15"/>
        <v>37</v>
      </c>
      <c r="Y38" s="2"/>
      <c r="Z38" s="34">
        <f t="shared" si="10"/>
        <v>22810</v>
      </c>
      <c r="AA38" s="57">
        <f t="shared" si="11"/>
        <v>52853</v>
      </c>
      <c r="AB38" s="96"/>
      <c r="AC38" s="96"/>
      <c r="AD38" s="96"/>
      <c r="AE38" s="96"/>
      <c r="AF38" s="96"/>
      <c r="AG38" s="96"/>
      <c r="AH38" s="96"/>
      <c r="AI38" s="96"/>
    </row>
    <row r="39" spans="1:35" s="16" customFormat="1" ht="12" x14ac:dyDescent="0.25">
      <c r="A39" s="2"/>
      <c r="B39" s="2"/>
      <c r="C39" s="2"/>
      <c r="D39" s="13"/>
      <c r="E39" s="2"/>
      <c r="F39" s="383">
        <f t="shared" si="16"/>
        <v>28</v>
      </c>
      <c r="G39" s="384">
        <f t="shared" si="3"/>
        <v>43850</v>
      </c>
      <c r="H39" s="340">
        <f t="shared" si="4"/>
        <v>23800</v>
      </c>
      <c r="I39" s="340">
        <f t="shared" si="5"/>
        <v>5932.0499999999993</v>
      </c>
      <c r="J39" s="340">
        <f t="shared" si="12"/>
        <v>5926.29</v>
      </c>
      <c r="K39" s="340">
        <f t="shared" si="13"/>
        <v>5932.0499999999993</v>
      </c>
      <c r="L39" s="382">
        <f t="shared" si="17"/>
        <v>43831</v>
      </c>
      <c r="M39" s="382">
        <f t="shared" si="18"/>
        <v>44197</v>
      </c>
      <c r="N39" s="382">
        <f t="shared" si="19"/>
        <v>43466</v>
      </c>
      <c r="O39" s="340">
        <f t="shared" si="6"/>
        <v>16877.95</v>
      </c>
      <c r="P39" s="340">
        <f t="shared" si="23"/>
        <v>990</v>
      </c>
      <c r="Q39" s="340">
        <f t="shared" si="20"/>
        <v>0</v>
      </c>
      <c r="R39" s="340">
        <f t="shared" si="7"/>
        <v>6922.0499999999993</v>
      </c>
      <c r="S39" s="340">
        <f t="shared" si="22"/>
        <v>990</v>
      </c>
      <c r="T39" s="340">
        <f t="shared" si="8"/>
        <v>990</v>
      </c>
      <c r="U39" s="340">
        <f t="shared" si="14"/>
        <v>0</v>
      </c>
      <c r="V39" s="340">
        <f t="shared" si="9"/>
        <v>689873.85</v>
      </c>
      <c r="W39" s="198">
        <f t="shared" si="21"/>
        <v>36</v>
      </c>
      <c r="X39" s="36">
        <f t="shared" si="15"/>
        <v>36</v>
      </c>
      <c r="Y39" s="2"/>
      <c r="Z39" s="34">
        <f t="shared" si="10"/>
        <v>22810</v>
      </c>
      <c r="AA39" s="57">
        <f t="shared" si="11"/>
        <v>53218</v>
      </c>
      <c r="AB39" s="96"/>
      <c r="AC39" s="96"/>
      <c r="AD39" s="96"/>
      <c r="AE39" s="96"/>
      <c r="AF39" s="96"/>
      <c r="AG39" s="96"/>
      <c r="AH39" s="96"/>
      <c r="AI39" s="96"/>
    </row>
    <row r="40" spans="1:35" s="16" customFormat="1" ht="12" x14ac:dyDescent="0.25">
      <c r="A40" s="2"/>
      <c r="B40" s="2"/>
      <c r="C40" s="2"/>
      <c r="D40" s="13"/>
      <c r="E40" s="2"/>
      <c r="F40" s="383">
        <f t="shared" si="16"/>
        <v>29</v>
      </c>
      <c r="G40" s="384">
        <f t="shared" si="3"/>
        <v>43881</v>
      </c>
      <c r="H40" s="340">
        <f t="shared" si="4"/>
        <v>23800</v>
      </c>
      <c r="I40" s="340">
        <f t="shared" si="5"/>
        <v>5784.76</v>
      </c>
      <c r="J40" s="340">
        <f t="shared" si="12"/>
        <v>5784.76</v>
      </c>
      <c r="K40" s="340">
        <f t="shared" si="13"/>
        <v>5774.5400000000009</v>
      </c>
      <c r="L40" s="382">
        <f t="shared" si="17"/>
        <v>43831</v>
      </c>
      <c r="M40" s="382">
        <f t="shared" si="18"/>
        <v>44197</v>
      </c>
      <c r="N40" s="382">
        <f t="shared" si="19"/>
        <v>43466</v>
      </c>
      <c r="O40" s="340">
        <f t="shared" si="6"/>
        <v>17025.239999999998</v>
      </c>
      <c r="P40" s="340">
        <f t="shared" si="23"/>
        <v>990</v>
      </c>
      <c r="Q40" s="340">
        <f t="shared" si="20"/>
        <v>0</v>
      </c>
      <c r="R40" s="340">
        <f t="shared" si="7"/>
        <v>6774.76</v>
      </c>
      <c r="S40" s="340">
        <f t="shared" si="22"/>
        <v>990</v>
      </c>
      <c r="T40" s="340">
        <f t="shared" si="8"/>
        <v>990</v>
      </c>
      <c r="U40" s="340">
        <f t="shared" si="14"/>
        <v>0</v>
      </c>
      <c r="V40" s="340">
        <f t="shared" si="9"/>
        <v>672848.61</v>
      </c>
      <c r="W40" s="198">
        <f t="shared" si="21"/>
        <v>35</v>
      </c>
      <c r="X40" s="36">
        <f t="shared" si="15"/>
        <v>35</v>
      </c>
      <c r="Y40" s="2"/>
      <c r="Z40" s="34">
        <f t="shared" si="10"/>
        <v>22810</v>
      </c>
      <c r="AA40" s="57">
        <f t="shared" si="11"/>
        <v>53583</v>
      </c>
      <c r="AB40" s="96"/>
      <c r="AC40" s="96"/>
      <c r="AD40" s="96"/>
      <c r="AE40" s="96"/>
      <c r="AF40" s="96"/>
      <c r="AG40" s="96"/>
      <c r="AH40" s="96"/>
      <c r="AI40" s="96"/>
    </row>
    <row r="41" spans="1:35" s="16" customFormat="1" ht="12" x14ac:dyDescent="0.25">
      <c r="A41" s="2"/>
      <c r="B41" s="2"/>
      <c r="C41" s="2"/>
      <c r="D41" s="2"/>
      <c r="E41" s="2"/>
      <c r="F41" s="383">
        <f t="shared" si="16"/>
        <v>30</v>
      </c>
      <c r="G41" s="384">
        <f t="shared" si="3"/>
        <v>43910</v>
      </c>
      <c r="H41" s="340">
        <f t="shared" si="4"/>
        <v>23800</v>
      </c>
      <c r="I41" s="340">
        <f t="shared" si="5"/>
        <v>5278</v>
      </c>
      <c r="J41" s="340">
        <f t="shared" si="12"/>
        <v>5278</v>
      </c>
      <c r="K41" s="340">
        <f t="shared" si="13"/>
        <v>5252.57</v>
      </c>
      <c r="L41" s="382">
        <f t="shared" si="17"/>
        <v>43831</v>
      </c>
      <c r="M41" s="382">
        <f t="shared" si="18"/>
        <v>44197</v>
      </c>
      <c r="N41" s="382">
        <f t="shared" si="19"/>
        <v>43466</v>
      </c>
      <c r="O41" s="340">
        <f t="shared" si="6"/>
        <v>17532</v>
      </c>
      <c r="P41" s="340">
        <f t="shared" si="23"/>
        <v>990</v>
      </c>
      <c r="Q41" s="340">
        <f t="shared" si="20"/>
        <v>0</v>
      </c>
      <c r="R41" s="340">
        <f t="shared" si="7"/>
        <v>6268</v>
      </c>
      <c r="S41" s="340">
        <f t="shared" si="22"/>
        <v>990</v>
      </c>
      <c r="T41" s="340">
        <f t="shared" si="8"/>
        <v>990</v>
      </c>
      <c r="U41" s="340">
        <f t="shared" si="14"/>
        <v>0</v>
      </c>
      <c r="V41" s="340">
        <f t="shared" si="9"/>
        <v>655316.61</v>
      </c>
      <c r="W41" s="198">
        <f t="shared" si="21"/>
        <v>34</v>
      </c>
      <c r="X41" s="36">
        <f t="shared" si="15"/>
        <v>34</v>
      </c>
      <c r="Y41" s="2"/>
      <c r="Z41" s="34">
        <f t="shared" si="10"/>
        <v>22810</v>
      </c>
      <c r="AA41" s="57">
        <f t="shared" si="11"/>
        <v>53948</v>
      </c>
      <c r="AB41" s="96"/>
      <c r="AC41" s="96"/>
      <c r="AD41" s="96"/>
      <c r="AE41" s="96"/>
      <c r="AF41" s="96"/>
      <c r="AG41" s="96"/>
      <c r="AH41" s="96"/>
      <c r="AI41" s="96"/>
    </row>
    <row r="42" spans="1:35" s="16" customFormat="1" ht="12" x14ac:dyDescent="0.25">
      <c r="A42" s="2"/>
      <c r="B42" s="2"/>
      <c r="C42" s="2"/>
      <c r="D42" s="2"/>
      <c r="E42" s="2"/>
      <c r="F42" s="383">
        <f t="shared" si="16"/>
        <v>31</v>
      </c>
      <c r="G42" s="384">
        <f t="shared" si="3"/>
        <v>43941</v>
      </c>
      <c r="H42" s="340">
        <f t="shared" si="4"/>
        <v>23800</v>
      </c>
      <c r="I42" s="340">
        <f t="shared" si="5"/>
        <v>5494.99</v>
      </c>
      <c r="J42" s="340">
        <f t="shared" si="12"/>
        <v>5494.99</v>
      </c>
      <c r="K42" s="340">
        <f t="shared" si="13"/>
        <v>5456.1400000000012</v>
      </c>
      <c r="L42" s="382">
        <f t="shared" si="17"/>
        <v>43831</v>
      </c>
      <c r="M42" s="382">
        <f t="shared" si="18"/>
        <v>44197</v>
      </c>
      <c r="N42" s="382">
        <f t="shared" si="19"/>
        <v>43466</v>
      </c>
      <c r="O42" s="340">
        <f t="shared" si="6"/>
        <v>17315.010000000002</v>
      </c>
      <c r="P42" s="340">
        <f t="shared" si="23"/>
        <v>990</v>
      </c>
      <c r="Q42" s="340">
        <f t="shared" si="20"/>
        <v>0</v>
      </c>
      <c r="R42" s="340">
        <f t="shared" si="7"/>
        <v>6484.99</v>
      </c>
      <c r="S42" s="340">
        <f t="shared" si="22"/>
        <v>990</v>
      </c>
      <c r="T42" s="340">
        <f t="shared" si="8"/>
        <v>990</v>
      </c>
      <c r="U42" s="340">
        <f t="shared" si="14"/>
        <v>0</v>
      </c>
      <c r="V42" s="340">
        <f t="shared" si="9"/>
        <v>638001.6</v>
      </c>
      <c r="W42" s="198">
        <f t="shared" si="21"/>
        <v>33</v>
      </c>
      <c r="X42" s="36">
        <f t="shared" si="15"/>
        <v>33</v>
      </c>
      <c r="Y42" s="2"/>
      <c r="Z42" s="34">
        <f t="shared" si="10"/>
        <v>22810</v>
      </c>
      <c r="AA42" s="57">
        <f t="shared" si="11"/>
        <v>54313</v>
      </c>
      <c r="AB42" s="96"/>
      <c r="AC42" s="96"/>
      <c r="AD42" s="96"/>
      <c r="AE42" s="96"/>
      <c r="AF42" s="96"/>
      <c r="AG42" s="96"/>
      <c r="AH42" s="96"/>
      <c r="AI42" s="96"/>
    </row>
    <row r="43" spans="1:35" s="16" customFormat="1" ht="12" x14ac:dyDescent="0.25">
      <c r="A43" s="2"/>
      <c r="B43" s="2"/>
      <c r="C43" s="2"/>
      <c r="D43" s="2"/>
      <c r="E43" s="2"/>
      <c r="F43" s="383">
        <f t="shared" si="16"/>
        <v>32</v>
      </c>
      <c r="G43" s="384">
        <f t="shared" si="3"/>
        <v>43971</v>
      </c>
      <c r="H43" s="340">
        <f t="shared" si="4"/>
        <v>23800</v>
      </c>
      <c r="I43" s="340">
        <f t="shared" si="5"/>
        <v>5177.2299999999996</v>
      </c>
      <c r="J43" s="340">
        <f t="shared" si="12"/>
        <v>5177.2299999999996</v>
      </c>
      <c r="K43" s="340">
        <f t="shared" si="13"/>
        <v>5124.739999999998</v>
      </c>
      <c r="L43" s="382">
        <f t="shared" si="17"/>
        <v>43831</v>
      </c>
      <c r="M43" s="382">
        <f t="shared" si="18"/>
        <v>44197</v>
      </c>
      <c r="N43" s="382">
        <f t="shared" si="19"/>
        <v>43466</v>
      </c>
      <c r="O43" s="340">
        <f t="shared" si="6"/>
        <v>17632.77</v>
      </c>
      <c r="P43" s="340">
        <f t="shared" si="23"/>
        <v>990</v>
      </c>
      <c r="Q43" s="340">
        <f t="shared" si="20"/>
        <v>0</v>
      </c>
      <c r="R43" s="340">
        <f t="shared" si="7"/>
        <v>6167.23</v>
      </c>
      <c r="S43" s="340">
        <f t="shared" si="22"/>
        <v>990</v>
      </c>
      <c r="T43" s="340">
        <f t="shared" si="8"/>
        <v>990</v>
      </c>
      <c r="U43" s="340">
        <f t="shared" si="14"/>
        <v>0</v>
      </c>
      <c r="V43" s="340">
        <f t="shared" si="9"/>
        <v>620368.82999999996</v>
      </c>
      <c r="W43" s="198">
        <f t="shared" si="21"/>
        <v>32</v>
      </c>
      <c r="X43" s="36">
        <f t="shared" si="15"/>
        <v>32</v>
      </c>
      <c r="Y43" s="2"/>
      <c r="Z43" s="34">
        <f t="shared" si="10"/>
        <v>22810</v>
      </c>
      <c r="AA43" s="57">
        <f t="shared" si="11"/>
        <v>54678</v>
      </c>
      <c r="AB43" s="96"/>
      <c r="AC43" s="96"/>
      <c r="AD43" s="96"/>
      <c r="AE43" s="96"/>
      <c r="AF43" s="96"/>
      <c r="AG43" s="96"/>
      <c r="AH43" s="96"/>
      <c r="AI43" s="96"/>
    </row>
    <row r="44" spans="1:35" s="16" customFormat="1" ht="12" x14ac:dyDescent="0.25">
      <c r="A44" s="2"/>
      <c r="B44" s="2"/>
      <c r="C44" s="2"/>
      <c r="D44" s="2"/>
      <c r="E44" s="2"/>
      <c r="F44" s="383">
        <f t="shared" si="16"/>
        <v>33</v>
      </c>
      <c r="G44" s="384">
        <f t="shared" si="3"/>
        <v>44002</v>
      </c>
      <c r="H44" s="340">
        <f t="shared" ref="H44:H75" si="24">IF(F44&lt;=$I$7,I44+P44,IF(AND(V43+P44+I44&gt;H43,H43&lt;&gt;0),$C$21,IF(V43=0,0,V43+P44+I44+I45)))</f>
        <v>23800</v>
      </c>
      <c r="I44" s="340">
        <f t="shared" si="5"/>
        <v>5201.95</v>
      </c>
      <c r="J44" s="340">
        <f t="shared" si="12"/>
        <v>5201.95</v>
      </c>
      <c r="K44" s="340">
        <f t="shared" si="13"/>
        <v>5137.130000000001</v>
      </c>
      <c r="L44" s="382">
        <f t="shared" si="17"/>
        <v>43831</v>
      </c>
      <c r="M44" s="382">
        <f t="shared" si="18"/>
        <v>44197</v>
      </c>
      <c r="N44" s="382">
        <f t="shared" si="19"/>
        <v>43466</v>
      </c>
      <c r="O44" s="340">
        <f t="shared" si="6"/>
        <v>17608.05</v>
      </c>
      <c r="P44" s="340">
        <f t="shared" si="23"/>
        <v>990</v>
      </c>
      <c r="Q44" s="340">
        <f t="shared" si="20"/>
        <v>0</v>
      </c>
      <c r="R44" s="340">
        <f t="shared" si="7"/>
        <v>6191.95</v>
      </c>
      <c r="S44" s="340">
        <f t="shared" si="22"/>
        <v>990</v>
      </c>
      <c r="T44" s="340">
        <f t="shared" si="8"/>
        <v>990</v>
      </c>
      <c r="U44" s="340">
        <f t="shared" si="14"/>
        <v>0</v>
      </c>
      <c r="V44" s="340">
        <f t="shared" si="9"/>
        <v>602760.77999999991</v>
      </c>
      <c r="W44" s="198">
        <f t="shared" si="21"/>
        <v>31</v>
      </c>
      <c r="X44" s="36">
        <f t="shared" si="15"/>
        <v>31</v>
      </c>
      <c r="Y44" s="2"/>
      <c r="Z44" s="34">
        <f t="shared" si="10"/>
        <v>22810</v>
      </c>
      <c r="AA44" s="57">
        <f t="shared" si="11"/>
        <v>55043</v>
      </c>
      <c r="AB44" s="96"/>
      <c r="AC44" s="96"/>
      <c r="AD44" s="96"/>
      <c r="AE44" s="96"/>
      <c r="AF44" s="96"/>
      <c r="AG44" s="96"/>
      <c r="AH44" s="96"/>
      <c r="AI44" s="96"/>
    </row>
    <row r="45" spans="1:35" s="16" customFormat="1" ht="12" x14ac:dyDescent="0.25">
      <c r="A45" s="2"/>
      <c r="B45" s="2"/>
      <c r="C45" s="2"/>
      <c r="D45" s="2"/>
      <c r="E45" s="2"/>
      <c r="F45" s="383">
        <f t="shared" si="16"/>
        <v>34</v>
      </c>
      <c r="G45" s="384">
        <f t="shared" si="3"/>
        <v>44032</v>
      </c>
      <c r="H45" s="340">
        <f t="shared" si="24"/>
        <v>23800</v>
      </c>
      <c r="I45" s="340">
        <f t="shared" si="5"/>
        <v>4891.26</v>
      </c>
      <c r="J45" s="340">
        <f t="shared" si="12"/>
        <v>4891.26</v>
      </c>
      <c r="K45" s="340">
        <f t="shared" si="13"/>
        <v>4814.4199999999983</v>
      </c>
      <c r="L45" s="382">
        <f t="shared" si="17"/>
        <v>43831</v>
      </c>
      <c r="M45" s="382">
        <f t="shared" si="18"/>
        <v>44197</v>
      </c>
      <c r="N45" s="382">
        <f t="shared" si="19"/>
        <v>43466</v>
      </c>
      <c r="O45" s="340">
        <f t="shared" si="6"/>
        <v>17918.739999999998</v>
      </c>
      <c r="P45" s="340">
        <f t="shared" si="23"/>
        <v>990</v>
      </c>
      <c r="Q45" s="340">
        <f t="shared" si="20"/>
        <v>0</v>
      </c>
      <c r="R45" s="340">
        <f t="shared" si="7"/>
        <v>5881.26</v>
      </c>
      <c r="S45" s="340">
        <f t="shared" si="22"/>
        <v>990</v>
      </c>
      <c r="T45" s="340">
        <f t="shared" si="8"/>
        <v>990</v>
      </c>
      <c r="U45" s="340">
        <f t="shared" si="14"/>
        <v>0</v>
      </c>
      <c r="V45" s="340">
        <f t="shared" si="9"/>
        <v>584842.03999999992</v>
      </c>
      <c r="W45" s="198">
        <f t="shared" si="21"/>
        <v>30</v>
      </c>
      <c r="X45" s="36">
        <f t="shared" si="15"/>
        <v>30</v>
      </c>
      <c r="Y45" s="2"/>
      <c r="Z45" s="34">
        <f t="shared" si="10"/>
        <v>22810</v>
      </c>
      <c r="AA45" s="57">
        <f t="shared" si="11"/>
        <v>55408</v>
      </c>
      <c r="AB45" s="96"/>
      <c r="AC45" s="96"/>
      <c r="AD45" s="96"/>
      <c r="AE45" s="96"/>
      <c r="AF45" s="96"/>
      <c r="AG45" s="96"/>
      <c r="AH45" s="96"/>
      <c r="AI45" s="96"/>
    </row>
    <row r="46" spans="1:35" s="16" customFormat="1" ht="12" x14ac:dyDescent="0.25">
      <c r="A46" s="2"/>
      <c r="B46" s="2"/>
      <c r="C46" s="2"/>
      <c r="D46" s="2"/>
      <c r="E46" s="2"/>
      <c r="F46" s="383">
        <f t="shared" si="16"/>
        <v>35</v>
      </c>
      <c r="G46" s="384">
        <f t="shared" si="3"/>
        <v>44063</v>
      </c>
      <c r="H46" s="340">
        <f t="shared" si="24"/>
        <v>23800</v>
      </c>
      <c r="I46" s="340">
        <f t="shared" si="5"/>
        <v>4904.04</v>
      </c>
      <c r="J46" s="340">
        <f t="shared" si="12"/>
        <v>4904.04</v>
      </c>
      <c r="K46" s="340">
        <f t="shared" si="13"/>
        <v>4816.5</v>
      </c>
      <c r="L46" s="382">
        <f t="shared" si="17"/>
        <v>43831</v>
      </c>
      <c r="M46" s="382">
        <f t="shared" si="18"/>
        <v>44197</v>
      </c>
      <c r="N46" s="382">
        <f t="shared" si="19"/>
        <v>43466</v>
      </c>
      <c r="O46" s="340">
        <f t="shared" si="6"/>
        <v>17905.96</v>
      </c>
      <c r="P46" s="340">
        <f t="shared" si="23"/>
        <v>990</v>
      </c>
      <c r="Q46" s="340">
        <f t="shared" si="20"/>
        <v>0</v>
      </c>
      <c r="R46" s="340">
        <f t="shared" si="7"/>
        <v>5894.04</v>
      </c>
      <c r="S46" s="340">
        <f t="shared" si="22"/>
        <v>990</v>
      </c>
      <c r="T46" s="340">
        <f t="shared" si="8"/>
        <v>990</v>
      </c>
      <c r="U46" s="340">
        <f t="shared" si="14"/>
        <v>0</v>
      </c>
      <c r="V46" s="340">
        <f t="shared" si="9"/>
        <v>566936.07999999996</v>
      </c>
      <c r="W46" s="198">
        <f t="shared" si="21"/>
        <v>29</v>
      </c>
      <c r="X46" s="36">
        <f t="shared" si="15"/>
        <v>29</v>
      </c>
      <c r="Y46" s="2"/>
      <c r="Z46" s="34">
        <f t="shared" si="10"/>
        <v>22810</v>
      </c>
      <c r="AA46" s="57">
        <f t="shared" si="11"/>
        <v>55773</v>
      </c>
      <c r="AB46" s="96"/>
      <c r="AC46" s="96"/>
      <c r="AD46" s="96"/>
      <c r="AE46" s="96"/>
      <c r="AF46" s="96"/>
      <c r="AG46" s="96"/>
      <c r="AH46" s="96"/>
      <c r="AI46" s="96"/>
    </row>
    <row r="47" spans="1:35" s="16" customFormat="1" ht="12" x14ac:dyDescent="0.25">
      <c r="A47" s="2"/>
      <c r="B47" s="2"/>
      <c r="C47" s="2"/>
      <c r="D47" s="2"/>
      <c r="E47" s="2"/>
      <c r="F47" s="383">
        <f t="shared" si="16"/>
        <v>36</v>
      </c>
      <c r="G47" s="384">
        <f t="shared" si="3"/>
        <v>44094</v>
      </c>
      <c r="H47" s="340">
        <f t="shared" si="24"/>
        <v>23800</v>
      </c>
      <c r="I47" s="340">
        <f t="shared" si="5"/>
        <v>4753.8999999999996</v>
      </c>
      <c r="J47" s="340">
        <f t="shared" si="12"/>
        <v>4753.8999999999996</v>
      </c>
      <c r="K47" s="340">
        <f t="shared" si="13"/>
        <v>4656</v>
      </c>
      <c r="L47" s="382">
        <f t="shared" si="17"/>
        <v>43831</v>
      </c>
      <c r="M47" s="382">
        <f t="shared" si="18"/>
        <v>44197</v>
      </c>
      <c r="N47" s="382">
        <f t="shared" si="19"/>
        <v>43466</v>
      </c>
      <c r="O47" s="340">
        <f t="shared" si="6"/>
        <v>18056.099999999999</v>
      </c>
      <c r="P47" s="340">
        <f t="shared" si="23"/>
        <v>990</v>
      </c>
      <c r="Q47" s="340">
        <f t="shared" si="20"/>
        <v>0</v>
      </c>
      <c r="R47" s="340">
        <f t="shared" si="7"/>
        <v>5743.9</v>
      </c>
      <c r="S47" s="340">
        <f t="shared" si="22"/>
        <v>990</v>
      </c>
      <c r="T47" s="340">
        <f t="shared" si="8"/>
        <v>990</v>
      </c>
      <c r="U47" s="340">
        <f t="shared" si="14"/>
        <v>0</v>
      </c>
      <c r="V47" s="340">
        <f t="shared" si="9"/>
        <v>548879.98</v>
      </c>
      <c r="W47" s="198">
        <f t="shared" si="21"/>
        <v>28</v>
      </c>
      <c r="X47" s="36">
        <f t="shared" si="15"/>
        <v>28</v>
      </c>
      <c r="Y47" s="2"/>
      <c r="Z47" s="34">
        <f t="shared" si="10"/>
        <v>22810</v>
      </c>
      <c r="AA47" s="57">
        <f t="shared" si="11"/>
        <v>56138</v>
      </c>
      <c r="AB47" s="96"/>
      <c r="AC47" s="96"/>
      <c r="AD47" s="96"/>
      <c r="AE47" s="96"/>
      <c r="AF47" s="96"/>
      <c r="AG47" s="96"/>
      <c r="AH47" s="96"/>
      <c r="AI47" s="96"/>
    </row>
    <row r="48" spans="1:35" s="16" customFormat="1" ht="12" x14ac:dyDescent="0.25">
      <c r="A48" s="2"/>
      <c r="B48" s="2"/>
      <c r="C48" s="2"/>
      <c r="D48" s="2"/>
      <c r="E48" s="2"/>
      <c r="F48" s="383">
        <f t="shared" si="16"/>
        <v>37</v>
      </c>
      <c r="G48" s="384">
        <f t="shared" si="3"/>
        <v>44124</v>
      </c>
      <c r="H48" s="340">
        <f t="shared" si="24"/>
        <v>23800</v>
      </c>
      <c r="I48" s="340">
        <f t="shared" si="5"/>
        <v>4454.03</v>
      </c>
      <c r="J48" s="340">
        <f t="shared" si="12"/>
        <v>4454.03</v>
      </c>
      <c r="K48" s="340">
        <f t="shared" si="13"/>
        <v>4346.6500000000015</v>
      </c>
      <c r="L48" s="382">
        <f t="shared" si="17"/>
        <v>43831</v>
      </c>
      <c r="M48" s="382">
        <f t="shared" si="18"/>
        <v>44197</v>
      </c>
      <c r="N48" s="382">
        <f t="shared" si="19"/>
        <v>43466</v>
      </c>
      <c r="O48" s="340">
        <f t="shared" si="6"/>
        <v>18355.97</v>
      </c>
      <c r="P48" s="340">
        <f t="shared" si="23"/>
        <v>990</v>
      </c>
      <c r="Q48" s="340">
        <f t="shared" si="20"/>
        <v>0</v>
      </c>
      <c r="R48" s="340">
        <f t="shared" si="7"/>
        <v>5444.03</v>
      </c>
      <c r="S48" s="340">
        <f t="shared" si="22"/>
        <v>990</v>
      </c>
      <c r="T48" s="340">
        <f t="shared" si="8"/>
        <v>990</v>
      </c>
      <c r="U48" s="340">
        <f t="shared" si="14"/>
        <v>0</v>
      </c>
      <c r="V48" s="340">
        <f t="shared" si="9"/>
        <v>530524.01</v>
      </c>
      <c r="W48" s="198">
        <f t="shared" si="21"/>
        <v>27</v>
      </c>
      <c r="X48" s="36">
        <f t="shared" si="15"/>
        <v>27</v>
      </c>
      <c r="Y48" s="2"/>
      <c r="Z48" s="34">
        <f t="shared" si="10"/>
        <v>22810</v>
      </c>
      <c r="AA48" s="57">
        <f t="shared" si="11"/>
        <v>56503</v>
      </c>
      <c r="AB48" s="96"/>
      <c r="AC48" s="96"/>
      <c r="AD48" s="96"/>
      <c r="AE48" s="96"/>
      <c r="AF48" s="96"/>
      <c r="AG48" s="96"/>
      <c r="AH48" s="96"/>
      <c r="AI48" s="96"/>
    </row>
    <row r="49" spans="1:35" s="16" customFormat="1" ht="12" x14ac:dyDescent="0.25">
      <c r="A49" s="2"/>
      <c r="B49" s="2"/>
      <c r="C49" s="2"/>
      <c r="D49" s="2"/>
      <c r="E49" s="2"/>
      <c r="F49" s="383">
        <f t="shared" si="16"/>
        <v>38</v>
      </c>
      <c r="G49" s="384">
        <f t="shared" si="3"/>
        <v>44155</v>
      </c>
      <c r="H49" s="340">
        <f t="shared" si="24"/>
        <v>23800</v>
      </c>
      <c r="I49" s="340">
        <f t="shared" si="5"/>
        <v>4448.57</v>
      </c>
      <c r="J49" s="340">
        <f t="shared" si="12"/>
        <v>4448.57</v>
      </c>
      <c r="K49" s="340">
        <f t="shared" si="13"/>
        <v>4332.989999999998</v>
      </c>
      <c r="L49" s="382">
        <f t="shared" si="17"/>
        <v>43831</v>
      </c>
      <c r="M49" s="382">
        <f t="shared" si="18"/>
        <v>44197</v>
      </c>
      <c r="N49" s="382">
        <f t="shared" si="19"/>
        <v>43466</v>
      </c>
      <c r="O49" s="340">
        <f t="shared" si="6"/>
        <v>18361.43</v>
      </c>
      <c r="P49" s="340">
        <f t="shared" si="23"/>
        <v>990</v>
      </c>
      <c r="Q49" s="340">
        <f t="shared" si="20"/>
        <v>0</v>
      </c>
      <c r="R49" s="340">
        <f t="shared" si="7"/>
        <v>5438.57</v>
      </c>
      <c r="S49" s="340">
        <f t="shared" si="22"/>
        <v>990</v>
      </c>
      <c r="T49" s="340">
        <f t="shared" si="8"/>
        <v>990</v>
      </c>
      <c r="U49" s="340">
        <f t="shared" si="14"/>
        <v>0</v>
      </c>
      <c r="V49" s="340">
        <f t="shared" si="9"/>
        <v>512162.58</v>
      </c>
      <c r="W49" s="198">
        <f t="shared" si="21"/>
        <v>26</v>
      </c>
      <c r="X49" s="36">
        <f t="shared" si="15"/>
        <v>26</v>
      </c>
      <c r="Y49" s="2"/>
      <c r="Z49" s="34">
        <f t="shared" si="10"/>
        <v>22810</v>
      </c>
      <c r="AA49" s="57">
        <f t="shared" si="11"/>
        <v>56868</v>
      </c>
      <c r="AB49" s="96"/>
      <c r="AC49" s="96"/>
      <c r="AD49" s="96"/>
      <c r="AE49" s="96"/>
      <c r="AF49" s="96"/>
      <c r="AG49" s="96"/>
      <c r="AH49" s="96"/>
      <c r="AI49" s="96"/>
    </row>
    <row r="50" spans="1:35" s="16" customFormat="1" ht="12" x14ac:dyDescent="0.25">
      <c r="A50" s="53"/>
      <c r="C50" s="2"/>
      <c r="D50" s="2"/>
      <c r="E50" s="2"/>
      <c r="F50" s="383">
        <f t="shared" si="16"/>
        <v>39</v>
      </c>
      <c r="G50" s="384">
        <f t="shared" si="3"/>
        <v>44185</v>
      </c>
      <c r="H50" s="340">
        <f t="shared" si="24"/>
        <v>23800</v>
      </c>
      <c r="I50" s="340">
        <f t="shared" si="5"/>
        <v>4156.07</v>
      </c>
      <c r="J50" s="340">
        <f t="shared" si="12"/>
        <v>4156.07</v>
      </c>
      <c r="K50" s="340">
        <f t="shared" si="13"/>
        <v>4032.7199999999939</v>
      </c>
      <c r="L50" s="382">
        <f t="shared" si="17"/>
        <v>43831</v>
      </c>
      <c r="M50" s="382">
        <f t="shared" si="18"/>
        <v>44197</v>
      </c>
      <c r="N50" s="382">
        <f t="shared" si="19"/>
        <v>43466</v>
      </c>
      <c r="O50" s="340">
        <f t="shared" si="6"/>
        <v>18653.93</v>
      </c>
      <c r="P50" s="340">
        <f t="shared" si="23"/>
        <v>990</v>
      </c>
      <c r="Q50" s="340">
        <f t="shared" si="20"/>
        <v>0</v>
      </c>
      <c r="R50" s="340">
        <f t="shared" si="7"/>
        <v>5146.07</v>
      </c>
      <c r="S50" s="340">
        <f t="shared" si="22"/>
        <v>990</v>
      </c>
      <c r="T50" s="340">
        <f t="shared" si="8"/>
        <v>990</v>
      </c>
      <c r="U50" s="340">
        <f t="shared" si="14"/>
        <v>0</v>
      </c>
      <c r="V50" s="340">
        <f t="shared" si="9"/>
        <v>493508.65</v>
      </c>
      <c r="W50" s="198">
        <f t="shared" si="21"/>
        <v>25</v>
      </c>
      <c r="X50" s="36">
        <f t="shared" si="15"/>
        <v>25</v>
      </c>
      <c r="Y50" s="2"/>
      <c r="Z50" s="34">
        <f t="shared" si="10"/>
        <v>22810</v>
      </c>
      <c r="AA50" s="57">
        <f t="shared" si="11"/>
        <v>57233</v>
      </c>
      <c r="AB50" s="96"/>
      <c r="AC50" s="96"/>
      <c r="AD50" s="96"/>
      <c r="AE50" s="96"/>
      <c r="AF50" s="96"/>
      <c r="AG50" s="96"/>
      <c r="AH50" s="96"/>
      <c r="AI50" s="96"/>
    </row>
    <row r="51" spans="1:35" s="16" customFormat="1" ht="12" x14ac:dyDescent="0.25">
      <c r="A51" s="53"/>
      <c r="B51" s="2"/>
      <c r="C51" s="2"/>
      <c r="D51" s="13"/>
      <c r="E51" s="2"/>
      <c r="F51" s="383">
        <f t="shared" si="16"/>
        <v>40</v>
      </c>
      <c r="G51" s="384">
        <f t="shared" si="3"/>
        <v>44216</v>
      </c>
      <c r="H51" s="340">
        <f t="shared" si="24"/>
        <v>23800</v>
      </c>
      <c r="I51" s="340">
        <f t="shared" si="5"/>
        <v>4145.51</v>
      </c>
      <c r="J51" s="340">
        <f t="shared" si="12"/>
        <v>4149.53</v>
      </c>
      <c r="K51" s="340">
        <f t="shared" si="13"/>
        <v>4145.51</v>
      </c>
      <c r="L51" s="382">
        <f t="shared" si="17"/>
        <v>44197</v>
      </c>
      <c r="M51" s="382">
        <f t="shared" si="18"/>
        <v>44562</v>
      </c>
      <c r="N51" s="382">
        <f t="shared" si="19"/>
        <v>43831</v>
      </c>
      <c r="O51" s="340">
        <f t="shared" si="6"/>
        <v>18664.489999999998</v>
      </c>
      <c r="P51" s="340">
        <f t="shared" ref="P51:P82" si="25">IF(R51&gt;$C$21,$C$21-I51,IF(X51=0,0,S51))</f>
        <v>990</v>
      </c>
      <c r="Q51" s="340">
        <f t="shared" si="20"/>
        <v>0</v>
      </c>
      <c r="R51" s="340">
        <f t="shared" si="7"/>
        <v>5135.51</v>
      </c>
      <c r="S51" s="340">
        <f t="shared" si="22"/>
        <v>990</v>
      </c>
      <c r="T51" s="340">
        <f t="shared" si="8"/>
        <v>990</v>
      </c>
      <c r="U51" s="340">
        <f t="shared" si="14"/>
        <v>0</v>
      </c>
      <c r="V51" s="340">
        <f t="shared" si="9"/>
        <v>474844.16000000003</v>
      </c>
      <c r="W51" s="198">
        <f t="shared" si="21"/>
        <v>24</v>
      </c>
      <c r="X51" s="36">
        <f t="shared" si="15"/>
        <v>24</v>
      </c>
      <c r="Y51" s="2"/>
      <c r="Z51" s="34">
        <f t="shared" si="10"/>
        <v>22810</v>
      </c>
      <c r="AA51" s="57">
        <f t="shared" si="11"/>
        <v>57598</v>
      </c>
      <c r="AB51" s="96"/>
      <c r="AC51" s="96"/>
      <c r="AD51" s="96"/>
      <c r="AE51" s="96"/>
      <c r="AF51" s="96"/>
      <c r="AG51" s="96"/>
      <c r="AH51" s="96"/>
      <c r="AI51" s="96"/>
    </row>
    <row r="52" spans="1:35" s="16" customFormat="1" ht="12" x14ac:dyDescent="0.25">
      <c r="A52" s="2"/>
      <c r="B52" s="2"/>
      <c r="C52" s="1"/>
      <c r="D52" s="2"/>
      <c r="E52" s="2"/>
      <c r="F52" s="383">
        <f t="shared" si="16"/>
        <v>41</v>
      </c>
      <c r="G52" s="384">
        <f t="shared" si="3"/>
        <v>44247</v>
      </c>
      <c r="H52" s="340">
        <f t="shared" si="24"/>
        <v>23800</v>
      </c>
      <c r="I52" s="340">
        <f t="shared" si="5"/>
        <v>3992.59</v>
      </c>
      <c r="J52" s="340">
        <f t="shared" si="12"/>
        <v>3992.59</v>
      </c>
      <c r="K52" s="340">
        <f t="shared" si="13"/>
        <v>3999.63</v>
      </c>
      <c r="L52" s="382">
        <f t="shared" si="17"/>
        <v>44197</v>
      </c>
      <c r="M52" s="382">
        <f t="shared" si="18"/>
        <v>44562</v>
      </c>
      <c r="N52" s="382">
        <f t="shared" si="19"/>
        <v>43831</v>
      </c>
      <c r="O52" s="340">
        <f t="shared" si="6"/>
        <v>18817.41</v>
      </c>
      <c r="P52" s="340">
        <f t="shared" si="25"/>
        <v>990</v>
      </c>
      <c r="Q52" s="340">
        <f t="shared" si="20"/>
        <v>0</v>
      </c>
      <c r="R52" s="340">
        <f t="shared" si="7"/>
        <v>4982.59</v>
      </c>
      <c r="S52" s="340">
        <f t="shared" si="22"/>
        <v>990</v>
      </c>
      <c r="T52" s="340">
        <f t="shared" si="8"/>
        <v>990</v>
      </c>
      <c r="U52" s="340">
        <f t="shared" si="14"/>
        <v>0</v>
      </c>
      <c r="V52" s="340">
        <f t="shared" si="9"/>
        <v>456026.75000000006</v>
      </c>
      <c r="W52" s="198">
        <f t="shared" si="21"/>
        <v>23</v>
      </c>
      <c r="X52" s="36">
        <f t="shared" si="15"/>
        <v>23</v>
      </c>
      <c r="Y52" s="2"/>
      <c r="Z52" s="34">
        <f t="shared" si="10"/>
        <v>22810</v>
      </c>
      <c r="AA52" s="57">
        <f t="shared" si="11"/>
        <v>57963</v>
      </c>
      <c r="AB52" s="96"/>
      <c r="AC52" s="96"/>
      <c r="AD52" s="96"/>
      <c r="AE52" s="96"/>
      <c r="AF52" s="96"/>
      <c r="AG52" s="96"/>
      <c r="AH52" s="96"/>
      <c r="AI52" s="96"/>
    </row>
    <row r="53" spans="1:35" s="16" customFormat="1" ht="12" x14ac:dyDescent="0.25">
      <c r="A53" s="2"/>
      <c r="B53" s="2"/>
      <c r="C53" s="98"/>
      <c r="D53" s="1"/>
      <c r="E53" s="2"/>
      <c r="F53" s="383">
        <f t="shared" si="16"/>
        <v>42</v>
      </c>
      <c r="G53" s="384">
        <f t="shared" si="3"/>
        <v>44275</v>
      </c>
      <c r="H53" s="340">
        <f t="shared" si="24"/>
        <v>23800</v>
      </c>
      <c r="I53" s="340">
        <f t="shared" si="5"/>
        <v>3463.3</v>
      </c>
      <c r="J53" s="340">
        <f t="shared" si="12"/>
        <v>3463.3</v>
      </c>
      <c r="K53" s="340">
        <f t="shared" si="13"/>
        <v>3480.5399999999991</v>
      </c>
      <c r="L53" s="382">
        <f t="shared" si="17"/>
        <v>44197</v>
      </c>
      <c r="M53" s="382">
        <f t="shared" si="18"/>
        <v>44562</v>
      </c>
      <c r="N53" s="382">
        <f t="shared" si="19"/>
        <v>43831</v>
      </c>
      <c r="O53" s="340">
        <f t="shared" si="6"/>
        <v>19346.7</v>
      </c>
      <c r="P53" s="340">
        <f t="shared" si="25"/>
        <v>990</v>
      </c>
      <c r="Q53" s="340">
        <f t="shared" si="20"/>
        <v>0</v>
      </c>
      <c r="R53" s="340">
        <f t="shared" si="7"/>
        <v>4453.3</v>
      </c>
      <c r="S53" s="340">
        <f t="shared" si="22"/>
        <v>990</v>
      </c>
      <c r="T53" s="340">
        <f t="shared" si="8"/>
        <v>990</v>
      </c>
      <c r="U53" s="340">
        <f t="shared" si="14"/>
        <v>0</v>
      </c>
      <c r="V53" s="340">
        <f t="shared" si="9"/>
        <v>436680.05000000005</v>
      </c>
      <c r="W53" s="198">
        <f t="shared" si="21"/>
        <v>22</v>
      </c>
      <c r="X53" s="36">
        <f t="shared" si="15"/>
        <v>22</v>
      </c>
      <c r="Y53" s="2"/>
      <c r="Z53" s="34">
        <f t="shared" si="10"/>
        <v>22810</v>
      </c>
      <c r="AA53" s="57">
        <f t="shared" si="11"/>
        <v>58328</v>
      </c>
      <c r="AB53" s="96"/>
      <c r="AC53" s="96"/>
      <c r="AD53" s="96"/>
      <c r="AE53" s="96"/>
      <c r="AF53" s="96"/>
      <c r="AG53" s="96"/>
      <c r="AH53" s="96"/>
      <c r="AI53" s="96"/>
    </row>
    <row r="54" spans="1:35" s="16" customFormat="1" ht="12" x14ac:dyDescent="0.25">
      <c r="A54" s="2"/>
      <c r="B54" s="2"/>
      <c r="C54" s="2"/>
      <c r="D54" s="13"/>
      <c r="E54" s="2"/>
      <c r="F54" s="383">
        <f t="shared" si="16"/>
        <v>43</v>
      </c>
      <c r="G54" s="384">
        <f t="shared" si="3"/>
        <v>44306</v>
      </c>
      <c r="H54" s="340">
        <f t="shared" si="24"/>
        <v>23800</v>
      </c>
      <c r="I54" s="340">
        <f t="shared" si="5"/>
        <v>3671.7</v>
      </c>
      <c r="J54" s="340">
        <f t="shared" si="12"/>
        <v>3671.7</v>
      </c>
      <c r="K54" s="340">
        <f t="shared" si="13"/>
        <v>3697.2700000000004</v>
      </c>
      <c r="L54" s="382">
        <f t="shared" si="17"/>
        <v>44197</v>
      </c>
      <c r="M54" s="382">
        <f t="shared" si="18"/>
        <v>44562</v>
      </c>
      <c r="N54" s="382">
        <f t="shared" si="19"/>
        <v>43831</v>
      </c>
      <c r="O54" s="340">
        <f t="shared" si="6"/>
        <v>19138.3</v>
      </c>
      <c r="P54" s="340">
        <f t="shared" si="25"/>
        <v>990</v>
      </c>
      <c r="Q54" s="340">
        <f t="shared" si="20"/>
        <v>0</v>
      </c>
      <c r="R54" s="340">
        <f t="shared" si="7"/>
        <v>4661.7</v>
      </c>
      <c r="S54" s="340">
        <f t="shared" si="22"/>
        <v>990</v>
      </c>
      <c r="T54" s="340">
        <f t="shared" si="8"/>
        <v>990</v>
      </c>
      <c r="U54" s="340">
        <f t="shared" si="14"/>
        <v>0</v>
      </c>
      <c r="V54" s="340">
        <f t="shared" si="9"/>
        <v>417541.75000000006</v>
      </c>
      <c r="W54" s="198">
        <f t="shared" si="21"/>
        <v>21</v>
      </c>
      <c r="X54" s="36">
        <f t="shared" si="15"/>
        <v>21</v>
      </c>
      <c r="Y54" s="2"/>
      <c r="Z54" s="34">
        <f t="shared" si="10"/>
        <v>22810</v>
      </c>
      <c r="AA54" s="57">
        <f t="shared" si="11"/>
        <v>58693</v>
      </c>
      <c r="AB54" s="96"/>
      <c r="AC54" s="96"/>
      <c r="AD54" s="96"/>
      <c r="AE54" s="96"/>
      <c r="AF54" s="96"/>
      <c r="AG54" s="96"/>
      <c r="AH54" s="96"/>
      <c r="AI54" s="96"/>
    </row>
    <row r="55" spans="1:35" s="16" customFormat="1" ht="12" x14ac:dyDescent="0.25">
      <c r="A55" s="2"/>
      <c r="B55" s="2"/>
      <c r="C55" s="13"/>
      <c r="D55" s="13"/>
      <c r="E55" s="2"/>
      <c r="F55" s="383">
        <f t="shared" si="16"/>
        <v>44</v>
      </c>
      <c r="G55" s="384">
        <f t="shared" si="3"/>
        <v>44336</v>
      </c>
      <c r="H55" s="340">
        <f t="shared" si="24"/>
        <v>23800</v>
      </c>
      <c r="I55" s="340">
        <f t="shared" si="5"/>
        <v>3397.53</v>
      </c>
      <c r="J55" s="340">
        <f t="shared" si="12"/>
        <v>3397.53</v>
      </c>
      <c r="K55" s="340">
        <f t="shared" si="13"/>
        <v>3431.5699999999997</v>
      </c>
      <c r="L55" s="382">
        <f t="shared" si="17"/>
        <v>44197</v>
      </c>
      <c r="M55" s="382">
        <f t="shared" si="18"/>
        <v>44562</v>
      </c>
      <c r="N55" s="382">
        <f t="shared" si="19"/>
        <v>43831</v>
      </c>
      <c r="O55" s="340">
        <f t="shared" si="6"/>
        <v>19412.47</v>
      </c>
      <c r="P55" s="340">
        <f t="shared" si="25"/>
        <v>990</v>
      </c>
      <c r="Q55" s="340">
        <f t="shared" si="20"/>
        <v>0</v>
      </c>
      <c r="R55" s="340">
        <f t="shared" si="7"/>
        <v>4387.5300000000007</v>
      </c>
      <c r="S55" s="340">
        <f t="shared" si="22"/>
        <v>990</v>
      </c>
      <c r="T55" s="340">
        <f t="shared" si="8"/>
        <v>990</v>
      </c>
      <c r="U55" s="340">
        <f t="shared" si="14"/>
        <v>0</v>
      </c>
      <c r="V55" s="340">
        <f t="shared" si="9"/>
        <v>398129.28</v>
      </c>
      <c r="W55" s="198">
        <f t="shared" si="21"/>
        <v>20</v>
      </c>
      <c r="X55" s="36">
        <f t="shared" si="15"/>
        <v>20</v>
      </c>
      <c r="Y55" s="2"/>
      <c r="Z55" s="34">
        <f t="shared" si="10"/>
        <v>22810</v>
      </c>
      <c r="AA55" s="57">
        <f t="shared" si="11"/>
        <v>59058</v>
      </c>
      <c r="AB55" s="96"/>
      <c r="AC55" s="96"/>
      <c r="AD55" s="96"/>
      <c r="AE55" s="96"/>
      <c r="AF55" s="96"/>
      <c r="AG55" s="96"/>
      <c r="AH55" s="96"/>
      <c r="AI55" s="96"/>
    </row>
    <row r="56" spans="1:35" s="16" customFormat="1" ht="12" x14ac:dyDescent="0.25">
      <c r="A56" s="2"/>
      <c r="B56" s="2"/>
      <c r="C56" s="2"/>
      <c r="D56" s="13"/>
      <c r="E56" s="2"/>
      <c r="F56" s="383">
        <f t="shared" si="16"/>
        <v>45</v>
      </c>
      <c r="G56" s="384">
        <f t="shared" si="3"/>
        <v>44367</v>
      </c>
      <c r="H56" s="340">
        <f t="shared" si="24"/>
        <v>23800</v>
      </c>
      <c r="I56" s="340">
        <f t="shared" si="5"/>
        <v>3347.56</v>
      </c>
      <c r="J56" s="340">
        <f t="shared" si="12"/>
        <v>3347.56</v>
      </c>
      <c r="K56" s="340">
        <f t="shared" si="13"/>
        <v>3388.8600000000006</v>
      </c>
      <c r="L56" s="382">
        <f t="shared" si="17"/>
        <v>44197</v>
      </c>
      <c r="M56" s="382">
        <f t="shared" si="18"/>
        <v>44562</v>
      </c>
      <c r="N56" s="382">
        <f t="shared" si="19"/>
        <v>43831</v>
      </c>
      <c r="O56" s="340">
        <f t="shared" si="6"/>
        <v>19462.439999999999</v>
      </c>
      <c r="P56" s="340">
        <f t="shared" si="25"/>
        <v>990</v>
      </c>
      <c r="Q56" s="340">
        <f t="shared" si="20"/>
        <v>0</v>
      </c>
      <c r="R56" s="340">
        <f t="shared" si="7"/>
        <v>4337.5599999999995</v>
      </c>
      <c r="S56" s="340">
        <f t="shared" si="22"/>
        <v>990</v>
      </c>
      <c r="T56" s="340">
        <f t="shared" si="8"/>
        <v>990</v>
      </c>
      <c r="U56" s="340">
        <f t="shared" si="14"/>
        <v>0</v>
      </c>
      <c r="V56" s="340">
        <f t="shared" si="9"/>
        <v>378666.84</v>
      </c>
      <c r="W56" s="198">
        <f t="shared" si="21"/>
        <v>19</v>
      </c>
      <c r="X56" s="36">
        <f t="shared" si="15"/>
        <v>19</v>
      </c>
      <c r="Y56" s="2"/>
      <c r="Z56" s="34">
        <f t="shared" si="10"/>
        <v>22810</v>
      </c>
      <c r="AA56" s="57">
        <f t="shared" si="11"/>
        <v>59423</v>
      </c>
      <c r="AB56" s="96"/>
      <c r="AC56" s="96"/>
      <c r="AD56" s="96"/>
      <c r="AE56" s="96"/>
      <c r="AF56" s="96"/>
      <c r="AG56" s="96"/>
      <c r="AH56" s="96"/>
      <c r="AI56" s="96"/>
    </row>
    <row r="57" spans="1:35" s="16" customFormat="1" ht="12" x14ac:dyDescent="0.25">
      <c r="A57" s="2"/>
      <c r="B57" s="2"/>
      <c r="C57" s="2"/>
      <c r="D57" s="13"/>
      <c r="E57" s="2"/>
      <c r="F57" s="383">
        <f t="shared" si="16"/>
        <v>46</v>
      </c>
      <c r="G57" s="384">
        <f t="shared" si="3"/>
        <v>44397</v>
      </c>
      <c r="H57" s="340">
        <f t="shared" si="24"/>
        <v>23800</v>
      </c>
      <c r="I57" s="340">
        <f t="shared" si="5"/>
        <v>3081.21</v>
      </c>
      <c r="J57" s="340">
        <f t="shared" si="12"/>
        <v>3081.21</v>
      </c>
      <c r="K57" s="340">
        <f t="shared" si="13"/>
        <v>3129.2000000000007</v>
      </c>
      <c r="L57" s="382">
        <f t="shared" si="17"/>
        <v>44197</v>
      </c>
      <c r="M57" s="382">
        <f t="shared" si="18"/>
        <v>44562</v>
      </c>
      <c r="N57" s="382">
        <f t="shared" si="19"/>
        <v>43831</v>
      </c>
      <c r="O57" s="340">
        <f t="shared" si="6"/>
        <v>19728.79</v>
      </c>
      <c r="P57" s="340">
        <f t="shared" si="25"/>
        <v>990</v>
      </c>
      <c r="Q57" s="340">
        <f t="shared" si="20"/>
        <v>0</v>
      </c>
      <c r="R57" s="340">
        <f t="shared" si="7"/>
        <v>4071.21</v>
      </c>
      <c r="S57" s="340">
        <f t="shared" si="22"/>
        <v>990</v>
      </c>
      <c r="T57" s="340">
        <f t="shared" si="8"/>
        <v>990</v>
      </c>
      <c r="U57" s="340">
        <f t="shared" si="14"/>
        <v>0</v>
      </c>
      <c r="V57" s="340">
        <f t="shared" si="9"/>
        <v>358938.05000000005</v>
      </c>
      <c r="W57" s="198">
        <f t="shared" si="21"/>
        <v>18</v>
      </c>
      <c r="X57" s="36">
        <f t="shared" si="15"/>
        <v>18</v>
      </c>
      <c r="Y57" s="2"/>
      <c r="Z57" s="34">
        <f t="shared" si="10"/>
        <v>22810</v>
      </c>
      <c r="AA57" s="57">
        <f t="shared" si="11"/>
        <v>59788</v>
      </c>
      <c r="AB57" s="96"/>
      <c r="AC57" s="96"/>
      <c r="AD57" s="96"/>
      <c r="AE57" s="96"/>
      <c r="AF57" s="96"/>
      <c r="AG57" s="96"/>
      <c r="AH57" s="96"/>
      <c r="AI57" s="96"/>
    </row>
    <row r="58" spans="1:35" s="16" customFormat="1" ht="12" x14ac:dyDescent="0.25">
      <c r="A58" s="2"/>
      <c r="B58" s="2"/>
      <c r="C58" s="2"/>
      <c r="D58" s="2"/>
      <c r="E58" s="2"/>
      <c r="F58" s="383">
        <f t="shared" si="16"/>
        <v>47</v>
      </c>
      <c r="G58" s="384">
        <f t="shared" si="3"/>
        <v>44428</v>
      </c>
      <c r="H58" s="340">
        <f t="shared" si="24"/>
        <v>23800</v>
      </c>
      <c r="I58" s="340">
        <f t="shared" si="5"/>
        <v>3018.03</v>
      </c>
      <c r="J58" s="340">
        <f t="shared" si="12"/>
        <v>3018.03</v>
      </c>
      <c r="K58" s="340">
        <f t="shared" si="13"/>
        <v>3071.5</v>
      </c>
      <c r="L58" s="382">
        <f t="shared" si="17"/>
        <v>44197</v>
      </c>
      <c r="M58" s="382">
        <f t="shared" si="18"/>
        <v>44562</v>
      </c>
      <c r="N58" s="382">
        <f t="shared" si="19"/>
        <v>43831</v>
      </c>
      <c r="O58" s="340">
        <f t="shared" si="6"/>
        <v>19791.97</v>
      </c>
      <c r="P58" s="340">
        <f t="shared" si="25"/>
        <v>990</v>
      </c>
      <c r="Q58" s="340">
        <f t="shared" si="20"/>
        <v>0</v>
      </c>
      <c r="R58" s="340">
        <f t="shared" si="7"/>
        <v>4008.03</v>
      </c>
      <c r="S58" s="340">
        <f t="shared" si="22"/>
        <v>990</v>
      </c>
      <c r="T58" s="340">
        <f t="shared" si="8"/>
        <v>990</v>
      </c>
      <c r="U58" s="340">
        <f t="shared" si="14"/>
        <v>0</v>
      </c>
      <c r="V58" s="340">
        <f t="shared" si="9"/>
        <v>339146.08000000007</v>
      </c>
      <c r="W58" s="198">
        <f t="shared" si="21"/>
        <v>17</v>
      </c>
      <c r="X58" s="36">
        <f t="shared" si="15"/>
        <v>17</v>
      </c>
      <c r="Y58" s="2"/>
      <c r="Z58" s="34">
        <f t="shared" si="10"/>
        <v>22810</v>
      </c>
      <c r="AA58" s="57">
        <f t="shared" si="11"/>
        <v>60153</v>
      </c>
      <c r="AB58" s="96"/>
      <c r="AC58" s="96"/>
      <c r="AD58" s="96"/>
      <c r="AE58" s="96"/>
      <c r="AF58" s="96"/>
      <c r="AG58" s="96"/>
      <c r="AH58" s="96"/>
      <c r="AI58" s="96"/>
    </row>
    <row r="59" spans="1:35" s="16" customFormat="1" ht="12" x14ac:dyDescent="0.25">
      <c r="A59" s="2"/>
      <c r="B59" s="2"/>
      <c r="C59" s="2"/>
      <c r="D59" s="2"/>
      <c r="E59" s="2"/>
      <c r="F59" s="383">
        <f t="shared" si="16"/>
        <v>48</v>
      </c>
      <c r="G59" s="384">
        <f t="shared" si="3"/>
        <v>44459</v>
      </c>
      <c r="H59" s="340">
        <f t="shared" si="24"/>
        <v>23800</v>
      </c>
      <c r="I59" s="340">
        <f t="shared" si="5"/>
        <v>2851.61</v>
      </c>
      <c r="J59" s="340">
        <f t="shared" si="12"/>
        <v>2851.61</v>
      </c>
      <c r="K59" s="340">
        <f t="shared" si="13"/>
        <v>2909.9199999999983</v>
      </c>
      <c r="L59" s="382">
        <f t="shared" si="17"/>
        <v>44197</v>
      </c>
      <c r="M59" s="382">
        <f t="shared" si="18"/>
        <v>44562</v>
      </c>
      <c r="N59" s="382">
        <f t="shared" si="19"/>
        <v>43831</v>
      </c>
      <c r="O59" s="340">
        <f t="shared" si="6"/>
        <v>19958.39</v>
      </c>
      <c r="P59" s="340">
        <f t="shared" si="25"/>
        <v>990</v>
      </c>
      <c r="Q59" s="340">
        <f t="shared" si="20"/>
        <v>0</v>
      </c>
      <c r="R59" s="340">
        <f t="shared" si="7"/>
        <v>3841.61</v>
      </c>
      <c r="S59" s="340">
        <f t="shared" si="22"/>
        <v>990</v>
      </c>
      <c r="T59" s="340">
        <f t="shared" si="8"/>
        <v>990</v>
      </c>
      <c r="U59" s="340">
        <f t="shared" si="14"/>
        <v>0</v>
      </c>
      <c r="V59" s="340">
        <f t="shared" si="9"/>
        <v>319187.69000000006</v>
      </c>
      <c r="W59" s="198">
        <f t="shared" si="21"/>
        <v>16</v>
      </c>
      <c r="X59" s="36">
        <f t="shared" si="15"/>
        <v>16</v>
      </c>
      <c r="Y59" s="2"/>
      <c r="Z59" s="34">
        <f t="shared" si="10"/>
        <v>22810</v>
      </c>
      <c r="AA59" s="57">
        <f t="shared" si="11"/>
        <v>60518</v>
      </c>
      <c r="AB59" s="96"/>
      <c r="AC59" s="96"/>
      <c r="AD59" s="96"/>
      <c r="AE59" s="96"/>
      <c r="AF59" s="96"/>
      <c r="AG59" s="96"/>
      <c r="AH59" s="96"/>
      <c r="AI59" s="96"/>
    </row>
    <row r="60" spans="1:35" s="16" customFormat="1" ht="12" x14ac:dyDescent="0.25">
      <c r="A60" s="2"/>
      <c r="B60" s="2"/>
      <c r="C60" s="2"/>
      <c r="D60" s="2"/>
      <c r="F60" s="383">
        <f t="shared" si="16"/>
        <v>49</v>
      </c>
      <c r="G60" s="384">
        <f t="shared" si="3"/>
        <v>44489</v>
      </c>
      <c r="H60" s="340">
        <f t="shared" si="24"/>
        <v>23800</v>
      </c>
      <c r="I60" s="340">
        <f t="shared" si="5"/>
        <v>2597.23</v>
      </c>
      <c r="J60" s="340">
        <f t="shared" si="12"/>
        <v>2597.23</v>
      </c>
      <c r="K60" s="340">
        <f t="shared" si="13"/>
        <v>2659.4400000000023</v>
      </c>
      <c r="L60" s="382">
        <f t="shared" si="17"/>
        <v>44197</v>
      </c>
      <c r="M60" s="382">
        <f t="shared" si="18"/>
        <v>44562</v>
      </c>
      <c r="N60" s="382">
        <f t="shared" si="19"/>
        <v>43831</v>
      </c>
      <c r="O60" s="340">
        <f t="shared" si="6"/>
        <v>20212.77</v>
      </c>
      <c r="P60" s="340">
        <f t="shared" si="25"/>
        <v>990</v>
      </c>
      <c r="Q60" s="340">
        <f t="shared" si="20"/>
        <v>0</v>
      </c>
      <c r="R60" s="340">
        <f t="shared" si="7"/>
        <v>3587.23</v>
      </c>
      <c r="S60" s="340">
        <f t="shared" si="22"/>
        <v>990</v>
      </c>
      <c r="T60" s="340">
        <f t="shared" si="8"/>
        <v>990</v>
      </c>
      <c r="U60" s="340">
        <f t="shared" si="14"/>
        <v>0</v>
      </c>
      <c r="V60" s="340">
        <f t="shared" si="9"/>
        <v>298974.92000000004</v>
      </c>
      <c r="W60" s="198">
        <f t="shared" si="21"/>
        <v>15</v>
      </c>
      <c r="X60" s="36">
        <f t="shared" si="15"/>
        <v>15</v>
      </c>
      <c r="Y60" s="2"/>
      <c r="Z60" s="34">
        <f t="shared" si="10"/>
        <v>22810</v>
      </c>
      <c r="AA60" s="57">
        <f t="shared" si="11"/>
        <v>60883</v>
      </c>
      <c r="AB60" s="96"/>
      <c r="AC60" s="96"/>
      <c r="AD60" s="96"/>
      <c r="AE60" s="96"/>
      <c r="AF60" s="96"/>
      <c r="AG60" s="96"/>
      <c r="AH60" s="96"/>
      <c r="AI60" s="96"/>
    </row>
    <row r="61" spans="1:35" s="16" customFormat="1" ht="12" x14ac:dyDescent="0.25">
      <c r="A61" s="2"/>
      <c r="B61" s="2"/>
      <c r="C61" s="2"/>
      <c r="D61" s="2"/>
      <c r="E61" s="2"/>
      <c r="F61" s="383">
        <f t="shared" si="16"/>
        <v>50</v>
      </c>
      <c r="G61" s="384">
        <f t="shared" si="3"/>
        <v>44520</v>
      </c>
      <c r="H61" s="340">
        <f t="shared" si="24"/>
        <v>23800</v>
      </c>
      <c r="I61" s="340">
        <f t="shared" si="5"/>
        <v>2513.85</v>
      </c>
      <c r="J61" s="340">
        <f t="shared" si="12"/>
        <v>2513.85</v>
      </c>
      <c r="K61" s="340">
        <f t="shared" si="13"/>
        <v>2578.7599999999984</v>
      </c>
      <c r="L61" s="382">
        <f t="shared" si="17"/>
        <v>44197</v>
      </c>
      <c r="M61" s="382">
        <f t="shared" si="18"/>
        <v>44562</v>
      </c>
      <c r="N61" s="382">
        <f t="shared" si="19"/>
        <v>43831</v>
      </c>
      <c r="O61" s="340">
        <f t="shared" si="6"/>
        <v>20296.150000000001</v>
      </c>
      <c r="P61" s="340">
        <f t="shared" si="25"/>
        <v>990</v>
      </c>
      <c r="Q61" s="340">
        <f t="shared" si="20"/>
        <v>0</v>
      </c>
      <c r="R61" s="340">
        <f t="shared" si="7"/>
        <v>3503.85</v>
      </c>
      <c r="S61" s="340">
        <f t="shared" si="22"/>
        <v>990</v>
      </c>
      <c r="T61" s="340">
        <f t="shared" si="8"/>
        <v>990</v>
      </c>
      <c r="U61" s="340">
        <f t="shared" si="14"/>
        <v>0</v>
      </c>
      <c r="V61" s="340">
        <f t="shared" si="9"/>
        <v>278678.77</v>
      </c>
      <c r="W61" s="198">
        <f t="shared" si="21"/>
        <v>14</v>
      </c>
      <c r="X61" s="36">
        <f t="shared" si="15"/>
        <v>14</v>
      </c>
      <c r="Y61" s="2"/>
      <c r="Z61" s="34">
        <f t="shared" si="10"/>
        <v>22810</v>
      </c>
      <c r="AA61" s="57">
        <f t="shared" si="11"/>
        <v>61248</v>
      </c>
      <c r="AB61" s="96"/>
      <c r="AC61" s="96"/>
      <c r="AD61" s="96"/>
      <c r="AE61" s="96"/>
      <c r="AF61" s="96"/>
      <c r="AG61" s="96"/>
      <c r="AH61" s="96"/>
      <c r="AI61" s="96"/>
    </row>
    <row r="62" spans="1:35" s="16" customFormat="1" ht="12" x14ac:dyDescent="0.25">
      <c r="A62" s="2"/>
      <c r="B62" s="2"/>
      <c r="C62" s="2"/>
      <c r="D62" s="2"/>
      <c r="E62" s="2"/>
      <c r="F62" s="383">
        <f t="shared" si="16"/>
        <v>51</v>
      </c>
      <c r="G62" s="384">
        <f t="shared" si="3"/>
        <v>44550</v>
      </c>
      <c r="H62" s="340">
        <f t="shared" si="24"/>
        <v>23800</v>
      </c>
      <c r="I62" s="340">
        <f t="shared" si="5"/>
        <v>2267.61</v>
      </c>
      <c r="J62" s="340">
        <f t="shared" si="12"/>
        <v>2267.61</v>
      </c>
      <c r="K62" s="340">
        <f t="shared" si="13"/>
        <v>2334.5200000000004</v>
      </c>
      <c r="L62" s="382">
        <f t="shared" si="17"/>
        <v>44197</v>
      </c>
      <c r="M62" s="382">
        <f t="shared" si="18"/>
        <v>44562</v>
      </c>
      <c r="N62" s="382">
        <f t="shared" si="19"/>
        <v>43831</v>
      </c>
      <c r="O62" s="340">
        <f t="shared" si="6"/>
        <v>20542.39</v>
      </c>
      <c r="P62" s="340">
        <f t="shared" si="25"/>
        <v>990</v>
      </c>
      <c r="Q62" s="340">
        <f t="shared" si="20"/>
        <v>0</v>
      </c>
      <c r="R62" s="340">
        <f t="shared" si="7"/>
        <v>3257.61</v>
      </c>
      <c r="S62" s="340">
        <f t="shared" si="22"/>
        <v>990</v>
      </c>
      <c r="T62" s="340">
        <f t="shared" si="8"/>
        <v>990</v>
      </c>
      <c r="U62" s="340">
        <f t="shared" si="14"/>
        <v>0</v>
      </c>
      <c r="V62" s="340">
        <f t="shared" si="9"/>
        <v>258136.38</v>
      </c>
      <c r="W62" s="198">
        <f t="shared" si="21"/>
        <v>13</v>
      </c>
      <c r="X62" s="36">
        <f t="shared" si="15"/>
        <v>13</v>
      </c>
      <c r="Y62" s="2"/>
      <c r="Z62" s="34">
        <f t="shared" si="10"/>
        <v>22810</v>
      </c>
      <c r="AA62" s="57">
        <f t="shared" si="11"/>
        <v>61613</v>
      </c>
      <c r="AB62" s="96"/>
      <c r="AC62" s="96"/>
      <c r="AD62" s="96"/>
      <c r="AE62" s="96"/>
      <c r="AF62" s="96"/>
      <c r="AG62" s="96"/>
      <c r="AH62" s="96"/>
      <c r="AI62" s="96"/>
    </row>
    <row r="63" spans="1:35" s="16" customFormat="1" ht="12" x14ac:dyDescent="0.25">
      <c r="A63" s="2"/>
      <c r="B63" s="2"/>
      <c r="C63" s="2"/>
      <c r="D63" s="2"/>
      <c r="E63" s="2"/>
      <c r="F63" s="383">
        <f t="shared" si="16"/>
        <v>52</v>
      </c>
      <c r="G63" s="384">
        <f t="shared" si="3"/>
        <v>44581</v>
      </c>
      <c r="H63" s="340">
        <f t="shared" si="24"/>
        <v>23800</v>
      </c>
      <c r="I63" s="340">
        <f t="shared" si="5"/>
        <v>2170.4699999999998</v>
      </c>
      <c r="J63" s="340">
        <f t="shared" si="12"/>
        <v>2170.4699999999998</v>
      </c>
      <c r="K63" s="340">
        <f t="shared" si="13"/>
        <v>2170.4699999999998</v>
      </c>
      <c r="L63" s="382">
        <f t="shared" si="17"/>
        <v>44562</v>
      </c>
      <c r="M63" s="382">
        <f t="shared" si="18"/>
        <v>44927</v>
      </c>
      <c r="N63" s="382">
        <f t="shared" si="19"/>
        <v>44197</v>
      </c>
      <c r="O63" s="340">
        <f t="shared" si="6"/>
        <v>20639.53</v>
      </c>
      <c r="P63" s="340">
        <f t="shared" si="25"/>
        <v>990</v>
      </c>
      <c r="Q63" s="340">
        <f t="shared" si="20"/>
        <v>0</v>
      </c>
      <c r="R63" s="340">
        <f t="shared" si="7"/>
        <v>3160.47</v>
      </c>
      <c r="S63" s="340">
        <f t="shared" si="22"/>
        <v>990</v>
      </c>
      <c r="T63" s="340">
        <f t="shared" si="8"/>
        <v>990</v>
      </c>
      <c r="U63" s="340">
        <f t="shared" si="14"/>
        <v>0</v>
      </c>
      <c r="V63" s="340">
        <f t="shared" si="9"/>
        <v>237496.85</v>
      </c>
      <c r="W63" s="198">
        <f t="shared" si="21"/>
        <v>12</v>
      </c>
      <c r="X63" s="36">
        <f t="shared" si="15"/>
        <v>12</v>
      </c>
      <c r="Y63" s="2"/>
      <c r="Z63" s="34">
        <f t="shared" si="10"/>
        <v>22810</v>
      </c>
      <c r="AA63" s="57">
        <f t="shared" si="11"/>
        <v>61978</v>
      </c>
      <c r="AB63" s="96"/>
      <c r="AC63" s="96"/>
      <c r="AD63" s="96"/>
      <c r="AE63" s="96"/>
      <c r="AF63" s="96"/>
      <c r="AG63" s="96"/>
      <c r="AH63" s="96"/>
      <c r="AI63" s="96"/>
    </row>
    <row r="64" spans="1:35" s="16" customFormat="1" ht="12" x14ac:dyDescent="0.25">
      <c r="A64" s="2"/>
      <c r="B64" s="2"/>
      <c r="C64" s="2"/>
      <c r="D64" s="2"/>
      <c r="E64" s="2"/>
      <c r="F64" s="383">
        <f t="shared" si="16"/>
        <v>53</v>
      </c>
      <c r="G64" s="384">
        <f t="shared" si="3"/>
        <v>44612</v>
      </c>
      <c r="H64" s="340">
        <f t="shared" si="24"/>
        <v>23800</v>
      </c>
      <c r="I64" s="340">
        <f t="shared" si="5"/>
        <v>1996.93</v>
      </c>
      <c r="J64" s="340">
        <f t="shared" si="12"/>
        <v>1996.93</v>
      </c>
      <c r="K64" s="340">
        <f t="shared" si="13"/>
        <v>1996.9200000000003</v>
      </c>
      <c r="L64" s="382">
        <f t="shared" si="17"/>
        <v>44562</v>
      </c>
      <c r="M64" s="382">
        <f t="shared" si="18"/>
        <v>44927</v>
      </c>
      <c r="N64" s="382">
        <f t="shared" si="19"/>
        <v>44197</v>
      </c>
      <c r="O64" s="340">
        <f t="shared" si="6"/>
        <v>20813.07</v>
      </c>
      <c r="P64" s="340">
        <f t="shared" si="25"/>
        <v>990</v>
      </c>
      <c r="Q64" s="340">
        <f t="shared" si="20"/>
        <v>0</v>
      </c>
      <c r="R64" s="340">
        <f t="shared" si="7"/>
        <v>2986.9300000000003</v>
      </c>
      <c r="S64" s="340">
        <f t="shared" si="22"/>
        <v>990</v>
      </c>
      <c r="T64" s="340">
        <f t="shared" si="8"/>
        <v>990</v>
      </c>
      <c r="U64" s="340">
        <f t="shared" si="14"/>
        <v>0</v>
      </c>
      <c r="V64" s="340">
        <f t="shared" si="9"/>
        <v>216683.78</v>
      </c>
      <c r="W64" s="198">
        <f t="shared" si="21"/>
        <v>11</v>
      </c>
      <c r="X64" s="36">
        <f t="shared" si="15"/>
        <v>11</v>
      </c>
      <c r="Y64" s="2"/>
      <c r="Z64" s="34">
        <f t="shared" si="10"/>
        <v>22810</v>
      </c>
      <c r="AA64" s="57">
        <f t="shared" si="11"/>
        <v>62343</v>
      </c>
      <c r="AB64" s="96"/>
      <c r="AC64" s="96"/>
      <c r="AD64" s="96"/>
      <c r="AE64" s="96"/>
      <c r="AF64" s="96"/>
      <c r="AG64" s="96"/>
      <c r="AH64" s="96"/>
      <c r="AI64" s="96"/>
    </row>
    <row r="65" spans="1:35" s="16" customFormat="1" ht="12" x14ac:dyDescent="0.25">
      <c r="A65" s="2"/>
      <c r="B65" s="2"/>
      <c r="C65" s="13"/>
      <c r="D65" s="2"/>
      <c r="E65" s="2"/>
      <c r="F65" s="383">
        <f t="shared" si="16"/>
        <v>54</v>
      </c>
      <c r="G65" s="384">
        <f t="shared" si="3"/>
        <v>44640</v>
      </c>
      <c r="H65" s="340">
        <f t="shared" si="24"/>
        <v>23800</v>
      </c>
      <c r="I65" s="340">
        <f t="shared" si="5"/>
        <v>1645.61</v>
      </c>
      <c r="J65" s="340">
        <f t="shared" si="12"/>
        <v>1645.61</v>
      </c>
      <c r="K65" s="340">
        <f t="shared" si="13"/>
        <v>1645.6100000000001</v>
      </c>
      <c r="L65" s="382">
        <f t="shared" si="17"/>
        <v>44562</v>
      </c>
      <c r="M65" s="382">
        <f t="shared" si="18"/>
        <v>44927</v>
      </c>
      <c r="N65" s="382">
        <f t="shared" si="19"/>
        <v>44197</v>
      </c>
      <c r="O65" s="340">
        <f t="shared" si="6"/>
        <v>21164.39</v>
      </c>
      <c r="P65" s="340">
        <f t="shared" si="25"/>
        <v>990</v>
      </c>
      <c r="Q65" s="340">
        <f t="shared" si="20"/>
        <v>0</v>
      </c>
      <c r="R65" s="340">
        <f t="shared" si="7"/>
        <v>2635.6099999999997</v>
      </c>
      <c r="S65" s="340">
        <f t="shared" si="22"/>
        <v>990</v>
      </c>
      <c r="T65" s="340">
        <f t="shared" si="8"/>
        <v>990</v>
      </c>
      <c r="U65" s="340">
        <f t="shared" si="14"/>
        <v>0</v>
      </c>
      <c r="V65" s="340">
        <f t="shared" si="9"/>
        <v>195519.39</v>
      </c>
      <c r="W65" s="198">
        <f t="shared" si="21"/>
        <v>10</v>
      </c>
      <c r="X65" s="36">
        <f t="shared" si="15"/>
        <v>10</v>
      </c>
      <c r="Y65" s="2"/>
      <c r="Z65" s="34">
        <f t="shared" si="10"/>
        <v>22810</v>
      </c>
      <c r="AA65" s="57">
        <f t="shared" si="11"/>
        <v>62708</v>
      </c>
      <c r="AB65" s="96"/>
      <c r="AC65" s="96"/>
      <c r="AD65" s="96"/>
      <c r="AE65" s="96"/>
      <c r="AF65" s="96"/>
      <c r="AG65" s="96"/>
      <c r="AH65" s="96"/>
      <c r="AI65" s="96"/>
    </row>
    <row r="66" spans="1:35" s="16" customFormat="1" ht="12" x14ac:dyDescent="0.25">
      <c r="A66" s="2"/>
      <c r="B66" s="2"/>
      <c r="C66" s="2"/>
      <c r="D66" s="13"/>
      <c r="E66" s="2"/>
      <c r="F66" s="383">
        <f t="shared" si="16"/>
        <v>55</v>
      </c>
      <c r="G66" s="384">
        <f t="shared" si="3"/>
        <v>44671</v>
      </c>
      <c r="H66" s="340">
        <f t="shared" si="24"/>
        <v>23800</v>
      </c>
      <c r="I66" s="340">
        <f t="shared" si="5"/>
        <v>1643.97</v>
      </c>
      <c r="J66" s="340">
        <f t="shared" si="12"/>
        <v>1643.97</v>
      </c>
      <c r="K66" s="340">
        <f t="shared" si="13"/>
        <v>1643.9699999999993</v>
      </c>
      <c r="L66" s="382">
        <f t="shared" si="17"/>
        <v>44562</v>
      </c>
      <c r="M66" s="382">
        <f t="shared" si="18"/>
        <v>44927</v>
      </c>
      <c r="N66" s="382">
        <f t="shared" si="19"/>
        <v>44197</v>
      </c>
      <c r="O66" s="340">
        <f t="shared" si="6"/>
        <v>21166.03</v>
      </c>
      <c r="P66" s="340">
        <f t="shared" si="25"/>
        <v>990</v>
      </c>
      <c r="Q66" s="340">
        <f t="shared" si="20"/>
        <v>0</v>
      </c>
      <c r="R66" s="340">
        <f t="shared" si="7"/>
        <v>2633.9700000000003</v>
      </c>
      <c r="S66" s="340">
        <f t="shared" si="22"/>
        <v>990</v>
      </c>
      <c r="T66" s="340">
        <f t="shared" si="8"/>
        <v>990</v>
      </c>
      <c r="U66" s="340">
        <f t="shared" si="14"/>
        <v>0</v>
      </c>
      <c r="V66" s="340">
        <f t="shared" si="9"/>
        <v>174353.36000000002</v>
      </c>
      <c r="W66" s="198">
        <f t="shared" si="21"/>
        <v>9</v>
      </c>
      <c r="X66" s="36">
        <f t="shared" si="15"/>
        <v>9</v>
      </c>
      <c r="Y66" s="2"/>
      <c r="Z66" s="34">
        <f t="shared" si="10"/>
        <v>22810</v>
      </c>
      <c r="AA66" s="57">
        <f t="shared" si="11"/>
        <v>63073</v>
      </c>
      <c r="AB66" s="96"/>
      <c r="AC66" s="96"/>
      <c r="AD66" s="96"/>
      <c r="AE66" s="96"/>
      <c r="AF66" s="96"/>
      <c r="AG66" s="96"/>
      <c r="AH66" s="96"/>
      <c r="AI66" s="96"/>
    </row>
    <row r="67" spans="1:35" s="16" customFormat="1" ht="12" x14ac:dyDescent="0.25">
      <c r="A67" s="2"/>
      <c r="B67" s="2"/>
      <c r="C67" s="2"/>
      <c r="D67" s="13"/>
      <c r="E67" s="2"/>
      <c r="F67" s="383">
        <f t="shared" si="16"/>
        <v>56</v>
      </c>
      <c r="G67" s="384">
        <f t="shared" si="3"/>
        <v>44701</v>
      </c>
      <c r="H67" s="340">
        <f t="shared" si="24"/>
        <v>23800</v>
      </c>
      <c r="I67" s="340">
        <f t="shared" si="5"/>
        <v>1418.71</v>
      </c>
      <c r="J67" s="340">
        <f t="shared" si="12"/>
        <v>1418.71</v>
      </c>
      <c r="K67" s="340">
        <f t="shared" si="13"/>
        <v>1418.71</v>
      </c>
      <c r="L67" s="382">
        <f t="shared" si="17"/>
        <v>44562</v>
      </c>
      <c r="M67" s="382">
        <f t="shared" si="18"/>
        <v>44927</v>
      </c>
      <c r="N67" s="382">
        <f t="shared" si="19"/>
        <v>44197</v>
      </c>
      <c r="O67" s="340">
        <f t="shared" si="6"/>
        <v>21391.29</v>
      </c>
      <c r="P67" s="340">
        <f t="shared" si="25"/>
        <v>990</v>
      </c>
      <c r="Q67" s="340">
        <f t="shared" si="20"/>
        <v>0</v>
      </c>
      <c r="R67" s="340">
        <f t="shared" si="7"/>
        <v>2408.71</v>
      </c>
      <c r="S67" s="340">
        <f t="shared" si="22"/>
        <v>990</v>
      </c>
      <c r="T67" s="340">
        <f t="shared" si="8"/>
        <v>990</v>
      </c>
      <c r="U67" s="340">
        <f t="shared" si="14"/>
        <v>0</v>
      </c>
      <c r="V67" s="340">
        <f t="shared" si="9"/>
        <v>152962.07</v>
      </c>
      <c r="W67" s="198">
        <f t="shared" si="21"/>
        <v>8</v>
      </c>
      <c r="X67" s="36">
        <f t="shared" si="15"/>
        <v>8</v>
      </c>
      <c r="Y67" s="2"/>
      <c r="Z67" s="34">
        <f t="shared" si="10"/>
        <v>22810</v>
      </c>
      <c r="AA67" s="57">
        <f t="shared" si="11"/>
        <v>63438</v>
      </c>
      <c r="AB67" s="96"/>
      <c r="AC67" s="96"/>
      <c r="AD67" s="96"/>
      <c r="AE67" s="96"/>
      <c r="AF67" s="96"/>
      <c r="AG67" s="96"/>
      <c r="AH67" s="96"/>
      <c r="AI67" s="96"/>
    </row>
    <row r="68" spans="1:35" s="16" customFormat="1" ht="12" x14ac:dyDescent="0.25">
      <c r="A68" s="2"/>
      <c r="B68" s="2"/>
      <c r="C68" s="2"/>
      <c r="D68" s="2"/>
      <c r="E68" s="2"/>
      <c r="F68" s="383">
        <f t="shared" si="16"/>
        <v>57</v>
      </c>
      <c r="G68" s="384">
        <f t="shared" si="3"/>
        <v>44732</v>
      </c>
      <c r="H68" s="340">
        <f t="shared" si="24"/>
        <v>23800</v>
      </c>
      <c r="I68" s="340">
        <f t="shared" si="5"/>
        <v>1286.1400000000001</v>
      </c>
      <c r="J68" s="340">
        <f t="shared" si="12"/>
        <v>1286.1400000000001</v>
      </c>
      <c r="K68" s="340">
        <f t="shared" si="13"/>
        <v>1286.1400000000003</v>
      </c>
      <c r="L68" s="382">
        <f t="shared" si="17"/>
        <v>44562</v>
      </c>
      <c r="M68" s="382">
        <f t="shared" si="18"/>
        <v>44927</v>
      </c>
      <c r="N68" s="382">
        <f t="shared" si="19"/>
        <v>44197</v>
      </c>
      <c r="O68" s="340">
        <f t="shared" si="6"/>
        <v>21523.86</v>
      </c>
      <c r="P68" s="340">
        <f t="shared" si="25"/>
        <v>990</v>
      </c>
      <c r="Q68" s="340">
        <f t="shared" si="20"/>
        <v>0</v>
      </c>
      <c r="R68" s="340">
        <f t="shared" si="7"/>
        <v>2276.1400000000003</v>
      </c>
      <c r="S68" s="340">
        <f t="shared" si="22"/>
        <v>990</v>
      </c>
      <c r="T68" s="340">
        <f t="shared" si="8"/>
        <v>990</v>
      </c>
      <c r="U68" s="340">
        <f t="shared" si="14"/>
        <v>0</v>
      </c>
      <c r="V68" s="340">
        <f t="shared" si="9"/>
        <v>131438.21000000002</v>
      </c>
      <c r="W68" s="198">
        <f t="shared" si="21"/>
        <v>7</v>
      </c>
      <c r="X68" s="36">
        <f t="shared" si="15"/>
        <v>7</v>
      </c>
      <c r="Y68" s="2"/>
      <c r="Z68" s="34">
        <f t="shared" si="10"/>
        <v>22810</v>
      </c>
      <c r="AA68" s="57">
        <f t="shared" si="11"/>
        <v>63803</v>
      </c>
      <c r="AB68" s="96"/>
      <c r="AC68" s="96"/>
      <c r="AD68" s="96"/>
      <c r="AE68" s="96"/>
      <c r="AF68" s="96"/>
      <c r="AG68" s="96"/>
      <c r="AH68" s="96"/>
      <c r="AI68" s="96"/>
    </row>
    <row r="69" spans="1:35" s="16" customFormat="1" ht="12" x14ac:dyDescent="0.25">
      <c r="A69" s="2"/>
      <c r="B69" s="2"/>
      <c r="C69" s="2"/>
      <c r="D69" s="2"/>
      <c r="E69" s="2"/>
      <c r="F69" s="383">
        <f t="shared" si="16"/>
        <v>58</v>
      </c>
      <c r="G69" s="384">
        <f t="shared" si="3"/>
        <v>44762</v>
      </c>
      <c r="H69" s="340">
        <f t="shared" si="24"/>
        <v>23800</v>
      </c>
      <c r="I69" s="340">
        <f t="shared" si="5"/>
        <v>1069.51</v>
      </c>
      <c r="J69" s="340">
        <f t="shared" si="12"/>
        <v>1069.51</v>
      </c>
      <c r="K69" s="340">
        <f t="shared" si="13"/>
        <v>1069.5100000000002</v>
      </c>
      <c r="L69" s="382">
        <f t="shared" si="17"/>
        <v>44562</v>
      </c>
      <c r="M69" s="382">
        <f t="shared" si="18"/>
        <v>44927</v>
      </c>
      <c r="N69" s="382">
        <f t="shared" si="19"/>
        <v>44197</v>
      </c>
      <c r="O69" s="340">
        <f t="shared" si="6"/>
        <v>21740.49</v>
      </c>
      <c r="P69" s="340">
        <f t="shared" si="25"/>
        <v>990</v>
      </c>
      <c r="Q69" s="340">
        <f t="shared" si="20"/>
        <v>0</v>
      </c>
      <c r="R69" s="340">
        <f t="shared" si="7"/>
        <v>2059.5100000000002</v>
      </c>
      <c r="S69" s="340">
        <f t="shared" si="22"/>
        <v>990</v>
      </c>
      <c r="T69" s="340">
        <f t="shared" si="8"/>
        <v>990</v>
      </c>
      <c r="U69" s="340">
        <f t="shared" si="14"/>
        <v>0</v>
      </c>
      <c r="V69" s="340">
        <f t="shared" si="9"/>
        <v>109697.72000000002</v>
      </c>
      <c r="W69" s="198">
        <f t="shared" si="21"/>
        <v>6</v>
      </c>
      <c r="X69" s="36">
        <f t="shared" si="15"/>
        <v>6</v>
      </c>
      <c r="Y69" s="2"/>
      <c r="Z69" s="34">
        <f t="shared" si="10"/>
        <v>22810</v>
      </c>
      <c r="AA69" s="57">
        <f t="shared" si="11"/>
        <v>64168</v>
      </c>
      <c r="AB69" s="96"/>
      <c r="AC69" s="96"/>
      <c r="AD69" s="96"/>
      <c r="AE69" s="96"/>
      <c r="AF69" s="96"/>
      <c r="AG69" s="96"/>
      <c r="AH69" s="96"/>
      <c r="AI69" s="96"/>
    </row>
    <row r="70" spans="1:35" s="16" customFormat="1" ht="12" x14ac:dyDescent="0.25">
      <c r="A70" s="2"/>
      <c r="B70" s="2"/>
      <c r="C70" s="2"/>
      <c r="D70" s="2"/>
      <c r="E70" s="2"/>
      <c r="F70" s="383">
        <f t="shared" si="16"/>
        <v>59</v>
      </c>
      <c r="G70" s="384">
        <f t="shared" si="3"/>
        <v>44793</v>
      </c>
      <c r="H70" s="340">
        <f t="shared" si="24"/>
        <v>23800</v>
      </c>
      <c r="I70" s="340">
        <f t="shared" si="5"/>
        <v>922.36</v>
      </c>
      <c r="J70" s="340">
        <f t="shared" si="12"/>
        <v>922.36</v>
      </c>
      <c r="K70" s="340">
        <f t="shared" si="13"/>
        <v>922.36000000000058</v>
      </c>
      <c r="L70" s="382">
        <f t="shared" si="17"/>
        <v>44562</v>
      </c>
      <c r="M70" s="382">
        <f t="shared" si="18"/>
        <v>44927</v>
      </c>
      <c r="N70" s="382">
        <f t="shared" si="19"/>
        <v>44197</v>
      </c>
      <c r="O70" s="340">
        <f t="shared" si="6"/>
        <v>21887.64</v>
      </c>
      <c r="P70" s="340">
        <f t="shared" si="25"/>
        <v>990</v>
      </c>
      <c r="Q70" s="340">
        <f t="shared" si="20"/>
        <v>0</v>
      </c>
      <c r="R70" s="340">
        <f t="shared" si="7"/>
        <v>1912.3600000000001</v>
      </c>
      <c r="S70" s="340">
        <f t="shared" si="22"/>
        <v>990</v>
      </c>
      <c r="T70" s="340">
        <f t="shared" si="8"/>
        <v>990</v>
      </c>
      <c r="U70" s="340">
        <f t="shared" si="14"/>
        <v>0</v>
      </c>
      <c r="V70" s="340">
        <f t="shared" si="9"/>
        <v>87810.080000000016</v>
      </c>
      <c r="W70" s="198">
        <f t="shared" si="21"/>
        <v>5</v>
      </c>
      <c r="X70" s="36">
        <f t="shared" si="15"/>
        <v>5</v>
      </c>
      <c r="Y70" s="2"/>
      <c r="Z70" s="34">
        <f t="shared" si="10"/>
        <v>22810</v>
      </c>
      <c r="AA70" s="57">
        <f t="shared" si="11"/>
        <v>64533</v>
      </c>
      <c r="AB70" s="96"/>
      <c r="AC70" s="96"/>
      <c r="AD70" s="96"/>
      <c r="AE70" s="96"/>
      <c r="AF70" s="96"/>
      <c r="AG70" s="96"/>
      <c r="AH70" s="96"/>
      <c r="AI70" s="96"/>
    </row>
    <row r="71" spans="1:35" s="16" customFormat="1" ht="12" x14ac:dyDescent="0.25">
      <c r="A71" s="2"/>
      <c r="B71" s="2"/>
      <c r="C71" s="2"/>
      <c r="D71" s="2"/>
      <c r="E71" s="2"/>
      <c r="F71" s="383">
        <f t="shared" si="16"/>
        <v>60</v>
      </c>
      <c r="G71" s="384">
        <f t="shared" si="3"/>
        <v>44824</v>
      </c>
      <c r="H71" s="340">
        <f t="shared" si="24"/>
        <v>23800</v>
      </c>
      <c r="I71" s="340">
        <f t="shared" si="5"/>
        <v>738.33</v>
      </c>
      <c r="J71" s="340">
        <f t="shared" si="12"/>
        <v>738.33</v>
      </c>
      <c r="K71" s="340">
        <f t="shared" si="13"/>
        <v>738.32999999999993</v>
      </c>
      <c r="L71" s="382">
        <f t="shared" si="17"/>
        <v>44562</v>
      </c>
      <c r="M71" s="382">
        <f t="shared" si="18"/>
        <v>44927</v>
      </c>
      <c r="N71" s="382">
        <f t="shared" si="19"/>
        <v>44197</v>
      </c>
      <c r="O71" s="340">
        <f t="shared" si="6"/>
        <v>22071.67</v>
      </c>
      <c r="P71" s="340">
        <f t="shared" si="25"/>
        <v>990</v>
      </c>
      <c r="Q71" s="340">
        <f t="shared" si="20"/>
        <v>0</v>
      </c>
      <c r="R71" s="340">
        <f t="shared" si="7"/>
        <v>1728.33</v>
      </c>
      <c r="S71" s="340">
        <f t="shared" si="22"/>
        <v>990</v>
      </c>
      <c r="T71" s="340">
        <f t="shared" si="8"/>
        <v>990</v>
      </c>
      <c r="U71" s="340">
        <f t="shared" si="14"/>
        <v>0</v>
      </c>
      <c r="V71" s="340">
        <f t="shared" si="9"/>
        <v>65738.410000000018</v>
      </c>
      <c r="W71" s="198">
        <f t="shared" si="21"/>
        <v>4</v>
      </c>
      <c r="X71" s="36">
        <f t="shared" si="15"/>
        <v>4</v>
      </c>
      <c r="Y71" s="2"/>
      <c r="Z71" s="34">
        <f t="shared" si="10"/>
        <v>22810</v>
      </c>
      <c r="AA71" s="57">
        <f t="shared" si="11"/>
        <v>64898</v>
      </c>
      <c r="AB71" s="96"/>
      <c r="AC71" s="96"/>
      <c r="AD71" s="96"/>
      <c r="AE71" s="96"/>
      <c r="AF71" s="96"/>
      <c r="AG71" s="96"/>
      <c r="AH71" s="96"/>
      <c r="AI71" s="96"/>
    </row>
    <row r="72" spans="1:35" s="16" customFormat="1" ht="12" x14ac:dyDescent="0.25">
      <c r="A72" s="2"/>
      <c r="B72" s="2"/>
      <c r="C72" s="2"/>
      <c r="D72" s="2"/>
      <c r="E72" s="2"/>
      <c r="F72" s="383">
        <f t="shared" si="16"/>
        <v>61</v>
      </c>
      <c r="G72" s="384">
        <f t="shared" si="3"/>
        <v>44854</v>
      </c>
      <c r="H72" s="340">
        <f t="shared" si="24"/>
        <v>23800</v>
      </c>
      <c r="I72" s="340">
        <f t="shared" si="5"/>
        <v>534.91</v>
      </c>
      <c r="J72" s="340">
        <f t="shared" si="12"/>
        <v>534.91</v>
      </c>
      <c r="K72" s="340">
        <f t="shared" si="13"/>
        <v>534.91000000000076</v>
      </c>
      <c r="L72" s="382">
        <f t="shared" si="17"/>
        <v>44562</v>
      </c>
      <c r="M72" s="382">
        <f t="shared" si="18"/>
        <v>44927</v>
      </c>
      <c r="N72" s="382">
        <f t="shared" si="19"/>
        <v>44197</v>
      </c>
      <c r="O72" s="340">
        <f t="shared" si="6"/>
        <v>22275.09</v>
      </c>
      <c r="P72" s="340">
        <f t="shared" si="25"/>
        <v>990</v>
      </c>
      <c r="Q72" s="340">
        <f t="shared" si="20"/>
        <v>0</v>
      </c>
      <c r="R72" s="340">
        <f t="shared" si="7"/>
        <v>1524.9099999999999</v>
      </c>
      <c r="S72" s="340">
        <f t="shared" si="22"/>
        <v>990</v>
      </c>
      <c r="T72" s="340">
        <f t="shared" si="8"/>
        <v>990</v>
      </c>
      <c r="U72" s="340">
        <f t="shared" si="14"/>
        <v>0</v>
      </c>
      <c r="V72" s="340">
        <f t="shared" si="9"/>
        <v>43463.320000000022</v>
      </c>
      <c r="W72" s="198">
        <f t="shared" si="21"/>
        <v>3</v>
      </c>
      <c r="X72" s="36">
        <f t="shared" si="15"/>
        <v>3</v>
      </c>
      <c r="Y72" s="2"/>
      <c r="Z72" s="34">
        <f t="shared" si="10"/>
        <v>22810</v>
      </c>
      <c r="AA72" s="57">
        <f t="shared" si="11"/>
        <v>65263</v>
      </c>
      <c r="AB72" s="96"/>
      <c r="AC72" s="96"/>
      <c r="AD72" s="96"/>
      <c r="AE72" s="96"/>
      <c r="AF72" s="96"/>
      <c r="AG72" s="96"/>
      <c r="AH72" s="96"/>
      <c r="AI72" s="96"/>
    </row>
    <row r="73" spans="1:35" s="16" customFormat="1" ht="12" x14ac:dyDescent="0.25">
      <c r="A73" s="2"/>
      <c r="B73" s="2"/>
      <c r="C73" s="2"/>
      <c r="D73" s="2"/>
      <c r="E73" s="2"/>
      <c r="F73" s="383">
        <f t="shared" si="16"/>
        <v>62</v>
      </c>
      <c r="G73" s="384">
        <f t="shared" si="3"/>
        <v>44885</v>
      </c>
      <c r="H73" s="340">
        <f t="shared" si="24"/>
        <v>23800</v>
      </c>
      <c r="I73" s="340">
        <f t="shared" si="5"/>
        <v>365.45</v>
      </c>
      <c r="J73" s="340">
        <f t="shared" si="12"/>
        <v>365.45</v>
      </c>
      <c r="K73" s="340">
        <f t="shared" si="13"/>
        <v>365.45000000000027</v>
      </c>
      <c r="L73" s="382">
        <f t="shared" si="17"/>
        <v>44562</v>
      </c>
      <c r="M73" s="382">
        <f t="shared" si="18"/>
        <v>44927</v>
      </c>
      <c r="N73" s="382">
        <f t="shared" si="19"/>
        <v>44197</v>
      </c>
      <c r="O73" s="340">
        <f t="shared" si="6"/>
        <v>22444.55</v>
      </c>
      <c r="P73" s="340">
        <f t="shared" si="25"/>
        <v>990</v>
      </c>
      <c r="Q73" s="340">
        <f t="shared" si="20"/>
        <v>0</v>
      </c>
      <c r="R73" s="340">
        <f t="shared" si="7"/>
        <v>1355.45</v>
      </c>
      <c r="S73" s="340">
        <f t="shared" si="22"/>
        <v>990</v>
      </c>
      <c r="T73" s="340">
        <f t="shared" si="8"/>
        <v>990</v>
      </c>
      <c r="U73" s="340">
        <f t="shared" si="14"/>
        <v>0</v>
      </c>
      <c r="V73" s="340">
        <f t="shared" si="9"/>
        <v>21018.770000000022</v>
      </c>
      <c r="W73" s="198">
        <f t="shared" si="21"/>
        <v>2</v>
      </c>
      <c r="X73" s="36">
        <f t="shared" si="15"/>
        <v>2</v>
      </c>
      <c r="Y73" s="2"/>
      <c r="Z73" s="34">
        <f t="shared" si="10"/>
        <v>22810</v>
      </c>
      <c r="AA73" s="57">
        <f t="shared" si="11"/>
        <v>65628</v>
      </c>
      <c r="AB73" s="96"/>
      <c r="AC73" s="96"/>
      <c r="AD73" s="96"/>
      <c r="AE73" s="96"/>
      <c r="AF73" s="96"/>
      <c r="AG73" s="96"/>
      <c r="AH73" s="96"/>
      <c r="AI73" s="96"/>
    </row>
    <row r="74" spans="1:35" s="16" customFormat="1" ht="12" x14ac:dyDescent="0.25">
      <c r="A74" s="2"/>
      <c r="B74" s="2"/>
      <c r="C74" s="2"/>
      <c r="D74" s="2"/>
      <c r="E74" s="2"/>
      <c r="F74" s="383">
        <f t="shared" si="16"/>
        <v>63</v>
      </c>
      <c r="G74" s="384">
        <f t="shared" si="3"/>
        <v>44915</v>
      </c>
      <c r="H74" s="340">
        <f t="shared" si="24"/>
        <v>22179.800000000021</v>
      </c>
      <c r="I74" s="340">
        <f t="shared" si="5"/>
        <v>171.03</v>
      </c>
      <c r="J74" s="340">
        <f t="shared" si="12"/>
        <v>171.03</v>
      </c>
      <c r="K74" s="340">
        <f t="shared" si="13"/>
        <v>171.0300000000002</v>
      </c>
      <c r="L74" s="382">
        <f t="shared" si="17"/>
        <v>44562</v>
      </c>
      <c r="M74" s="382">
        <f t="shared" si="18"/>
        <v>44927</v>
      </c>
      <c r="N74" s="382">
        <f t="shared" si="19"/>
        <v>44197</v>
      </c>
      <c r="O74" s="340">
        <f t="shared" si="6"/>
        <v>21018.770000000022</v>
      </c>
      <c r="P74" s="340">
        <f t="shared" si="25"/>
        <v>990</v>
      </c>
      <c r="Q74" s="340">
        <f t="shared" si="20"/>
        <v>0</v>
      </c>
      <c r="R74" s="340">
        <f t="shared" si="7"/>
        <v>1161.03</v>
      </c>
      <c r="S74" s="340">
        <f t="shared" si="22"/>
        <v>990</v>
      </c>
      <c r="T74" s="340">
        <f t="shared" si="8"/>
        <v>990</v>
      </c>
      <c r="U74" s="340">
        <f t="shared" si="14"/>
        <v>0</v>
      </c>
      <c r="V74" s="340">
        <f t="shared" si="9"/>
        <v>0</v>
      </c>
      <c r="W74" s="198">
        <f t="shared" si="21"/>
        <v>1</v>
      </c>
      <c r="X74" s="36">
        <f t="shared" si="15"/>
        <v>1</v>
      </c>
      <c r="Y74" s="2"/>
      <c r="Z74" s="34">
        <f t="shared" si="10"/>
        <v>21189.800000000021</v>
      </c>
      <c r="AA74" s="57">
        <f t="shared" si="11"/>
        <v>65993</v>
      </c>
      <c r="AB74" s="96"/>
      <c r="AC74" s="96"/>
      <c r="AD74" s="96"/>
      <c r="AE74" s="96"/>
      <c r="AF74" s="96"/>
      <c r="AG74" s="96"/>
      <c r="AH74" s="96"/>
      <c r="AI74" s="96"/>
    </row>
    <row r="75" spans="1:35" s="16" customFormat="1" ht="12" x14ac:dyDescent="0.25">
      <c r="A75" s="2"/>
      <c r="B75" s="2"/>
      <c r="C75" s="2"/>
      <c r="D75" s="2"/>
      <c r="E75" s="2"/>
      <c r="F75" s="383">
        <f t="shared" si="16"/>
        <v>64</v>
      </c>
      <c r="G75" s="384">
        <f t="shared" si="3"/>
        <v>44946</v>
      </c>
      <c r="H75" s="340">
        <f t="shared" si="24"/>
        <v>0</v>
      </c>
      <c r="I75" s="340">
        <f t="shared" si="5"/>
        <v>0</v>
      </c>
      <c r="J75" s="340">
        <f t="shared" si="12"/>
        <v>0</v>
      </c>
      <c r="K75" s="340">
        <f t="shared" si="13"/>
        <v>0</v>
      </c>
      <c r="L75" s="382">
        <f t="shared" si="17"/>
        <v>44927</v>
      </c>
      <c r="M75" s="382">
        <f t="shared" si="18"/>
        <v>45292</v>
      </c>
      <c r="N75" s="382">
        <f t="shared" si="19"/>
        <v>44562</v>
      </c>
      <c r="O75" s="340">
        <f t="shared" si="6"/>
        <v>0</v>
      </c>
      <c r="P75" s="340">
        <f t="shared" si="25"/>
        <v>0</v>
      </c>
      <c r="Q75" s="340">
        <f t="shared" si="20"/>
        <v>0</v>
      </c>
      <c r="R75" s="340">
        <f t="shared" si="7"/>
        <v>0</v>
      </c>
      <c r="S75" s="340">
        <f t="shared" si="22"/>
        <v>0</v>
      </c>
      <c r="T75" s="340">
        <f t="shared" si="8"/>
        <v>0</v>
      </c>
      <c r="U75" s="340">
        <f t="shared" si="14"/>
        <v>0</v>
      </c>
      <c r="V75" s="340">
        <f t="shared" si="9"/>
        <v>0</v>
      </c>
      <c r="W75" s="198">
        <f t="shared" si="21"/>
        <v>0</v>
      </c>
      <c r="X75" s="36">
        <f t="shared" si="15"/>
        <v>0</v>
      </c>
      <c r="Y75" s="2"/>
      <c r="Z75" s="34">
        <f t="shared" si="10"/>
        <v>0</v>
      </c>
      <c r="AA75" s="57">
        <f t="shared" si="11"/>
        <v>66358</v>
      </c>
      <c r="AB75" s="96"/>
      <c r="AC75" s="96"/>
      <c r="AD75" s="96"/>
      <c r="AE75" s="96"/>
      <c r="AF75" s="96"/>
      <c r="AG75" s="96"/>
      <c r="AH75" s="96"/>
      <c r="AI75" s="96"/>
    </row>
    <row r="76" spans="1:35" s="16" customFormat="1" ht="12" x14ac:dyDescent="0.25">
      <c r="A76" s="2"/>
      <c r="B76" s="2"/>
      <c r="C76" s="2"/>
      <c r="D76" s="2"/>
      <c r="E76" s="2"/>
      <c r="F76" s="383">
        <f t="shared" si="16"/>
        <v>65</v>
      </c>
      <c r="G76" s="384">
        <f t="shared" ref="G76:G139" si="26">IF((OR(DAY($N$3)=29,DAY($N$3)=30,DAY($N$3)=31)),(EDATE($C$14-3,F76)),(IF((OR(DAY($N$3)=1,DAY($N$3)=2,DAY($N$3)=3)),(EDATE($C$14,F76)+3),EDATE($C$14,F76))))</f>
        <v>44977</v>
      </c>
      <c r="H76" s="340">
        <f t="shared" ref="H76:H107" si="27">IF(F76&lt;=$I$7,I76+P76,IF(AND(V75+P76+I76&gt;H75,H75&lt;&gt;0),$C$21,IF(V75=0,0,V75+P76+I76+I77)))</f>
        <v>0</v>
      </c>
      <c r="I76" s="340">
        <f t="shared" ref="I76:I139" si="28">IF($C$14&gt;$G$7,IF(L76=L75,J76,K76),IF(L75=L74,J76,K76))</f>
        <v>0</v>
      </c>
      <c r="J76" s="340">
        <f t="shared" si="12"/>
        <v>0</v>
      </c>
      <c r="K76" s="340">
        <f t="shared" si="13"/>
        <v>0</v>
      </c>
      <c r="L76" s="382">
        <f t="shared" si="17"/>
        <v>44927</v>
      </c>
      <c r="M76" s="382">
        <f t="shared" si="18"/>
        <v>45292</v>
      </c>
      <c r="N76" s="382">
        <f t="shared" si="19"/>
        <v>44562</v>
      </c>
      <c r="O76" s="340">
        <f t="shared" ref="O76:O139" si="29">IF(W76=0,0,IF(W76=1,V75,IF(V75+P76+I76&gt;H75,H76-I76-P76,V75)))</f>
        <v>0</v>
      </c>
      <c r="P76" s="340">
        <f t="shared" si="25"/>
        <v>0</v>
      </c>
      <c r="Q76" s="340">
        <f t="shared" si="20"/>
        <v>0</v>
      </c>
      <c r="R76" s="340">
        <f t="shared" ref="R76:R139" si="30">I76+S76</f>
        <v>0</v>
      </c>
      <c r="S76" s="340">
        <f t="shared" si="22"/>
        <v>0</v>
      </c>
      <c r="T76" s="340">
        <f t="shared" ref="T76:T139" si="31">IF(X76=0,0,$D$23)</f>
        <v>0</v>
      </c>
      <c r="U76" s="340">
        <f t="shared" si="14"/>
        <v>0</v>
      </c>
      <c r="V76" s="340">
        <f t="shared" ref="V76:V139" si="32">IF(OR(W76=1,V75=0),0,V75-O76)+U76*$C$10</f>
        <v>0</v>
      </c>
      <c r="W76" s="198">
        <f t="shared" si="21"/>
        <v>0</v>
      </c>
      <c r="X76" s="36">
        <f t="shared" ref="X76:X139" si="33">IF(ISERR(CEILING(FLOOR(NPER($C$22/12,-$N$4,V75),0.1),1))=TRUE,0,CEILING(FLOOR(NPER($C$22/12,-$N$4,V75),0.1),1))</f>
        <v>0</v>
      </c>
      <c r="Y76" s="2"/>
      <c r="Z76" s="34">
        <f t="shared" ref="Z76:Z139" si="34">I76+O76+P76-T76</f>
        <v>0</v>
      </c>
      <c r="AA76" s="57">
        <f t="shared" ref="AA76:AA139" si="35">IF((OR(DAY($N$3)=29,DAY($N$3)=30,DAY($N$3)=31)),($C$14-3+F76*365),(IF((OR(DAY($N$3)=1,DAY($N$3)=2,DAY($N$3)=3)),($C$14+F76*365+3),($C$14+F76*365))))</f>
        <v>66723</v>
      </c>
      <c r="AB76" s="96"/>
      <c r="AC76" s="96"/>
      <c r="AD76" s="96"/>
      <c r="AE76" s="96"/>
      <c r="AF76" s="96"/>
      <c r="AG76" s="96"/>
      <c r="AH76" s="96"/>
      <c r="AI76" s="96"/>
    </row>
    <row r="77" spans="1:35" s="16" customFormat="1" ht="12" x14ac:dyDescent="0.25">
      <c r="A77" s="53"/>
      <c r="C77" s="2"/>
      <c r="D77" s="2"/>
      <c r="E77" s="2"/>
      <c r="F77" s="383">
        <f t="shared" si="16"/>
        <v>66</v>
      </c>
      <c r="G77" s="384">
        <f t="shared" si="26"/>
        <v>45005</v>
      </c>
      <c r="H77" s="340">
        <f t="shared" si="27"/>
        <v>0</v>
      </c>
      <c r="I77" s="340">
        <f t="shared" si="28"/>
        <v>0</v>
      </c>
      <c r="J77" s="340">
        <f t="shared" ref="J77:J140" si="36">IF($C$14&gt;$G$7,ROUND(V76*$C$22/(M77-L77)*(G77-G76),2),ROUND(V75*$C$22/(M76-L76)*(G76-G75),2))</f>
        <v>0</v>
      </c>
      <c r="K77" s="340">
        <f t="shared" ref="K77:K140" si="37">IF($C$14&gt;$G$7,ROUND(V76*$C$22/(M77-L77)*(G77-L77+1),2)+ROUND(V76*$C$22/(L77-N77)*(L77-G76-1),2),ROUND(V75*$C$22/(M76-L76)*(G76-L76),2)+ROUND(V75*$C$22/(L76-N76)*(L76-G75),2))</f>
        <v>0</v>
      </c>
      <c r="L77" s="382">
        <f t="shared" si="17"/>
        <v>44927</v>
      </c>
      <c r="M77" s="382">
        <f t="shared" si="18"/>
        <v>45292</v>
      </c>
      <c r="N77" s="382">
        <f t="shared" si="19"/>
        <v>44562</v>
      </c>
      <c r="O77" s="340">
        <f t="shared" si="29"/>
        <v>0</v>
      </c>
      <c r="P77" s="340">
        <f t="shared" si="25"/>
        <v>0</v>
      </c>
      <c r="Q77" s="340">
        <f t="shared" si="20"/>
        <v>0</v>
      </c>
      <c r="R77" s="340">
        <f t="shared" si="30"/>
        <v>0</v>
      </c>
      <c r="S77" s="340">
        <f t="shared" si="22"/>
        <v>0</v>
      </c>
      <c r="T77" s="340">
        <f t="shared" si="31"/>
        <v>0</v>
      </c>
      <c r="U77" s="340">
        <f t="shared" ref="U77:U140" si="38">IF(AND(F77&lt;$I$7-3,MOD(F77,$C$12)=0),1,0)</f>
        <v>0</v>
      </c>
      <c r="V77" s="340">
        <f t="shared" si="32"/>
        <v>0</v>
      </c>
      <c r="W77" s="198">
        <f t="shared" si="21"/>
        <v>0</v>
      </c>
      <c r="X77" s="36">
        <f t="shared" si="33"/>
        <v>0</v>
      </c>
      <c r="Y77" s="2"/>
      <c r="Z77" s="34">
        <f t="shared" si="34"/>
        <v>0</v>
      </c>
      <c r="AA77" s="57">
        <f t="shared" si="35"/>
        <v>67088</v>
      </c>
      <c r="AB77" s="96"/>
      <c r="AC77" s="96"/>
      <c r="AD77" s="96"/>
      <c r="AE77" s="96"/>
      <c r="AF77" s="96"/>
      <c r="AG77" s="96"/>
      <c r="AH77" s="96"/>
      <c r="AI77" s="96"/>
    </row>
    <row r="78" spans="1:35" s="16" customFormat="1" ht="12" x14ac:dyDescent="0.25">
      <c r="A78" s="53"/>
      <c r="B78" s="2"/>
      <c r="C78" s="2"/>
      <c r="D78" s="13"/>
      <c r="E78" s="2"/>
      <c r="F78" s="383">
        <f t="shared" ref="F78:F141" si="39">F77+1</f>
        <v>67</v>
      </c>
      <c r="G78" s="384">
        <f t="shared" si="26"/>
        <v>45036</v>
      </c>
      <c r="H78" s="340">
        <f t="shared" si="27"/>
        <v>0</v>
      </c>
      <c r="I78" s="340">
        <f t="shared" si="28"/>
        <v>0</v>
      </c>
      <c r="J78" s="340">
        <f t="shared" si="36"/>
        <v>0</v>
      </c>
      <c r="K78" s="340">
        <f t="shared" si="37"/>
        <v>0</v>
      </c>
      <c r="L78" s="382">
        <f t="shared" ref="L78:L141" si="40">DATEVALUE(CONCATENATE("01/01/",YEAR(G78)))</f>
        <v>44927</v>
      </c>
      <c r="M78" s="382">
        <f t="shared" ref="M78:M141" si="41">DATEVALUE(CONCATENATE("01/01/",YEAR(G78)+1))</f>
        <v>45292</v>
      </c>
      <c r="N78" s="382">
        <f t="shared" ref="N78:N141" si="42">DATEVALUE(CONCATENATE("01/01/",YEAR(G78)-1))</f>
        <v>44562</v>
      </c>
      <c r="O78" s="340">
        <f t="shared" si="29"/>
        <v>0</v>
      </c>
      <c r="P78" s="340">
        <f t="shared" si="25"/>
        <v>0</v>
      </c>
      <c r="Q78" s="340">
        <f t="shared" ref="Q78:Q141" si="43">S77-P77</f>
        <v>0</v>
      </c>
      <c r="R78" s="340">
        <f t="shared" si="30"/>
        <v>0</v>
      </c>
      <c r="S78" s="340">
        <f t="shared" si="22"/>
        <v>0</v>
      </c>
      <c r="T78" s="340">
        <f t="shared" si="31"/>
        <v>0</v>
      </c>
      <c r="U78" s="340">
        <f t="shared" si="38"/>
        <v>0</v>
      </c>
      <c r="V78" s="340">
        <f t="shared" si="32"/>
        <v>0</v>
      </c>
      <c r="W78" s="198">
        <f t="shared" ref="W78:W141" si="44">IF((W77-1)&lt;0,0,W77-1)</f>
        <v>0</v>
      </c>
      <c r="X78" s="36">
        <f t="shared" si="33"/>
        <v>0</v>
      </c>
      <c r="Y78" s="2"/>
      <c r="Z78" s="34">
        <f t="shared" si="34"/>
        <v>0</v>
      </c>
      <c r="AA78" s="57">
        <f t="shared" si="35"/>
        <v>67453</v>
      </c>
      <c r="AB78" s="96"/>
      <c r="AC78" s="96"/>
      <c r="AD78" s="96"/>
      <c r="AE78" s="96"/>
      <c r="AF78" s="96"/>
      <c r="AG78" s="96"/>
      <c r="AH78" s="96"/>
      <c r="AI78" s="96"/>
    </row>
    <row r="79" spans="1:35" s="16" customFormat="1" ht="12" x14ac:dyDescent="0.25">
      <c r="A79" s="2"/>
      <c r="B79" s="2"/>
      <c r="C79" s="1"/>
      <c r="D79" s="2"/>
      <c r="E79" s="2"/>
      <c r="F79" s="383">
        <f t="shared" si="39"/>
        <v>68</v>
      </c>
      <c r="G79" s="384">
        <f t="shared" si="26"/>
        <v>45066</v>
      </c>
      <c r="H79" s="340">
        <f t="shared" si="27"/>
        <v>0</v>
      </c>
      <c r="I79" s="340">
        <f t="shared" si="28"/>
        <v>0</v>
      </c>
      <c r="J79" s="340">
        <f t="shared" si="36"/>
        <v>0</v>
      </c>
      <c r="K79" s="340">
        <f t="shared" si="37"/>
        <v>0</v>
      </c>
      <c r="L79" s="382">
        <f t="shared" si="40"/>
        <v>44927</v>
      </c>
      <c r="M79" s="382">
        <f t="shared" si="41"/>
        <v>45292</v>
      </c>
      <c r="N79" s="382">
        <f t="shared" si="42"/>
        <v>44562</v>
      </c>
      <c r="O79" s="340">
        <f t="shared" si="29"/>
        <v>0</v>
      </c>
      <c r="P79" s="340">
        <f t="shared" si="25"/>
        <v>0</v>
      </c>
      <c r="Q79" s="340">
        <f t="shared" si="43"/>
        <v>0</v>
      </c>
      <c r="R79" s="340">
        <f t="shared" si="30"/>
        <v>0</v>
      </c>
      <c r="S79" s="340">
        <f t="shared" si="22"/>
        <v>0</v>
      </c>
      <c r="T79" s="340">
        <f t="shared" si="31"/>
        <v>0</v>
      </c>
      <c r="U79" s="340">
        <f t="shared" si="38"/>
        <v>0</v>
      </c>
      <c r="V79" s="340">
        <f t="shared" si="32"/>
        <v>0</v>
      </c>
      <c r="W79" s="198">
        <f t="shared" si="44"/>
        <v>0</v>
      </c>
      <c r="X79" s="36">
        <f t="shared" si="33"/>
        <v>0</v>
      </c>
      <c r="Y79" s="2"/>
      <c r="Z79" s="34">
        <f t="shared" si="34"/>
        <v>0</v>
      </c>
      <c r="AA79" s="57">
        <f t="shared" si="35"/>
        <v>67818</v>
      </c>
      <c r="AB79" s="96"/>
      <c r="AC79" s="96"/>
      <c r="AD79" s="96"/>
      <c r="AE79" s="96"/>
      <c r="AF79" s="96"/>
      <c r="AG79" s="96"/>
      <c r="AH79" s="96"/>
      <c r="AI79" s="96"/>
    </row>
    <row r="80" spans="1:35" s="16" customFormat="1" ht="12" x14ac:dyDescent="0.25">
      <c r="A80" s="2"/>
      <c r="B80" s="2"/>
      <c r="C80" s="98"/>
      <c r="D80" s="1"/>
      <c r="E80" s="2"/>
      <c r="F80" s="383">
        <f t="shared" si="39"/>
        <v>69</v>
      </c>
      <c r="G80" s="384">
        <f t="shared" si="26"/>
        <v>45097</v>
      </c>
      <c r="H80" s="340">
        <f t="shared" si="27"/>
        <v>0</v>
      </c>
      <c r="I80" s="340">
        <f t="shared" si="28"/>
        <v>0</v>
      </c>
      <c r="J80" s="340">
        <f t="shared" si="36"/>
        <v>0</v>
      </c>
      <c r="K80" s="340">
        <f t="shared" si="37"/>
        <v>0</v>
      </c>
      <c r="L80" s="382">
        <f t="shared" si="40"/>
        <v>44927</v>
      </c>
      <c r="M80" s="382">
        <f t="shared" si="41"/>
        <v>45292</v>
      </c>
      <c r="N80" s="382">
        <f t="shared" si="42"/>
        <v>44562</v>
      </c>
      <c r="O80" s="340">
        <f t="shared" si="29"/>
        <v>0</v>
      </c>
      <c r="P80" s="340">
        <f t="shared" si="25"/>
        <v>0</v>
      </c>
      <c r="Q80" s="340">
        <f t="shared" si="43"/>
        <v>0</v>
      </c>
      <c r="R80" s="340">
        <f t="shared" si="30"/>
        <v>0</v>
      </c>
      <c r="S80" s="340">
        <f t="shared" si="22"/>
        <v>0</v>
      </c>
      <c r="T80" s="340">
        <f t="shared" si="31"/>
        <v>0</v>
      </c>
      <c r="U80" s="340">
        <f t="shared" si="38"/>
        <v>0</v>
      </c>
      <c r="V80" s="340">
        <f t="shared" si="32"/>
        <v>0</v>
      </c>
      <c r="W80" s="198">
        <f t="shared" si="44"/>
        <v>0</v>
      </c>
      <c r="X80" s="36">
        <f t="shared" si="33"/>
        <v>0</v>
      </c>
      <c r="Y80" s="2"/>
      <c r="Z80" s="34">
        <f t="shared" si="34"/>
        <v>0</v>
      </c>
      <c r="AA80" s="57">
        <f t="shared" si="35"/>
        <v>68183</v>
      </c>
      <c r="AB80" s="96"/>
      <c r="AC80" s="96"/>
      <c r="AD80" s="96"/>
      <c r="AE80" s="96"/>
      <c r="AF80" s="96"/>
      <c r="AG80" s="96"/>
      <c r="AH80" s="96"/>
      <c r="AI80" s="96"/>
    </row>
    <row r="81" spans="1:35" s="16" customFormat="1" ht="12" x14ac:dyDescent="0.25">
      <c r="A81" s="2"/>
      <c r="B81" s="2"/>
      <c r="C81" s="2"/>
      <c r="D81" s="13"/>
      <c r="E81" s="2"/>
      <c r="F81" s="383">
        <f t="shared" si="39"/>
        <v>70</v>
      </c>
      <c r="G81" s="384">
        <f t="shared" si="26"/>
        <v>45127</v>
      </c>
      <c r="H81" s="340">
        <f t="shared" si="27"/>
        <v>0</v>
      </c>
      <c r="I81" s="340">
        <f t="shared" si="28"/>
        <v>0</v>
      </c>
      <c r="J81" s="340">
        <f t="shared" si="36"/>
        <v>0</v>
      </c>
      <c r="K81" s="340">
        <f t="shared" si="37"/>
        <v>0</v>
      </c>
      <c r="L81" s="382">
        <f t="shared" si="40"/>
        <v>44927</v>
      </c>
      <c r="M81" s="382">
        <f t="shared" si="41"/>
        <v>45292</v>
      </c>
      <c r="N81" s="382">
        <f t="shared" si="42"/>
        <v>44562</v>
      </c>
      <c r="O81" s="340">
        <f t="shared" si="29"/>
        <v>0</v>
      </c>
      <c r="P81" s="340">
        <f t="shared" si="25"/>
        <v>0</v>
      </c>
      <c r="Q81" s="340">
        <f t="shared" si="43"/>
        <v>0</v>
      </c>
      <c r="R81" s="340">
        <f t="shared" si="30"/>
        <v>0</v>
      </c>
      <c r="S81" s="340">
        <f t="shared" ref="S81:S144" si="45">IF(X81=0,0,$D$23)</f>
        <v>0</v>
      </c>
      <c r="T81" s="340">
        <f t="shared" si="31"/>
        <v>0</v>
      </c>
      <c r="U81" s="340">
        <f t="shared" si="38"/>
        <v>0</v>
      </c>
      <c r="V81" s="340">
        <f t="shared" si="32"/>
        <v>0</v>
      </c>
      <c r="W81" s="198">
        <f t="shared" si="44"/>
        <v>0</v>
      </c>
      <c r="X81" s="36">
        <f t="shared" si="33"/>
        <v>0</v>
      </c>
      <c r="Y81" s="2"/>
      <c r="Z81" s="34">
        <f t="shared" si="34"/>
        <v>0</v>
      </c>
      <c r="AA81" s="57">
        <f t="shared" si="35"/>
        <v>68548</v>
      </c>
      <c r="AB81" s="96"/>
      <c r="AC81" s="96"/>
      <c r="AD81" s="96"/>
      <c r="AE81" s="96"/>
      <c r="AF81" s="96"/>
      <c r="AG81" s="96"/>
      <c r="AH81" s="96"/>
      <c r="AI81" s="96"/>
    </row>
    <row r="82" spans="1:35" s="16" customFormat="1" ht="12" x14ac:dyDescent="0.25">
      <c r="A82" s="2"/>
      <c r="B82" s="2"/>
      <c r="C82" s="13"/>
      <c r="D82" s="13"/>
      <c r="E82" s="2"/>
      <c r="F82" s="383">
        <f t="shared" si="39"/>
        <v>71</v>
      </c>
      <c r="G82" s="384">
        <f t="shared" si="26"/>
        <v>45158</v>
      </c>
      <c r="H82" s="340">
        <f t="shared" si="27"/>
        <v>0</v>
      </c>
      <c r="I82" s="340">
        <f t="shared" si="28"/>
        <v>0</v>
      </c>
      <c r="J82" s="340">
        <f t="shared" si="36"/>
        <v>0</v>
      </c>
      <c r="K82" s="340">
        <f t="shared" si="37"/>
        <v>0</v>
      </c>
      <c r="L82" s="382">
        <f t="shared" si="40"/>
        <v>44927</v>
      </c>
      <c r="M82" s="382">
        <f t="shared" si="41"/>
        <v>45292</v>
      </c>
      <c r="N82" s="382">
        <f t="shared" si="42"/>
        <v>44562</v>
      </c>
      <c r="O82" s="340">
        <f t="shared" si="29"/>
        <v>0</v>
      </c>
      <c r="P82" s="340">
        <f t="shared" si="25"/>
        <v>0</v>
      </c>
      <c r="Q82" s="340">
        <f t="shared" si="43"/>
        <v>0</v>
      </c>
      <c r="R82" s="340">
        <f t="shared" si="30"/>
        <v>0</v>
      </c>
      <c r="S82" s="340">
        <f t="shared" si="45"/>
        <v>0</v>
      </c>
      <c r="T82" s="340">
        <f t="shared" si="31"/>
        <v>0</v>
      </c>
      <c r="U82" s="340">
        <f t="shared" si="38"/>
        <v>0</v>
      </c>
      <c r="V82" s="340">
        <f t="shared" si="32"/>
        <v>0</v>
      </c>
      <c r="W82" s="198">
        <f t="shared" si="44"/>
        <v>0</v>
      </c>
      <c r="X82" s="36">
        <f t="shared" si="33"/>
        <v>0</v>
      </c>
      <c r="Y82" s="2"/>
      <c r="Z82" s="34">
        <f t="shared" si="34"/>
        <v>0</v>
      </c>
      <c r="AA82" s="57">
        <f t="shared" si="35"/>
        <v>68913</v>
      </c>
      <c r="AB82" s="96"/>
      <c r="AC82" s="96"/>
      <c r="AD82" s="96"/>
      <c r="AE82" s="96"/>
      <c r="AF82" s="96"/>
      <c r="AG82" s="96"/>
      <c r="AH82" s="96"/>
      <c r="AI82" s="96"/>
    </row>
    <row r="83" spans="1:35" s="16" customFormat="1" ht="12" x14ac:dyDescent="0.25">
      <c r="A83" s="2"/>
      <c r="B83" s="2"/>
      <c r="C83" s="2"/>
      <c r="D83" s="13"/>
      <c r="E83" s="2"/>
      <c r="F83" s="383">
        <f t="shared" si="39"/>
        <v>72</v>
      </c>
      <c r="G83" s="384">
        <f t="shared" si="26"/>
        <v>45189</v>
      </c>
      <c r="H83" s="340">
        <f t="shared" si="27"/>
        <v>0</v>
      </c>
      <c r="I83" s="340">
        <f t="shared" si="28"/>
        <v>0</v>
      </c>
      <c r="J83" s="340">
        <f t="shared" si="36"/>
        <v>0</v>
      </c>
      <c r="K83" s="340">
        <f t="shared" si="37"/>
        <v>0</v>
      </c>
      <c r="L83" s="382">
        <f t="shared" si="40"/>
        <v>44927</v>
      </c>
      <c r="M83" s="382">
        <f t="shared" si="41"/>
        <v>45292</v>
      </c>
      <c r="N83" s="382">
        <f t="shared" si="42"/>
        <v>44562</v>
      </c>
      <c r="O83" s="340">
        <f t="shared" si="29"/>
        <v>0</v>
      </c>
      <c r="P83" s="340">
        <f t="shared" ref="P83:P114" si="46">IF(R83&gt;$C$21,$C$21-I83,IF(X83=0,0,S83))</f>
        <v>0</v>
      </c>
      <c r="Q83" s="340">
        <f t="shared" si="43"/>
        <v>0</v>
      </c>
      <c r="R83" s="340">
        <f t="shared" si="30"/>
        <v>0</v>
      </c>
      <c r="S83" s="340">
        <f t="shared" si="45"/>
        <v>0</v>
      </c>
      <c r="T83" s="340">
        <f t="shared" si="31"/>
        <v>0</v>
      </c>
      <c r="U83" s="340">
        <f t="shared" si="38"/>
        <v>0</v>
      </c>
      <c r="V83" s="340">
        <f t="shared" si="32"/>
        <v>0</v>
      </c>
      <c r="W83" s="198">
        <f t="shared" si="44"/>
        <v>0</v>
      </c>
      <c r="X83" s="36">
        <f t="shared" si="33"/>
        <v>0</v>
      </c>
      <c r="Y83" s="2"/>
      <c r="Z83" s="34">
        <f t="shared" si="34"/>
        <v>0</v>
      </c>
      <c r="AA83" s="57">
        <f t="shared" si="35"/>
        <v>69278</v>
      </c>
      <c r="AB83" s="96"/>
      <c r="AC83" s="96"/>
      <c r="AD83" s="96"/>
      <c r="AE83" s="96"/>
      <c r="AF83" s="96"/>
      <c r="AG83" s="96"/>
      <c r="AH83" s="96"/>
      <c r="AI83" s="96"/>
    </row>
    <row r="84" spans="1:35" s="16" customFormat="1" ht="12" x14ac:dyDescent="0.25">
      <c r="A84" s="2"/>
      <c r="B84" s="2"/>
      <c r="C84" s="2"/>
      <c r="D84" s="13"/>
      <c r="E84" s="2"/>
      <c r="F84" s="383">
        <f t="shared" si="39"/>
        <v>73</v>
      </c>
      <c r="G84" s="384">
        <f t="shared" si="26"/>
        <v>45219</v>
      </c>
      <c r="H84" s="340">
        <f t="shared" si="27"/>
        <v>0</v>
      </c>
      <c r="I84" s="340">
        <f t="shared" si="28"/>
        <v>0</v>
      </c>
      <c r="J84" s="340">
        <f t="shared" si="36"/>
        <v>0</v>
      </c>
      <c r="K84" s="340">
        <f t="shared" si="37"/>
        <v>0</v>
      </c>
      <c r="L84" s="382">
        <f t="shared" si="40"/>
        <v>44927</v>
      </c>
      <c r="M84" s="382">
        <f t="shared" si="41"/>
        <v>45292</v>
      </c>
      <c r="N84" s="382">
        <f t="shared" si="42"/>
        <v>44562</v>
      </c>
      <c r="O84" s="340">
        <f t="shared" si="29"/>
        <v>0</v>
      </c>
      <c r="P84" s="340">
        <f t="shared" si="46"/>
        <v>0</v>
      </c>
      <c r="Q84" s="340">
        <f t="shared" si="43"/>
        <v>0</v>
      </c>
      <c r="R84" s="340">
        <f t="shared" si="30"/>
        <v>0</v>
      </c>
      <c r="S84" s="340">
        <f t="shared" si="45"/>
        <v>0</v>
      </c>
      <c r="T84" s="340">
        <f t="shared" si="31"/>
        <v>0</v>
      </c>
      <c r="U84" s="340">
        <f t="shared" si="38"/>
        <v>0</v>
      </c>
      <c r="V84" s="340">
        <f t="shared" si="32"/>
        <v>0</v>
      </c>
      <c r="W84" s="198">
        <f t="shared" si="44"/>
        <v>0</v>
      </c>
      <c r="X84" s="36">
        <f t="shared" si="33"/>
        <v>0</v>
      </c>
      <c r="Y84" s="2"/>
      <c r="Z84" s="34">
        <f t="shared" si="34"/>
        <v>0</v>
      </c>
      <c r="AA84" s="57">
        <f t="shared" si="35"/>
        <v>69643</v>
      </c>
      <c r="AB84" s="96"/>
      <c r="AC84" s="96"/>
      <c r="AD84" s="96"/>
      <c r="AE84" s="96"/>
      <c r="AF84" s="96"/>
      <c r="AG84" s="96"/>
      <c r="AH84" s="96"/>
      <c r="AI84" s="96"/>
    </row>
    <row r="85" spans="1:35" s="16" customFormat="1" ht="12" x14ac:dyDescent="0.25">
      <c r="A85" s="2"/>
      <c r="B85" s="2"/>
      <c r="C85" s="2"/>
      <c r="D85" s="2"/>
      <c r="E85" s="2"/>
      <c r="F85" s="383">
        <f t="shared" si="39"/>
        <v>74</v>
      </c>
      <c r="G85" s="384">
        <f t="shared" si="26"/>
        <v>45250</v>
      </c>
      <c r="H85" s="340">
        <f t="shared" si="27"/>
        <v>0</v>
      </c>
      <c r="I85" s="340">
        <f t="shared" si="28"/>
        <v>0</v>
      </c>
      <c r="J85" s="340">
        <f t="shared" si="36"/>
        <v>0</v>
      </c>
      <c r="K85" s="340">
        <f t="shared" si="37"/>
        <v>0</v>
      </c>
      <c r="L85" s="382">
        <f t="shared" si="40"/>
        <v>44927</v>
      </c>
      <c r="M85" s="382">
        <f t="shared" si="41"/>
        <v>45292</v>
      </c>
      <c r="N85" s="382">
        <f t="shared" si="42"/>
        <v>44562</v>
      </c>
      <c r="O85" s="340">
        <f t="shared" si="29"/>
        <v>0</v>
      </c>
      <c r="P85" s="340">
        <f t="shared" si="46"/>
        <v>0</v>
      </c>
      <c r="Q85" s="340">
        <f t="shared" si="43"/>
        <v>0</v>
      </c>
      <c r="R85" s="340">
        <f t="shared" si="30"/>
        <v>0</v>
      </c>
      <c r="S85" s="340">
        <f t="shared" si="45"/>
        <v>0</v>
      </c>
      <c r="T85" s="340">
        <f t="shared" si="31"/>
        <v>0</v>
      </c>
      <c r="U85" s="340">
        <f t="shared" si="38"/>
        <v>0</v>
      </c>
      <c r="V85" s="340">
        <f t="shared" si="32"/>
        <v>0</v>
      </c>
      <c r="W85" s="198">
        <f t="shared" si="44"/>
        <v>0</v>
      </c>
      <c r="X85" s="36">
        <f t="shared" si="33"/>
        <v>0</v>
      </c>
      <c r="Y85" s="2"/>
      <c r="Z85" s="34">
        <f t="shared" si="34"/>
        <v>0</v>
      </c>
      <c r="AA85" s="57">
        <f t="shared" si="35"/>
        <v>70008</v>
      </c>
      <c r="AB85" s="96"/>
      <c r="AC85" s="96"/>
      <c r="AD85" s="96"/>
      <c r="AE85" s="96"/>
      <c r="AF85" s="96"/>
      <c r="AG85" s="96"/>
      <c r="AH85" s="96"/>
      <c r="AI85" s="96"/>
    </row>
    <row r="86" spans="1:35" s="16" customFormat="1" ht="12" x14ac:dyDescent="0.25">
      <c r="A86" s="2"/>
      <c r="B86" s="2"/>
      <c r="C86" s="2"/>
      <c r="D86" s="2"/>
      <c r="E86" s="2"/>
      <c r="F86" s="383">
        <f t="shared" si="39"/>
        <v>75</v>
      </c>
      <c r="G86" s="384">
        <f t="shared" si="26"/>
        <v>45280</v>
      </c>
      <c r="H86" s="340">
        <f t="shared" si="27"/>
        <v>0</v>
      </c>
      <c r="I86" s="340">
        <f t="shared" si="28"/>
        <v>0</v>
      </c>
      <c r="J86" s="340">
        <f t="shared" si="36"/>
        <v>0</v>
      </c>
      <c r="K86" s="340">
        <f t="shared" si="37"/>
        <v>0</v>
      </c>
      <c r="L86" s="382">
        <f t="shared" si="40"/>
        <v>44927</v>
      </c>
      <c r="M86" s="382">
        <f t="shared" si="41"/>
        <v>45292</v>
      </c>
      <c r="N86" s="382">
        <f t="shared" si="42"/>
        <v>44562</v>
      </c>
      <c r="O86" s="340">
        <f t="shared" si="29"/>
        <v>0</v>
      </c>
      <c r="P86" s="340">
        <f t="shared" si="46"/>
        <v>0</v>
      </c>
      <c r="Q86" s="340">
        <f t="shared" si="43"/>
        <v>0</v>
      </c>
      <c r="R86" s="340">
        <f t="shared" si="30"/>
        <v>0</v>
      </c>
      <c r="S86" s="340">
        <f t="shared" si="45"/>
        <v>0</v>
      </c>
      <c r="T86" s="340">
        <f t="shared" si="31"/>
        <v>0</v>
      </c>
      <c r="U86" s="340">
        <f t="shared" si="38"/>
        <v>0</v>
      </c>
      <c r="V86" s="340">
        <f t="shared" si="32"/>
        <v>0</v>
      </c>
      <c r="W86" s="198">
        <f t="shared" si="44"/>
        <v>0</v>
      </c>
      <c r="X86" s="36">
        <f t="shared" si="33"/>
        <v>0</v>
      </c>
      <c r="Y86" s="2"/>
      <c r="Z86" s="34">
        <f t="shared" si="34"/>
        <v>0</v>
      </c>
      <c r="AA86" s="57">
        <f t="shared" si="35"/>
        <v>70373</v>
      </c>
      <c r="AB86" s="96"/>
      <c r="AC86" s="96"/>
      <c r="AD86" s="96"/>
      <c r="AE86" s="96"/>
      <c r="AF86" s="96"/>
      <c r="AG86" s="96"/>
      <c r="AH86" s="96"/>
      <c r="AI86" s="96"/>
    </row>
    <row r="87" spans="1:35" s="16" customFormat="1" ht="12" x14ac:dyDescent="0.25">
      <c r="A87" s="2"/>
      <c r="B87" s="2"/>
      <c r="C87" s="2"/>
      <c r="D87" s="2"/>
      <c r="F87" s="383">
        <f t="shared" si="39"/>
        <v>76</v>
      </c>
      <c r="G87" s="384">
        <f t="shared" si="26"/>
        <v>45311</v>
      </c>
      <c r="H87" s="340">
        <f t="shared" si="27"/>
        <v>0</v>
      </c>
      <c r="I87" s="340">
        <f t="shared" si="28"/>
        <v>0</v>
      </c>
      <c r="J87" s="340">
        <f t="shared" si="36"/>
        <v>0</v>
      </c>
      <c r="K87" s="340">
        <f t="shared" si="37"/>
        <v>0</v>
      </c>
      <c r="L87" s="382">
        <f t="shared" si="40"/>
        <v>45292</v>
      </c>
      <c r="M87" s="382">
        <f t="shared" si="41"/>
        <v>45658</v>
      </c>
      <c r="N87" s="382">
        <f t="shared" si="42"/>
        <v>44927</v>
      </c>
      <c r="O87" s="340">
        <f t="shared" si="29"/>
        <v>0</v>
      </c>
      <c r="P87" s="340">
        <f t="shared" si="46"/>
        <v>0</v>
      </c>
      <c r="Q87" s="340">
        <f t="shared" si="43"/>
        <v>0</v>
      </c>
      <c r="R87" s="340">
        <f t="shared" si="30"/>
        <v>0</v>
      </c>
      <c r="S87" s="340">
        <f t="shared" si="45"/>
        <v>0</v>
      </c>
      <c r="T87" s="340">
        <f t="shared" si="31"/>
        <v>0</v>
      </c>
      <c r="U87" s="340">
        <f t="shared" si="38"/>
        <v>0</v>
      </c>
      <c r="V87" s="340">
        <f t="shared" si="32"/>
        <v>0</v>
      </c>
      <c r="W87" s="198">
        <f t="shared" si="44"/>
        <v>0</v>
      </c>
      <c r="X87" s="36">
        <f t="shared" si="33"/>
        <v>0</v>
      </c>
      <c r="Y87" s="2"/>
      <c r="Z87" s="34">
        <f t="shared" si="34"/>
        <v>0</v>
      </c>
      <c r="AA87" s="57">
        <f t="shared" si="35"/>
        <v>70738</v>
      </c>
      <c r="AB87" s="96"/>
      <c r="AC87" s="96"/>
      <c r="AD87" s="96"/>
      <c r="AE87" s="96"/>
      <c r="AF87" s="96"/>
      <c r="AG87" s="96"/>
      <c r="AH87" s="96"/>
      <c r="AI87" s="96"/>
    </row>
    <row r="88" spans="1:35" s="16" customFormat="1" ht="12" x14ac:dyDescent="0.25">
      <c r="A88" s="2"/>
      <c r="B88" s="2"/>
      <c r="C88" s="2"/>
      <c r="D88" s="2"/>
      <c r="E88" s="2"/>
      <c r="F88" s="383">
        <f t="shared" si="39"/>
        <v>77</v>
      </c>
      <c r="G88" s="384">
        <f t="shared" si="26"/>
        <v>45342</v>
      </c>
      <c r="H88" s="340">
        <f t="shared" si="27"/>
        <v>0</v>
      </c>
      <c r="I88" s="340">
        <f t="shared" si="28"/>
        <v>0</v>
      </c>
      <c r="J88" s="340">
        <f t="shared" si="36"/>
        <v>0</v>
      </c>
      <c r="K88" s="340">
        <f t="shared" si="37"/>
        <v>0</v>
      </c>
      <c r="L88" s="382">
        <f t="shared" si="40"/>
        <v>45292</v>
      </c>
      <c r="M88" s="382">
        <f t="shared" si="41"/>
        <v>45658</v>
      </c>
      <c r="N88" s="382">
        <f t="shared" si="42"/>
        <v>44927</v>
      </c>
      <c r="O88" s="340">
        <f t="shared" si="29"/>
        <v>0</v>
      </c>
      <c r="P88" s="340">
        <f t="shared" si="46"/>
        <v>0</v>
      </c>
      <c r="Q88" s="340">
        <f t="shared" si="43"/>
        <v>0</v>
      </c>
      <c r="R88" s="340">
        <f t="shared" si="30"/>
        <v>0</v>
      </c>
      <c r="S88" s="340">
        <f t="shared" si="45"/>
        <v>0</v>
      </c>
      <c r="T88" s="340">
        <f t="shared" si="31"/>
        <v>0</v>
      </c>
      <c r="U88" s="340">
        <f t="shared" si="38"/>
        <v>0</v>
      </c>
      <c r="V88" s="340">
        <f t="shared" si="32"/>
        <v>0</v>
      </c>
      <c r="W88" s="198">
        <f t="shared" si="44"/>
        <v>0</v>
      </c>
      <c r="X88" s="36">
        <f t="shared" si="33"/>
        <v>0</v>
      </c>
      <c r="Y88" s="2"/>
      <c r="Z88" s="34">
        <f t="shared" si="34"/>
        <v>0</v>
      </c>
      <c r="AA88" s="57">
        <f t="shared" si="35"/>
        <v>71103</v>
      </c>
      <c r="AB88" s="96"/>
      <c r="AC88" s="96"/>
      <c r="AD88" s="96"/>
      <c r="AE88" s="96"/>
      <c r="AF88" s="96"/>
      <c r="AG88" s="96"/>
      <c r="AH88" s="96"/>
      <c r="AI88" s="96"/>
    </row>
    <row r="89" spans="1:35" s="16" customFormat="1" ht="12" x14ac:dyDescent="0.25">
      <c r="A89" s="2"/>
      <c r="B89" s="2"/>
      <c r="C89" s="2"/>
      <c r="D89" s="2"/>
      <c r="E89" s="2"/>
      <c r="F89" s="383">
        <f t="shared" si="39"/>
        <v>78</v>
      </c>
      <c r="G89" s="384">
        <f t="shared" si="26"/>
        <v>45371</v>
      </c>
      <c r="H89" s="340">
        <f t="shared" si="27"/>
        <v>0</v>
      </c>
      <c r="I89" s="340">
        <f t="shared" si="28"/>
        <v>0</v>
      </c>
      <c r="J89" s="340">
        <f t="shared" si="36"/>
        <v>0</v>
      </c>
      <c r="K89" s="340">
        <f t="shared" si="37"/>
        <v>0</v>
      </c>
      <c r="L89" s="382">
        <f t="shared" si="40"/>
        <v>45292</v>
      </c>
      <c r="M89" s="382">
        <f t="shared" si="41"/>
        <v>45658</v>
      </c>
      <c r="N89" s="382">
        <f t="shared" si="42"/>
        <v>44927</v>
      </c>
      <c r="O89" s="340">
        <f t="shared" si="29"/>
        <v>0</v>
      </c>
      <c r="P89" s="340">
        <f t="shared" si="46"/>
        <v>0</v>
      </c>
      <c r="Q89" s="340">
        <f t="shared" si="43"/>
        <v>0</v>
      </c>
      <c r="R89" s="340">
        <f t="shared" si="30"/>
        <v>0</v>
      </c>
      <c r="S89" s="340">
        <f t="shared" si="45"/>
        <v>0</v>
      </c>
      <c r="T89" s="340">
        <f t="shared" si="31"/>
        <v>0</v>
      </c>
      <c r="U89" s="340">
        <f t="shared" si="38"/>
        <v>0</v>
      </c>
      <c r="V89" s="340">
        <f t="shared" si="32"/>
        <v>0</v>
      </c>
      <c r="W89" s="198">
        <f t="shared" si="44"/>
        <v>0</v>
      </c>
      <c r="X89" s="36">
        <f t="shared" si="33"/>
        <v>0</v>
      </c>
      <c r="Y89" s="2"/>
      <c r="Z89" s="34">
        <f t="shared" si="34"/>
        <v>0</v>
      </c>
      <c r="AA89" s="57">
        <f t="shared" si="35"/>
        <v>71468</v>
      </c>
      <c r="AB89" s="96"/>
      <c r="AC89" s="96"/>
      <c r="AD89" s="96"/>
      <c r="AE89" s="96"/>
      <c r="AF89" s="96"/>
      <c r="AG89" s="96"/>
      <c r="AH89" s="96"/>
      <c r="AI89" s="96"/>
    </row>
    <row r="90" spans="1:35" s="16" customFormat="1" ht="12" x14ac:dyDescent="0.25">
      <c r="A90" s="2"/>
      <c r="B90" s="2"/>
      <c r="C90" s="2"/>
      <c r="D90" s="2"/>
      <c r="E90" s="2"/>
      <c r="F90" s="383">
        <f t="shared" si="39"/>
        <v>79</v>
      </c>
      <c r="G90" s="384">
        <f t="shared" si="26"/>
        <v>45402</v>
      </c>
      <c r="H90" s="340">
        <f t="shared" si="27"/>
        <v>0</v>
      </c>
      <c r="I90" s="340">
        <f t="shared" si="28"/>
        <v>0</v>
      </c>
      <c r="J90" s="340">
        <f t="shared" si="36"/>
        <v>0</v>
      </c>
      <c r="K90" s="340">
        <f t="shared" si="37"/>
        <v>0</v>
      </c>
      <c r="L90" s="382">
        <f t="shared" si="40"/>
        <v>45292</v>
      </c>
      <c r="M90" s="382">
        <f t="shared" si="41"/>
        <v>45658</v>
      </c>
      <c r="N90" s="382">
        <f t="shared" si="42"/>
        <v>44927</v>
      </c>
      <c r="O90" s="340">
        <f t="shared" si="29"/>
        <v>0</v>
      </c>
      <c r="P90" s="340">
        <f t="shared" si="46"/>
        <v>0</v>
      </c>
      <c r="Q90" s="340">
        <f t="shared" si="43"/>
        <v>0</v>
      </c>
      <c r="R90" s="340">
        <f t="shared" si="30"/>
        <v>0</v>
      </c>
      <c r="S90" s="340">
        <f t="shared" si="45"/>
        <v>0</v>
      </c>
      <c r="T90" s="340">
        <f t="shared" si="31"/>
        <v>0</v>
      </c>
      <c r="U90" s="340">
        <f t="shared" si="38"/>
        <v>0</v>
      </c>
      <c r="V90" s="340">
        <f t="shared" si="32"/>
        <v>0</v>
      </c>
      <c r="W90" s="198">
        <f t="shared" si="44"/>
        <v>0</v>
      </c>
      <c r="X90" s="36">
        <f t="shared" si="33"/>
        <v>0</v>
      </c>
      <c r="Y90" s="2"/>
      <c r="Z90" s="34">
        <f t="shared" si="34"/>
        <v>0</v>
      </c>
      <c r="AA90" s="57">
        <f t="shared" si="35"/>
        <v>71833</v>
      </c>
      <c r="AB90" s="96"/>
      <c r="AC90" s="96"/>
      <c r="AD90" s="96"/>
      <c r="AE90" s="96"/>
      <c r="AF90" s="96"/>
      <c r="AG90" s="96"/>
      <c r="AH90" s="96"/>
      <c r="AI90" s="96"/>
    </row>
    <row r="91" spans="1:35" s="16" customFormat="1" ht="12" x14ac:dyDescent="0.25">
      <c r="A91" s="2"/>
      <c r="B91" s="2"/>
      <c r="C91" s="2"/>
      <c r="D91" s="2"/>
      <c r="E91" s="2"/>
      <c r="F91" s="383">
        <f t="shared" si="39"/>
        <v>80</v>
      </c>
      <c r="G91" s="384">
        <f t="shared" si="26"/>
        <v>45432</v>
      </c>
      <c r="H91" s="340">
        <f t="shared" si="27"/>
        <v>0</v>
      </c>
      <c r="I91" s="340">
        <f t="shared" si="28"/>
        <v>0</v>
      </c>
      <c r="J91" s="340">
        <f t="shared" si="36"/>
        <v>0</v>
      </c>
      <c r="K91" s="340">
        <f t="shared" si="37"/>
        <v>0</v>
      </c>
      <c r="L91" s="382">
        <f t="shared" si="40"/>
        <v>45292</v>
      </c>
      <c r="M91" s="382">
        <f t="shared" si="41"/>
        <v>45658</v>
      </c>
      <c r="N91" s="382">
        <f t="shared" si="42"/>
        <v>44927</v>
      </c>
      <c r="O91" s="340">
        <f t="shared" si="29"/>
        <v>0</v>
      </c>
      <c r="P91" s="340">
        <f t="shared" si="46"/>
        <v>0</v>
      </c>
      <c r="Q91" s="340">
        <f t="shared" si="43"/>
        <v>0</v>
      </c>
      <c r="R91" s="340">
        <f t="shared" si="30"/>
        <v>0</v>
      </c>
      <c r="S91" s="340">
        <f t="shared" si="45"/>
        <v>0</v>
      </c>
      <c r="T91" s="340">
        <f t="shared" si="31"/>
        <v>0</v>
      </c>
      <c r="U91" s="340">
        <f t="shared" si="38"/>
        <v>0</v>
      </c>
      <c r="V91" s="340">
        <f t="shared" si="32"/>
        <v>0</v>
      </c>
      <c r="W91" s="198">
        <f t="shared" si="44"/>
        <v>0</v>
      </c>
      <c r="X91" s="36">
        <f t="shared" si="33"/>
        <v>0</v>
      </c>
      <c r="Y91" s="2"/>
      <c r="Z91" s="34">
        <f t="shared" si="34"/>
        <v>0</v>
      </c>
      <c r="AA91" s="57">
        <f t="shared" si="35"/>
        <v>72198</v>
      </c>
      <c r="AB91" s="96"/>
      <c r="AC91" s="96"/>
      <c r="AD91" s="96"/>
      <c r="AE91" s="96"/>
      <c r="AF91" s="96"/>
      <c r="AG91" s="96"/>
      <c r="AH91" s="96"/>
      <c r="AI91" s="96"/>
    </row>
    <row r="92" spans="1:35" s="16" customFormat="1" ht="12" x14ac:dyDescent="0.25">
      <c r="A92" s="2"/>
      <c r="B92" s="2"/>
      <c r="C92" s="13"/>
      <c r="D92" s="2"/>
      <c r="E92" s="2"/>
      <c r="F92" s="383">
        <f t="shared" si="39"/>
        <v>81</v>
      </c>
      <c r="G92" s="384">
        <f t="shared" si="26"/>
        <v>45463</v>
      </c>
      <c r="H92" s="340">
        <f t="shared" si="27"/>
        <v>0</v>
      </c>
      <c r="I92" s="340">
        <f t="shared" si="28"/>
        <v>0</v>
      </c>
      <c r="J92" s="340">
        <f t="shared" si="36"/>
        <v>0</v>
      </c>
      <c r="K92" s="340">
        <f t="shared" si="37"/>
        <v>0</v>
      </c>
      <c r="L92" s="382">
        <f t="shared" si="40"/>
        <v>45292</v>
      </c>
      <c r="M92" s="382">
        <f t="shared" si="41"/>
        <v>45658</v>
      </c>
      <c r="N92" s="382">
        <f t="shared" si="42"/>
        <v>44927</v>
      </c>
      <c r="O92" s="340">
        <f t="shared" si="29"/>
        <v>0</v>
      </c>
      <c r="P92" s="340">
        <f t="shared" si="46"/>
        <v>0</v>
      </c>
      <c r="Q92" s="340">
        <f t="shared" si="43"/>
        <v>0</v>
      </c>
      <c r="R92" s="340">
        <f t="shared" si="30"/>
        <v>0</v>
      </c>
      <c r="S92" s="340">
        <f t="shared" si="45"/>
        <v>0</v>
      </c>
      <c r="T92" s="340">
        <f t="shared" si="31"/>
        <v>0</v>
      </c>
      <c r="U92" s="340">
        <f t="shared" si="38"/>
        <v>0</v>
      </c>
      <c r="V92" s="340">
        <f t="shared" si="32"/>
        <v>0</v>
      </c>
      <c r="W92" s="198">
        <f t="shared" si="44"/>
        <v>0</v>
      </c>
      <c r="X92" s="36">
        <f t="shared" si="33"/>
        <v>0</v>
      </c>
      <c r="Y92" s="2"/>
      <c r="Z92" s="34">
        <f t="shared" si="34"/>
        <v>0</v>
      </c>
      <c r="AA92" s="57">
        <f t="shared" si="35"/>
        <v>72563</v>
      </c>
      <c r="AB92" s="96"/>
      <c r="AC92" s="96"/>
      <c r="AD92" s="96"/>
      <c r="AE92" s="96"/>
      <c r="AF92" s="96"/>
      <c r="AG92" s="96"/>
      <c r="AH92" s="96"/>
      <c r="AI92" s="96"/>
    </row>
    <row r="93" spans="1:35" s="16" customFormat="1" ht="12" x14ac:dyDescent="0.25">
      <c r="A93" s="2"/>
      <c r="B93" s="2"/>
      <c r="C93" s="2"/>
      <c r="D93" s="13"/>
      <c r="E93" s="2"/>
      <c r="F93" s="383">
        <f t="shared" si="39"/>
        <v>82</v>
      </c>
      <c r="G93" s="384">
        <f t="shared" si="26"/>
        <v>45493</v>
      </c>
      <c r="H93" s="340">
        <f t="shared" si="27"/>
        <v>0</v>
      </c>
      <c r="I93" s="340">
        <f t="shared" si="28"/>
        <v>0</v>
      </c>
      <c r="J93" s="340">
        <f t="shared" si="36"/>
        <v>0</v>
      </c>
      <c r="K93" s="340">
        <f t="shared" si="37"/>
        <v>0</v>
      </c>
      <c r="L93" s="382">
        <f t="shared" si="40"/>
        <v>45292</v>
      </c>
      <c r="M93" s="382">
        <f t="shared" si="41"/>
        <v>45658</v>
      </c>
      <c r="N93" s="382">
        <f t="shared" si="42"/>
        <v>44927</v>
      </c>
      <c r="O93" s="340">
        <f t="shared" si="29"/>
        <v>0</v>
      </c>
      <c r="P93" s="340">
        <f t="shared" si="46"/>
        <v>0</v>
      </c>
      <c r="Q93" s="340">
        <f t="shared" si="43"/>
        <v>0</v>
      </c>
      <c r="R93" s="340">
        <f t="shared" si="30"/>
        <v>0</v>
      </c>
      <c r="S93" s="340">
        <f t="shared" si="45"/>
        <v>0</v>
      </c>
      <c r="T93" s="340">
        <f t="shared" si="31"/>
        <v>0</v>
      </c>
      <c r="U93" s="340">
        <f t="shared" si="38"/>
        <v>0</v>
      </c>
      <c r="V93" s="340">
        <f t="shared" si="32"/>
        <v>0</v>
      </c>
      <c r="W93" s="198">
        <f t="shared" si="44"/>
        <v>0</v>
      </c>
      <c r="X93" s="36">
        <f t="shared" si="33"/>
        <v>0</v>
      </c>
      <c r="Y93" s="2"/>
      <c r="Z93" s="34">
        <f t="shared" si="34"/>
        <v>0</v>
      </c>
      <c r="AA93" s="57">
        <f t="shared" si="35"/>
        <v>72928</v>
      </c>
      <c r="AB93" s="96"/>
      <c r="AC93" s="96"/>
      <c r="AD93" s="96"/>
      <c r="AE93" s="96"/>
      <c r="AF93" s="96"/>
      <c r="AG93" s="96"/>
      <c r="AH93" s="96"/>
      <c r="AI93" s="96"/>
    </row>
    <row r="94" spans="1:35" s="16" customFormat="1" ht="12" x14ac:dyDescent="0.25">
      <c r="A94" s="2"/>
      <c r="B94" s="2"/>
      <c r="C94" s="2"/>
      <c r="D94" s="13"/>
      <c r="E94" s="2"/>
      <c r="F94" s="383">
        <f t="shared" si="39"/>
        <v>83</v>
      </c>
      <c r="G94" s="384">
        <f t="shared" si="26"/>
        <v>45524</v>
      </c>
      <c r="H94" s="340">
        <f t="shared" si="27"/>
        <v>0</v>
      </c>
      <c r="I94" s="340">
        <f t="shared" si="28"/>
        <v>0</v>
      </c>
      <c r="J94" s="340">
        <f t="shared" si="36"/>
        <v>0</v>
      </c>
      <c r="K94" s="340">
        <f t="shared" si="37"/>
        <v>0</v>
      </c>
      <c r="L94" s="382">
        <f t="shared" si="40"/>
        <v>45292</v>
      </c>
      <c r="M94" s="382">
        <f t="shared" si="41"/>
        <v>45658</v>
      </c>
      <c r="N94" s="382">
        <f t="shared" si="42"/>
        <v>44927</v>
      </c>
      <c r="O94" s="340">
        <f t="shared" si="29"/>
        <v>0</v>
      </c>
      <c r="P94" s="340">
        <f t="shared" si="46"/>
        <v>0</v>
      </c>
      <c r="Q94" s="340">
        <f t="shared" si="43"/>
        <v>0</v>
      </c>
      <c r="R94" s="340">
        <f t="shared" si="30"/>
        <v>0</v>
      </c>
      <c r="S94" s="340">
        <f t="shared" si="45"/>
        <v>0</v>
      </c>
      <c r="T94" s="340">
        <f t="shared" si="31"/>
        <v>0</v>
      </c>
      <c r="U94" s="340">
        <f t="shared" si="38"/>
        <v>0</v>
      </c>
      <c r="V94" s="340">
        <f t="shared" si="32"/>
        <v>0</v>
      </c>
      <c r="W94" s="198">
        <f t="shared" si="44"/>
        <v>0</v>
      </c>
      <c r="X94" s="36">
        <f t="shared" si="33"/>
        <v>0</v>
      </c>
      <c r="Y94" s="2"/>
      <c r="Z94" s="34">
        <f t="shared" si="34"/>
        <v>0</v>
      </c>
      <c r="AA94" s="57">
        <f t="shared" si="35"/>
        <v>73293</v>
      </c>
      <c r="AB94" s="96"/>
      <c r="AC94" s="96"/>
      <c r="AD94" s="96"/>
      <c r="AE94" s="96"/>
      <c r="AF94" s="96"/>
      <c r="AG94" s="96"/>
      <c r="AH94" s="96"/>
      <c r="AI94" s="96"/>
    </row>
    <row r="95" spans="1:35" s="16" customFormat="1" ht="12" x14ac:dyDescent="0.25">
      <c r="A95" s="2"/>
      <c r="B95" s="2"/>
      <c r="C95" s="2"/>
      <c r="D95" s="2"/>
      <c r="E95" s="2"/>
      <c r="F95" s="383">
        <f t="shared" si="39"/>
        <v>84</v>
      </c>
      <c r="G95" s="384">
        <f t="shared" si="26"/>
        <v>45555</v>
      </c>
      <c r="H95" s="340">
        <f t="shared" si="27"/>
        <v>0</v>
      </c>
      <c r="I95" s="340">
        <f t="shared" si="28"/>
        <v>0</v>
      </c>
      <c r="J95" s="340">
        <f t="shared" si="36"/>
        <v>0</v>
      </c>
      <c r="K95" s="340">
        <f t="shared" si="37"/>
        <v>0</v>
      </c>
      <c r="L95" s="382">
        <f t="shared" si="40"/>
        <v>45292</v>
      </c>
      <c r="M95" s="382">
        <f t="shared" si="41"/>
        <v>45658</v>
      </c>
      <c r="N95" s="382">
        <f t="shared" si="42"/>
        <v>44927</v>
      </c>
      <c r="O95" s="340">
        <f t="shared" si="29"/>
        <v>0</v>
      </c>
      <c r="P95" s="340">
        <f t="shared" si="46"/>
        <v>0</v>
      </c>
      <c r="Q95" s="340">
        <f t="shared" si="43"/>
        <v>0</v>
      </c>
      <c r="R95" s="340">
        <f t="shared" si="30"/>
        <v>0</v>
      </c>
      <c r="S95" s="340">
        <f t="shared" si="45"/>
        <v>0</v>
      </c>
      <c r="T95" s="340">
        <f t="shared" si="31"/>
        <v>0</v>
      </c>
      <c r="U95" s="340">
        <f t="shared" si="38"/>
        <v>0</v>
      </c>
      <c r="V95" s="340">
        <f t="shared" si="32"/>
        <v>0</v>
      </c>
      <c r="W95" s="198">
        <f t="shared" si="44"/>
        <v>0</v>
      </c>
      <c r="X95" s="36">
        <f t="shared" si="33"/>
        <v>0</v>
      </c>
      <c r="Y95" s="2"/>
      <c r="Z95" s="34">
        <f t="shared" si="34"/>
        <v>0</v>
      </c>
      <c r="AA95" s="57">
        <f t="shared" si="35"/>
        <v>73658</v>
      </c>
      <c r="AB95" s="96"/>
      <c r="AC95" s="96"/>
      <c r="AD95" s="96"/>
      <c r="AE95" s="96"/>
      <c r="AF95" s="96"/>
      <c r="AG95" s="96"/>
      <c r="AH95" s="96"/>
      <c r="AI95" s="96"/>
    </row>
    <row r="96" spans="1:35" s="16" customFormat="1" ht="12" x14ac:dyDescent="0.25">
      <c r="A96" s="2"/>
      <c r="B96" s="2"/>
      <c r="C96" s="2"/>
      <c r="D96" s="2"/>
      <c r="E96" s="2"/>
      <c r="F96" s="383">
        <f t="shared" si="39"/>
        <v>85</v>
      </c>
      <c r="G96" s="384">
        <f t="shared" si="26"/>
        <v>45585</v>
      </c>
      <c r="H96" s="340">
        <f t="shared" si="27"/>
        <v>0</v>
      </c>
      <c r="I96" s="340">
        <f t="shared" si="28"/>
        <v>0</v>
      </c>
      <c r="J96" s="340">
        <f t="shared" si="36"/>
        <v>0</v>
      </c>
      <c r="K96" s="340">
        <f t="shared" si="37"/>
        <v>0</v>
      </c>
      <c r="L96" s="382">
        <f t="shared" si="40"/>
        <v>45292</v>
      </c>
      <c r="M96" s="382">
        <f t="shared" si="41"/>
        <v>45658</v>
      </c>
      <c r="N96" s="382">
        <f t="shared" si="42"/>
        <v>44927</v>
      </c>
      <c r="O96" s="340">
        <f t="shared" si="29"/>
        <v>0</v>
      </c>
      <c r="P96" s="340">
        <f t="shared" si="46"/>
        <v>0</v>
      </c>
      <c r="Q96" s="340">
        <f t="shared" si="43"/>
        <v>0</v>
      </c>
      <c r="R96" s="340">
        <f t="shared" si="30"/>
        <v>0</v>
      </c>
      <c r="S96" s="340">
        <f t="shared" si="45"/>
        <v>0</v>
      </c>
      <c r="T96" s="340">
        <f t="shared" si="31"/>
        <v>0</v>
      </c>
      <c r="U96" s="340">
        <f t="shared" si="38"/>
        <v>0</v>
      </c>
      <c r="V96" s="340">
        <f t="shared" si="32"/>
        <v>0</v>
      </c>
      <c r="W96" s="198">
        <f t="shared" si="44"/>
        <v>0</v>
      </c>
      <c r="X96" s="36">
        <f t="shared" si="33"/>
        <v>0</v>
      </c>
      <c r="Y96" s="2"/>
      <c r="Z96" s="34">
        <f t="shared" si="34"/>
        <v>0</v>
      </c>
      <c r="AA96" s="57">
        <f t="shared" si="35"/>
        <v>74023</v>
      </c>
      <c r="AB96" s="96"/>
      <c r="AC96" s="96"/>
      <c r="AD96" s="96"/>
      <c r="AE96" s="96"/>
      <c r="AF96" s="96"/>
      <c r="AG96" s="96"/>
      <c r="AH96" s="96"/>
      <c r="AI96" s="96"/>
    </row>
    <row r="97" spans="1:35" s="16" customFormat="1" ht="12" x14ac:dyDescent="0.25">
      <c r="A97" s="2"/>
      <c r="B97" s="2"/>
      <c r="C97" s="2"/>
      <c r="D97" s="2"/>
      <c r="E97" s="2"/>
      <c r="F97" s="383">
        <f t="shared" si="39"/>
        <v>86</v>
      </c>
      <c r="G97" s="384">
        <f t="shared" si="26"/>
        <v>45616</v>
      </c>
      <c r="H97" s="340">
        <f t="shared" si="27"/>
        <v>0</v>
      </c>
      <c r="I97" s="340">
        <f t="shared" si="28"/>
        <v>0</v>
      </c>
      <c r="J97" s="340">
        <f t="shared" si="36"/>
        <v>0</v>
      </c>
      <c r="K97" s="340">
        <f t="shared" si="37"/>
        <v>0</v>
      </c>
      <c r="L97" s="382">
        <f t="shared" si="40"/>
        <v>45292</v>
      </c>
      <c r="M97" s="382">
        <f t="shared" si="41"/>
        <v>45658</v>
      </c>
      <c r="N97" s="382">
        <f t="shared" si="42"/>
        <v>44927</v>
      </c>
      <c r="O97" s="340">
        <f t="shared" si="29"/>
        <v>0</v>
      </c>
      <c r="P97" s="340">
        <f t="shared" si="46"/>
        <v>0</v>
      </c>
      <c r="Q97" s="340">
        <f t="shared" si="43"/>
        <v>0</v>
      </c>
      <c r="R97" s="340">
        <f t="shared" si="30"/>
        <v>0</v>
      </c>
      <c r="S97" s="340">
        <f t="shared" si="45"/>
        <v>0</v>
      </c>
      <c r="T97" s="340">
        <f t="shared" si="31"/>
        <v>0</v>
      </c>
      <c r="U97" s="340">
        <f t="shared" si="38"/>
        <v>0</v>
      </c>
      <c r="V97" s="340">
        <f t="shared" si="32"/>
        <v>0</v>
      </c>
      <c r="W97" s="198">
        <f t="shared" si="44"/>
        <v>0</v>
      </c>
      <c r="X97" s="36">
        <f t="shared" si="33"/>
        <v>0</v>
      </c>
      <c r="Y97" s="2"/>
      <c r="Z97" s="34">
        <f t="shared" si="34"/>
        <v>0</v>
      </c>
      <c r="AA97" s="57">
        <f t="shared" si="35"/>
        <v>74388</v>
      </c>
      <c r="AB97" s="96"/>
      <c r="AC97" s="96"/>
      <c r="AD97" s="96"/>
      <c r="AE97" s="96"/>
      <c r="AF97" s="96"/>
      <c r="AG97" s="96"/>
      <c r="AH97" s="96"/>
      <c r="AI97" s="96"/>
    </row>
    <row r="98" spans="1:35" s="16" customFormat="1" ht="12" x14ac:dyDescent="0.25">
      <c r="A98" s="2"/>
      <c r="B98" s="2"/>
      <c r="C98" s="2"/>
      <c r="D98" s="2"/>
      <c r="E98" s="2"/>
      <c r="F98" s="383">
        <f t="shared" si="39"/>
        <v>87</v>
      </c>
      <c r="G98" s="384">
        <f t="shared" si="26"/>
        <v>45646</v>
      </c>
      <c r="H98" s="340">
        <f t="shared" si="27"/>
        <v>0</v>
      </c>
      <c r="I98" s="340">
        <f t="shared" si="28"/>
        <v>0</v>
      </c>
      <c r="J98" s="340">
        <f t="shared" si="36"/>
        <v>0</v>
      </c>
      <c r="K98" s="340">
        <f t="shared" si="37"/>
        <v>0</v>
      </c>
      <c r="L98" s="382">
        <f t="shared" si="40"/>
        <v>45292</v>
      </c>
      <c r="M98" s="382">
        <f t="shared" si="41"/>
        <v>45658</v>
      </c>
      <c r="N98" s="382">
        <f t="shared" si="42"/>
        <v>44927</v>
      </c>
      <c r="O98" s="340">
        <f t="shared" si="29"/>
        <v>0</v>
      </c>
      <c r="P98" s="340">
        <f t="shared" si="46"/>
        <v>0</v>
      </c>
      <c r="Q98" s="340">
        <f t="shared" si="43"/>
        <v>0</v>
      </c>
      <c r="R98" s="340">
        <f t="shared" si="30"/>
        <v>0</v>
      </c>
      <c r="S98" s="340">
        <f t="shared" si="45"/>
        <v>0</v>
      </c>
      <c r="T98" s="340">
        <f t="shared" si="31"/>
        <v>0</v>
      </c>
      <c r="U98" s="340">
        <f t="shared" si="38"/>
        <v>0</v>
      </c>
      <c r="V98" s="340">
        <f t="shared" si="32"/>
        <v>0</v>
      </c>
      <c r="W98" s="198">
        <f t="shared" si="44"/>
        <v>0</v>
      </c>
      <c r="X98" s="36">
        <f t="shared" si="33"/>
        <v>0</v>
      </c>
      <c r="Y98" s="2"/>
      <c r="Z98" s="34">
        <f t="shared" si="34"/>
        <v>0</v>
      </c>
      <c r="AA98" s="57">
        <f t="shared" si="35"/>
        <v>74753</v>
      </c>
      <c r="AB98" s="96"/>
      <c r="AC98" s="96"/>
      <c r="AD98" s="96"/>
      <c r="AE98" s="96"/>
      <c r="AF98" s="96"/>
      <c r="AG98" s="96"/>
      <c r="AH98" s="96"/>
      <c r="AI98" s="96"/>
    </row>
    <row r="99" spans="1:35" s="16" customFormat="1" ht="12" x14ac:dyDescent="0.25">
      <c r="A99" s="2"/>
      <c r="B99" s="2"/>
      <c r="C99" s="2"/>
      <c r="D99" s="2"/>
      <c r="E99" s="2"/>
      <c r="F99" s="383">
        <f t="shared" si="39"/>
        <v>88</v>
      </c>
      <c r="G99" s="384">
        <f t="shared" si="26"/>
        <v>45677</v>
      </c>
      <c r="H99" s="340">
        <f t="shared" si="27"/>
        <v>0</v>
      </c>
      <c r="I99" s="340">
        <f t="shared" si="28"/>
        <v>0</v>
      </c>
      <c r="J99" s="340">
        <f t="shared" si="36"/>
        <v>0</v>
      </c>
      <c r="K99" s="340">
        <f t="shared" si="37"/>
        <v>0</v>
      </c>
      <c r="L99" s="382">
        <f t="shared" si="40"/>
        <v>45658</v>
      </c>
      <c r="M99" s="382">
        <f t="shared" si="41"/>
        <v>46023</v>
      </c>
      <c r="N99" s="382">
        <f t="shared" si="42"/>
        <v>45292</v>
      </c>
      <c r="O99" s="340">
        <f t="shared" si="29"/>
        <v>0</v>
      </c>
      <c r="P99" s="340">
        <f t="shared" si="46"/>
        <v>0</v>
      </c>
      <c r="Q99" s="340">
        <f t="shared" si="43"/>
        <v>0</v>
      </c>
      <c r="R99" s="340">
        <f t="shared" si="30"/>
        <v>0</v>
      </c>
      <c r="S99" s="340">
        <f t="shared" si="45"/>
        <v>0</v>
      </c>
      <c r="T99" s="340">
        <f t="shared" si="31"/>
        <v>0</v>
      </c>
      <c r="U99" s="340">
        <f t="shared" si="38"/>
        <v>0</v>
      </c>
      <c r="V99" s="340">
        <f t="shared" si="32"/>
        <v>0</v>
      </c>
      <c r="W99" s="198">
        <f t="shared" si="44"/>
        <v>0</v>
      </c>
      <c r="X99" s="36">
        <f t="shared" si="33"/>
        <v>0</v>
      </c>
      <c r="Y99" s="2"/>
      <c r="Z99" s="34">
        <f t="shared" si="34"/>
        <v>0</v>
      </c>
      <c r="AA99" s="57">
        <f t="shared" si="35"/>
        <v>75118</v>
      </c>
      <c r="AB99" s="96"/>
      <c r="AC99" s="96"/>
      <c r="AD99" s="96"/>
      <c r="AE99" s="96"/>
      <c r="AF99" s="96"/>
      <c r="AG99" s="96"/>
      <c r="AH99" s="96"/>
      <c r="AI99" s="96"/>
    </row>
    <row r="100" spans="1:35" s="16" customFormat="1" ht="12" x14ac:dyDescent="0.25">
      <c r="A100" s="2"/>
      <c r="B100" s="2"/>
      <c r="C100" s="2"/>
      <c r="D100" s="2"/>
      <c r="E100" s="2"/>
      <c r="F100" s="383">
        <f t="shared" si="39"/>
        <v>89</v>
      </c>
      <c r="G100" s="384">
        <f t="shared" si="26"/>
        <v>45708</v>
      </c>
      <c r="H100" s="340">
        <f t="shared" si="27"/>
        <v>0</v>
      </c>
      <c r="I100" s="340">
        <f t="shared" si="28"/>
        <v>0</v>
      </c>
      <c r="J100" s="340">
        <f t="shared" si="36"/>
        <v>0</v>
      </c>
      <c r="K100" s="340">
        <f t="shared" si="37"/>
        <v>0</v>
      </c>
      <c r="L100" s="382">
        <f t="shared" si="40"/>
        <v>45658</v>
      </c>
      <c r="M100" s="382">
        <f t="shared" si="41"/>
        <v>46023</v>
      </c>
      <c r="N100" s="382">
        <f t="shared" si="42"/>
        <v>45292</v>
      </c>
      <c r="O100" s="340">
        <f t="shared" si="29"/>
        <v>0</v>
      </c>
      <c r="P100" s="340">
        <f t="shared" si="46"/>
        <v>0</v>
      </c>
      <c r="Q100" s="340">
        <f t="shared" si="43"/>
        <v>0</v>
      </c>
      <c r="R100" s="340">
        <f t="shared" si="30"/>
        <v>0</v>
      </c>
      <c r="S100" s="340">
        <f t="shared" si="45"/>
        <v>0</v>
      </c>
      <c r="T100" s="340">
        <f t="shared" si="31"/>
        <v>0</v>
      </c>
      <c r="U100" s="340">
        <f t="shared" si="38"/>
        <v>0</v>
      </c>
      <c r="V100" s="340">
        <f t="shared" si="32"/>
        <v>0</v>
      </c>
      <c r="W100" s="198">
        <f t="shared" si="44"/>
        <v>0</v>
      </c>
      <c r="X100" s="36">
        <f t="shared" si="33"/>
        <v>0</v>
      </c>
      <c r="Y100" s="2"/>
      <c r="Z100" s="34">
        <f t="shared" si="34"/>
        <v>0</v>
      </c>
      <c r="AA100" s="57">
        <f t="shared" si="35"/>
        <v>75483</v>
      </c>
      <c r="AB100" s="96"/>
      <c r="AC100" s="96"/>
      <c r="AD100" s="96"/>
      <c r="AE100" s="96"/>
      <c r="AF100" s="96"/>
      <c r="AG100" s="96"/>
      <c r="AH100" s="96"/>
      <c r="AI100" s="96"/>
    </row>
    <row r="101" spans="1:35" s="16" customFormat="1" ht="12" x14ac:dyDescent="0.25">
      <c r="A101" s="2"/>
      <c r="B101" s="2"/>
      <c r="C101" s="2"/>
      <c r="D101" s="2"/>
      <c r="E101" s="2"/>
      <c r="F101" s="383">
        <f t="shared" si="39"/>
        <v>90</v>
      </c>
      <c r="G101" s="384">
        <f t="shared" si="26"/>
        <v>45736</v>
      </c>
      <c r="H101" s="340">
        <f t="shared" si="27"/>
        <v>0</v>
      </c>
      <c r="I101" s="340">
        <f t="shared" si="28"/>
        <v>0</v>
      </c>
      <c r="J101" s="340">
        <f t="shared" si="36"/>
        <v>0</v>
      </c>
      <c r="K101" s="340">
        <f t="shared" si="37"/>
        <v>0</v>
      </c>
      <c r="L101" s="382">
        <f t="shared" si="40"/>
        <v>45658</v>
      </c>
      <c r="M101" s="382">
        <f t="shared" si="41"/>
        <v>46023</v>
      </c>
      <c r="N101" s="382">
        <f t="shared" si="42"/>
        <v>45292</v>
      </c>
      <c r="O101" s="340">
        <f t="shared" si="29"/>
        <v>0</v>
      </c>
      <c r="P101" s="340">
        <f t="shared" si="46"/>
        <v>0</v>
      </c>
      <c r="Q101" s="340">
        <f t="shared" si="43"/>
        <v>0</v>
      </c>
      <c r="R101" s="340">
        <f t="shared" si="30"/>
        <v>0</v>
      </c>
      <c r="S101" s="340">
        <f t="shared" si="45"/>
        <v>0</v>
      </c>
      <c r="T101" s="340">
        <f t="shared" si="31"/>
        <v>0</v>
      </c>
      <c r="U101" s="340">
        <f t="shared" si="38"/>
        <v>0</v>
      </c>
      <c r="V101" s="340">
        <f t="shared" si="32"/>
        <v>0</v>
      </c>
      <c r="W101" s="198">
        <f t="shared" si="44"/>
        <v>0</v>
      </c>
      <c r="X101" s="36">
        <f t="shared" si="33"/>
        <v>0</v>
      </c>
      <c r="Y101" s="2"/>
      <c r="Z101" s="34">
        <f t="shared" si="34"/>
        <v>0</v>
      </c>
      <c r="AA101" s="57">
        <f t="shared" si="35"/>
        <v>75848</v>
      </c>
      <c r="AB101" s="96"/>
      <c r="AC101" s="96"/>
      <c r="AD101" s="96"/>
      <c r="AE101" s="96"/>
      <c r="AF101" s="96"/>
      <c r="AG101" s="96"/>
      <c r="AH101" s="96"/>
      <c r="AI101" s="96"/>
    </row>
    <row r="102" spans="1:35" s="16" customFormat="1" ht="12" x14ac:dyDescent="0.25">
      <c r="A102" s="2"/>
      <c r="B102" s="2"/>
      <c r="C102" s="2"/>
      <c r="D102" s="2"/>
      <c r="E102" s="2"/>
      <c r="F102" s="383">
        <f t="shared" si="39"/>
        <v>91</v>
      </c>
      <c r="G102" s="384">
        <f t="shared" si="26"/>
        <v>45767</v>
      </c>
      <c r="H102" s="340">
        <f t="shared" si="27"/>
        <v>0</v>
      </c>
      <c r="I102" s="340">
        <f t="shared" si="28"/>
        <v>0</v>
      </c>
      <c r="J102" s="340">
        <f t="shared" si="36"/>
        <v>0</v>
      </c>
      <c r="K102" s="340">
        <f t="shared" si="37"/>
        <v>0</v>
      </c>
      <c r="L102" s="382">
        <f t="shared" si="40"/>
        <v>45658</v>
      </c>
      <c r="M102" s="382">
        <f t="shared" si="41"/>
        <v>46023</v>
      </c>
      <c r="N102" s="382">
        <f t="shared" si="42"/>
        <v>45292</v>
      </c>
      <c r="O102" s="340">
        <f t="shared" si="29"/>
        <v>0</v>
      </c>
      <c r="P102" s="340">
        <f t="shared" si="46"/>
        <v>0</v>
      </c>
      <c r="Q102" s="340">
        <f t="shared" si="43"/>
        <v>0</v>
      </c>
      <c r="R102" s="340">
        <f t="shared" si="30"/>
        <v>0</v>
      </c>
      <c r="S102" s="340">
        <f t="shared" si="45"/>
        <v>0</v>
      </c>
      <c r="T102" s="340">
        <f t="shared" si="31"/>
        <v>0</v>
      </c>
      <c r="U102" s="340">
        <f t="shared" si="38"/>
        <v>0</v>
      </c>
      <c r="V102" s="340">
        <f t="shared" si="32"/>
        <v>0</v>
      </c>
      <c r="W102" s="198">
        <f t="shared" si="44"/>
        <v>0</v>
      </c>
      <c r="X102" s="36">
        <f t="shared" si="33"/>
        <v>0</v>
      </c>
      <c r="Y102" s="2"/>
      <c r="Z102" s="34">
        <f t="shared" si="34"/>
        <v>0</v>
      </c>
      <c r="AA102" s="57">
        <f t="shared" si="35"/>
        <v>76213</v>
      </c>
      <c r="AB102" s="96"/>
      <c r="AC102" s="96"/>
      <c r="AD102" s="96"/>
      <c r="AE102" s="96"/>
      <c r="AF102" s="96"/>
      <c r="AG102" s="96"/>
      <c r="AH102" s="96"/>
      <c r="AI102" s="96"/>
    </row>
    <row r="103" spans="1:35" s="16" customFormat="1" ht="12" x14ac:dyDescent="0.25">
      <c r="A103" s="2"/>
      <c r="B103" s="2"/>
      <c r="C103" s="2"/>
      <c r="D103" s="2"/>
      <c r="E103" s="2"/>
      <c r="F103" s="383">
        <f t="shared" si="39"/>
        <v>92</v>
      </c>
      <c r="G103" s="384">
        <f t="shared" si="26"/>
        <v>45797</v>
      </c>
      <c r="H103" s="340">
        <f t="shared" si="27"/>
        <v>0</v>
      </c>
      <c r="I103" s="340">
        <f t="shared" si="28"/>
        <v>0</v>
      </c>
      <c r="J103" s="340">
        <f t="shared" si="36"/>
        <v>0</v>
      </c>
      <c r="K103" s="340">
        <f t="shared" si="37"/>
        <v>0</v>
      </c>
      <c r="L103" s="382">
        <f t="shared" si="40"/>
        <v>45658</v>
      </c>
      <c r="M103" s="382">
        <f t="shared" si="41"/>
        <v>46023</v>
      </c>
      <c r="N103" s="382">
        <f t="shared" si="42"/>
        <v>45292</v>
      </c>
      <c r="O103" s="340">
        <f t="shared" si="29"/>
        <v>0</v>
      </c>
      <c r="P103" s="340">
        <f t="shared" si="46"/>
        <v>0</v>
      </c>
      <c r="Q103" s="340">
        <f t="shared" si="43"/>
        <v>0</v>
      </c>
      <c r="R103" s="340">
        <f t="shared" si="30"/>
        <v>0</v>
      </c>
      <c r="S103" s="340">
        <f t="shared" si="45"/>
        <v>0</v>
      </c>
      <c r="T103" s="340">
        <f t="shared" si="31"/>
        <v>0</v>
      </c>
      <c r="U103" s="340">
        <f t="shared" si="38"/>
        <v>0</v>
      </c>
      <c r="V103" s="340">
        <f t="shared" si="32"/>
        <v>0</v>
      </c>
      <c r="W103" s="198">
        <f t="shared" si="44"/>
        <v>0</v>
      </c>
      <c r="X103" s="36">
        <f t="shared" si="33"/>
        <v>0</v>
      </c>
      <c r="Y103" s="2"/>
      <c r="Z103" s="34">
        <f t="shared" si="34"/>
        <v>0</v>
      </c>
      <c r="AA103" s="57">
        <f t="shared" si="35"/>
        <v>76578</v>
      </c>
      <c r="AB103" s="96"/>
      <c r="AC103" s="96"/>
      <c r="AD103" s="96"/>
      <c r="AE103" s="96"/>
      <c r="AF103" s="96"/>
      <c r="AG103" s="96"/>
      <c r="AH103" s="96"/>
      <c r="AI103" s="96"/>
    </row>
    <row r="104" spans="1:35" s="16" customFormat="1" ht="12" x14ac:dyDescent="0.25">
      <c r="A104" s="53"/>
      <c r="C104" s="2"/>
      <c r="D104" s="2"/>
      <c r="E104" s="2"/>
      <c r="F104" s="383">
        <f t="shared" si="39"/>
        <v>93</v>
      </c>
      <c r="G104" s="384">
        <f t="shared" si="26"/>
        <v>45828</v>
      </c>
      <c r="H104" s="340">
        <f t="shared" si="27"/>
        <v>0</v>
      </c>
      <c r="I104" s="340">
        <f t="shared" si="28"/>
        <v>0</v>
      </c>
      <c r="J104" s="340">
        <f t="shared" si="36"/>
        <v>0</v>
      </c>
      <c r="K104" s="340">
        <f t="shared" si="37"/>
        <v>0</v>
      </c>
      <c r="L104" s="382">
        <f t="shared" si="40"/>
        <v>45658</v>
      </c>
      <c r="M104" s="382">
        <f t="shared" si="41"/>
        <v>46023</v>
      </c>
      <c r="N104" s="382">
        <f t="shared" si="42"/>
        <v>45292</v>
      </c>
      <c r="O104" s="340">
        <f t="shared" si="29"/>
        <v>0</v>
      </c>
      <c r="P104" s="340">
        <f t="shared" si="46"/>
        <v>0</v>
      </c>
      <c r="Q104" s="340">
        <f t="shared" si="43"/>
        <v>0</v>
      </c>
      <c r="R104" s="340">
        <f t="shared" si="30"/>
        <v>0</v>
      </c>
      <c r="S104" s="340">
        <f t="shared" si="45"/>
        <v>0</v>
      </c>
      <c r="T104" s="340">
        <f t="shared" si="31"/>
        <v>0</v>
      </c>
      <c r="U104" s="340">
        <f t="shared" si="38"/>
        <v>0</v>
      </c>
      <c r="V104" s="340">
        <f t="shared" si="32"/>
        <v>0</v>
      </c>
      <c r="W104" s="198">
        <f t="shared" si="44"/>
        <v>0</v>
      </c>
      <c r="X104" s="36">
        <f t="shared" si="33"/>
        <v>0</v>
      </c>
      <c r="Y104" s="2"/>
      <c r="Z104" s="34">
        <f t="shared" si="34"/>
        <v>0</v>
      </c>
      <c r="AA104" s="57">
        <f t="shared" si="35"/>
        <v>76943</v>
      </c>
      <c r="AB104" s="96"/>
      <c r="AC104" s="96"/>
      <c r="AD104" s="96"/>
      <c r="AE104" s="96"/>
      <c r="AF104" s="96"/>
      <c r="AG104" s="96"/>
      <c r="AH104" s="96"/>
      <c r="AI104" s="96"/>
    </row>
    <row r="105" spans="1:35" s="16" customFormat="1" ht="12" x14ac:dyDescent="0.25">
      <c r="A105" s="53"/>
      <c r="B105" s="2"/>
      <c r="C105" s="2"/>
      <c r="D105" s="13"/>
      <c r="E105" s="2"/>
      <c r="F105" s="383">
        <f t="shared" si="39"/>
        <v>94</v>
      </c>
      <c r="G105" s="384">
        <f t="shared" si="26"/>
        <v>45858</v>
      </c>
      <c r="H105" s="340">
        <f t="shared" si="27"/>
        <v>0</v>
      </c>
      <c r="I105" s="340">
        <f t="shared" si="28"/>
        <v>0</v>
      </c>
      <c r="J105" s="340">
        <f t="shared" si="36"/>
        <v>0</v>
      </c>
      <c r="K105" s="340">
        <f t="shared" si="37"/>
        <v>0</v>
      </c>
      <c r="L105" s="382">
        <f t="shared" si="40"/>
        <v>45658</v>
      </c>
      <c r="M105" s="382">
        <f t="shared" si="41"/>
        <v>46023</v>
      </c>
      <c r="N105" s="382">
        <f t="shared" si="42"/>
        <v>45292</v>
      </c>
      <c r="O105" s="340">
        <f t="shared" si="29"/>
        <v>0</v>
      </c>
      <c r="P105" s="340">
        <f t="shared" si="46"/>
        <v>0</v>
      </c>
      <c r="Q105" s="340">
        <f t="shared" si="43"/>
        <v>0</v>
      </c>
      <c r="R105" s="340">
        <f t="shared" si="30"/>
        <v>0</v>
      </c>
      <c r="S105" s="340">
        <f t="shared" si="45"/>
        <v>0</v>
      </c>
      <c r="T105" s="340">
        <f t="shared" si="31"/>
        <v>0</v>
      </c>
      <c r="U105" s="340">
        <f t="shared" si="38"/>
        <v>0</v>
      </c>
      <c r="V105" s="340">
        <f t="shared" si="32"/>
        <v>0</v>
      </c>
      <c r="W105" s="198">
        <f t="shared" si="44"/>
        <v>0</v>
      </c>
      <c r="X105" s="36">
        <f t="shared" si="33"/>
        <v>0</v>
      </c>
      <c r="Y105" s="2"/>
      <c r="Z105" s="34">
        <f t="shared" si="34"/>
        <v>0</v>
      </c>
      <c r="AA105" s="57">
        <f t="shared" si="35"/>
        <v>77308</v>
      </c>
      <c r="AB105" s="96"/>
      <c r="AC105" s="96"/>
      <c r="AD105" s="96"/>
      <c r="AE105" s="96"/>
      <c r="AF105" s="96"/>
      <c r="AG105" s="96"/>
      <c r="AH105" s="96"/>
      <c r="AI105" s="96"/>
    </row>
    <row r="106" spans="1:35" s="16" customFormat="1" ht="12" x14ac:dyDescent="0.25">
      <c r="A106" s="2"/>
      <c r="B106" s="2"/>
      <c r="C106" s="1"/>
      <c r="D106" s="2"/>
      <c r="E106" s="2"/>
      <c r="F106" s="383">
        <f t="shared" si="39"/>
        <v>95</v>
      </c>
      <c r="G106" s="384">
        <f t="shared" si="26"/>
        <v>45889</v>
      </c>
      <c r="H106" s="340">
        <f t="shared" si="27"/>
        <v>0</v>
      </c>
      <c r="I106" s="340">
        <f t="shared" si="28"/>
        <v>0</v>
      </c>
      <c r="J106" s="340">
        <f t="shared" si="36"/>
        <v>0</v>
      </c>
      <c r="K106" s="340">
        <f t="shared" si="37"/>
        <v>0</v>
      </c>
      <c r="L106" s="382">
        <f t="shared" si="40"/>
        <v>45658</v>
      </c>
      <c r="M106" s="382">
        <f t="shared" si="41"/>
        <v>46023</v>
      </c>
      <c r="N106" s="382">
        <f t="shared" si="42"/>
        <v>45292</v>
      </c>
      <c r="O106" s="340">
        <f t="shared" si="29"/>
        <v>0</v>
      </c>
      <c r="P106" s="340">
        <f t="shared" si="46"/>
        <v>0</v>
      </c>
      <c r="Q106" s="340">
        <f t="shared" si="43"/>
        <v>0</v>
      </c>
      <c r="R106" s="340">
        <f t="shared" si="30"/>
        <v>0</v>
      </c>
      <c r="S106" s="340">
        <f t="shared" si="45"/>
        <v>0</v>
      </c>
      <c r="T106" s="340">
        <f t="shared" si="31"/>
        <v>0</v>
      </c>
      <c r="U106" s="340">
        <f t="shared" si="38"/>
        <v>0</v>
      </c>
      <c r="V106" s="340">
        <f t="shared" si="32"/>
        <v>0</v>
      </c>
      <c r="W106" s="198">
        <f t="shared" si="44"/>
        <v>0</v>
      </c>
      <c r="X106" s="36">
        <f t="shared" si="33"/>
        <v>0</v>
      </c>
      <c r="Y106" s="2"/>
      <c r="Z106" s="34">
        <f t="shared" si="34"/>
        <v>0</v>
      </c>
      <c r="AA106" s="57">
        <f t="shared" si="35"/>
        <v>77673</v>
      </c>
      <c r="AB106" s="96"/>
      <c r="AC106" s="96"/>
      <c r="AD106" s="96"/>
      <c r="AE106" s="96"/>
      <c r="AF106" s="96"/>
      <c r="AG106" s="96"/>
      <c r="AH106" s="96"/>
      <c r="AI106" s="96"/>
    </row>
    <row r="107" spans="1:35" s="16" customFormat="1" ht="12" x14ac:dyDescent="0.25">
      <c r="A107" s="2"/>
      <c r="B107" s="2"/>
      <c r="C107" s="98"/>
      <c r="D107" s="1"/>
      <c r="E107" s="2"/>
      <c r="F107" s="383">
        <f t="shared" si="39"/>
        <v>96</v>
      </c>
      <c r="G107" s="384">
        <f t="shared" si="26"/>
        <v>45920</v>
      </c>
      <c r="H107" s="340">
        <f t="shared" si="27"/>
        <v>0</v>
      </c>
      <c r="I107" s="340">
        <f t="shared" si="28"/>
        <v>0</v>
      </c>
      <c r="J107" s="340">
        <f t="shared" si="36"/>
        <v>0</v>
      </c>
      <c r="K107" s="340">
        <f t="shared" si="37"/>
        <v>0</v>
      </c>
      <c r="L107" s="382">
        <f t="shared" si="40"/>
        <v>45658</v>
      </c>
      <c r="M107" s="382">
        <f t="shared" si="41"/>
        <v>46023</v>
      </c>
      <c r="N107" s="382">
        <f t="shared" si="42"/>
        <v>45292</v>
      </c>
      <c r="O107" s="340">
        <f t="shared" si="29"/>
        <v>0</v>
      </c>
      <c r="P107" s="340">
        <f t="shared" si="46"/>
        <v>0</v>
      </c>
      <c r="Q107" s="340">
        <f t="shared" si="43"/>
        <v>0</v>
      </c>
      <c r="R107" s="340">
        <f t="shared" si="30"/>
        <v>0</v>
      </c>
      <c r="S107" s="340">
        <f t="shared" si="45"/>
        <v>0</v>
      </c>
      <c r="T107" s="340">
        <f t="shared" si="31"/>
        <v>0</v>
      </c>
      <c r="U107" s="340">
        <f t="shared" si="38"/>
        <v>0</v>
      </c>
      <c r="V107" s="340">
        <f t="shared" si="32"/>
        <v>0</v>
      </c>
      <c r="W107" s="198">
        <f t="shared" si="44"/>
        <v>0</v>
      </c>
      <c r="X107" s="36">
        <f t="shared" si="33"/>
        <v>0</v>
      </c>
      <c r="Y107" s="2"/>
      <c r="Z107" s="34">
        <f t="shared" si="34"/>
        <v>0</v>
      </c>
      <c r="AA107" s="57">
        <f t="shared" si="35"/>
        <v>78038</v>
      </c>
      <c r="AB107" s="96"/>
      <c r="AC107" s="96"/>
      <c r="AD107" s="96"/>
      <c r="AE107" s="96"/>
      <c r="AF107" s="96"/>
      <c r="AG107" s="96"/>
      <c r="AH107" s="96"/>
      <c r="AI107" s="96"/>
    </row>
    <row r="108" spans="1:35" s="16" customFormat="1" ht="12" x14ac:dyDescent="0.25">
      <c r="A108" s="2"/>
      <c r="B108" s="2"/>
      <c r="C108" s="2"/>
      <c r="D108" s="13"/>
      <c r="E108" s="2"/>
      <c r="F108" s="383">
        <f t="shared" si="39"/>
        <v>97</v>
      </c>
      <c r="G108" s="384">
        <f t="shared" si="26"/>
        <v>45950</v>
      </c>
      <c r="H108" s="340">
        <f t="shared" ref="H108:H139" si="47">IF(F108&lt;=$I$7,I108+P108,IF(AND(V107+P108+I108&gt;H107,H107&lt;&gt;0),$C$21,IF(V107=0,0,V107+P108+I108+I109)))</f>
        <v>0</v>
      </c>
      <c r="I108" s="340">
        <f t="shared" si="28"/>
        <v>0</v>
      </c>
      <c r="J108" s="340">
        <f t="shared" si="36"/>
        <v>0</v>
      </c>
      <c r="K108" s="340">
        <f t="shared" si="37"/>
        <v>0</v>
      </c>
      <c r="L108" s="382">
        <f t="shared" si="40"/>
        <v>45658</v>
      </c>
      <c r="M108" s="382">
        <f t="shared" si="41"/>
        <v>46023</v>
      </c>
      <c r="N108" s="382">
        <f t="shared" si="42"/>
        <v>45292</v>
      </c>
      <c r="O108" s="340">
        <f t="shared" si="29"/>
        <v>0</v>
      </c>
      <c r="P108" s="340">
        <f t="shared" si="46"/>
        <v>0</v>
      </c>
      <c r="Q108" s="340">
        <f t="shared" si="43"/>
        <v>0</v>
      </c>
      <c r="R108" s="340">
        <f t="shared" si="30"/>
        <v>0</v>
      </c>
      <c r="S108" s="340">
        <f t="shared" si="45"/>
        <v>0</v>
      </c>
      <c r="T108" s="340">
        <f t="shared" si="31"/>
        <v>0</v>
      </c>
      <c r="U108" s="340">
        <f t="shared" si="38"/>
        <v>0</v>
      </c>
      <c r="V108" s="340">
        <f t="shared" si="32"/>
        <v>0</v>
      </c>
      <c r="W108" s="198">
        <f t="shared" si="44"/>
        <v>0</v>
      </c>
      <c r="X108" s="36">
        <f t="shared" si="33"/>
        <v>0</v>
      </c>
      <c r="Y108" s="2"/>
      <c r="Z108" s="34">
        <f t="shared" si="34"/>
        <v>0</v>
      </c>
      <c r="AA108" s="57">
        <f t="shared" si="35"/>
        <v>78403</v>
      </c>
      <c r="AB108" s="96"/>
      <c r="AC108" s="96"/>
      <c r="AD108" s="96"/>
      <c r="AE108" s="96"/>
      <c r="AF108" s="96"/>
      <c r="AG108" s="96"/>
      <c r="AH108" s="96"/>
      <c r="AI108" s="96"/>
    </row>
    <row r="109" spans="1:35" s="16" customFormat="1" ht="12" x14ac:dyDescent="0.25">
      <c r="A109" s="2"/>
      <c r="B109" s="2"/>
      <c r="C109" s="13"/>
      <c r="D109" s="13"/>
      <c r="E109" s="2"/>
      <c r="F109" s="383">
        <f t="shared" si="39"/>
        <v>98</v>
      </c>
      <c r="G109" s="384">
        <f t="shared" si="26"/>
        <v>45981</v>
      </c>
      <c r="H109" s="340">
        <f t="shared" si="47"/>
        <v>0</v>
      </c>
      <c r="I109" s="340">
        <f t="shared" si="28"/>
        <v>0</v>
      </c>
      <c r="J109" s="340">
        <f t="shared" si="36"/>
        <v>0</v>
      </c>
      <c r="K109" s="340">
        <f t="shared" si="37"/>
        <v>0</v>
      </c>
      <c r="L109" s="382">
        <f t="shared" si="40"/>
        <v>45658</v>
      </c>
      <c r="M109" s="382">
        <f t="shared" si="41"/>
        <v>46023</v>
      </c>
      <c r="N109" s="382">
        <f t="shared" si="42"/>
        <v>45292</v>
      </c>
      <c r="O109" s="340">
        <f t="shared" si="29"/>
        <v>0</v>
      </c>
      <c r="P109" s="340">
        <f t="shared" si="46"/>
        <v>0</v>
      </c>
      <c r="Q109" s="340">
        <f t="shared" si="43"/>
        <v>0</v>
      </c>
      <c r="R109" s="340">
        <f t="shared" si="30"/>
        <v>0</v>
      </c>
      <c r="S109" s="340">
        <f t="shared" si="45"/>
        <v>0</v>
      </c>
      <c r="T109" s="340">
        <f t="shared" si="31"/>
        <v>0</v>
      </c>
      <c r="U109" s="340">
        <f t="shared" si="38"/>
        <v>0</v>
      </c>
      <c r="V109" s="340">
        <f t="shared" si="32"/>
        <v>0</v>
      </c>
      <c r="W109" s="198">
        <f t="shared" si="44"/>
        <v>0</v>
      </c>
      <c r="X109" s="36">
        <f t="shared" si="33"/>
        <v>0</v>
      </c>
      <c r="Y109" s="2"/>
      <c r="Z109" s="34">
        <f t="shared" si="34"/>
        <v>0</v>
      </c>
      <c r="AA109" s="57">
        <f t="shared" si="35"/>
        <v>78768</v>
      </c>
      <c r="AB109" s="96"/>
      <c r="AC109" s="96"/>
      <c r="AD109" s="96"/>
      <c r="AE109" s="96"/>
      <c r="AF109" s="96"/>
      <c r="AG109" s="96"/>
      <c r="AH109" s="96"/>
      <c r="AI109" s="96"/>
    </row>
    <row r="110" spans="1:35" s="16" customFormat="1" ht="12" x14ac:dyDescent="0.25">
      <c r="A110" s="2"/>
      <c r="B110" s="2"/>
      <c r="C110" s="2"/>
      <c r="D110" s="13"/>
      <c r="E110" s="2"/>
      <c r="F110" s="383">
        <f t="shared" si="39"/>
        <v>99</v>
      </c>
      <c r="G110" s="384">
        <f t="shared" si="26"/>
        <v>46011</v>
      </c>
      <c r="H110" s="340">
        <f t="shared" si="47"/>
        <v>0</v>
      </c>
      <c r="I110" s="340">
        <f t="shared" si="28"/>
        <v>0</v>
      </c>
      <c r="J110" s="340">
        <f t="shared" si="36"/>
        <v>0</v>
      </c>
      <c r="K110" s="340">
        <f t="shared" si="37"/>
        <v>0</v>
      </c>
      <c r="L110" s="382">
        <f t="shared" si="40"/>
        <v>45658</v>
      </c>
      <c r="M110" s="382">
        <f t="shared" si="41"/>
        <v>46023</v>
      </c>
      <c r="N110" s="382">
        <f t="shared" si="42"/>
        <v>45292</v>
      </c>
      <c r="O110" s="340">
        <f t="shared" si="29"/>
        <v>0</v>
      </c>
      <c r="P110" s="340">
        <f t="shared" si="46"/>
        <v>0</v>
      </c>
      <c r="Q110" s="340">
        <f t="shared" si="43"/>
        <v>0</v>
      </c>
      <c r="R110" s="340">
        <f t="shared" si="30"/>
        <v>0</v>
      </c>
      <c r="S110" s="340">
        <f t="shared" si="45"/>
        <v>0</v>
      </c>
      <c r="T110" s="340">
        <f t="shared" si="31"/>
        <v>0</v>
      </c>
      <c r="U110" s="340">
        <f t="shared" si="38"/>
        <v>0</v>
      </c>
      <c r="V110" s="340">
        <f t="shared" si="32"/>
        <v>0</v>
      </c>
      <c r="W110" s="198">
        <f t="shared" si="44"/>
        <v>0</v>
      </c>
      <c r="X110" s="36">
        <f t="shared" si="33"/>
        <v>0</v>
      </c>
      <c r="Y110" s="2"/>
      <c r="Z110" s="34">
        <f t="shared" si="34"/>
        <v>0</v>
      </c>
      <c r="AA110" s="57">
        <f t="shared" si="35"/>
        <v>79133</v>
      </c>
      <c r="AB110" s="96"/>
      <c r="AC110" s="96"/>
      <c r="AD110" s="96"/>
      <c r="AE110" s="96"/>
      <c r="AF110" s="96"/>
      <c r="AG110" s="96"/>
      <c r="AH110" s="96"/>
      <c r="AI110" s="96"/>
    </row>
    <row r="111" spans="1:35" s="16" customFormat="1" ht="12" x14ac:dyDescent="0.25">
      <c r="A111" s="2"/>
      <c r="B111" s="2"/>
      <c r="C111" s="2"/>
      <c r="D111" s="13"/>
      <c r="E111" s="2"/>
      <c r="F111" s="383">
        <f t="shared" si="39"/>
        <v>100</v>
      </c>
      <c r="G111" s="384">
        <f t="shared" si="26"/>
        <v>46042</v>
      </c>
      <c r="H111" s="340">
        <f t="shared" si="47"/>
        <v>0</v>
      </c>
      <c r="I111" s="340">
        <f t="shared" si="28"/>
        <v>0</v>
      </c>
      <c r="J111" s="340">
        <f t="shared" si="36"/>
        <v>0</v>
      </c>
      <c r="K111" s="340">
        <f t="shared" si="37"/>
        <v>0</v>
      </c>
      <c r="L111" s="382">
        <f t="shared" si="40"/>
        <v>46023</v>
      </c>
      <c r="M111" s="382">
        <f t="shared" si="41"/>
        <v>46388</v>
      </c>
      <c r="N111" s="382">
        <f t="shared" si="42"/>
        <v>45658</v>
      </c>
      <c r="O111" s="340">
        <f t="shared" si="29"/>
        <v>0</v>
      </c>
      <c r="P111" s="340">
        <f t="shared" si="46"/>
        <v>0</v>
      </c>
      <c r="Q111" s="340">
        <f t="shared" si="43"/>
        <v>0</v>
      </c>
      <c r="R111" s="340">
        <f t="shared" si="30"/>
        <v>0</v>
      </c>
      <c r="S111" s="340">
        <f t="shared" si="45"/>
        <v>0</v>
      </c>
      <c r="T111" s="340">
        <f t="shared" si="31"/>
        <v>0</v>
      </c>
      <c r="U111" s="340">
        <f t="shared" si="38"/>
        <v>0</v>
      </c>
      <c r="V111" s="340">
        <f t="shared" si="32"/>
        <v>0</v>
      </c>
      <c r="W111" s="198">
        <f t="shared" si="44"/>
        <v>0</v>
      </c>
      <c r="X111" s="36">
        <f t="shared" si="33"/>
        <v>0</v>
      </c>
      <c r="Y111" s="2"/>
      <c r="Z111" s="34">
        <f t="shared" si="34"/>
        <v>0</v>
      </c>
      <c r="AA111" s="57">
        <f t="shared" si="35"/>
        <v>79498</v>
      </c>
      <c r="AB111" s="96"/>
      <c r="AC111" s="96"/>
      <c r="AD111" s="96"/>
      <c r="AE111" s="96"/>
      <c r="AF111" s="96"/>
      <c r="AG111" s="96"/>
      <c r="AH111" s="96"/>
      <c r="AI111" s="96"/>
    </row>
    <row r="112" spans="1:35" s="16" customFormat="1" ht="12" x14ac:dyDescent="0.25">
      <c r="A112" s="2"/>
      <c r="B112" s="2"/>
      <c r="C112" s="2"/>
      <c r="D112" s="2"/>
      <c r="E112" s="2"/>
      <c r="F112" s="383">
        <f t="shared" si="39"/>
        <v>101</v>
      </c>
      <c r="G112" s="384">
        <f t="shared" si="26"/>
        <v>46073</v>
      </c>
      <c r="H112" s="340">
        <f t="shared" si="47"/>
        <v>0</v>
      </c>
      <c r="I112" s="340">
        <f t="shared" si="28"/>
        <v>0</v>
      </c>
      <c r="J112" s="340">
        <f t="shared" si="36"/>
        <v>0</v>
      </c>
      <c r="K112" s="340">
        <f t="shared" si="37"/>
        <v>0</v>
      </c>
      <c r="L112" s="382">
        <f t="shared" si="40"/>
        <v>46023</v>
      </c>
      <c r="M112" s="382">
        <f t="shared" si="41"/>
        <v>46388</v>
      </c>
      <c r="N112" s="382">
        <f t="shared" si="42"/>
        <v>45658</v>
      </c>
      <c r="O112" s="340">
        <f t="shared" si="29"/>
        <v>0</v>
      </c>
      <c r="P112" s="340">
        <f t="shared" si="46"/>
        <v>0</v>
      </c>
      <c r="Q112" s="340">
        <f t="shared" si="43"/>
        <v>0</v>
      </c>
      <c r="R112" s="340">
        <f t="shared" si="30"/>
        <v>0</v>
      </c>
      <c r="S112" s="340">
        <f t="shared" si="45"/>
        <v>0</v>
      </c>
      <c r="T112" s="340">
        <f t="shared" si="31"/>
        <v>0</v>
      </c>
      <c r="U112" s="340">
        <f t="shared" si="38"/>
        <v>0</v>
      </c>
      <c r="V112" s="340">
        <f t="shared" si="32"/>
        <v>0</v>
      </c>
      <c r="W112" s="198">
        <f t="shared" si="44"/>
        <v>0</v>
      </c>
      <c r="X112" s="36">
        <f t="shared" si="33"/>
        <v>0</v>
      </c>
      <c r="Y112" s="2"/>
      <c r="Z112" s="34">
        <f t="shared" si="34"/>
        <v>0</v>
      </c>
      <c r="AA112" s="57">
        <f t="shared" si="35"/>
        <v>79863</v>
      </c>
      <c r="AB112" s="96"/>
      <c r="AC112" s="96"/>
      <c r="AD112" s="96"/>
      <c r="AE112" s="96"/>
      <c r="AF112" s="96"/>
      <c r="AG112" s="96"/>
      <c r="AH112" s="96"/>
      <c r="AI112" s="96"/>
    </row>
    <row r="113" spans="1:35" s="16" customFormat="1" ht="12" x14ac:dyDescent="0.25">
      <c r="A113" s="2"/>
      <c r="B113" s="2"/>
      <c r="C113" s="2"/>
      <c r="D113" s="2"/>
      <c r="E113" s="2"/>
      <c r="F113" s="383">
        <f t="shared" si="39"/>
        <v>102</v>
      </c>
      <c r="G113" s="384">
        <f t="shared" si="26"/>
        <v>46101</v>
      </c>
      <c r="H113" s="340">
        <f t="shared" si="47"/>
        <v>0</v>
      </c>
      <c r="I113" s="340">
        <f t="shared" si="28"/>
        <v>0</v>
      </c>
      <c r="J113" s="340">
        <f t="shared" si="36"/>
        <v>0</v>
      </c>
      <c r="K113" s="340">
        <f t="shared" si="37"/>
        <v>0</v>
      </c>
      <c r="L113" s="382">
        <f t="shared" si="40"/>
        <v>46023</v>
      </c>
      <c r="M113" s="382">
        <f t="shared" si="41"/>
        <v>46388</v>
      </c>
      <c r="N113" s="382">
        <f t="shared" si="42"/>
        <v>45658</v>
      </c>
      <c r="O113" s="340">
        <f t="shared" si="29"/>
        <v>0</v>
      </c>
      <c r="P113" s="340">
        <f t="shared" si="46"/>
        <v>0</v>
      </c>
      <c r="Q113" s="340">
        <f t="shared" si="43"/>
        <v>0</v>
      </c>
      <c r="R113" s="340">
        <f t="shared" si="30"/>
        <v>0</v>
      </c>
      <c r="S113" s="340">
        <f t="shared" si="45"/>
        <v>0</v>
      </c>
      <c r="T113" s="340">
        <f t="shared" si="31"/>
        <v>0</v>
      </c>
      <c r="U113" s="340">
        <f t="shared" si="38"/>
        <v>0</v>
      </c>
      <c r="V113" s="340">
        <f t="shared" si="32"/>
        <v>0</v>
      </c>
      <c r="W113" s="198">
        <f t="shared" si="44"/>
        <v>0</v>
      </c>
      <c r="X113" s="36">
        <f t="shared" si="33"/>
        <v>0</v>
      </c>
      <c r="Y113" s="2"/>
      <c r="Z113" s="34">
        <f t="shared" si="34"/>
        <v>0</v>
      </c>
      <c r="AA113" s="57">
        <f t="shared" si="35"/>
        <v>80228</v>
      </c>
      <c r="AB113" s="96"/>
      <c r="AC113" s="96"/>
      <c r="AD113" s="96"/>
      <c r="AE113" s="96"/>
      <c r="AF113" s="96"/>
      <c r="AG113" s="96"/>
      <c r="AH113" s="96"/>
      <c r="AI113" s="96"/>
    </row>
    <row r="114" spans="1:35" s="16" customFormat="1" ht="12" x14ac:dyDescent="0.25">
      <c r="A114" s="2"/>
      <c r="B114" s="2"/>
      <c r="C114" s="2"/>
      <c r="D114" s="2"/>
      <c r="F114" s="383">
        <f t="shared" si="39"/>
        <v>103</v>
      </c>
      <c r="G114" s="384">
        <f t="shared" si="26"/>
        <v>46132</v>
      </c>
      <c r="H114" s="340">
        <f t="shared" si="47"/>
        <v>0</v>
      </c>
      <c r="I114" s="340">
        <f t="shared" si="28"/>
        <v>0</v>
      </c>
      <c r="J114" s="340">
        <f t="shared" si="36"/>
        <v>0</v>
      </c>
      <c r="K114" s="340">
        <f t="shared" si="37"/>
        <v>0</v>
      </c>
      <c r="L114" s="382">
        <f t="shared" si="40"/>
        <v>46023</v>
      </c>
      <c r="M114" s="382">
        <f t="shared" si="41"/>
        <v>46388</v>
      </c>
      <c r="N114" s="382">
        <f t="shared" si="42"/>
        <v>45658</v>
      </c>
      <c r="O114" s="340">
        <f t="shared" si="29"/>
        <v>0</v>
      </c>
      <c r="P114" s="340">
        <f t="shared" si="46"/>
        <v>0</v>
      </c>
      <c r="Q114" s="340">
        <f t="shared" si="43"/>
        <v>0</v>
      </c>
      <c r="R114" s="340">
        <f t="shared" si="30"/>
        <v>0</v>
      </c>
      <c r="S114" s="340">
        <f t="shared" si="45"/>
        <v>0</v>
      </c>
      <c r="T114" s="340">
        <f t="shared" si="31"/>
        <v>0</v>
      </c>
      <c r="U114" s="340">
        <f t="shared" si="38"/>
        <v>0</v>
      </c>
      <c r="V114" s="340">
        <f t="shared" si="32"/>
        <v>0</v>
      </c>
      <c r="W114" s="198">
        <f t="shared" si="44"/>
        <v>0</v>
      </c>
      <c r="X114" s="36">
        <f t="shared" si="33"/>
        <v>0</v>
      </c>
      <c r="Y114" s="2"/>
      <c r="Z114" s="34">
        <f t="shared" si="34"/>
        <v>0</v>
      </c>
      <c r="AA114" s="57">
        <f t="shared" si="35"/>
        <v>80593</v>
      </c>
      <c r="AB114" s="96"/>
      <c r="AC114" s="96"/>
      <c r="AD114" s="96"/>
      <c r="AE114" s="96"/>
      <c r="AF114" s="96"/>
      <c r="AG114" s="96"/>
      <c r="AH114" s="96"/>
      <c r="AI114" s="96"/>
    </row>
    <row r="115" spans="1:35" s="16" customFormat="1" ht="12" x14ac:dyDescent="0.25">
      <c r="A115" s="2"/>
      <c r="B115" s="2"/>
      <c r="C115" s="2"/>
      <c r="D115" s="2"/>
      <c r="E115" s="2"/>
      <c r="F115" s="383">
        <f t="shared" si="39"/>
        <v>104</v>
      </c>
      <c r="G115" s="384">
        <f t="shared" si="26"/>
        <v>46162</v>
      </c>
      <c r="H115" s="340">
        <f t="shared" si="47"/>
        <v>0</v>
      </c>
      <c r="I115" s="340">
        <f t="shared" si="28"/>
        <v>0</v>
      </c>
      <c r="J115" s="340">
        <f t="shared" si="36"/>
        <v>0</v>
      </c>
      <c r="K115" s="340">
        <f t="shared" si="37"/>
        <v>0</v>
      </c>
      <c r="L115" s="382">
        <f t="shared" si="40"/>
        <v>46023</v>
      </c>
      <c r="M115" s="382">
        <f t="shared" si="41"/>
        <v>46388</v>
      </c>
      <c r="N115" s="382">
        <f t="shared" si="42"/>
        <v>45658</v>
      </c>
      <c r="O115" s="340">
        <f t="shared" si="29"/>
        <v>0</v>
      </c>
      <c r="P115" s="340">
        <f t="shared" ref="P115:P146" si="48">IF(R115&gt;$C$21,$C$21-I115,IF(X115=0,0,S115))</f>
        <v>0</v>
      </c>
      <c r="Q115" s="340">
        <f t="shared" si="43"/>
        <v>0</v>
      </c>
      <c r="R115" s="340">
        <f t="shared" si="30"/>
        <v>0</v>
      </c>
      <c r="S115" s="340">
        <f t="shared" si="45"/>
        <v>0</v>
      </c>
      <c r="T115" s="340">
        <f t="shared" si="31"/>
        <v>0</v>
      </c>
      <c r="U115" s="340">
        <f t="shared" si="38"/>
        <v>0</v>
      </c>
      <c r="V115" s="340">
        <f t="shared" si="32"/>
        <v>0</v>
      </c>
      <c r="W115" s="198">
        <f t="shared" si="44"/>
        <v>0</v>
      </c>
      <c r="X115" s="36">
        <f t="shared" si="33"/>
        <v>0</v>
      </c>
      <c r="Y115" s="2"/>
      <c r="Z115" s="34">
        <f t="shared" si="34"/>
        <v>0</v>
      </c>
      <c r="AA115" s="57">
        <f t="shared" si="35"/>
        <v>80958</v>
      </c>
      <c r="AB115" s="96"/>
      <c r="AC115" s="96"/>
      <c r="AD115" s="96"/>
      <c r="AE115" s="96"/>
      <c r="AF115" s="96"/>
      <c r="AG115" s="96"/>
      <c r="AH115" s="96"/>
      <c r="AI115" s="96"/>
    </row>
    <row r="116" spans="1:35" s="16" customFormat="1" ht="12" x14ac:dyDescent="0.25">
      <c r="A116" s="2"/>
      <c r="B116" s="2"/>
      <c r="C116" s="2"/>
      <c r="D116" s="2"/>
      <c r="E116" s="2"/>
      <c r="F116" s="383">
        <f t="shared" si="39"/>
        <v>105</v>
      </c>
      <c r="G116" s="384">
        <f t="shared" si="26"/>
        <v>46193</v>
      </c>
      <c r="H116" s="340">
        <f t="shared" si="47"/>
        <v>0</v>
      </c>
      <c r="I116" s="340">
        <f t="shared" si="28"/>
        <v>0</v>
      </c>
      <c r="J116" s="340">
        <f t="shared" si="36"/>
        <v>0</v>
      </c>
      <c r="K116" s="340">
        <f t="shared" si="37"/>
        <v>0</v>
      </c>
      <c r="L116" s="382">
        <f t="shared" si="40"/>
        <v>46023</v>
      </c>
      <c r="M116" s="382">
        <f t="shared" si="41"/>
        <v>46388</v>
      </c>
      <c r="N116" s="382">
        <f t="shared" si="42"/>
        <v>45658</v>
      </c>
      <c r="O116" s="340">
        <f t="shared" si="29"/>
        <v>0</v>
      </c>
      <c r="P116" s="340">
        <f t="shared" si="48"/>
        <v>0</v>
      </c>
      <c r="Q116" s="340">
        <f t="shared" si="43"/>
        <v>0</v>
      </c>
      <c r="R116" s="340">
        <f t="shared" si="30"/>
        <v>0</v>
      </c>
      <c r="S116" s="340">
        <f t="shared" si="45"/>
        <v>0</v>
      </c>
      <c r="T116" s="340">
        <f t="shared" si="31"/>
        <v>0</v>
      </c>
      <c r="U116" s="340">
        <f t="shared" si="38"/>
        <v>0</v>
      </c>
      <c r="V116" s="340">
        <f t="shared" si="32"/>
        <v>0</v>
      </c>
      <c r="W116" s="198">
        <f t="shared" si="44"/>
        <v>0</v>
      </c>
      <c r="X116" s="36">
        <f t="shared" si="33"/>
        <v>0</v>
      </c>
      <c r="Y116" s="2"/>
      <c r="Z116" s="34">
        <f t="shared" si="34"/>
        <v>0</v>
      </c>
      <c r="AA116" s="57">
        <f t="shared" si="35"/>
        <v>81323</v>
      </c>
      <c r="AB116" s="96"/>
      <c r="AC116" s="96"/>
      <c r="AD116" s="96"/>
      <c r="AE116" s="96"/>
      <c r="AF116" s="96"/>
      <c r="AG116" s="96"/>
      <c r="AH116" s="96"/>
      <c r="AI116" s="96"/>
    </row>
    <row r="117" spans="1:35" s="16" customFormat="1" ht="12" x14ac:dyDescent="0.25">
      <c r="A117" s="2"/>
      <c r="B117" s="2"/>
      <c r="C117" s="2"/>
      <c r="D117" s="2"/>
      <c r="E117" s="2"/>
      <c r="F117" s="383">
        <f t="shared" si="39"/>
        <v>106</v>
      </c>
      <c r="G117" s="384">
        <f t="shared" si="26"/>
        <v>46223</v>
      </c>
      <c r="H117" s="340">
        <f t="shared" si="47"/>
        <v>0</v>
      </c>
      <c r="I117" s="340">
        <f t="shared" si="28"/>
        <v>0</v>
      </c>
      <c r="J117" s="340">
        <f t="shared" si="36"/>
        <v>0</v>
      </c>
      <c r="K117" s="340">
        <f t="shared" si="37"/>
        <v>0</v>
      </c>
      <c r="L117" s="382">
        <f t="shared" si="40"/>
        <v>46023</v>
      </c>
      <c r="M117" s="382">
        <f t="shared" si="41"/>
        <v>46388</v>
      </c>
      <c r="N117" s="382">
        <f t="shared" si="42"/>
        <v>45658</v>
      </c>
      <c r="O117" s="340">
        <f t="shared" si="29"/>
        <v>0</v>
      </c>
      <c r="P117" s="340">
        <f t="shared" si="48"/>
        <v>0</v>
      </c>
      <c r="Q117" s="340">
        <f t="shared" si="43"/>
        <v>0</v>
      </c>
      <c r="R117" s="340">
        <f t="shared" si="30"/>
        <v>0</v>
      </c>
      <c r="S117" s="340">
        <f t="shared" si="45"/>
        <v>0</v>
      </c>
      <c r="T117" s="340">
        <f t="shared" si="31"/>
        <v>0</v>
      </c>
      <c r="U117" s="340">
        <f t="shared" si="38"/>
        <v>0</v>
      </c>
      <c r="V117" s="340">
        <f t="shared" si="32"/>
        <v>0</v>
      </c>
      <c r="W117" s="198">
        <f t="shared" si="44"/>
        <v>0</v>
      </c>
      <c r="X117" s="36">
        <f t="shared" si="33"/>
        <v>0</v>
      </c>
      <c r="Y117" s="2"/>
      <c r="Z117" s="34">
        <f t="shared" si="34"/>
        <v>0</v>
      </c>
      <c r="AA117" s="57">
        <f t="shared" si="35"/>
        <v>81688</v>
      </c>
      <c r="AB117" s="96"/>
      <c r="AC117" s="96"/>
      <c r="AD117" s="96"/>
      <c r="AE117" s="96"/>
      <c r="AF117" s="96"/>
      <c r="AG117" s="96"/>
      <c r="AH117" s="96"/>
      <c r="AI117" s="96"/>
    </row>
    <row r="118" spans="1:35" s="16" customFormat="1" ht="12" x14ac:dyDescent="0.25">
      <c r="A118" s="2"/>
      <c r="B118" s="2"/>
      <c r="C118" s="2"/>
      <c r="D118" s="2"/>
      <c r="E118" s="2"/>
      <c r="F118" s="383">
        <f t="shared" si="39"/>
        <v>107</v>
      </c>
      <c r="G118" s="384">
        <f t="shared" si="26"/>
        <v>46254</v>
      </c>
      <c r="H118" s="340">
        <f t="shared" si="47"/>
        <v>0</v>
      </c>
      <c r="I118" s="340">
        <f t="shared" si="28"/>
        <v>0</v>
      </c>
      <c r="J118" s="340">
        <f t="shared" si="36"/>
        <v>0</v>
      </c>
      <c r="K118" s="340">
        <f t="shared" si="37"/>
        <v>0</v>
      </c>
      <c r="L118" s="382">
        <f t="shared" si="40"/>
        <v>46023</v>
      </c>
      <c r="M118" s="382">
        <f t="shared" si="41"/>
        <v>46388</v>
      </c>
      <c r="N118" s="382">
        <f t="shared" si="42"/>
        <v>45658</v>
      </c>
      <c r="O118" s="340">
        <f t="shared" si="29"/>
        <v>0</v>
      </c>
      <c r="P118" s="340">
        <f t="shared" si="48"/>
        <v>0</v>
      </c>
      <c r="Q118" s="340">
        <f t="shared" si="43"/>
        <v>0</v>
      </c>
      <c r="R118" s="340">
        <f t="shared" si="30"/>
        <v>0</v>
      </c>
      <c r="S118" s="340">
        <f t="shared" si="45"/>
        <v>0</v>
      </c>
      <c r="T118" s="340">
        <f t="shared" si="31"/>
        <v>0</v>
      </c>
      <c r="U118" s="340">
        <f t="shared" si="38"/>
        <v>0</v>
      </c>
      <c r="V118" s="340">
        <f t="shared" si="32"/>
        <v>0</v>
      </c>
      <c r="W118" s="198">
        <f t="shared" si="44"/>
        <v>0</v>
      </c>
      <c r="X118" s="36">
        <f t="shared" si="33"/>
        <v>0</v>
      </c>
      <c r="Y118" s="2"/>
      <c r="Z118" s="34">
        <f t="shared" si="34"/>
        <v>0</v>
      </c>
      <c r="AA118" s="57">
        <f t="shared" si="35"/>
        <v>82053</v>
      </c>
      <c r="AB118" s="96"/>
      <c r="AC118" s="96"/>
      <c r="AD118" s="96"/>
      <c r="AE118" s="96"/>
      <c r="AF118" s="96"/>
      <c r="AG118" s="96"/>
      <c r="AH118" s="96"/>
      <c r="AI118" s="96"/>
    </row>
    <row r="119" spans="1:35" s="16" customFormat="1" ht="12" x14ac:dyDescent="0.25">
      <c r="A119" s="2"/>
      <c r="B119" s="2"/>
      <c r="C119" s="13"/>
      <c r="D119" s="2"/>
      <c r="E119" s="2"/>
      <c r="F119" s="383">
        <f t="shared" si="39"/>
        <v>108</v>
      </c>
      <c r="G119" s="384">
        <f t="shared" si="26"/>
        <v>46285</v>
      </c>
      <c r="H119" s="340">
        <f t="shared" si="47"/>
        <v>0</v>
      </c>
      <c r="I119" s="340">
        <f t="shared" si="28"/>
        <v>0</v>
      </c>
      <c r="J119" s="340">
        <f t="shared" si="36"/>
        <v>0</v>
      </c>
      <c r="K119" s="340">
        <f t="shared" si="37"/>
        <v>0</v>
      </c>
      <c r="L119" s="382">
        <f t="shared" si="40"/>
        <v>46023</v>
      </c>
      <c r="M119" s="382">
        <f t="shared" si="41"/>
        <v>46388</v>
      </c>
      <c r="N119" s="382">
        <f t="shared" si="42"/>
        <v>45658</v>
      </c>
      <c r="O119" s="340">
        <f t="shared" si="29"/>
        <v>0</v>
      </c>
      <c r="P119" s="340">
        <f t="shared" si="48"/>
        <v>0</v>
      </c>
      <c r="Q119" s="340">
        <f t="shared" si="43"/>
        <v>0</v>
      </c>
      <c r="R119" s="340">
        <f t="shared" si="30"/>
        <v>0</v>
      </c>
      <c r="S119" s="340">
        <f t="shared" si="45"/>
        <v>0</v>
      </c>
      <c r="T119" s="340">
        <f t="shared" si="31"/>
        <v>0</v>
      </c>
      <c r="U119" s="340">
        <f t="shared" si="38"/>
        <v>0</v>
      </c>
      <c r="V119" s="340">
        <f t="shared" si="32"/>
        <v>0</v>
      </c>
      <c r="W119" s="198">
        <f t="shared" si="44"/>
        <v>0</v>
      </c>
      <c r="X119" s="36">
        <f t="shared" si="33"/>
        <v>0</v>
      </c>
      <c r="Y119" s="2"/>
      <c r="Z119" s="34">
        <f t="shared" si="34"/>
        <v>0</v>
      </c>
      <c r="AA119" s="57">
        <f t="shared" si="35"/>
        <v>82418</v>
      </c>
      <c r="AB119" s="96"/>
      <c r="AC119" s="96"/>
      <c r="AD119" s="96"/>
      <c r="AE119" s="96"/>
      <c r="AF119" s="96"/>
      <c r="AG119" s="96"/>
      <c r="AH119" s="96"/>
      <c r="AI119" s="96"/>
    </row>
    <row r="120" spans="1:35" s="16" customFormat="1" ht="12" x14ac:dyDescent="0.25">
      <c r="A120" s="2"/>
      <c r="B120" s="2"/>
      <c r="C120" s="2"/>
      <c r="D120" s="13"/>
      <c r="E120" s="2"/>
      <c r="F120" s="383">
        <f t="shared" si="39"/>
        <v>109</v>
      </c>
      <c r="G120" s="384">
        <f t="shared" si="26"/>
        <v>46315</v>
      </c>
      <c r="H120" s="340">
        <f t="shared" si="47"/>
        <v>0</v>
      </c>
      <c r="I120" s="340">
        <f t="shared" si="28"/>
        <v>0</v>
      </c>
      <c r="J120" s="340">
        <f t="shared" si="36"/>
        <v>0</v>
      </c>
      <c r="K120" s="340">
        <f t="shared" si="37"/>
        <v>0</v>
      </c>
      <c r="L120" s="382">
        <f t="shared" si="40"/>
        <v>46023</v>
      </c>
      <c r="M120" s="382">
        <f t="shared" si="41"/>
        <v>46388</v>
      </c>
      <c r="N120" s="382">
        <f t="shared" si="42"/>
        <v>45658</v>
      </c>
      <c r="O120" s="340">
        <f t="shared" si="29"/>
        <v>0</v>
      </c>
      <c r="P120" s="340">
        <f t="shared" si="48"/>
        <v>0</v>
      </c>
      <c r="Q120" s="340">
        <f t="shared" si="43"/>
        <v>0</v>
      </c>
      <c r="R120" s="340">
        <f t="shared" si="30"/>
        <v>0</v>
      </c>
      <c r="S120" s="340">
        <f t="shared" si="45"/>
        <v>0</v>
      </c>
      <c r="T120" s="340">
        <f t="shared" si="31"/>
        <v>0</v>
      </c>
      <c r="U120" s="340">
        <f t="shared" si="38"/>
        <v>0</v>
      </c>
      <c r="V120" s="340">
        <f t="shared" si="32"/>
        <v>0</v>
      </c>
      <c r="W120" s="198">
        <f t="shared" si="44"/>
        <v>0</v>
      </c>
      <c r="X120" s="36">
        <f t="shared" si="33"/>
        <v>0</v>
      </c>
      <c r="Y120" s="2"/>
      <c r="Z120" s="34">
        <f t="shared" si="34"/>
        <v>0</v>
      </c>
      <c r="AA120" s="57">
        <f t="shared" si="35"/>
        <v>82783</v>
      </c>
      <c r="AB120" s="96"/>
      <c r="AC120" s="96"/>
      <c r="AD120" s="96"/>
      <c r="AE120" s="96"/>
      <c r="AF120" s="96"/>
      <c r="AG120" s="96"/>
      <c r="AH120" s="96"/>
      <c r="AI120" s="96"/>
    </row>
    <row r="121" spans="1:35" s="16" customFormat="1" ht="12" x14ac:dyDescent="0.25">
      <c r="A121" s="2"/>
      <c r="B121" s="2"/>
      <c r="C121" s="2"/>
      <c r="D121" s="13"/>
      <c r="E121" s="2"/>
      <c r="F121" s="383">
        <f t="shared" si="39"/>
        <v>110</v>
      </c>
      <c r="G121" s="384">
        <f t="shared" si="26"/>
        <v>46346</v>
      </c>
      <c r="H121" s="340">
        <f t="shared" si="47"/>
        <v>0</v>
      </c>
      <c r="I121" s="340">
        <f t="shared" si="28"/>
        <v>0</v>
      </c>
      <c r="J121" s="340">
        <f t="shared" si="36"/>
        <v>0</v>
      </c>
      <c r="K121" s="340">
        <f t="shared" si="37"/>
        <v>0</v>
      </c>
      <c r="L121" s="382">
        <f t="shared" si="40"/>
        <v>46023</v>
      </c>
      <c r="M121" s="382">
        <f t="shared" si="41"/>
        <v>46388</v>
      </c>
      <c r="N121" s="382">
        <f t="shared" si="42"/>
        <v>45658</v>
      </c>
      <c r="O121" s="340">
        <f t="shared" si="29"/>
        <v>0</v>
      </c>
      <c r="P121" s="340">
        <f t="shared" si="48"/>
        <v>0</v>
      </c>
      <c r="Q121" s="340">
        <f t="shared" si="43"/>
        <v>0</v>
      </c>
      <c r="R121" s="340">
        <f t="shared" si="30"/>
        <v>0</v>
      </c>
      <c r="S121" s="340">
        <f t="shared" si="45"/>
        <v>0</v>
      </c>
      <c r="T121" s="340">
        <f t="shared" si="31"/>
        <v>0</v>
      </c>
      <c r="U121" s="340">
        <f t="shared" si="38"/>
        <v>0</v>
      </c>
      <c r="V121" s="340">
        <f t="shared" si="32"/>
        <v>0</v>
      </c>
      <c r="W121" s="198">
        <f t="shared" si="44"/>
        <v>0</v>
      </c>
      <c r="X121" s="36">
        <f t="shared" si="33"/>
        <v>0</v>
      </c>
      <c r="Y121" s="2"/>
      <c r="Z121" s="34">
        <f t="shared" si="34"/>
        <v>0</v>
      </c>
      <c r="AA121" s="57">
        <f t="shared" si="35"/>
        <v>83148</v>
      </c>
      <c r="AB121" s="96"/>
      <c r="AC121" s="96"/>
      <c r="AD121" s="96"/>
      <c r="AE121" s="96"/>
      <c r="AF121" s="96"/>
      <c r="AG121" s="96"/>
      <c r="AH121" s="96"/>
      <c r="AI121" s="96"/>
    </row>
    <row r="122" spans="1:35" s="16" customFormat="1" ht="12" x14ac:dyDescent="0.25">
      <c r="A122" s="2"/>
      <c r="B122" s="2"/>
      <c r="C122" s="2"/>
      <c r="D122" s="2"/>
      <c r="E122" s="2"/>
      <c r="F122" s="383">
        <f t="shared" si="39"/>
        <v>111</v>
      </c>
      <c r="G122" s="384">
        <f t="shared" si="26"/>
        <v>46376</v>
      </c>
      <c r="H122" s="340">
        <f t="shared" si="47"/>
        <v>0</v>
      </c>
      <c r="I122" s="340">
        <f t="shared" si="28"/>
        <v>0</v>
      </c>
      <c r="J122" s="340">
        <f t="shared" si="36"/>
        <v>0</v>
      </c>
      <c r="K122" s="340">
        <f t="shared" si="37"/>
        <v>0</v>
      </c>
      <c r="L122" s="382">
        <f t="shared" si="40"/>
        <v>46023</v>
      </c>
      <c r="M122" s="382">
        <f t="shared" si="41"/>
        <v>46388</v>
      </c>
      <c r="N122" s="382">
        <f t="shared" si="42"/>
        <v>45658</v>
      </c>
      <c r="O122" s="340">
        <f t="shared" si="29"/>
        <v>0</v>
      </c>
      <c r="P122" s="340">
        <f t="shared" si="48"/>
        <v>0</v>
      </c>
      <c r="Q122" s="340">
        <f t="shared" si="43"/>
        <v>0</v>
      </c>
      <c r="R122" s="340">
        <f t="shared" si="30"/>
        <v>0</v>
      </c>
      <c r="S122" s="340">
        <f t="shared" si="45"/>
        <v>0</v>
      </c>
      <c r="T122" s="340">
        <f t="shared" si="31"/>
        <v>0</v>
      </c>
      <c r="U122" s="340">
        <f t="shared" si="38"/>
        <v>0</v>
      </c>
      <c r="V122" s="340">
        <f t="shared" si="32"/>
        <v>0</v>
      </c>
      <c r="W122" s="198">
        <f t="shared" si="44"/>
        <v>0</v>
      </c>
      <c r="X122" s="36">
        <f t="shared" si="33"/>
        <v>0</v>
      </c>
      <c r="Y122" s="2"/>
      <c r="Z122" s="34">
        <f t="shared" si="34"/>
        <v>0</v>
      </c>
      <c r="AA122" s="57">
        <f t="shared" si="35"/>
        <v>83513</v>
      </c>
      <c r="AB122" s="96"/>
      <c r="AC122" s="96"/>
      <c r="AD122" s="96"/>
      <c r="AE122" s="96"/>
      <c r="AF122" s="96"/>
      <c r="AG122" s="96"/>
      <c r="AH122" s="96"/>
      <c r="AI122" s="96"/>
    </row>
    <row r="123" spans="1:35" s="16" customFormat="1" ht="12" x14ac:dyDescent="0.25">
      <c r="A123" s="2"/>
      <c r="B123" s="2"/>
      <c r="C123" s="2"/>
      <c r="D123" s="2"/>
      <c r="E123" s="2"/>
      <c r="F123" s="383">
        <f t="shared" si="39"/>
        <v>112</v>
      </c>
      <c r="G123" s="384">
        <f t="shared" si="26"/>
        <v>46407</v>
      </c>
      <c r="H123" s="340">
        <f t="shared" si="47"/>
        <v>0</v>
      </c>
      <c r="I123" s="340">
        <f t="shared" si="28"/>
        <v>0</v>
      </c>
      <c r="J123" s="340">
        <f t="shared" si="36"/>
        <v>0</v>
      </c>
      <c r="K123" s="340">
        <f t="shared" si="37"/>
        <v>0</v>
      </c>
      <c r="L123" s="382">
        <f t="shared" si="40"/>
        <v>46388</v>
      </c>
      <c r="M123" s="382">
        <f t="shared" si="41"/>
        <v>46753</v>
      </c>
      <c r="N123" s="382">
        <f t="shared" si="42"/>
        <v>46023</v>
      </c>
      <c r="O123" s="340">
        <f t="shared" si="29"/>
        <v>0</v>
      </c>
      <c r="P123" s="340">
        <f t="shared" si="48"/>
        <v>0</v>
      </c>
      <c r="Q123" s="340">
        <f t="shared" si="43"/>
        <v>0</v>
      </c>
      <c r="R123" s="340">
        <f t="shared" si="30"/>
        <v>0</v>
      </c>
      <c r="S123" s="340">
        <f t="shared" si="45"/>
        <v>0</v>
      </c>
      <c r="T123" s="340">
        <f t="shared" si="31"/>
        <v>0</v>
      </c>
      <c r="U123" s="340">
        <f t="shared" si="38"/>
        <v>0</v>
      </c>
      <c r="V123" s="340">
        <f t="shared" si="32"/>
        <v>0</v>
      </c>
      <c r="W123" s="198">
        <f t="shared" si="44"/>
        <v>0</v>
      </c>
      <c r="X123" s="36">
        <f t="shared" si="33"/>
        <v>0</v>
      </c>
      <c r="Y123" s="2"/>
      <c r="Z123" s="34">
        <f t="shared" si="34"/>
        <v>0</v>
      </c>
      <c r="AA123" s="57">
        <f t="shared" si="35"/>
        <v>83878</v>
      </c>
      <c r="AB123" s="96"/>
      <c r="AC123" s="96"/>
      <c r="AD123" s="96"/>
      <c r="AE123" s="96"/>
      <c r="AF123" s="96"/>
      <c r="AG123" s="96"/>
      <c r="AH123" s="96"/>
      <c r="AI123" s="96"/>
    </row>
    <row r="124" spans="1:35" s="16" customFormat="1" ht="12" x14ac:dyDescent="0.25">
      <c r="A124" s="2"/>
      <c r="B124" s="2"/>
      <c r="C124" s="2"/>
      <c r="D124" s="2"/>
      <c r="E124" s="2"/>
      <c r="F124" s="383">
        <f t="shared" si="39"/>
        <v>113</v>
      </c>
      <c r="G124" s="384">
        <f t="shared" si="26"/>
        <v>46438</v>
      </c>
      <c r="H124" s="340">
        <f t="shared" si="47"/>
        <v>0</v>
      </c>
      <c r="I124" s="340">
        <f t="shared" si="28"/>
        <v>0</v>
      </c>
      <c r="J124" s="340">
        <f t="shared" si="36"/>
        <v>0</v>
      </c>
      <c r="K124" s="340">
        <f t="shared" si="37"/>
        <v>0</v>
      </c>
      <c r="L124" s="382">
        <f t="shared" si="40"/>
        <v>46388</v>
      </c>
      <c r="M124" s="382">
        <f t="shared" si="41"/>
        <v>46753</v>
      </c>
      <c r="N124" s="382">
        <f t="shared" si="42"/>
        <v>46023</v>
      </c>
      <c r="O124" s="340">
        <f t="shared" si="29"/>
        <v>0</v>
      </c>
      <c r="P124" s="340">
        <f t="shared" si="48"/>
        <v>0</v>
      </c>
      <c r="Q124" s="340">
        <f t="shared" si="43"/>
        <v>0</v>
      </c>
      <c r="R124" s="340">
        <f t="shared" si="30"/>
        <v>0</v>
      </c>
      <c r="S124" s="340">
        <f t="shared" si="45"/>
        <v>0</v>
      </c>
      <c r="T124" s="340">
        <f t="shared" si="31"/>
        <v>0</v>
      </c>
      <c r="U124" s="340">
        <f t="shared" si="38"/>
        <v>0</v>
      </c>
      <c r="V124" s="340">
        <f t="shared" si="32"/>
        <v>0</v>
      </c>
      <c r="W124" s="198">
        <f t="shared" si="44"/>
        <v>0</v>
      </c>
      <c r="X124" s="36">
        <f t="shared" si="33"/>
        <v>0</v>
      </c>
      <c r="Y124" s="2"/>
      <c r="Z124" s="34">
        <f t="shared" si="34"/>
        <v>0</v>
      </c>
      <c r="AA124" s="57">
        <f t="shared" si="35"/>
        <v>84243</v>
      </c>
      <c r="AB124" s="96"/>
      <c r="AC124" s="96"/>
      <c r="AD124" s="96"/>
      <c r="AE124" s="96"/>
      <c r="AF124" s="96"/>
      <c r="AG124" s="96"/>
      <c r="AH124" s="96"/>
      <c r="AI124" s="96"/>
    </row>
    <row r="125" spans="1:35" s="16" customFormat="1" ht="12" x14ac:dyDescent="0.25">
      <c r="A125" s="2"/>
      <c r="B125" s="2"/>
      <c r="C125" s="2"/>
      <c r="D125" s="2"/>
      <c r="E125" s="2"/>
      <c r="F125" s="383">
        <f t="shared" si="39"/>
        <v>114</v>
      </c>
      <c r="G125" s="384">
        <f t="shared" si="26"/>
        <v>46466</v>
      </c>
      <c r="H125" s="340">
        <f t="shared" si="47"/>
        <v>0</v>
      </c>
      <c r="I125" s="340">
        <f t="shared" si="28"/>
        <v>0</v>
      </c>
      <c r="J125" s="340">
        <f t="shared" si="36"/>
        <v>0</v>
      </c>
      <c r="K125" s="340">
        <f t="shared" si="37"/>
        <v>0</v>
      </c>
      <c r="L125" s="382">
        <f t="shared" si="40"/>
        <v>46388</v>
      </c>
      <c r="M125" s="382">
        <f t="shared" si="41"/>
        <v>46753</v>
      </c>
      <c r="N125" s="382">
        <f t="shared" si="42"/>
        <v>46023</v>
      </c>
      <c r="O125" s="340">
        <f t="shared" si="29"/>
        <v>0</v>
      </c>
      <c r="P125" s="340">
        <f t="shared" si="48"/>
        <v>0</v>
      </c>
      <c r="Q125" s="340">
        <f t="shared" si="43"/>
        <v>0</v>
      </c>
      <c r="R125" s="340">
        <f t="shared" si="30"/>
        <v>0</v>
      </c>
      <c r="S125" s="340">
        <f t="shared" si="45"/>
        <v>0</v>
      </c>
      <c r="T125" s="340">
        <f t="shared" si="31"/>
        <v>0</v>
      </c>
      <c r="U125" s="340">
        <f t="shared" si="38"/>
        <v>0</v>
      </c>
      <c r="V125" s="340">
        <f t="shared" si="32"/>
        <v>0</v>
      </c>
      <c r="W125" s="198">
        <f t="shared" si="44"/>
        <v>0</v>
      </c>
      <c r="X125" s="36">
        <f t="shared" si="33"/>
        <v>0</v>
      </c>
      <c r="Y125" s="2"/>
      <c r="Z125" s="34">
        <f t="shared" si="34"/>
        <v>0</v>
      </c>
      <c r="AA125" s="57">
        <f t="shared" si="35"/>
        <v>84608</v>
      </c>
      <c r="AB125" s="96"/>
      <c r="AC125" s="96"/>
      <c r="AD125" s="96"/>
      <c r="AE125" s="96"/>
      <c r="AF125" s="96"/>
      <c r="AG125" s="96"/>
      <c r="AH125" s="96"/>
      <c r="AI125" s="96"/>
    </row>
    <row r="126" spans="1:35" s="16" customFormat="1" ht="12" x14ac:dyDescent="0.25">
      <c r="A126" s="2"/>
      <c r="B126" s="2"/>
      <c r="C126" s="2"/>
      <c r="D126" s="2"/>
      <c r="E126" s="2"/>
      <c r="F126" s="383">
        <f t="shared" si="39"/>
        <v>115</v>
      </c>
      <c r="G126" s="384">
        <f t="shared" si="26"/>
        <v>46497</v>
      </c>
      <c r="H126" s="340">
        <f t="shared" si="47"/>
        <v>0</v>
      </c>
      <c r="I126" s="340">
        <f t="shared" si="28"/>
        <v>0</v>
      </c>
      <c r="J126" s="340">
        <f t="shared" si="36"/>
        <v>0</v>
      </c>
      <c r="K126" s="340">
        <f t="shared" si="37"/>
        <v>0</v>
      </c>
      <c r="L126" s="382">
        <f t="shared" si="40"/>
        <v>46388</v>
      </c>
      <c r="M126" s="382">
        <f t="shared" si="41"/>
        <v>46753</v>
      </c>
      <c r="N126" s="382">
        <f t="shared" si="42"/>
        <v>46023</v>
      </c>
      <c r="O126" s="340">
        <f t="shared" si="29"/>
        <v>0</v>
      </c>
      <c r="P126" s="340">
        <f t="shared" si="48"/>
        <v>0</v>
      </c>
      <c r="Q126" s="340">
        <f t="shared" si="43"/>
        <v>0</v>
      </c>
      <c r="R126" s="340">
        <f t="shared" si="30"/>
        <v>0</v>
      </c>
      <c r="S126" s="340">
        <f t="shared" si="45"/>
        <v>0</v>
      </c>
      <c r="T126" s="340">
        <f t="shared" si="31"/>
        <v>0</v>
      </c>
      <c r="U126" s="340">
        <f t="shared" si="38"/>
        <v>0</v>
      </c>
      <c r="V126" s="340">
        <f t="shared" si="32"/>
        <v>0</v>
      </c>
      <c r="W126" s="198">
        <f t="shared" si="44"/>
        <v>0</v>
      </c>
      <c r="X126" s="36">
        <f t="shared" si="33"/>
        <v>0</v>
      </c>
      <c r="Y126" s="2"/>
      <c r="Z126" s="34">
        <f t="shared" si="34"/>
        <v>0</v>
      </c>
      <c r="AA126" s="57">
        <f t="shared" si="35"/>
        <v>84973</v>
      </c>
      <c r="AB126" s="96"/>
      <c r="AC126" s="96"/>
      <c r="AD126" s="96"/>
      <c r="AE126" s="96"/>
      <c r="AF126" s="96"/>
      <c r="AG126" s="96"/>
      <c r="AH126" s="96"/>
      <c r="AI126" s="96"/>
    </row>
    <row r="127" spans="1:35" s="16" customFormat="1" ht="12" x14ac:dyDescent="0.25">
      <c r="A127" s="2"/>
      <c r="B127" s="2"/>
      <c r="C127" s="2"/>
      <c r="D127" s="2"/>
      <c r="E127" s="2"/>
      <c r="F127" s="383">
        <f t="shared" si="39"/>
        <v>116</v>
      </c>
      <c r="G127" s="384">
        <f t="shared" si="26"/>
        <v>46527</v>
      </c>
      <c r="H127" s="340">
        <f t="shared" si="47"/>
        <v>0</v>
      </c>
      <c r="I127" s="340">
        <f t="shared" si="28"/>
        <v>0</v>
      </c>
      <c r="J127" s="340">
        <f t="shared" si="36"/>
        <v>0</v>
      </c>
      <c r="K127" s="340">
        <f t="shared" si="37"/>
        <v>0</v>
      </c>
      <c r="L127" s="382">
        <f t="shared" si="40"/>
        <v>46388</v>
      </c>
      <c r="M127" s="382">
        <f t="shared" si="41"/>
        <v>46753</v>
      </c>
      <c r="N127" s="382">
        <f t="shared" si="42"/>
        <v>46023</v>
      </c>
      <c r="O127" s="340">
        <f t="shared" si="29"/>
        <v>0</v>
      </c>
      <c r="P127" s="340">
        <f t="shared" si="48"/>
        <v>0</v>
      </c>
      <c r="Q127" s="340">
        <f t="shared" si="43"/>
        <v>0</v>
      </c>
      <c r="R127" s="340">
        <f t="shared" si="30"/>
        <v>0</v>
      </c>
      <c r="S127" s="340">
        <f t="shared" si="45"/>
        <v>0</v>
      </c>
      <c r="T127" s="340">
        <f t="shared" si="31"/>
        <v>0</v>
      </c>
      <c r="U127" s="340">
        <f t="shared" si="38"/>
        <v>0</v>
      </c>
      <c r="V127" s="340">
        <f t="shared" si="32"/>
        <v>0</v>
      </c>
      <c r="W127" s="198">
        <f t="shared" si="44"/>
        <v>0</v>
      </c>
      <c r="X127" s="36">
        <f t="shared" si="33"/>
        <v>0</v>
      </c>
      <c r="Y127" s="2"/>
      <c r="Z127" s="34">
        <f t="shared" si="34"/>
        <v>0</v>
      </c>
      <c r="AA127" s="57">
        <f t="shared" si="35"/>
        <v>85338</v>
      </c>
      <c r="AB127" s="96"/>
      <c r="AC127" s="96"/>
      <c r="AD127" s="96"/>
      <c r="AE127" s="96"/>
      <c r="AF127" s="96"/>
      <c r="AG127" s="96"/>
      <c r="AH127" s="96"/>
      <c r="AI127" s="96"/>
    </row>
    <row r="128" spans="1:35" s="16" customFormat="1" ht="12" x14ac:dyDescent="0.25">
      <c r="A128" s="2"/>
      <c r="B128" s="2"/>
      <c r="C128" s="2"/>
      <c r="D128" s="2"/>
      <c r="E128" s="2"/>
      <c r="F128" s="383">
        <f t="shared" si="39"/>
        <v>117</v>
      </c>
      <c r="G128" s="384">
        <f t="shared" si="26"/>
        <v>46558</v>
      </c>
      <c r="H128" s="340">
        <f t="shared" si="47"/>
        <v>0</v>
      </c>
      <c r="I128" s="340">
        <f t="shared" si="28"/>
        <v>0</v>
      </c>
      <c r="J128" s="340">
        <f t="shared" si="36"/>
        <v>0</v>
      </c>
      <c r="K128" s="340">
        <f t="shared" si="37"/>
        <v>0</v>
      </c>
      <c r="L128" s="382">
        <f t="shared" si="40"/>
        <v>46388</v>
      </c>
      <c r="M128" s="382">
        <f t="shared" si="41"/>
        <v>46753</v>
      </c>
      <c r="N128" s="382">
        <f t="shared" si="42"/>
        <v>46023</v>
      </c>
      <c r="O128" s="340">
        <f t="shared" si="29"/>
        <v>0</v>
      </c>
      <c r="P128" s="340">
        <f t="shared" si="48"/>
        <v>0</v>
      </c>
      <c r="Q128" s="340">
        <f t="shared" si="43"/>
        <v>0</v>
      </c>
      <c r="R128" s="340">
        <f t="shared" si="30"/>
        <v>0</v>
      </c>
      <c r="S128" s="340">
        <f t="shared" si="45"/>
        <v>0</v>
      </c>
      <c r="T128" s="340">
        <f t="shared" si="31"/>
        <v>0</v>
      </c>
      <c r="U128" s="340">
        <f t="shared" si="38"/>
        <v>0</v>
      </c>
      <c r="V128" s="340">
        <f t="shared" si="32"/>
        <v>0</v>
      </c>
      <c r="W128" s="198">
        <f t="shared" si="44"/>
        <v>0</v>
      </c>
      <c r="X128" s="36">
        <f t="shared" si="33"/>
        <v>0</v>
      </c>
      <c r="Y128" s="2"/>
      <c r="Z128" s="34">
        <f t="shared" si="34"/>
        <v>0</v>
      </c>
      <c r="AA128" s="57">
        <f t="shared" si="35"/>
        <v>85703</v>
      </c>
      <c r="AB128" s="96"/>
      <c r="AC128" s="96"/>
      <c r="AD128" s="96"/>
      <c r="AE128" s="96"/>
      <c r="AF128" s="96"/>
      <c r="AG128" s="96"/>
      <c r="AH128" s="96"/>
      <c r="AI128" s="96"/>
    </row>
    <row r="129" spans="1:35" s="16" customFormat="1" ht="12" x14ac:dyDescent="0.25">
      <c r="A129" s="2"/>
      <c r="B129" s="2"/>
      <c r="C129" s="2"/>
      <c r="D129" s="2"/>
      <c r="E129" s="2"/>
      <c r="F129" s="383">
        <f t="shared" si="39"/>
        <v>118</v>
      </c>
      <c r="G129" s="384">
        <f t="shared" si="26"/>
        <v>46588</v>
      </c>
      <c r="H129" s="340">
        <f t="shared" si="47"/>
        <v>0</v>
      </c>
      <c r="I129" s="340">
        <f t="shared" si="28"/>
        <v>0</v>
      </c>
      <c r="J129" s="340">
        <f t="shared" si="36"/>
        <v>0</v>
      </c>
      <c r="K129" s="340">
        <f t="shared" si="37"/>
        <v>0</v>
      </c>
      <c r="L129" s="382">
        <f t="shared" si="40"/>
        <v>46388</v>
      </c>
      <c r="M129" s="382">
        <f t="shared" si="41"/>
        <v>46753</v>
      </c>
      <c r="N129" s="382">
        <f t="shared" si="42"/>
        <v>46023</v>
      </c>
      <c r="O129" s="340">
        <f t="shared" si="29"/>
        <v>0</v>
      </c>
      <c r="P129" s="340">
        <f t="shared" si="48"/>
        <v>0</v>
      </c>
      <c r="Q129" s="340">
        <f t="shared" si="43"/>
        <v>0</v>
      </c>
      <c r="R129" s="340">
        <f t="shared" si="30"/>
        <v>0</v>
      </c>
      <c r="S129" s="340">
        <f t="shared" si="45"/>
        <v>0</v>
      </c>
      <c r="T129" s="340">
        <f t="shared" si="31"/>
        <v>0</v>
      </c>
      <c r="U129" s="340">
        <f t="shared" si="38"/>
        <v>0</v>
      </c>
      <c r="V129" s="340">
        <f t="shared" si="32"/>
        <v>0</v>
      </c>
      <c r="W129" s="198">
        <f t="shared" si="44"/>
        <v>0</v>
      </c>
      <c r="X129" s="36">
        <f t="shared" si="33"/>
        <v>0</v>
      </c>
      <c r="Y129" s="2"/>
      <c r="Z129" s="34">
        <f t="shared" si="34"/>
        <v>0</v>
      </c>
      <c r="AA129" s="57">
        <f t="shared" si="35"/>
        <v>86068</v>
      </c>
      <c r="AB129" s="96"/>
      <c r="AC129" s="96"/>
      <c r="AD129" s="96"/>
      <c r="AE129" s="96"/>
      <c r="AF129" s="96"/>
      <c r="AG129" s="96"/>
      <c r="AH129" s="96"/>
      <c r="AI129" s="96"/>
    </row>
    <row r="130" spans="1:35" s="16" customFormat="1" ht="12" x14ac:dyDescent="0.25">
      <c r="A130" s="2"/>
      <c r="B130" s="2"/>
      <c r="C130" s="2"/>
      <c r="D130" s="2"/>
      <c r="E130" s="2"/>
      <c r="F130" s="383">
        <f t="shared" si="39"/>
        <v>119</v>
      </c>
      <c r="G130" s="384">
        <f t="shared" si="26"/>
        <v>46619</v>
      </c>
      <c r="H130" s="340">
        <f t="shared" si="47"/>
        <v>0</v>
      </c>
      <c r="I130" s="340">
        <f t="shared" si="28"/>
        <v>0</v>
      </c>
      <c r="J130" s="340">
        <f t="shared" si="36"/>
        <v>0</v>
      </c>
      <c r="K130" s="340">
        <f t="shared" si="37"/>
        <v>0</v>
      </c>
      <c r="L130" s="382">
        <f t="shared" si="40"/>
        <v>46388</v>
      </c>
      <c r="M130" s="382">
        <f t="shared" si="41"/>
        <v>46753</v>
      </c>
      <c r="N130" s="382">
        <f t="shared" si="42"/>
        <v>46023</v>
      </c>
      <c r="O130" s="340">
        <f t="shared" si="29"/>
        <v>0</v>
      </c>
      <c r="P130" s="340">
        <f t="shared" si="48"/>
        <v>0</v>
      </c>
      <c r="Q130" s="340">
        <f t="shared" si="43"/>
        <v>0</v>
      </c>
      <c r="R130" s="340">
        <f t="shared" si="30"/>
        <v>0</v>
      </c>
      <c r="S130" s="340">
        <f t="shared" si="45"/>
        <v>0</v>
      </c>
      <c r="T130" s="340">
        <f t="shared" si="31"/>
        <v>0</v>
      </c>
      <c r="U130" s="340">
        <f t="shared" si="38"/>
        <v>0</v>
      </c>
      <c r="V130" s="340">
        <f t="shared" si="32"/>
        <v>0</v>
      </c>
      <c r="W130" s="198">
        <f t="shared" si="44"/>
        <v>0</v>
      </c>
      <c r="X130" s="36">
        <f t="shared" si="33"/>
        <v>0</v>
      </c>
      <c r="Y130" s="2"/>
      <c r="Z130" s="34">
        <f t="shared" si="34"/>
        <v>0</v>
      </c>
      <c r="AA130" s="57">
        <f t="shared" si="35"/>
        <v>86433</v>
      </c>
      <c r="AB130" s="96"/>
      <c r="AC130" s="96"/>
      <c r="AD130" s="96"/>
      <c r="AE130" s="96"/>
      <c r="AF130" s="96"/>
      <c r="AG130" s="96"/>
      <c r="AH130" s="96"/>
      <c r="AI130" s="96"/>
    </row>
    <row r="131" spans="1:35" s="16" customFormat="1" ht="12" x14ac:dyDescent="0.25">
      <c r="A131" s="53"/>
      <c r="C131" s="2"/>
      <c r="D131" s="2"/>
      <c r="E131" s="2"/>
      <c r="F131" s="383">
        <f t="shared" si="39"/>
        <v>120</v>
      </c>
      <c r="G131" s="384">
        <f t="shared" si="26"/>
        <v>46650</v>
      </c>
      <c r="H131" s="340">
        <f t="shared" si="47"/>
        <v>0</v>
      </c>
      <c r="I131" s="340">
        <f t="shared" si="28"/>
        <v>0</v>
      </c>
      <c r="J131" s="340">
        <f t="shared" si="36"/>
        <v>0</v>
      </c>
      <c r="K131" s="340">
        <f t="shared" si="37"/>
        <v>0</v>
      </c>
      <c r="L131" s="382">
        <f t="shared" si="40"/>
        <v>46388</v>
      </c>
      <c r="M131" s="382">
        <f t="shared" si="41"/>
        <v>46753</v>
      </c>
      <c r="N131" s="382">
        <f t="shared" si="42"/>
        <v>46023</v>
      </c>
      <c r="O131" s="340">
        <f t="shared" si="29"/>
        <v>0</v>
      </c>
      <c r="P131" s="340">
        <f t="shared" si="48"/>
        <v>0</v>
      </c>
      <c r="Q131" s="340">
        <f t="shared" si="43"/>
        <v>0</v>
      </c>
      <c r="R131" s="340">
        <f t="shared" si="30"/>
        <v>0</v>
      </c>
      <c r="S131" s="340">
        <f t="shared" si="45"/>
        <v>0</v>
      </c>
      <c r="T131" s="340">
        <f t="shared" si="31"/>
        <v>0</v>
      </c>
      <c r="U131" s="340">
        <f t="shared" si="38"/>
        <v>0</v>
      </c>
      <c r="V131" s="340">
        <f t="shared" si="32"/>
        <v>0</v>
      </c>
      <c r="W131" s="198">
        <f t="shared" si="44"/>
        <v>0</v>
      </c>
      <c r="X131" s="36">
        <f t="shared" si="33"/>
        <v>0</v>
      </c>
      <c r="Y131" s="2"/>
      <c r="Z131" s="34">
        <f t="shared" si="34"/>
        <v>0</v>
      </c>
      <c r="AA131" s="57">
        <f t="shared" si="35"/>
        <v>86798</v>
      </c>
      <c r="AB131" s="96"/>
      <c r="AC131" s="96"/>
      <c r="AD131" s="96"/>
      <c r="AE131" s="96"/>
      <c r="AF131" s="96"/>
      <c r="AG131" s="96"/>
      <c r="AH131" s="96"/>
      <c r="AI131" s="96"/>
    </row>
    <row r="132" spans="1:35" s="16" customFormat="1" ht="12" x14ac:dyDescent="0.25">
      <c r="A132" s="53"/>
      <c r="B132" s="2"/>
      <c r="C132" s="2"/>
      <c r="D132" s="13"/>
      <c r="E132" s="2"/>
      <c r="F132" s="383">
        <f t="shared" si="39"/>
        <v>121</v>
      </c>
      <c r="G132" s="384">
        <f t="shared" si="26"/>
        <v>46680</v>
      </c>
      <c r="H132" s="340">
        <f t="shared" si="47"/>
        <v>0</v>
      </c>
      <c r="I132" s="340">
        <f t="shared" si="28"/>
        <v>0</v>
      </c>
      <c r="J132" s="340">
        <f t="shared" si="36"/>
        <v>0</v>
      </c>
      <c r="K132" s="340">
        <f t="shared" si="37"/>
        <v>0</v>
      </c>
      <c r="L132" s="382">
        <f t="shared" si="40"/>
        <v>46388</v>
      </c>
      <c r="M132" s="382">
        <f t="shared" si="41"/>
        <v>46753</v>
      </c>
      <c r="N132" s="382">
        <f t="shared" si="42"/>
        <v>46023</v>
      </c>
      <c r="O132" s="340">
        <f t="shared" si="29"/>
        <v>0</v>
      </c>
      <c r="P132" s="340">
        <f t="shared" si="48"/>
        <v>0</v>
      </c>
      <c r="Q132" s="340">
        <f t="shared" si="43"/>
        <v>0</v>
      </c>
      <c r="R132" s="340">
        <f t="shared" si="30"/>
        <v>0</v>
      </c>
      <c r="S132" s="340">
        <f t="shared" si="45"/>
        <v>0</v>
      </c>
      <c r="T132" s="340">
        <f t="shared" si="31"/>
        <v>0</v>
      </c>
      <c r="U132" s="340">
        <f t="shared" si="38"/>
        <v>0</v>
      </c>
      <c r="V132" s="340">
        <f t="shared" si="32"/>
        <v>0</v>
      </c>
      <c r="W132" s="198">
        <f t="shared" si="44"/>
        <v>0</v>
      </c>
      <c r="X132" s="36">
        <f t="shared" si="33"/>
        <v>0</v>
      </c>
      <c r="Y132" s="2"/>
      <c r="Z132" s="34">
        <f t="shared" si="34"/>
        <v>0</v>
      </c>
      <c r="AA132" s="57">
        <f t="shared" si="35"/>
        <v>87163</v>
      </c>
      <c r="AB132" s="96"/>
      <c r="AC132" s="96"/>
      <c r="AD132" s="96"/>
      <c r="AE132" s="96"/>
      <c r="AF132" s="96"/>
      <c r="AG132" s="96"/>
      <c r="AH132" s="96"/>
      <c r="AI132" s="96"/>
    </row>
    <row r="133" spans="1:35" s="16" customFormat="1" ht="12" x14ac:dyDescent="0.25">
      <c r="A133" s="2"/>
      <c r="B133" s="2"/>
      <c r="C133" s="1"/>
      <c r="D133" s="2"/>
      <c r="E133" s="2"/>
      <c r="F133" s="383">
        <f t="shared" si="39"/>
        <v>122</v>
      </c>
      <c r="G133" s="384">
        <f t="shared" si="26"/>
        <v>46711</v>
      </c>
      <c r="H133" s="340">
        <f t="shared" si="47"/>
        <v>0</v>
      </c>
      <c r="I133" s="340">
        <f t="shared" si="28"/>
        <v>0</v>
      </c>
      <c r="J133" s="340">
        <f t="shared" si="36"/>
        <v>0</v>
      </c>
      <c r="K133" s="340">
        <f t="shared" si="37"/>
        <v>0</v>
      </c>
      <c r="L133" s="382">
        <f t="shared" si="40"/>
        <v>46388</v>
      </c>
      <c r="M133" s="382">
        <f t="shared" si="41"/>
        <v>46753</v>
      </c>
      <c r="N133" s="382">
        <f t="shared" si="42"/>
        <v>46023</v>
      </c>
      <c r="O133" s="340">
        <f t="shared" si="29"/>
        <v>0</v>
      </c>
      <c r="P133" s="340">
        <f t="shared" si="48"/>
        <v>0</v>
      </c>
      <c r="Q133" s="340">
        <f t="shared" si="43"/>
        <v>0</v>
      </c>
      <c r="R133" s="340">
        <f t="shared" si="30"/>
        <v>0</v>
      </c>
      <c r="S133" s="340">
        <f t="shared" si="45"/>
        <v>0</v>
      </c>
      <c r="T133" s="340">
        <f t="shared" si="31"/>
        <v>0</v>
      </c>
      <c r="U133" s="340">
        <f t="shared" si="38"/>
        <v>0</v>
      </c>
      <c r="V133" s="340">
        <f t="shared" si="32"/>
        <v>0</v>
      </c>
      <c r="W133" s="198">
        <f t="shared" si="44"/>
        <v>0</v>
      </c>
      <c r="X133" s="36">
        <f t="shared" si="33"/>
        <v>0</v>
      </c>
      <c r="Y133" s="2"/>
      <c r="Z133" s="34">
        <f t="shared" si="34"/>
        <v>0</v>
      </c>
      <c r="AA133" s="57">
        <f t="shared" si="35"/>
        <v>87528</v>
      </c>
      <c r="AB133" s="96"/>
      <c r="AC133" s="96"/>
      <c r="AD133" s="96"/>
      <c r="AE133" s="96"/>
      <c r="AF133" s="96"/>
      <c r="AG133" s="96"/>
      <c r="AH133" s="96"/>
      <c r="AI133" s="96"/>
    </row>
    <row r="134" spans="1:35" s="16" customFormat="1" ht="12" x14ac:dyDescent="0.25">
      <c r="A134" s="2"/>
      <c r="B134" s="2"/>
      <c r="C134" s="98"/>
      <c r="D134" s="1"/>
      <c r="E134" s="2"/>
      <c r="F134" s="383">
        <f t="shared" si="39"/>
        <v>123</v>
      </c>
      <c r="G134" s="384">
        <f t="shared" si="26"/>
        <v>46741</v>
      </c>
      <c r="H134" s="340">
        <f t="shared" si="47"/>
        <v>0</v>
      </c>
      <c r="I134" s="340">
        <f t="shared" si="28"/>
        <v>0</v>
      </c>
      <c r="J134" s="340">
        <f t="shared" si="36"/>
        <v>0</v>
      </c>
      <c r="K134" s="340">
        <f t="shared" si="37"/>
        <v>0</v>
      </c>
      <c r="L134" s="382">
        <f t="shared" si="40"/>
        <v>46388</v>
      </c>
      <c r="M134" s="382">
        <f t="shared" si="41"/>
        <v>46753</v>
      </c>
      <c r="N134" s="382">
        <f t="shared" si="42"/>
        <v>46023</v>
      </c>
      <c r="O134" s="340">
        <f t="shared" si="29"/>
        <v>0</v>
      </c>
      <c r="P134" s="340">
        <f t="shared" si="48"/>
        <v>0</v>
      </c>
      <c r="Q134" s="340">
        <f t="shared" si="43"/>
        <v>0</v>
      </c>
      <c r="R134" s="340">
        <f t="shared" si="30"/>
        <v>0</v>
      </c>
      <c r="S134" s="340">
        <f t="shared" si="45"/>
        <v>0</v>
      </c>
      <c r="T134" s="340">
        <f t="shared" si="31"/>
        <v>0</v>
      </c>
      <c r="U134" s="340">
        <f t="shared" si="38"/>
        <v>0</v>
      </c>
      <c r="V134" s="340">
        <f t="shared" si="32"/>
        <v>0</v>
      </c>
      <c r="W134" s="198">
        <f t="shared" si="44"/>
        <v>0</v>
      </c>
      <c r="X134" s="36">
        <f t="shared" si="33"/>
        <v>0</v>
      </c>
      <c r="Y134" s="2"/>
      <c r="Z134" s="34">
        <f t="shared" si="34"/>
        <v>0</v>
      </c>
      <c r="AA134" s="57">
        <f t="shared" si="35"/>
        <v>87893</v>
      </c>
      <c r="AB134" s="96"/>
      <c r="AC134" s="96"/>
      <c r="AD134" s="96"/>
      <c r="AE134" s="96"/>
      <c r="AF134" s="96"/>
      <c r="AG134" s="96"/>
      <c r="AH134" s="96"/>
      <c r="AI134" s="96"/>
    </row>
    <row r="135" spans="1:35" s="16" customFormat="1" ht="12" x14ac:dyDescent="0.25">
      <c r="A135" s="2"/>
      <c r="B135" s="2"/>
      <c r="C135" s="2"/>
      <c r="D135" s="13"/>
      <c r="E135" s="2"/>
      <c r="F135" s="383">
        <f t="shared" si="39"/>
        <v>124</v>
      </c>
      <c r="G135" s="384">
        <f t="shared" si="26"/>
        <v>46772</v>
      </c>
      <c r="H135" s="340">
        <f t="shared" si="47"/>
        <v>0</v>
      </c>
      <c r="I135" s="340">
        <f t="shared" si="28"/>
        <v>0</v>
      </c>
      <c r="J135" s="340">
        <f t="shared" si="36"/>
        <v>0</v>
      </c>
      <c r="K135" s="340">
        <f t="shared" si="37"/>
        <v>0</v>
      </c>
      <c r="L135" s="382">
        <f t="shared" si="40"/>
        <v>46753</v>
      </c>
      <c r="M135" s="382">
        <f t="shared" si="41"/>
        <v>47119</v>
      </c>
      <c r="N135" s="382">
        <f t="shared" si="42"/>
        <v>46388</v>
      </c>
      <c r="O135" s="340">
        <f t="shared" si="29"/>
        <v>0</v>
      </c>
      <c r="P135" s="340">
        <f t="shared" si="48"/>
        <v>0</v>
      </c>
      <c r="Q135" s="340">
        <f t="shared" si="43"/>
        <v>0</v>
      </c>
      <c r="R135" s="340">
        <f t="shared" si="30"/>
        <v>0</v>
      </c>
      <c r="S135" s="340">
        <f t="shared" si="45"/>
        <v>0</v>
      </c>
      <c r="T135" s="340">
        <f t="shared" si="31"/>
        <v>0</v>
      </c>
      <c r="U135" s="340">
        <f t="shared" si="38"/>
        <v>0</v>
      </c>
      <c r="V135" s="340">
        <f t="shared" si="32"/>
        <v>0</v>
      </c>
      <c r="W135" s="198">
        <f t="shared" si="44"/>
        <v>0</v>
      </c>
      <c r="X135" s="36">
        <f t="shared" si="33"/>
        <v>0</v>
      </c>
      <c r="Y135" s="2"/>
      <c r="Z135" s="34">
        <f t="shared" si="34"/>
        <v>0</v>
      </c>
      <c r="AA135" s="57">
        <f t="shared" si="35"/>
        <v>88258</v>
      </c>
      <c r="AB135" s="96"/>
      <c r="AC135" s="96"/>
      <c r="AD135" s="96"/>
      <c r="AE135" s="96"/>
      <c r="AF135" s="96"/>
      <c r="AG135" s="96"/>
      <c r="AH135" s="96"/>
      <c r="AI135" s="96"/>
    </row>
    <row r="136" spans="1:35" s="16" customFormat="1" ht="12" x14ac:dyDescent="0.25">
      <c r="A136" s="2"/>
      <c r="B136" s="2"/>
      <c r="C136" s="13"/>
      <c r="D136" s="13"/>
      <c r="E136" s="2"/>
      <c r="F136" s="383">
        <f t="shared" si="39"/>
        <v>125</v>
      </c>
      <c r="G136" s="384">
        <f t="shared" si="26"/>
        <v>46803</v>
      </c>
      <c r="H136" s="340">
        <f t="shared" si="47"/>
        <v>0</v>
      </c>
      <c r="I136" s="340">
        <f t="shared" si="28"/>
        <v>0</v>
      </c>
      <c r="J136" s="340">
        <f t="shared" si="36"/>
        <v>0</v>
      </c>
      <c r="K136" s="340">
        <f t="shared" si="37"/>
        <v>0</v>
      </c>
      <c r="L136" s="382">
        <f t="shared" si="40"/>
        <v>46753</v>
      </c>
      <c r="M136" s="382">
        <f t="shared" si="41"/>
        <v>47119</v>
      </c>
      <c r="N136" s="382">
        <f t="shared" si="42"/>
        <v>46388</v>
      </c>
      <c r="O136" s="340">
        <f t="shared" si="29"/>
        <v>0</v>
      </c>
      <c r="P136" s="340">
        <f t="shared" si="48"/>
        <v>0</v>
      </c>
      <c r="Q136" s="340">
        <f t="shared" si="43"/>
        <v>0</v>
      </c>
      <c r="R136" s="340">
        <f t="shared" si="30"/>
        <v>0</v>
      </c>
      <c r="S136" s="340">
        <f t="shared" si="45"/>
        <v>0</v>
      </c>
      <c r="T136" s="340">
        <f t="shared" si="31"/>
        <v>0</v>
      </c>
      <c r="U136" s="340">
        <f t="shared" si="38"/>
        <v>0</v>
      </c>
      <c r="V136" s="340">
        <f t="shared" si="32"/>
        <v>0</v>
      </c>
      <c r="W136" s="198">
        <f t="shared" si="44"/>
        <v>0</v>
      </c>
      <c r="X136" s="36">
        <f t="shared" si="33"/>
        <v>0</v>
      </c>
      <c r="Y136" s="2"/>
      <c r="Z136" s="34">
        <f t="shared" si="34"/>
        <v>0</v>
      </c>
      <c r="AA136" s="57">
        <f t="shared" si="35"/>
        <v>88623</v>
      </c>
      <c r="AB136" s="96"/>
      <c r="AC136" s="96"/>
      <c r="AD136" s="96"/>
      <c r="AE136" s="96"/>
      <c r="AF136" s="96"/>
      <c r="AG136" s="96"/>
      <c r="AH136" s="96"/>
      <c r="AI136" s="96"/>
    </row>
    <row r="137" spans="1:35" s="16" customFormat="1" ht="12" x14ac:dyDescent="0.25">
      <c r="A137" s="2"/>
      <c r="B137" s="2"/>
      <c r="C137" s="2"/>
      <c r="D137" s="13"/>
      <c r="E137" s="2"/>
      <c r="F137" s="383">
        <f t="shared" si="39"/>
        <v>126</v>
      </c>
      <c r="G137" s="384">
        <f t="shared" si="26"/>
        <v>46832</v>
      </c>
      <c r="H137" s="340">
        <f t="shared" si="47"/>
        <v>0</v>
      </c>
      <c r="I137" s="340">
        <f t="shared" si="28"/>
        <v>0</v>
      </c>
      <c r="J137" s="340">
        <f t="shared" si="36"/>
        <v>0</v>
      </c>
      <c r="K137" s="340">
        <f t="shared" si="37"/>
        <v>0</v>
      </c>
      <c r="L137" s="382">
        <f t="shared" si="40"/>
        <v>46753</v>
      </c>
      <c r="M137" s="382">
        <f t="shared" si="41"/>
        <v>47119</v>
      </c>
      <c r="N137" s="382">
        <f t="shared" si="42"/>
        <v>46388</v>
      </c>
      <c r="O137" s="340">
        <f t="shared" si="29"/>
        <v>0</v>
      </c>
      <c r="P137" s="340">
        <f t="shared" si="48"/>
        <v>0</v>
      </c>
      <c r="Q137" s="340">
        <f t="shared" si="43"/>
        <v>0</v>
      </c>
      <c r="R137" s="340">
        <f t="shared" si="30"/>
        <v>0</v>
      </c>
      <c r="S137" s="340">
        <f t="shared" si="45"/>
        <v>0</v>
      </c>
      <c r="T137" s="340">
        <f t="shared" si="31"/>
        <v>0</v>
      </c>
      <c r="U137" s="340">
        <f t="shared" si="38"/>
        <v>0</v>
      </c>
      <c r="V137" s="340">
        <f t="shared" si="32"/>
        <v>0</v>
      </c>
      <c r="W137" s="198">
        <f t="shared" si="44"/>
        <v>0</v>
      </c>
      <c r="X137" s="36">
        <f t="shared" si="33"/>
        <v>0</v>
      </c>
      <c r="Y137" s="2"/>
      <c r="Z137" s="34">
        <f t="shared" si="34"/>
        <v>0</v>
      </c>
      <c r="AA137" s="57">
        <f t="shared" si="35"/>
        <v>88988</v>
      </c>
      <c r="AB137" s="96"/>
      <c r="AC137" s="96"/>
      <c r="AD137" s="96"/>
      <c r="AE137" s="96"/>
      <c r="AF137" s="96"/>
      <c r="AG137" s="96"/>
      <c r="AH137" s="96"/>
      <c r="AI137" s="96"/>
    </row>
    <row r="138" spans="1:35" s="16" customFormat="1" ht="12" x14ac:dyDescent="0.25">
      <c r="A138" s="2"/>
      <c r="B138" s="2"/>
      <c r="C138" s="2"/>
      <c r="D138" s="13"/>
      <c r="E138" s="2"/>
      <c r="F138" s="383">
        <f t="shared" si="39"/>
        <v>127</v>
      </c>
      <c r="G138" s="384">
        <f t="shared" si="26"/>
        <v>46863</v>
      </c>
      <c r="H138" s="340">
        <f t="shared" si="47"/>
        <v>0</v>
      </c>
      <c r="I138" s="340">
        <f t="shared" si="28"/>
        <v>0</v>
      </c>
      <c r="J138" s="340">
        <f t="shared" si="36"/>
        <v>0</v>
      </c>
      <c r="K138" s="340">
        <f t="shared" si="37"/>
        <v>0</v>
      </c>
      <c r="L138" s="382">
        <f t="shared" si="40"/>
        <v>46753</v>
      </c>
      <c r="M138" s="382">
        <f t="shared" si="41"/>
        <v>47119</v>
      </c>
      <c r="N138" s="382">
        <f t="shared" si="42"/>
        <v>46388</v>
      </c>
      <c r="O138" s="340">
        <f t="shared" si="29"/>
        <v>0</v>
      </c>
      <c r="P138" s="340">
        <f t="shared" si="48"/>
        <v>0</v>
      </c>
      <c r="Q138" s="340">
        <f t="shared" si="43"/>
        <v>0</v>
      </c>
      <c r="R138" s="340">
        <f t="shared" si="30"/>
        <v>0</v>
      </c>
      <c r="S138" s="340">
        <f t="shared" si="45"/>
        <v>0</v>
      </c>
      <c r="T138" s="340">
        <f t="shared" si="31"/>
        <v>0</v>
      </c>
      <c r="U138" s="340">
        <f t="shared" si="38"/>
        <v>0</v>
      </c>
      <c r="V138" s="340">
        <f t="shared" si="32"/>
        <v>0</v>
      </c>
      <c r="W138" s="198">
        <f t="shared" si="44"/>
        <v>0</v>
      </c>
      <c r="X138" s="36">
        <f t="shared" si="33"/>
        <v>0</v>
      </c>
      <c r="Y138" s="2"/>
      <c r="Z138" s="34">
        <f t="shared" si="34"/>
        <v>0</v>
      </c>
      <c r="AA138" s="57">
        <f t="shared" si="35"/>
        <v>89353</v>
      </c>
      <c r="AB138" s="96"/>
      <c r="AC138" s="96"/>
      <c r="AD138" s="96"/>
      <c r="AE138" s="96"/>
      <c r="AF138" s="96"/>
      <c r="AG138" s="96"/>
      <c r="AH138" s="96"/>
      <c r="AI138" s="96"/>
    </row>
    <row r="139" spans="1:35" s="16" customFormat="1" ht="12" x14ac:dyDescent="0.25">
      <c r="A139" s="2"/>
      <c r="B139" s="2"/>
      <c r="C139" s="2"/>
      <c r="D139" s="2"/>
      <c r="E139" s="2"/>
      <c r="F139" s="383">
        <f t="shared" si="39"/>
        <v>128</v>
      </c>
      <c r="G139" s="384">
        <f t="shared" si="26"/>
        <v>46893</v>
      </c>
      <c r="H139" s="340">
        <f t="shared" si="47"/>
        <v>0</v>
      </c>
      <c r="I139" s="340">
        <f t="shared" si="28"/>
        <v>0</v>
      </c>
      <c r="J139" s="340">
        <f t="shared" si="36"/>
        <v>0</v>
      </c>
      <c r="K139" s="340">
        <f t="shared" si="37"/>
        <v>0</v>
      </c>
      <c r="L139" s="382">
        <f t="shared" si="40"/>
        <v>46753</v>
      </c>
      <c r="M139" s="382">
        <f t="shared" si="41"/>
        <v>47119</v>
      </c>
      <c r="N139" s="382">
        <f t="shared" si="42"/>
        <v>46388</v>
      </c>
      <c r="O139" s="340">
        <f t="shared" si="29"/>
        <v>0</v>
      </c>
      <c r="P139" s="340">
        <f t="shared" si="48"/>
        <v>0</v>
      </c>
      <c r="Q139" s="340">
        <f t="shared" si="43"/>
        <v>0</v>
      </c>
      <c r="R139" s="340">
        <f t="shared" si="30"/>
        <v>0</v>
      </c>
      <c r="S139" s="340">
        <f t="shared" si="45"/>
        <v>0</v>
      </c>
      <c r="T139" s="340">
        <f t="shared" si="31"/>
        <v>0</v>
      </c>
      <c r="U139" s="340">
        <f t="shared" si="38"/>
        <v>0</v>
      </c>
      <c r="V139" s="340">
        <f t="shared" si="32"/>
        <v>0</v>
      </c>
      <c r="W139" s="198">
        <f t="shared" si="44"/>
        <v>0</v>
      </c>
      <c r="X139" s="36">
        <f t="shared" si="33"/>
        <v>0</v>
      </c>
      <c r="Y139" s="2"/>
      <c r="Z139" s="34">
        <f t="shared" si="34"/>
        <v>0</v>
      </c>
      <c r="AA139" s="57">
        <f t="shared" si="35"/>
        <v>89718</v>
      </c>
      <c r="AB139" s="96"/>
      <c r="AC139" s="96"/>
      <c r="AD139" s="96"/>
      <c r="AE139" s="96"/>
      <c r="AF139" s="96"/>
      <c r="AG139" s="96"/>
      <c r="AH139" s="96"/>
      <c r="AI139" s="96"/>
    </row>
    <row r="140" spans="1:35" s="16" customFormat="1" ht="12" x14ac:dyDescent="0.25">
      <c r="A140" s="2"/>
      <c r="B140" s="2"/>
      <c r="C140" s="2"/>
      <c r="D140" s="2"/>
      <c r="E140" s="2"/>
      <c r="F140" s="383">
        <f t="shared" si="39"/>
        <v>129</v>
      </c>
      <c r="G140" s="384">
        <f t="shared" ref="G140:G191" si="49">IF((OR(DAY($N$3)=29,DAY($N$3)=30,DAY($N$3)=31)),(EDATE($C$14-3,F140)),(IF((OR(DAY($N$3)=1,DAY($N$3)=2,DAY($N$3)=3)),(EDATE($C$14,F140)+3),EDATE($C$14,F140))))</f>
        <v>46924</v>
      </c>
      <c r="H140" s="340">
        <f t="shared" ref="H140:H171" si="50">IF(F140&lt;=$I$7,I140+P140,IF(AND(V139+P140+I140&gt;H139,H139&lt;&gt;0),$C$21,IF(V139=0,0,V139+P140+I140+I141)))</f>
        <v>0</v>
      </c>
      <c r="I140" s="340">
        <f t="shared" ref="I140:I191" si="51">IF($C$14&gt;$G$7,IF(L140=L139,J140,K140),IF(L139=L138,J140,K140))</f>
        <v>0</v>
      </c>
      <c r="J140" s="340">
        <f t="shared" si="36"/>
        <v>0</v>
      </c>
      <c r="K140" s="340">
        <f t="shared" si="37"/>
        <v>0</v>
      </c>
      <c r="L140" s="382">
        <f t="shared" si="40"/>
        <v>46753</v>
      </c>
      <c r="M140" s="382">
        <f t="shared" si="41"/>
        <v>47119</v>
      </c>
      <c r="N140" s="382">
        <f t="shared" si="42"/>
        <v>46388</v>
      </c>
      <c r="O140" s="340">
        <f t="shared" ref="O140:O191" si="52">IF(W140=0,0,IF(W140=1,V139,IF(V139+P140+I140&gt;H139,H140-I140-P140,V139)))</f>
        <v>0</v>
      </c>
      <c r="P140" s="340">
        <f t="shared" si="48"/>
        <v>0</v>
      </c>
      <c r="Q140" s="340">
        <f t="shared" si="43"/>
        <v>0</v>
      </c>
      <c r="R140" s="340">
        <f t="shared" ref="R140:R191" si="53">I140+S140</f>
        <v>0</v>
      </c>
      <c r="S140" s="340">
        <f t="shared" si="45"/>
        <v>0</v>
      </c>
      <c r="T140" s="340">
        <f t="shared" ref="T140:T191" si="54">IF(X140=0,0,$D$23)</f>
        <v>0</v>
      </c>
      <c r="U140" s="340">
        <f t="shared" si="38"/>
        <v>0</v>
      </c>
      <c r="V140" s="340">
        <f t="shared" ref="V140:V191" si="55">IF(OR(W140=1,V139=0),0,V139-O140)+U140*$C$10</f>
        <v>0</v>
      </c>
      <c r="W140" s="198">
        <f t="shared" si="44"/>
        <v>0</v>
      </c>
      <c r="X140" s="36">
        <f t="shared" ref="X140:X191" si="56">IF(ISERR(CEILING(FLOOR(NPER($C$22/12,-$N$4,V139),0.1),1))=TRUE,0,CEILING(FLOOR(NPER($C$22/12,-$N$4,V139),0.1),1))</f>
        <v>0</v>
      </c>
      <c r="Y140" s="2"/>
      <c r="Z140" s="34">
        <f t="shared" ref="Z140:Z191" si="57">I140+O140+P140-T140</f>
        <v>0</v>
      </c>
      <c r="AA140" s="57">
        <f t="shared" ref="AA140:AA191" si="58">IF((OR(DAY($N$3)=29,DAY($N$3)=30,DAY($N$3)=31)),($C$14-3+F140*365),(IF((OR(DAY($N$3)=1,DAY($N$3)=2,DAY($N$3)=3)),($C$14+F140*365+3),($C$14+F140*365))))</f>
        <v>90083</v>
      </c>
      <c r="AB140" s="96"/>
      <c r="AC140" s="96"/>
      <c r="AD140" s="96"/>
      <c r="AE140" s="96"/>
      <c r="AF140" s="96"/>
      <c r="AG140" s="96"/>
      <c r="AH140" s="96"/>
      <c r="AI140" s="96"/>
    </row>
    <row r="141" spans="1:35" s="16" customFormat="1" ht="12" x14ac:dyDescent="0.25">
      <c r="A141" s="2"/>
      <c r="B141" s="2"/>
      <c r="C141" s="2"/>
      <c r="D141" s="2"/>
      <c r="F141" s="383">
        <f t="shared" si="39"/>
        <v>130</v>
      </c>
      <c r="G141" s="384">
        <f t="shared" si="49"/>
        <v>46954</v>
      </c>
      <c r="H141" s="340">
        <f t="shared" si="50"/>
        <v>0</v>
      </c>
      <c r="I141" s="340">
        <f t="shared" si="51"/>
        <v>0</v>
      </c>
      <c r="J141" s="340">
        <f t="shared" ref="J141:J191" si="59">IF($C$14&gt;$G$7,ROUND(V140*$C$22/(M141-L141)*(G141-G140),2),ROUND(V139*$C$22/(M140-L140)*(G140-G139),2))</f>
        <v>0</v>
      </c>
      <c r="K141" s="340">
        <f t="shared" ref="K141:K191" si="60">IF($C$14&gt;$G$7,ROUND(V140*$C$22/(M141-L141)*(G141-L141+1),2)+ROUND(V140*$C$22/(L141-N141)*(L141-G140-1),2),ROUND(V139*$C$22/(M140-L140)*(G140-L140),2)+ROUND(V139*$C$22/(L140-N140)*(L140-G139),2))</f>
        <v>0</v>
      </c>
      <c r="L141" s="382">
        <f t="shared" si="40"/>
        <v>46753</v>
      </c>
      <c r="M141" s="382">
        <f t="shared" si="41"/>
        <v>47119</v>
      </c>
      <c r="N141" s="382">
        <f t="shared" si="42"/>
        <v>46388</v>
      </c>
      <c r="O141" s="340">
        <f t="shared" si="52"/>
        <v>0</v>
      </c>
      <c r="P141" s="340">
        <f t="shared" si="48"/>
        <v>0</v>
      </c>
      <c r="Q141" s="340">
        <f t="shared" si="43"/>
        <v>0</v>
      </c>
      <c r="R141" s="340">
        <f t="shared" si="53"/>
        <v>0</v>
      </c>
      <c r="S141" s="340">
        <f t="shared" si="45"/>
        <v>0</v>
      </c>
      <c r="T141" s="340">
        <f t="shared" si="54"/>
        <v>0</v>
      </c>
      <c r="U141" s="340">
        <f t="shared" ref="U141:U191" si="61">IF(AND(F141&lt;$I$7-3,MOD(F141,$C$12)=0),1,0)</f>
        <v>0</v>
      </c>
      <c r="V141" s="340">
        <f t="shared" si="55"/>
        <v>0</v>
      </c>
      <c r="W141" s="198">
        <f t="shared" si="44"/>
        <v>0</v>
      </c>
      <c r="X141" s="36">
        <f t="shared" si="56"/>
        <v>0</v>
      </c>
      <c r="Y141" s="2"/>
      <c r="Z141" s="34">
        <f t="shared" si="57"/>
        <v>0</v>
      </c>
      <c r="AA141" s="57">
        <f t="shared" si="58"/>
        <v>90448</v>
      </c>
      <c r="AB141" s="96"/>
      <c r="AC141" s="96"/>
      <c r="AD141" s="96"/>
      <c r="AE141" s="96"/>
      <c r="AF141" s="96"/>
      <c r="AG141" s="96"/>
      <c r="AH141" s="96"/>
      <c r="AI141" s="96"/>
    </row>
    <row r="142" spans="1:35" s="16" customFormat="1" ht="12" x14ac:dyDescent="0.25">
      <c r="A142" s="2"/>
      <c r="B142" s="2"/>
      <c r="C142" s="2"/>
      <c r="D142" s="2"/>
      <c r="E142" s="2"/>
      <c r="F142" s="383">
        <f t="shared" ref="F142:F191" si="62">F141+1</f>
        <v>131</v>
      </c>
      <c r="G142" s="384">
        <f t="shared" si="49"/>
        <v>46985</v>
      </c>
      <c r="H142" s="340">
        <f t="shared" si="50"/>
        <v>0</v>
      </c>
      <c r="I142" s="340">
        <f t="shared" si="51"/>
        <v>0</v>
      </c>
      <c r="J142" s="340">
        <f t="shared" si="59"/>
        <v>0</v>
      </c>
      <c r="K142" s="340">
        <f t="shared" si="60"/>
        <v>0</v>
      </c>
      <c r="L142" s="382">
        <f t="shared" ref="L142:L191" si="63">DATEVALUE(CONCATENATE("01/01/",YEAR(G142)))</f>
        <v>46753</v>
      </c>
      <c r="M142" s="382">
        <f t="shared" ref="M142:M191" si="64">DATEVALUE(CONCATENATE("01/01/",YEAR(G142)+1))</f>
        <v>47119</v>
      </c>
      <c r="N142" s="382">
        <f t="shared" ref="N142:N191" si="65">DATEVALUE(CONCATENATE("01/01/",YEAR(G142)-1))</f>
        <v>46388</v>
      </c>
      <c r="O142" s="340">
        <f t="shared" si="52"/>
        <v>0</v>
      </c>
      <c r="P142" s="340">
        <f t="shared" si="48"/>
        <v>0</v>
      </c>
      <c r="Q142" s="340">
        <f t="shared" ref="Q142:Q191" si="66">S141-P141</f>
        <v>0</v>
      </c>
      <c r="R142" s="340">
        <f t="shared" si="53"/>
        <v>0</v>
      </c>
      <c r="S142" s="340">
        <f t="shared" si="45"/>
        <v>0</v>
      </c>
      <c r="T142" s="340">
        <f t="shared" si="54"/>
        <v>0</v>
      </c>
      <c r="U142" s="340">
        <f t="shared" si="61"/>
        <v>0</v>
      </c>
      <c r="V142" s="340">
        <f t="shared" si="55"/>
        <v>0</v>
      </c>
      <c r="W142" s="198">
        <f t="shared" ref="W142:W191" si="67">IF((W141-1)&lt;0,0,W141-1)</f>
        <v>0</v>
      </c>
      <c r="X142" s="36">
        <f t="shared" si="56"/>
        <v>0</v>
      </c>
      <c r="Y142" s="2"/>
      <c r="Z142" s="34">
        <f t="shared" si="57"/>
        <v>0</v>
      </c>
      <c r="AA142" s="57">
        <f t="shared" si="58"/>
        <v>90813</v>
      </c>
      <c r="AB142" s="96"/>
      <c r="AC142" s="96"/>
      <c r="AD142" s="96"/>
      <c r="AE142" s="96"/>
      <c r="AF142" s="96"/>
      <c r="AG142" s="96"/>
      <c r="AH142" s="96"/>
      <c r="AI142" s="96"/>
    </row>
    <row r="143" spans="1:35" s="16" customFormat="1" ht="12" x14ac:dyDescent="0.25">
      <c r="A143" s="2"/>
      <c r="B143" s="2"/>
      <c r="C143" s="2"/>
      <c r="D143" s="2"/>
      <c r="E143" s="2"/>
      <c r="F143" s="383">
        <f t="shared" si="62"/>
        <v>132</v>
      </c>
      <c r="G143" s="384">
        <f t="shared" si="49"/>
        <v>47016</v>
      </c>
      <c r="H143" s="340">
        <f t="shared" si="50"/>
        <v>0</v>
      </c>
      <c r="I143" s="340">
        <f t="shared" si="51"/>
        <v>0</v>
      </c>
      <c r="J143" s="340">
        <f t="shared" si="59"/>
        <v>0</v>
      </c>
      <c r="K143" s="340">
        <f t="shared" si="60"/>
        <v>0</v>
      </c>
      <c r="L143" s="382">
        <f t="shared" si="63"/>
        <v>46753</v>
      </c>
      <c r="M143" s="382">
        <f t="shared" si="64"/>
        <v>47119</v>
      </c>
      <c r="N143" s="382">
        <f t="shared" si="65"/>
        <v>46388</v>
      </c>
      <c r="O143" s="340">
        <f t="shared" si="52"/>
        <v>0</v>
      </c>
      <c r="P143" s="340">
        <f t="shared" si="48"/>
        <v>0</v>
      </c>
      <c r="Q143" s="340">
        <f t="shared" si="66"/>
        <v>0</v>
      </c>
      <c r="R143" s="340">
        <f t="shared" si="53"/>
        <v>0</v>
      </c>
      <c r="S143" s="340">
        <f t="shared" si="45"/>
        <v>0</v>
      </c>
      <c r="T143" s="340">
        <f t="shared" si="54"/>
        <v>0</v>
      </c>
      <c r="U143" s="340">
        <f t="shared" si="61"/>
        <v>0</v>
      </c>
      <c r="V143" s="340">
        <f t="shared" si="55"/>
        <v>0</v>
      </c>
      <c r="W143" s="198">
        <f t="shared" si="67"/>
        <v>0</v>
      </c>
      <c r="X143" s="36">
        <f t="shared" si="56"/>
        <v>0</v>
      </c>
      <c r="Y143" s="2"/>
      <c r="Z143" s="34">
        <f t="shared" si="57"/>
        <v>0</v>
      </c>
      <c r="AA143" s="57">
        <f t="shared" si="58"/>
        <v>91178</v>
      </c>
      <c r="AB143" s="96"/>
      <c r="AC143" s="96"/>
      <c r="AD143" s="96"/>
      <c r="AE143" s="96"/>
      <c r="AF143" s="96"/>
      <c r="AG143" s="96"/>
      <c r="AH143" s="96"/>
      <c r="AI143" s="96"/>
    </row>
    <row r="144" spans="1:35" s="16" customFormat="1" ht="12" x14ac:dyDescent="0.25">
      <c r="A144" s="2"/>
      <c r="B144" s="2"/>
      <c r="C144" s="2"/>
      <c r="D144" s="2"/>
      <c r="E144" s="2"/>
      <c r="F144" s="383">
        <f t="shared" si="62"/>
        <v>133</v>
      </c>
      <c r="G144" s="384">
        <f t="shared" si="49"/>
        <v>47046</v>
      </c>
      <c r="H144" s="340">
        <f t="shared" si="50"/>
        <v>0</v>
      </c>
      <c r="I144" s="340">
        <f t="shared" si="51"/>
        <v>0</v>
      </c>
      <c r="J144" s="340">
        <f t="shared" si="59"/>
        <v>0</v>
      </c>
      <c r="K144" s="340">
        <f t="shared" si="60"/>
        <v>0</v>
      </c>
      <c r="L144" s="382">
        <f t="shared" si="63"/>
        <v>46753</v>
      </c>
      <c r="M144" s="382">
        <f t="shared" si="64"/>
        <v>47119</v>
      </c>
      <c r="N144" s="382">
        <f t="shared" si="65"/>
        <v>46388</v>
      </c>
      <c r="O144" s="340">
        <f t="shared" si="52"/>
        <v>0</v>
      </c>
      <c r="P144" s="340">
        <f t="shared" si="48"/>
        <v>0</v>
      </c>
      <c r="Q144" s="340">
        <f t="shared" si="66"/>
        <v>0</v>
      </c>
      <c r="R144" s="340">
        <f t="shared" si="53"/>
        <v>0</v>
      </c>
      <c r="S144" s="340">
        <f t="shared" si="45"/>
        <v>0</v>
      </c>
      <c r="T144" s="340">
        <f t="shared" si="54"/>
        <v>0</v>
      </c>
      <c r="U144" s="340">
        <f t="shared" si="61"/>
        <v>0</v>
      </c>
      <c r="V144" s="340">
        <f t="shared" si="55"/>
        <v>0</v>
      </c>
      <c r="W144" s="198">
        <f t="shared" si="67"/>
        <v>0</v>
      </c>
      <c r="X144" s="36">
        <f t="shared" si="56"/>
        <v>0</v>
      </c>
      <c r="Y144" s="2"/>
      <c r="Z144" s="34">
        <f t="shared" si="57"/>
        <v>0</v>
      </c>
      <c r="AA144" s="57">
        <f t="shared" si="58"/>
        <v>91543</v>
      </c>
      <c r="AB144" s="96"/>
      <c r="AC144" s="96"/>
      <c r="AD144" s="96"/>
      <c r="AE144" s="96"/>
      <c r="AF144" s="96"/>
      <c r="AG144" s="96"/>
      <c r="AH144" s="96"/>
      <c r="AI144" s="96"/>
    </row>
    <row r="145" spans="1:35" s="16" customFormat="1" ht="12" x14ac:dyDescent="0.25">
      <c r="A145" s="2"/>
      <c r="B145" s="2"/>
      <c r="C145" s="2"/>
      <c r="D145" s="2"/>
      <c r="E145" s="2"/>
      <c r="F145" s="383">
        <f t="shared" si="62"/>
        <v>134</v>
      </c>
      <c r="G145" s="384">
        <f t="shared" si="49"/>
        <v>47077</v>
      </c>
      <c r="H145" s="340">
        <f t="shared" si="50"/>
        <v>0</v>
      </c>
      <c r="I145" s="340">
        <f t="shared" si="51"/>
        <v>0</v>
      </c>
      <c r="J145" s="340">
        <f t="shared" si="59"/>
        <v>0</v>
      </c>
      <c r="K145" s="340">
        <f t="shared" si="60"/>
        <v>0</v>
      </c>
      <c r="L145" s="382">
        <f t="shared" si="63"/>
        <v>46753</v>
      </c>
      <c r="M145" s="382">
        <f t="shared" si="64"/>
        <v>47119</v>
      </c>
      <c r="N145" s="382">
        <f t="shared" si="65"/>
        <v>46388</v>
      </c>
      <c r="O145" s="340">
        <f t="shared" si="52"/>
        <v>0</v>
      </c>
      <c r="P145" s="340">
        <f t="shared" si="48"/>
        <v>0</v>
      </c>
      <c r="Q145" s="340">
        <f t="shared" si="66"/>
        <v>0</v>
      </c>
      <c r="R145" s="340">
        <f t="shared" si="53"/>
        <v>0</v>
      </c>
      <c r="S145" s="340">
        <f t="shared" ref="S145:S191" si="68">IF(X145=0,0,$D$23)</f>
        <v>0</v>
      </c>
      <c r="T145" s="340">
        <f t="shared" si="54"/>
        <v>0</v>
      </c>
      <c r="U145" s="340">
        <f t="shared" si="61"/>
        <v>0</v>
      </c>
      <c r="V145" s="340">
        <f t="shared" si="55"/>
        <v>0</v>
      </c>
      <c r="W145" s="198">
        <f t="shared" si="67"/>
        <v>0</v>
      </c>
      <c r="X145" s="36">
        <f t="shared" si="56"/>
        <v>0</v>
      </c>
      <c r="Y145" s="2"/>
      <c r="Z145" s="34">
        <f t="shared" si="57"/>
        <v>0</v>
      </c>
      <c r="AA145" s="57">
        <f t="shared" si="58"/>
        <v>91908</v>
      </c>
      <c r="AB145" s="96"/>
      <c r="AC145" s="96"/>
      <c r="AD145" s="96"/>
      <c r="AE145" s="96"/>
      <c r="AF145" s="96"/>
      <c r="AG145" s="96"/>
      <c r="AH145" s="96"/>
      <c r="AI145" s="96"/>
    </row>
    <row r="146" spans="1:35" s="16" customFormat="1" ht="12" x14ac:dyDescent="0.25">
      <c r="A146" s="2"/>
      <c r="B146" s="2"/>
      <c r="C146" s="13"/>
      <c r="D146" s="2"/>
      <c r="E146" s="2"/>
      <c r="F146" s="383">
        <f t="shared" si="62"/>
        <v>135</v>
      </c>
      <c r="G146" s="384">
        <f t="shared" si="49"/>
        <v>47107</v>
      </c>
      <c r="H146" s="340">
        <f t="shared" si="50"/>
        <v>0</v>
      </c>
      <c r="I146" s="340">
        <f t="shared" si="51"/>
        <v>0</v>
      </c>
      <c r="J146" s="340">
        <f t="shared" si="59"/>
        <v>0</v>
      </c>
      <c r="K146" s="340">
        <f t="shared" si="60"/>
        <v>0</v>
      </c>
      <c r="L146" s="382">
        <f t="shared" si="63"/>
        <v>46753</v>
      </c>
      <c r="M146" s="382">
        <f t="shared" si="64"/>
        <v>47119</v>
      </c>
      <c r="N146" s="382">
        <f t="shared" si="65"/>
        <v>46388</v>
      </c>
      <c r="O146" s="340">
        <f t="shared" si="52"/>
        <v>0</v>
      </c>
      <c r="P146" s="340">
        <f t="shared" si="48"/>
        <v>0</v>
      </c>
      <c r="Q146" s="340">
        <f t="shared" si="66"/>
        <v>0</v>
      </c>
      <c r="R146" s="340">
        <f t="shared" si="53"/>
        <v>0</v>
      </c>
      <c r="S146" s="340">
        <f t="shared" si="68"/>
        <v>0</v>
      </c>
      <c r="T146" s="340">
        <f t="shared" si="54"/>
        <v>0</v>
      </c>
      <c r="U146" s="340">
        <f t="shared" si="61"/>
        <v>0</v>
      </c>
      <c r="V146" s="340">
        <f t="shared" si="55"/>
        <v>0</v>
      </c>
      <c r="W146" s="198">
        <f t="shared" si="67"/>
        <v>0</v>
      </c>
      <c r="X146" s="36">
        <f t="shared" si="56"/>
        <v>0</v>
      </c>
      <c r="Y146" s="2"/>
      <c r="Z146" s="34">
        <f t="shared" si="57"/>
        <v>0</v>
      </c>
      <c r="AA146" s="57">
        <f t="shared" si="58"/>
        <v>92273</v>
      </c>
      <c r="AB146" s="96"/>
      <c r="AC146" s="96"/>
      <c r="AD146" s="96"/>
      <c r="AE146" s="96"/>
      <c r="AF146" s="96"/>
      <c r="AG146" s="96"/>
      <c r="AH146" s="96"/>
      <c r="AI146" s="96"/>
    </row>
    <row r="147" spans="1:35" s="16" customFormat="1" ht="12" x14ac:dyDescent="0.25">
      <c r="A147" s="2"/>
      <c r="B147" s="2"/>
      <c r="C147" s="2"/>
      <c r="D147" s="13"/>
      <c r="E147" s="2"/>
      <c r="F147" s="383">
        <f t="shared" si="62"/>
        <v>136</v>
      </c>
      <c r="G147" s="384">
        <f t="shared" si="49"/>
        <v>47138</v>
      </c>
      <c r="H147" s="340">
        <f t="shared" si="50"/>
        <v>0</v>
      </c>
      <c r="I147" s="340">
        <f t="shared" si="51"/>
        <v>0</v>
      </c>
      <c r="J147" s="340">
        <f t="shared" si="59"/>
        <v>0</v>
      </c>
      <c r="K147" s="340">
        <f t="shared" si="60"/>
        <v>0</v>
      </c>
      <c r="L147" s="382">
        <f t="shared" si="63"/>
        <v>47119</v>
      </c>
      <c r="M147" s="382">
        <f t="shared" si="64"/>
        <v>47484</v>
      </c>
      <c r="N147" s="382">
        <f t="shared" si="65"/>
        <v>46753</v>
      </c>
      <c r="O147" s="340">
        <f t="shared" si="52"/>
        <v>0</v>
      </c>
      <c r="P147" s="340">
        <f t="shared" ref="P147:P178" si="69">IF(R147&gt;$C$21,$C$21-I147,IF(X147=0,0,S147))</f>
        <v>0</v>
      </c>
      <c r="Q147" s="340">
        <f t="shared" si="66"/>
        <v>0</v>
      </c>
      <c r="R147" s="340">
        <f t="shared" si="53"/>
        <v>0</v>
      </c>
      <c r="S147" s="340">
        <f t="shared" si="68"/>
        <v>0</v>
      </c>
      <c r="T147" s="340">
        <f t="shared" si="54"/>
        <v>0</v>
      </c>
      <c r="U147" s="340">
        <f t="shared" si="61"/>
        <v>0</v>
      </c>
      <c r="V147" s="340">
        <f t="shared" si="55"/>
        <v>0</v>
      </c>
      <c r="W147" s="198">
        <f t="shared" si="67"/>
        <v>0</v>
      </c>
      <c r="X147" s="36">
        <f t="shared" si="56"/>
        <v>0</v>
      </c>
      <c r="Y147" s="2"/>
      <c r="Z147" s="34">
        <f t="shared" si="57"/>
        <v>0</v>
      </c>
      <c r="AA147" s="57">
        <f t="shared" si="58"/>
        <v>92638</v>
      </c>
      <c r="AB147" s="96"/>
      <c r="AC147" s="96"/>
      <c r="AD147" s="96"/>
      <c r="AE147" s="96"/>
      <c r="AF147" s="96"/>
      <c r="AG147" s="96"/>
      <c r="AH147" s="96"/>
      <c r="AI147" s="96"/>
    </row>
    <row r="148" spans="1:35" s="16" customFormat="1" ht="12" x14ac:dyDescent="0.25">
      <c r="A148" s="2"/>
      <c r="B148" s="2"/>
      <c r="C148" s="2"/>
      <c r="D148" s="13"/>
      <c r="E148" s="2"/>
      <c r="F148" s="383">
        <f t="shared" si="62"/>
        <v>137</v>
      </c>
      <c r="G148" s="384">
        <f t="shared" si="49"/>
        <v>47169</v>
      </c>
      <c r="H148" s="340">
        <f t="shared" si="50"/>
        <v>0</v>
      </c>
      <c r="I148" s="340">
        <f t="shared" si="51"/>
        <v>0</v>
      </c>
      <c r="J148" s="340">
        <f t="shared" si="59"/>
        <v>0</v>
      </c>
      <c r="K148" s="340">
        <f t="shared" si="60"/>
        <v>0</v>
      </c>
      <c r="L148" s="382">
        <f t="shared" si="63"/>
        <v>47119</v>
      </c>
      <c r="M148" s="382">
        <f t="shared" si="64"/>
        <v>47484</v>
      </c>
      <c r="N148" s="382">
        <f t="shared" si="65"/>
        <v>46753</v>
      </c>
      <c r="O148" s="340">
        <f t="shared" si="52"/>
        <v>0</v>
      </c>
      <c r="P148" s="340">
        <f t="shared" si="69"/>
        <v>0</v>
      </c>
      <c r="Q148" s="340">
        <f t="shared" si="66"/>
        <v>0</v>
      </c>
      <c r="R148" s="340">
        <f t="shared" si="53"/>
        <v>0</v>
      </c>
      <c r="S148" s="340">
        <f t="shared" si="68"/>
        <v>0</v>
      </c>
      <c r="T148" s="340">
        <f t="shared" si="54"/>
        <v>0</v>
      </c>
      <c r="U148" s="340">
        <f t="shared" si="61"/>
        <v>0</v>
      </c>
      <c r="V148" s="340">
        <f t="shared" si="55"/>
        <v>0</v>
      </c>
      <c r="W148" s="198">
        <f t="shared" si="67"/>
        <v>0</v>
      </c>
      <c r="X148" s="36">
        <f t="shared" si="56"/>
        <v>0</v>
      </c>
      <c r="Y148" s="2"/>
      <c r="Z148" s="34">
        <f t="shared" si="57"/>
        <v>0</v>
      </c>
      <c r="AA148" s="57">
        <f t="shared" si="58"/>
        <v>93003</v>
      </c>
      <c r="AB148" s="96"/>
      <c r="AC148" s="96"/>
      <c r="AD148" s="96"/>
      <c r="AE148" s="96"/>
      <c r="AF148" s="96"/>
      <c r="AG148" s="96"/>
      <c r="AH148" s="96"/>
      <c r="AI148" s="96"/>
    </row>
    <row r="149" spans="1:35" s="16" customFormat="1" ht="12" x14ac:dyDescent="0.25">
      <c r="A149" s="2"/>
      <c r="B149" s="2"/>
      <c r="C149" s="2"/>
      <c r="D149" s="2"/>
      <c r="E149" s="2"/>
      <c r="F149" s="383">
        <f t="shared" si="62"/>
        <v>138</v>
      </c>
      <c r="G149" s="384">
        <f t="shared" si="49"/>
        <v>47197</v>
      </c>
      <c r="H149" s="340">
        <f t="shared" si="50"/>
        <v>0</v>
      </c>
      <c r="I149" s="340">
        <f t="shared" si="51"/>
        <v>0</v>
      </c>
      <c r="J149" s="340">
        <f t="shared" si="59"/>
        <v>0</v>
      </c>
      <c r="K149" s="340">
        <f t="shared" si="60"/>
        <v>0</v>
      </c>
      <c r="L149" s="382">
        <f t="shared" si="63"/>
        <v>47119</v>
      </c>
      <c r="M149" s="382">
        <f t="shared" si="64"/>
        <v>47484</v>
      </c>
      <c r="N149" s="382">
        <f t="shared" si="65"/>
        <v>46753</v>
      </c>
      <c r="O149" s="340">
        <f t="shared" si="52"/>
        <v>0</v>
      </c>
      <c r="P149" s="340">
        <f t="shared" si="69"/>
        <v>0</v>
      </c>
      <c r="Q149" s="340">
        <f t="shared" si="66"/>
        <v>0</v>
      </c>
      <c r="R149" s="340">
        <f t="shared" si="53"/>
        <v>0</v>
      </c>
      <c r="S149" s="340">
        <f t="shared" si="68"/>
        <v>0</v>
      </c>
      <c r="T149" s="340">
        <f t="shared" si="54"/>
        <v>0</v>
      </c>
      <c r="U149" s="340">
        <f t="shared" si="61"/>
        <v>0</v>
      </c>
      <c r="V149" s="340">
        <f t="shared" si="55"/>
        <v>0</v>
      </c>
      <c r="W149" s="198">
        <f t="shared" si="67"/>
        <v>0</v>
      </c>
      <c r="X149" s="36">
        <f t="shared" si="56"/>
        <v>0</v>
      </c>
      <c r="Y149" s="2"/>
      <c r="Z149" s="34">
        <f t="shared" si="57"/>
        <v>0</v>
      </c>
      <c r="AA149" s="57">
        <f t="shared" si="58"/>
        <v>93368</v>
      </c>
      <c r="AB149" s="96"/>
      <c r="AC149" s="96"/>
      <c r="AD149" s="96"/>
      <c r="AE149" s="96"/>
      <c r="AF149" s="96"/>
      <c r="AG149" s="96"/>
      <c r="AH149" s="96"/>
      <c r="AI149" s="96"/>
    </row>
    <row r="150" spans="1:35" s="16" customFormat="1" ht="12" x14ac:dyDescent="0.25">
      <c r="A150" s="2"/>
      <c r="B150" s="2"/>
      <c r="C150" s="2"/>
      <c r="D150" s="2"/>
      <c r="E150" s="2"/>
      <c r="F150" s="383">
        <f t="shared" si="62"/>
        <v>139</v>
      </c>
      <c r="G150" s="384">
        <f t="shared" si="49"/>
        <v>47228</v>
      </c>
      <c r="H150" s="340">
        <f t="shared" si="50"/>
        <v>0</v>
      </c>
      <c r="I150" s="340">
        <f t="shared" si="51"/>
        <v>0</v>
      </c>
      <c r="J150" s="340">
        <f t="shared" si="59"/>
        <v>0</v>
      </c>
      <c r="K150" s="340">
        <f t="shared" si="60"/>
        <v>0</v>
      </c>
      <c r="L150" s="382">
        <f t="shared" si="63"/>
        <v>47119</v>
      </c>
      <c r="M150" s="382">
        <f t="shared" si="64"/>
        <v>47484</v>
      </c>
      <c r="N150" s="382">
        <f t="shared" si="65"/>
        <v>46753</v>
      </c>
      <c r="O150" s="340">
        <f t="shared" si="52"/>
        <v>0</v>
      </c>
      <c r="P150" s="340">
        <f t="shared" si="69"/>
        <v>0</v>
      </c>
      <c r="Q150" s="340">
        <f t="shared" si="66"/>
        <v>0</v>
      </c>
      <c r="R150" s="340">
        <f t="shared" si="53"/>
        <v>0</v>
      </c>
      <c r="S150" s="340">
        <f t="shared" si="68"/>
        <v>0</v>
      </c>
      <c r="T150" s="340">
        <f t="shared" si="54"/>
        <v>0</v>
      </c>
      <c r="U150" s="340">
        <f t="shared" si="61"/>
        <v>0</v>
      </c>
      <c r="V150" s="340">
        <f t="shared" si="55"/>
        <v>0</v>
      </c>
      <c r="W150" s="198">
        <f t="shared" si="67"/>
        <v>0</v>
      </c>
      <c r="X150" s="36">
        <f t="shared" si="56"/>
        <v>0</v>
      </c>
      <c r="Y150" s="2"/>
      <c r="Z150" s="34">
        <f t="shared" si="57"/>
        <v>0</v>
      </c>
      <c r="AA150" s="57">
        <f t="shared" si="58"/>
        <v>93733</v>
      </c>
      <c r="AB150" s="96"/>
      <c r="AC150" s="96"/>
      <c r="AD150" s="96"/>
      <c r="AE150" s="96"/>
      <c r="AF150" s="96"/>
      <c r="AG150" s="96"/>
      <c r="AH150" s="96"/>
      <c r="AI150" s="96"/>
    </row>
    <row r="151" spans="1:35" s="16" customFormat="1" ht="12" x14ac:dyDescent="0.25">
      <c r="A151" s="2"/>
      <c r="B151" s="2"/>
      <c r="C151" s="2"/>
      <c r="D151" s="2"/>
      <c r="E151" s="2"/>
      <c r="F151" s="383">
        <f t="shared" si="62"/>
        <v>140</v>
      </c>
      <c r="G151" s="384">
        <f t="shared" si="49"/>
        <v>47258</v>
      </c>
      <c r="H151" s="340">
        <f t="shared" si="50"/>
        <v>0</v>
      </c>
      <c r="I151" s="340">
        <f t="shared" si="51"/>
        <v>0</v>
      </c>
      <c r="J151" s="340">
        <f t="shared" si="59"/>
        <v>0</v>
      </c>
      <c r="K151" s="340">
        <f t="shared" si="60"/>
        <v>0</v>
      </c>
      <c r="L151" s="382">
        <f t="shared" si="63"/>
        <v>47119</v>
      </c>
      <c r="M151" s="382">
        <f t="shared" si="64"/>
        <v>47484</v>
      </c>
      <c r="N151" s="382">
        <f t="shared" si="65"/>
        <v>46753</v>
      </c>
      <c r="O151" s="340">
        <f t="shared" si="52"/>
        <v>0</v>
      </c>
      <c r="P151" s="340">
        <f t="shared" si="69"/>
        <v>0</v>
      </c>
      <c r="Q151" s="340">
        <f t="shared" si="66"/>
        <v>0</v>
      </c>
      <c r="R151" s="340">
        <f t="shared" si="53"/>
        <v>0</v>
      </c>
      <c r="S151" s="340">
        <f t="shared" si="68"/>
        <v>0</v>
      </c>
      <c r="T151" s="340">
        <f t="shared" si="54"/>
        <v>0</v>
      </c>
      <c r="U151" s="340">
        <f t="shared" si="61"/>
        <v>0</v>
      </c>
      <c r="V151" s="340">
        <f t="shared" si="55"/>
        <v>0</v>
      </c>
      <c r="W151" s="198">
        <f t="shared" si="67"/>
        <v>0</v>
      </c>
      <c r="X151" s="36">
        <f t="shared" si="56"/>
        <v>0</v>
      </c>
      <c r="Y151" s="2"/>
      <c r="Z151" s="34">
        <f t="shared" si="57"/>
        <v>0</v>
      </c>
      <c r="AA151" s="57">
        <f t="shared" si="58"/>
        <v>94098</v>
      </c>
      <c r="AB151" s="96"/>
      <c r="AC151" s="96"/>
      <c r="AD151" s="96"/>
      <c r="AE151" s="96"/>
      <c r="AF151" s="96"/>
      <c r="AG151" s="96"/>
      <c r="AH151" s="96"/>
      <c r="AI151" s="96"/>
    </row>
    <row r="152" spans="1:35" s="16" customFormat="1" ht="12" x14ac:dyDescent="0.25">
      <c r="A152" s="2"/>
      <c r="B152" s="2"/>
      <c r="C152" s="2"/>
      <c r="D152" s="2"/>
      <c r="E152" s="2"/>
      <c r="F152" s="383">
        <f t="shared" si="62"/>
        <v>141</v>
      </c>
      <c r="G152" s="384">
        <f t="shared" si="49"/>
        <v>47289</v>
      </c>
      <c r="H152" s="340">
        <f t="shared" si="50"/>
        <v>0</v>
      </c>
      <c r="I152" s="340">
        <f t="shared" si="51"/>
        <v>0</v>
      </c>
      <c r="J152" s="340">
        <f t="shared" si="59"/>
        <v>0</v>
      </c>
      <c r="K152" s="340">
        <f t="shared" si="60"/>
        <v>0</v>
      </c>
      <c r="L152" s="382">
        <f t="shared" si="63"/>
        <v>47119</v>
      </c>
      <c r="M152" s="382">
        <f t="shared" si="64"/>
        <v>47484</v>
      </c>
      <c r="N152" s="382">
        <f t="shared" si="65"/>
        <v>46753</v>
      </c>
      <c r="O152" s="340">
        <f t="shared" si="52"/>
        <v>0</v>
      </c>
      <c r="P152" s="340">
        <f t="shared" si="69"/>
        <v>0</v>
      </c>
      <c r="Q152" s="340">
        <f t="shared" si="66"/>
        <v>0</v>
      </c>
      <c r="R152" s="340">
        <f t="shared" si="53"/>
        <v>0</v>
      </c>
      <c r="S152" s="340">
        <f t="shared" si="68"/>
        <v>0</v>
      </c>
      <c r="T152" s="340">
        <f t="shared" si="54"/>
        <v>0</v>
      </c>
      <c r="U152" s="340">
        <f t="shared" si="61"/>
        <v>0</v>
      </c>
      <c r="V152" s="340">
        <f t="shared" si="55"/>
        <v>0</v>
      </c>
      <c r="W152" s="198">
        <f t="shared" si="67"/>
        <v>0</v>
      </c>
      <c r="X152" s="36">
        <f t="shared" si="56"/>
        <v>0</v>
      </c>
      <c r="Y152" s="2"/>
      <c r="Z152" s="34">
        <f t="shared" si="57"/>
        <v>0</v>
      </c>
      <c r="AA152" s="57">
        <f t="shared" si="58"/>
        <v>94463</v>
      </c>
      <c r="AB152" s="96"/>
      <c r="AC152" s="96"/>
      <c r="AD152" s="96"/>
      <c r="AE152" s="96"/>
      <c r="AF152" s="96"/>
      <c r="AG152" s="96"/>
      <c r="AH152" s="96"/>
      <c r="AI152" s="96"/>
    </row>
    <row r="153" spans="1:35" s="16" customFormat="1" ht="12" x14ac:dyDescent="0.25">
      <c r="A153" s="2"/>
      <c r="B153" s="2"/>
      <c r="C153" s="2"/>
      <c r="D153" s="2"/>
      <c r="E153" s="2"/>
      <c r="F153" s="383">
        <f t="shared" si="62"/>
        <v>142</v>
      </c>
      <c r="G153" s="384">
        <f t="shared" si="49"/>
        <v>47319</v>
      </c>
      <c r="H153" s="340">
        <f t="shared" si="50"/>
        <v>0</v>
      </c>
      <c r="I153" s="340">
        <f t="shared" si="51"/>
        <v>0</v>
      </c>
      <c r="J153" s="340">
        <f t="shared" si="59"/>
        <v>0</v>
      </c>
      <c r="K153" s="340">
        <f t="shared" si="60"/>
        <v>0</v>
      </c>
      <c r="L153" s="382">
        <f t="shared" si="63"/>
        <v>47119</v>
      </c>
      <c r="M153" s="382">
        <f t="shared" si="64"/>
        <v>47484</v>
      </c>
      <c r="N153" s="382">
        <f t="shared" si="65"/>
        <v>46753</v>
      </c>
      <c r="O153" s="340">
        <f t="shared" si="52"/>
        <v>0</v>
      </c>
      <c r="P153" s="340">
        <f t="shared" si="69"/>
        <v>0</v>
      </c>
      <c r="Q153" s="340">
        <f t="shared" si="66"/>
        <v>0</v>
      </c>
      <c r="R153" s="340">
        <f t="shared" si="53"/>
        <v>0</v>
      </c>
      <c r="S153" s="340">
        <f t="shared" si="68"/>
        <v>0</v>
      </c>
      <c r="T153" s="340">
        <f t="shared" si="54"/>
        <v>0</v>
      </c>
      <c r="U153" s="340">
        <f t="shared" si="61"/>
        <v>0</v>
      </c>
      <c r="V153" s="340">
        <f t="shared" si="55"/>
        <v>0</v>
      </c>
      <c r="W153" s="198">
        <f t="shared" si="67"/>
        <v>0</v>
      </c>
      <c r="X153" s="36">
        <f t="shared" si="56"/>
        <v>0</v>
      </c>
      <c r="Y153" s="2"/>
      <c r="Z153" s="34">
        <f t="shared" si="57"/>
        <v>0</v>
      </c>
      <c r="AA153" s="57">
        <f t="shared" si="58"/>
        <v>94828</v>
      </c>
      <c r="AB153" s="96"/>
      <c r="AC153" s="96"/>
      <c r="AD153" s="96"/>
      <c r="AE153" s="96"/>
      <c r="AF153" s="96"/>
      <c r="AG153" s="96"/>
      <c r="AH153" s="96"/>
      <c r="AI153" s="96"/>
    </row>
    <row r="154" spans="1:35" s="16" customFormat="1" ht="12" x14ac:dyDescent="0.25">
      <c r="A154" s="2"/>
      <c r="B154" s="2"/>
      <c r="C154" s="2"/>
      <c r="D154" s="2"/>
      <c r="E154" s="2"/>
      <c r="F154" s="383">
        <f t="shared" si="62"/>
        <v>143</v>
      </c>
      <c r="G154" s="384">
        <f t="shared" si="49"/>
        <v>47350</v>
      </c>
      <c r="H154" s="340">
        <f t="shared" si="50"/>
        <v>0</v>
      </c>
      <c r="I154" s="340">
        <f t="shared" si="51"/>
        <v>0</v>
      </c>
      <c r="J154" s="340">
        <f t="shared" si="59"/>
        <v>0</v>
      </c>
      <c r="K154" s="340">
        <f t="shared" si="60"/>
        <v>0</v>
      </c>
      <c r="L154" s="382">
        <f t="shared" si="63"/>
        <v>47119</v>
      </c>
      <c r="M154" s="382">
        <f t="shared" si="64"/>
        <v>47484</v>
      </c>
      <c r="N154" s="382">
        <f t="shared" si="65"/>
        <v>46753</v>
      </c>
      <c r="O154" s="340">
        <f t="shared" si="52"/>
        <v>0</v>
      </c>
      <c r="P154" s="340">
        <f t="shared" si="69"/>
        <v>0</v>
      </c>
      <c r="Q154" s="340">
        <f t="shared" si="66"/>
        <v>0</v>
      </c>
      <c r="R154" s="340">
        <f t="shared" si="53"/>
        <v>0</v>
      </c>
      <c r="S154" s="340">
        <f t="shared" si="68"/>
        <v>0</v>
      </c>
      <c r="T154" s="340">
        <f t="shared" si="54"/>
        <v>0</v>
      </c>
      <c r="U154" s="340">
        <f t="shared" si="61"/>
        <v>0</v>
      </c>
      <c r="V154" s="340">
        <f t="shared" si="55"/>
        <v>0</v>
      </c>
      <c r="W154" s="198">
        <f t="shared" si="67"/>
        <v>0</v>
      </c>
      <c r="X154" s="36">
        <f t="shared" si="56"/>
        <v>0</v>
      </c>
      <c r="Y154" s="2"/>
      <c r="Z154" s="34">
        <f t="shared" si="57"/>
        <v>0</v>
      </c>
      <c r="AA154" s="57">
        <f t="shared" si="58"/>
        <v>95193</v>
      </c>
      <c r="AB154" s="96"/>
      <c r="AC154" s="96"/>
      <c r="AD154" s="96"/>
      <c r="AE154" s="96"/>
      <c r="AF154" s="96"/>
      <c r="AG154" s="96"/>
      <c r="AH154" s="96"/>
      <c r="AI154" s="96"/>
    </row>
    <row r="155" spans="1:35" s="16" customFormat="1" ht="12" x14ac:dyDescent="0.25">
      <c r="A155" s="2"/>
      <c r="B155" s="2"/>
      <c r="C155" s="2"/>
      <c r="D155" s="2"/>
      <c r="E155" s="2"/>
      <c r="F155" s="383">
        <f t="shared" si="62"/>
        <v>144</v>
      </c>
      <c r="G155" s="384">
        <f t="shared" si="49"/>
        <v>47381</v>
      </c>
      <c r="H155" s="340">
        <f t="shared" si="50"/>
        <v>0</v>
      </c>
      <c r="I155" s="340">
        <f t="shared" si="51"/>
        <v>0</v>
      </c>
      <c r="J155" s="340">
        <f t="shared" si="59"/>
        <v>0</v>
      </c>
      <c r="K155" s="340">
        <f t="shared" si="60"/>
        <v>0</v>
      </c>
      <c r="L155" s="382">
        <f t="shared" si="63"/>
        <v>47119</v>
      </c>
      <c r="M155" s="382">
        <f t="shared" si="64"/>
        <v>47484</v>
      </c>
      <c r="N155" s="382">
        <f t="shared" si="65"/>
        <v>46753</v>
      </c>
      <c r="O155" s="340">
        <f t="shared" si="52"/>
        <v>0</v>
      </c>
      <c r="P155" s="340">
        <f t="shared" si="69"/>
        <v>0</v>
      </c>
      <c r="Q155" s="340">
        <f t="shared" si="66"/>
        <v>0</v>
      </c>
      <c r="R155" s="340">
        <f t="shared" si="53"/>
        <v>0</v>
      </c>
      <c r="S155" s="340">
        <f t="shared" si="68"/>
        <v>0</v>
      </c>
      <c r="T155" s="340">
        <f t="shared" si="54"/>
        <v>0</v>
      </c>
      <c r="U155" s="340">
        <f t="shared" si="61"/>
        <v>0</v>
      </c>
      <c r="V155" s="340">
        <f t="shared" si="55"/>
        <v>0</v>
      </c>
      <c r="W155" s="198">
        <f t="shared" si="67"/>
        <v>0</v>
      </c>
      <c r="X155" s="36">
        <f t="shared" si="56"/>
        <v>0</v>
      </c>
      <c r="Y155" s="2"/>
      <c r="Z155" s="34">
        <f t="shared" si="57"/>
        <v>0</v>
      </c>
      <c r="AA155" s="57">
        <f t="shared" si="58"/>
        <v>95558</v>
      </c>
      <c r="AB155" s="96"/>
      <c r="AC155" s="96"/>
      <c r="AD155" s="96"/>
      <c r="AE155" s="96"/>
      <c r="AF155" s="96"/>
      <c r="AG155" s="96"/>
      <c r="AH155" s="96"/>
      <c r="AI155" s="96"/>
    </row>
    <row r="156" spans="1:35" s="16" customFormat="1" ht="12" x14ac:dyDescent="0.25">
      <c r="A156" s="2"/>
      <c r="B156" s="2"/>
      <c r="C156" s="2"/>
      <c r="D156" s="2"/>
      <c r="E156" s="2"/>
      <c r="F156" s="383">
        <f t="shared" si="62"/>
        <v>145</v>
      </c>
      <c r="G156" s="384">
        <f t="shared" si="49"/>
        <v>47411</v>
      </c>
      <c r="H156" s="340">
        <f t="shared" si="50"/>
        <v>0</v>
      </c>
      <c r="I156" s="340">
        <f t="shared" si="51"/>
        <v>0</v>
      </c>
      <c r="J156" s="340">
        <f t="shared" si="59"/>
        <v>0</v>
      </c>
      <c r="K156" s="340">
        <f t="shared" si="60"/>
        <v>0</v>
      </c>
      <c r="L156" s="382">
        <f t="shared" si="63"/>
        <v>47119</v>
      </c>
      <c r="M156" s="382">
        <f t="shared" si="64"/>
        <v>47484</v>
      </c>
      <c r="N156" s="382">
        <f t="shared" si="65"/>
        <v>46753</v>
      </c>
      <c r="O156" s="340">
        <f t="shared" si="52"/>
        <v>0</v>
      </c>
      <c r="P156" s="340">
        <f t="shared" si="69"/>
        <v>0</v>
      </c>
      <c r="Q156" s="340">
        <f t="shared" si="66"/>
        <v>0</v>
      </c>
      <c r="R156" s="340">
        <f t="shared" si="53"/>
        <v>0</v>
      </c>
      <c r="S156" s="340">
        <f t="shared" si="68"/>
        <v>0</v>
      </c>
      <c r="T156" s="340">
        <f t="shared" si="54"/>
        <v>0</v>
      </c>
      <c r="U156" s="340">
        <f t="shared" si="61"/>
        <v>0</v>
      </c>
      <c r="V156" s="340">
        <f t="shared" si="55"/>
        <v>0</v>
      </c>
      <c r="W156" s="198">
        <f t="shared" si="67"/>
        <v>0</v>
      </c>
      <c r="X156" s="36">
        <f t="shared" si="56"/>
        <v>0</v>
      </c>
      <c r="Y156" s="2"/>
      <c r="Z156" s="34">
        <f t="shared" si="57"/>
        <v>0</v>
      </c>
      <c r="AA156" s="57">
        <f t="shared" si="58"/>
        <v>95923</v>
      </c>
      <c r="AB156" s="96"/>
      <c r="AC156" s="96"/>
      <c r="AD156" s="96"/>
      <c r="AE156" s="96"/>
      <c r="AF156" s="96"/>
      <c r="AG156" s="96"/>
      <c r="AH156" s="96"/>
      <c r="AI156" s="96"/>
    </row>
    <row r="157" spans="1:35" s="16" customFormat="1" ht="12" x14ac:dyDescent="0.25">
      <c r="A157" s="2"/>
      <c r="B157" s="2"/>
      <c r="C157" s="2"/>
      <c r="D157" s="2"/>
      <c r="E157" s="2"/>
      <c r="F157" s="383">
        <f t="shared" si="62"/>
        <v>146</v>
      </c>
      <c r="G157" s="384">
        <f t="shared" si="49"/>
        <v>47442</v>
      </c>
      <c r="H157" s="340">
        <f t="shared" si="50"/>
        <v>0</v>
      </c>
      <c r="I157" s="340">
        <f t="shared" si="51"/>
        <v>0</v>
      </c>
      <c r="J157" s="340">
        <f t="shared" si="59"/>
        <v>0</v>
      </c>
      <c r="K157" s="340">
        <f t="shared" si="60"/>
        <v>0</v>
      </c>
      <c r="L157" s="382">
        <f t="shared" si="63"/>
        <v>47119</v>
      </c>
      <c r="M157" s="382">
        <f t="shared" si="64"/>
        <v>47484</v>
      </c>
      <c r="N157" s="382">
        <f t="shared" si="65"/>
        <v>46753</v>
      </c>
      <c r="O157" s="340">
        <f t="shared" si="52"/>
        <v>0</v>
      </c>
      <c r="P157" s="340">
        <f t="shared" si="69"/>
        <v>0</v>
      </c>
      <c r="Q157" s="340">
        <f t="shared" si="66"/>
        <v>0</v>
      </c>
      <c r="R157" s="340">
        <f t="shared" si="53"/>
        <v>0</v>
      </c>
      <c r="S157" s="340">
        <f t="shared" si="68"/>
        <v>0</v>
      </c>
      <c r="T157" s="340">
        <f t="shared" si="54"/>
        <v>0</v>
      </c>
      <c r="U157" s="340">
        <f t="shared" si="61"/>
        <v>0</v>
      </c>
      <c r="V157" s="340">
        <f t="shared" si="55"/>
        <v>0</v>
      </c>
      <c r="W157" s="198">
        <f t="shared" si="67"/>
        <v>0</v>
      </c>
      <c r="X157" s="36">
        <f t="shared" si="56"/>
        <v>0</v>
      </c>
      <c r="Y157" s="2"/>
      <c r="Z157" s="34">
        <f t="shared" si="57"/>
        <v>0</v>
      </c>
      <c r="AA157" s="57">
        <f t="shared" si="58"/>
        <v>96288</v>
      </c>
      <c r="AB157" s="96"/>
      <c r="AC157" s="96"/>
      <c r="AD157" s="96"/>
      <c r="AE157" s="96"/>
      <c r="AF157" s="96"/>
      <c r="AG157" s="96"/>
      <c r="AH157" s="96"/>
      <c r="AI157" s="96"/>
    </row>
    <row r="158" spans="1:35" s="16" customFormat="1" ht="12" x14ac:dyDescent="0.25">
      <c r="A158" s="53"/>
      <c r="C158" s="2"/>
      <c r="D158" s="2"/>
      <c r="E158" s="2"/>
      <c r="F158" s="383">
        <f t="shared" si="62"/>
        <v>147</v>
      </c>
      <c r="G158" s="384">
        <f t="shared" si="49"/>
        <v>47472</v>
      </c>
      <c r="H158" s="340">
        <f t="shared" si="50"/>
        <v>0</v>
      </c>
      <c r="I158" s="340">
        <f t="shared" si="51"/>
        <v>0</v>
      </c>
      <c r="J158" s="340">
        <f t="shared" si="59"/>
        <v>0</v>
      </c>
      <c r="K158" s="340">
        <f t="shared" si="60"/>
        <v>0</v>
      </c>
      <c r="L158" s="382">
        <f t="shared" si="63"/>
        <v>47119</v>
      </c>
      <c r="M158" s="382">
        <f t="shared" si="64"/>
        <v>47484</v>
      </c>
      <c r="N158" s="382">
        <f t="shared" si="65"/>
        <v>46753</v>
      </c>
      <c r="O158" s="340">
        <f t="shared" si="52"/>
        <v>0</v>
      </c>
      <c r="P158" s="340">
        <f t="shared" si="69"/>
        <v>0</v>
      </c>
      <c r="Q158" s="340">
        <f t="shared" si="66"/>
        <v>0</v>
      </c>
      <c r="R158" s="340">
        <f t="shared" si="53"/>
        <v>0</v>
      </c>
      <c r="S158" s="340">
        <f t="shared" si="68"/>
        <v>0</v>
      </c>
      <c r="T158" s="340">
        <f t="shared" si="54"/>
        <v>0</v>
      </c>
      <c r="U158" s="340">
        <f t="shared" si="61"/>
        <v>0</v>
      </c>
      <c r="V158" s="340">
        <f t="shared" si="55"/>
        <v>0</v>
      </c>
      <c r="W158" s="198">
        <f t="shared" si="67"/>
        <v>0</v>
      </c>
      <c r="X158" s="36">
        <f t="shared" si="56"/>
        <v>0</v>
      </c>
      <c r="Y158" s="2"/>
      <c r="Z158" s="34">
        <f t="shared" si="57"/>
        <v>0</v>
      </c>
      <c r="AA158" s="57">
        <f t="shared" si="58"/>
        <v>96653</v>
      </c>
      <c r="AB158" s="96"/>
      <c r="AC158" s="96"/>
      <c r="AD158" s="96"/>
      <c r="AE158" s="96"/>
      <c r="AF158" s="96"/>
      <c r="AG158" s="96"/>
      <c r="AH158" s="96"/>
      <c r="AI158" s="96"/>
    </row>
    <row r="159" spans="1:35" s="16" customFormat="1" ht="12" x14ac:dyDescent="0.25">
      <c r="A159" s="53"/>
      <c r="B159" s="2"/>
      <c r="C159" s="2"/>
      <c r="D159" s="13"/>
      <c r="E159" s="2"/>
      <c r="F159" s="383">
        <f t="shared" si="62"/>
        <v>148</v>
      </c>
      <c r="G159" s="384">
        <f t="shared" si="49"/>
        <v>47503</v>
      </c>
      <c r="H159" s="340">
        <f t="shared" si="50"/>
        <v>0</v>
      </c>
      <c r="I159" s="340">
        <f t="shared" si="51"/>
        <v>0</v>
      </c>
      <c r="J159" s="340">
        <f t="shared" si="59"/>
        <v>0</v>
      </c>
      <c r="K159" s="340">
        <f t="shared" si="60"/>
        <v>0</v>
      </c>
      <c r="L159" s="382">
        <f t="shared" si="63"/>
        <v>47484</v>
      </c>
      <c r="M159" s="382">
        <f t="shared" si="64"/>
        <v>47849</v>
      </c>
      <c r="N159" s="382">
        <f t="shared" si="65"/>
        <v>47119</v>
      </c>
      <c r="O159" s="340">
        <f t="shared" si="52"/>
        <v>0</v>
      </c>
      <c r="P159" s="340">
        <f t="shared" si="69"/>
        <v>0</v>
      </c>
      <c r="Q159" s="340">
        <f t="shared" si="66"/>
        <v>0</v>
      </c>
      <c r="R159" s="340">
        <f t="shared" si="53"/>
        <v>0</v>
      </c>
      <c r="S159" s="340">
        <f t="shared" si="68"/>
        <v>0</v>
      </c>
      <c r="T159" s="340">
        <f t="shared" si="54"/>
        <v>0</v>
      </c>
      <c r="U159" s="340">
        <f t="shared" si="61"/>
        <v>0</v>
      </c>
      <c r="V159" s="340">
        <f t="shared" si="55"/>
        <v>0</v>
      </c>
      <c r="W159" s="198">
        <f t="shared" si="67"/>
        <v>0</v>
      </c>
      <c r="X159" s="36">
        <f t="shared" si="56"/>
        <v>0</v>
      </c>
      <c r="Y159" s="2"/>
      <c r="Z159" s="34">
        <f t="shared" si="57"/>
        <v>0</v>
      </c>
      <c r="AA159" s="57">
        <f t="shared" si="58"/>
        <v>97018</v>
      </c>
      <c r="AB159" s="96"/>
      <c r="AC159" s="96"/>
      <c r="AD159" s="96"/>
      <c r="AE159" s="96"/>
      <c r="AF159" s="96"/>
      <c r="AG159" s="96"/>
      <c r="AH159" s="96"/>
      <c r="AI159" s="96"/>
    </row>
    <row r="160" spans="1:35" s="16" customFormat="1" ht="12" x14ac:dyDescent="0.25">
      <c r="A160" s="2"/>
      <c r="B160" s="2"/>
      <c r="C160" s="1"/>
      <c r="D160" s="2"/>
      <c r="E160" s="2"/>
      <c r="F160" s="383">
        <f t="shared" si="62"/>
        <v>149</v>
      </c>
      <c r="G160" s="384">
        <f t="shared" si="49"/>
        <v>47534</v>
      </c>
      <c r="H160" s="340">
        <f t="shared" si="50"/>
        <v>0</v>
      </c>
      <c r="I160" s="340">
        <f t="shared" si="51"/>
        <v>0</v>
      </c>
      <c r="J160" s="340">
        <f t="shared" si="59"/>
        <v>0</v>
      </c>
      <c r="K160" s="340">
        <f t="shared" si="60"/>
        <v>0</v>
      </c>
      <c r="L160" s="382">
        <f t="shared" si="63"/>
        <v>47484</v>
      </c>
      <c r="M160" s="382">
        <f t="shared" si="64"/>
        <v>47849</v>
      </c>
      <c r="N160" s="382">
        <f t="shared" si="65"/>
        <v>47119</v>
      </c>
      <c r="O160" s="340">
        <f t="shared" si="52"/>
        <v>0</v>
      </c>
      <c r="P160" s="340">
        <f t="shared" si="69"/>
        <v>0</v>
      </c>
      <c r="Q160" s="340">
        <f t="shared" si="66"/>
        <v>0</v>
      </c>
      <c r="R160" s="340">
        <f t="shared" si="53"/>
        <v>0</v>
      </c>
      <c r="S160" s="340">
        <f t="shared" si="68"/>
        <v>0</v>
      </c>
      <c r="T160" s="340">
        <f t="shared" si="54"/>
        <v>0</v>
      </c>
      <c r="U160" s="340">
        <f t="shared" si="61"/>
        <v>0</v>
      </c>
      <c r="V160" s="340">
        <f t="shared" si="55"/>
        <v>0</v>
      </c>
      <c r="W160" s="198">
        <f t="shared" si="67"/>
        <v>0</v>
      </c>
      <c r="X160" s="36">
        <f t="shared" si="56"/>
        <v>0</v>
      </c>
      <c r="Y160" s="2"/>
      <c r="Z160" s="34">
        <f t="shared" si="57"/>
        <v>0</v>
      </c>
      <c r="AA160" s="57">
        <f t="shared" si="58"/>
        <v>97383</v>
      </c>
      <c r="AB160" s="96"/>
      <c r="AC160" s="96"/>
      <c r="AD160" s="96"/>
      <c r="AE160" s="96"/>
      <c r="AF160" s="96"/>
      <c r="AG160" s="96"/>
      <c r="AH160" s="96"/>
      <c r="AI160" s="96"/>
    </row>
    <row r="161" spans="1:35" s="16" customFormat="1" ht="12" x14ac:dyDescent="0.25">
      <c r="A161" s="2"/>
      <c r="B161" s="2"/>
      <c r="C161" s="98"/>
      <c r="D161" s="1"/>
      <c r="E161" s="2"/>
      <c r="F161" s="383">
        <f t="shared" si="62"/>
        <v>150</v>
      </c>
      <c r="G161" s="384">
        <f t="shared" si="49"/>
        <v>47562</v>
      </c>
      <c r="H161" s="340">
        <f t="shared" si="50"/>
        <v>0</v>
      </c>
      <c r="I161" s="340">
        <f t="shared" si="51"/>
        <v>0</v>
      </c>
      <c r="J161" s="340">
        <f t="shared" si="59"/>
        <v>0</v>
      </c>
      <c r="K161" s="340">
        <f t="shared" si="60"/>
        <v>0</v>
      </c>
      <c r="L161" s="382">
        <f t="shared" si="63"/>
        <v>47484</v>
      </c>
      <c r="M161" s="382">
        <f t="shared" si="64"/>
        <v>47849</v>
      </c>
      <c r="N161" s="382">
        <f t="shared" si="65"/>
        <v>47119</v>
      </c>
      <c r="O161" s="340">
        <f t="shared" si="52"/>
        <v>0</v>
      </c>
      <c r="P161" s="340">
        <f t="shared" si="69"/>
        <v>0</v>
      </c>
      <c r="Q161" s="340">
        <f t="shared" si="66"/>
        <v>0</v>
      </c>
      <c r="R161" s="340">
        <f t="shared" si="53"/>
        <v>0</v>
      </c>
      <c r="S161" s="340">
        <f t="shared" si="68"/>
        <v>0</v>
      </c>
      <c r="T161" s="340">
        <f t="shared" si="54"/>
        <v>0</v>
      </c>
      <c r="U161" s="340">
        <f t="shared" si="61"/>
        <v>0</v>
      </c>
      <c r="V161" s="340">
        <f t="shared" si="55"/>
        <v>0</v>
      </c>
      <c r="W161" s="198">
        <f t="shared" si="67"/>
        <v>0</v>
      </c>
      <c r="X161" s="36">
        <f t="shared" si="56"/>
        <v>0</v>
      </c>
      <c r="Y161" s="2"/>
      <c r="Z161" s="34">
        <f t="shared" si="57"/>
        <v>0</v>
      </c>
      <c r="AA161" s="57">
        <f t="shared" si="58"/>
        <v>97748</v>
      </c>
      <c r="AB161" s="96"/>
      <c r="AC161" s="96"/>
      <c r="AD161" s="96"/>
      <c r="AE161" s="96"/>
      <c r="AF161" s="96"/>
      <c r="AG161" s="96"/>
      <c r="AH161" s="96"/>
      <c r="AI161" s="96"/>
    </row>
    <row r="162" spans="1:35" s="16" customFormat="1" ht="12" x14ac:dyDescent="0.25">
      <c r="A162" s="2"/>
      <c r="B162" s="2"/>
      <c r="C162" s="2"/>
      <c r="D162" s="13"/>
      <c r="E162" s="2"/>
      <c r="F162" s="383">
        <f t="shared" si="62"/>
        <v>151</v>
      </c>
      <c r="G162" s="384">
        <f t="shared" si="49"/>
        <v>47593</v>
      </c>
      <c r="H162" s="340">
        <f t="shared" si="50"/>
        <v>0</v>
      </c>
      <c r="I162" s="340">
        <f t="shared" si="51"/>
        <v>0</v>
      </c>
      <c r="J162" s="340">
        <f t="shared" si="59"/>
        <v>0</v>
      </c>
      <c r="K162" s="340">
        <f t="shared" si="60"/>
        <v>0</v>
      </c>
      <c r="L162" s="382">
        <f t="shared" si="63"/>
        <v>47484</v>
      </c>
      <c r="M162" s="382">
        <f t="shared" si="64"/>
        <v>47849</v>
      </c>
      <c r="N162" s="382">
        <f t="shared" si="65"/>
        <v>47119</v>
      </c>
      <c r="O162" s="340">
        <f t="shared" si="52"/>
        <v>0</v>
      </c>
      <c r="P162" s="340">
        <f t="shared" si="69"/>
        <v>0</v>
      </c>
      <c r="Q162" s="340">
        <f t="shared" si="66"/>
        <v>0</v>
      </c>
      <c r="R162" s="340">
        <f t="shared" si="53"/>
        <v>0</v>
      </c>
      <c r="S162" s="340">
        <f t="shared" si="68"/>
        <v>0</v>
      </c>
      <c r="T162" s="340">
        <f t="shared" si="54"/>
        <v>0</v>
      </c>
      <c r="U162" s="340">
        <f t="shared" si="61"/>
        <v>0</v>
      </c>
      <c r="V162" s="340">
        <f t="shared" si="55"/>
        <v>0</v>
      </c>
      <c r="W162" s="198">
        <f t="shared" si="67"/>
        <v>0</v>
      </c>
      <c r="X162" s="36">
        <f t="shared" si="56"/>
        <v>0</v>
      </c>
      <c r="Y162" s="2"/>
      <c r="Z162" s="34">
        <f t="shared" si="57"/>
        <v>0</v>
      </c>
      <c r="AA162" s="57">
        <f t="shared" si="58"/>
        <v>98113</v>
      </c>
      <c r="AB162" s="96"/>
      <c r="AC162" s="96"/>
      <c r="AD162" s="96"/>
      <c r="AE162" s="96"/>
      <c r="AF162" s="96"/>
      <c r="AG162" s="96"/>
      <c r="AH162" s="96"/>
      <c r="AI162" s="96"/>
    </row>
    <row r="163" spans="1:35" s="16" customFormat="1" ht="12" x14ac:dyDescent="0.25">
      <c r="A163" s="2"/>
      <c r="B163" s="2"/>
      <c r="C163" s="13"/>
      <c r="D163" s="13"/>
      <c r="E163" s="2"/>
      <c r="F163" s="383">
        <f t="shared" si="62"/>
        <v>152</v>
      </c>
      <c r="G163" s="384">
        <f t="shared" si="49"/>
        <v>47623</v>
      </c>
      <c r="H163" s="340">
        <f t="shared" si="50"/>
        <v>0</v>
      </c>
      <c r="I163" s="340">
        <f t="shared" si="51"/>
        <v>0</v>
      </c>
      <c r="J163" s="340">
        <f t="shared" si="59"/>
        <v>0</v>
      </c>
      <c r="K163" s="340">
        <f t="shared" si="60"/>
        <v>0</v>
      </c>
      <c r="L163" s="382">
        <f t="shared" si="63"/>
        <v>47484</v>
      </c>
      <c r="M163" s="382">
        <f t="shared" si="64"/>
        <v>47849</v>
      </c>
      <c r="N163" s="382">
        <f t="shared" si="65"/>
        <v>47119</v>
      </c>
      <c r="O163" s="340">
        <f t="shared" si="52"/>
        <v>0</v>
      </c>
      <c r="P163" s="340">
        <f t="shared" si="69"/>
        <v>0</v>
      </c>
      <c r="Q163" s="340">
        <f t="shared" si="66"/>
        <v>0</v>
      </c>
      <c r="R163" s="340">
        <f t="shared" si="53"/>
        <v>0</v>
      </c>
      <c r="S163" s="340">
        <f t="shared" si="68"/>
        <v>0</v>
      </c>
      <c r="T163" s="340">
        <f t="shared" si="54"/>
        <v>0</v>
      </c>
      <c r="U163" s="340">
        <f t="shared" si="61"/>
        <v>0</v>
      </c>
      <c r="V163" s="340">
        <f t="shared" si="55"/>
        <v>0</v>
      </c>
      <c r="W163" s="198">
        <f t="shared" si="67"/>
        <v>0</v>
      </c>
      <c r="X163" s="36">
        <f t="shared" si="56"/>
        <v>0</v>
      </c>
      <c r="Y163" s="2"/>
      <c r="Z163" s="34">
        <f t="shared" si="57"/>
        <v>0</v>
      </c>
      <c r="AA163" s="57">
        <f t="shared" si="58"/>
        <v>98478</v>
      </c>
      <c r="AB163" s="96"/>
      <c r="AC163" s="96"/>
      <c r="AD163" s="96"/>
      <c r="AE163" s="96"/>
      <c r="AF163" s="96"/>
      <c r="AG163" s="96"/>
      <c r="AH163" s="96"/>
      <c r="AI163" s="96"/>
    </row>
    <row r="164" spans="1:35" s="16" customFormat="1" ht="12" x14ac:dyDescent="0.25">
      <c r="A164" s="2"/>
      <c r="B164" s="2"/>
      <c r="C164" s="2"/>
      <c r="D164" s="13"/>
      <c r="E164" s="2"/>
      <c r="F164" s="383">
        <f t="shared" si="62"/>
        <v>153</v>
      </c>
      <c r="G164" s="384">
        <f t="shared" si="49"/>
        <v>47654</v>
      </c>
      <c r="H164" s="340">
        <f t="shared" si="50"/>
        <v>0</v>
      </c>
      <c r="I164" s="340">
        <f t="shared" si="51"/>
        <v>0</v>
      </c>
      <c r="J164" s="340">
        <f t="shared" si="59"/>
        <v>0</v>
      </c>
      <c r="K164" s="340">
        <f t="shared" si="60"/>
        <v>0</v>
      </c>
      <c r="L164" s="382">
        <f t="shared" si="63"/>
        <v>47484</v>
      </c>
      <c r="M164" s="382">
        <f t="shared" si="64"/>
        <v>47849</v>
      </c>
      <c r="N164" s="382">
        <f t="shared" si="65"/>
        <v>47119</v>
      </c>
      <c r="O164" s="340">
        <f t="shared" si="52"/>
        <v>0</v>
      </c>
      <c r="P164" s="340">
        <f t="shared" si="69"/>
        <v>0</v>
      </c>
      <c r="Q164" s="340">
        <f t="shared" si="66"/>
        <v>0</v>
      </c>
      <c r="R164" s="340">
        <f t="shared" si="53"/>
        <v>0</v>
      </c>
      <c r="S164" s="340">
        <f t="shared" si="68"/>
        <v>0</v>
      </c>
      <c r="T164" s="340">
        <f t="shared" si="54"/>
        <v>0</v>
      </c>
      <c r="U164" s="340">
        <f t="shared" si="61"/>
        <v>0</v>
      </c>
      <c r="V164" s="340">
        <f t="shared" si="55"/>
        <v>0</v>
      </c>
      <c r="W164" s="198">
        <f t="shared" si="67"/>
        <v>0</v>
      </c>
      <c r="X164" s="36">
        <f t="shared" si="56"/>
        <v>0</v>
      </c>
      <c r="Y164" s="2"/>
      <c r="Z164" s="34">
        <f t="shared" si="57"/>
        <v>0</v>
      </c>
      <c r="AA164" s="57">
        <f t="shared" si="58"/>
        <v>98843</v>
      </c>
      <c r="AB164" s="96"/>
      <c r="AC164" s="96"/>
      <c r="AD164" s="96"/>
      <c r="AE164" s="96"/>
      <c r="AF164" s="96"/>
      <c r="AG164" s="96"/>
      <c r="AH164" s="96"/>
      <c r="AI164" s="96"/>
    </row>
    <row r="165" spans="1:35" s="16" customFormat="1" ht="12" x14ac:dyDescent="0.25">
      <c r="A165" s="2"/>
      <c r="B165" s="2"/>
      <c r="C165" s="2"/>
      <c r="D165" s="13"/>
      <c r="E165" s="2"/>
      <c r="F165" s="383">
        <f t="shared" si="62"/>
        <v>154</v>
      </c>
      <c r="G165" s="384">
        <f t="shared" si="49"/>
        <v>47684</v>
      </c>
      <c r="H165" s="340">
        <f t="shared" si="50"/>
        <v>0</v>
      </c>
      <c r="I165" s="340">
        <f t="shared" si="51"/>
        <v>0</v>
      </c>
      <c r="J165" s="340">
        <f t="shared" si="59"/>
        <v>0</v>
      </c>
      <c r="K165" s="340">
        <f t="shared" si="60"/>
        <v>0</v>
      </c>
      <c r="L165" s="382">
        <f t="shared" si="63"/>
        <v>47484</v>
      </c>
      <c r="M165" s="382">
        <f t="shared" si="64"/>
        <v>47849</v>
      </c>
      <c r="N165" s="382">
        <f t="shared" si="65"/>
        <v>47119</v>
      </c>
      <c r="O165" s="340">
        <f t="shared" si="52"/>
        <v>0</v>
      </c>
      <c r="P165" s="340">
        <f t="shared" si="69"/>
        <v>0</v>
      </c>
      <c r="Q165" s="340">
        <f t="shared" si="66"/>
        <v>0</v>
      </c>
      <c r="R165" s="340">
        <f t="shared" si="53"/>
        <v>0</v>
      </c>
      <c r="S165" s="340">
        <f t="shared" si="68"/>
        <v>0</v>
      </c>
      <c r="T165" s="340">
        <f t="shared" si="54"/>
        <v>0</v>
      </c>
      <c r="U165" s="340">
        <f t="shared" si="61"/>
        <v>0</v>
      </c>
      <c r="V165" s="340">
        <f t="shared" si="55"/>
        <v>0</v>
      </c>
      <c r="W165" s="198">
        <f t="shared" si="67"/>
        <v>0</v>
      </c>
      <c r="X165" s="36">
        <f t="shared" si="56"/>
        <v>0</v>
      </c>
      <c r="Y165" s="2"/>
      <c r="Z165" s="34">
        <f t="shared" si="57"/>
        <v>0</v>
      </c>
      <c r="AA165" s="57">
        <f t="shared" si="58"/>
        <v>99208</v>
      </c>
      <c r="AB165" s="96"/>
      <c r="AC165" s="96"/>
      <c r="AD165" s="96"/>
      <c r="AE165" s="96"/>
      <c r="AF165" s="96"/>
      <c r="AG165" s="96"/>
      <c r="AH165" s="96"/>
      <c r="AI165" s="96"/>
    </row>
    <row r="166" spans="1:35" s="16" customFormat="1" ht="12" x14ac:dyDescent="0.25">
      <c r="A166" s="2"/>
      <c r="B166" s="2"/>
      <c r="C166" s="2"/>
      <c r="D166" s="2"/>
      <c r="E166" s="2"/>
      <c r="F166" s="383">
        <f t="shared" si="62"/>
        <v>155</v>
      </c>
      <c r="G166" s="384">
        <f t="shared" si="49"/>
        <v>47715</v>
      </c>
      <c r="H166" s="340">
        <f t="shared" si="50"/>
        <v>0</v>
      </c>
      <c r="I166" s="340">
        <f t="shared" si="51"/>
        <v>0</v>
      </c>
      <c r="J166" s="340">
        <f t="shared" si="59"/>
        <v>0</v>
      </c>
      <c r="K166" s="340">
        <f t="shared" si="60"/>
        <v>0</v>
      </c>
      <c r="L166" s="382">
        <f t="shared" si="63"/>
        <v>47484</v>
      </c>
      <c r="M166" s="382">
        <f t="shared" si="64"/>
        <v>47849</v>
      </c>
      <c r="N166" s="382">
        <f t="shared" si="65"/>
        <v>47119</v>
      </c>
      <c r="O166" s="340">
        <f t="shared" si="52"/>
        <v>0</v>
      </c>
      <c r="P166" s="340">
        <f t="shared" si="69"/>
        <v>0</v>
      </c>
      <c r="Q166" s="340">
        <f t="shared" si="66"/>
        <v>0</v>
      </c>
      <c r="R166" s="340">
        <f t="shared" si="53"/>
        <v>0</v>
      </c>
      <c r="S166" s="340">
        <f t="shared" si="68"/>
        <v>0</v>
      </c>
      <c r="T166" s="340">
        <f t="shared" si="54"/>
        <v>0</v>
      </c>
      <c r="U166" s="340">
        <f t="shared" si="61"/>
        <v>0</v>
      </c>
      <c r="V166" s="340">
        <f t="shared" si="55"/>
        <v>0</v>
      </c>
      <c r="W166" s="198">
        <f t="shared" si="67"/>
        <v>0</v>
      </c>
      <c r="X166" s="36">
        <f t="shared" si="56"/>
        <v>0</v>
      </c>
      <c r="Y166" s="2"/>
      <c r="Z166" s="34">
        <f t="shared" si="57"/>
        <v>0</v>
      </c>
      <c r="AA166" s="57">
        <f t="shared" si="58"/>
        <v>99573</v>
      </c>
      <c r="AB166" s="96"/>
      <c r="AC166" s="96"/>
      <c r="AD166" s="96"/>
      <c r="AE166" s="96"/>
      <c r="AF166" s="96"/>
      <c r="AG166" s="96"/>
      <c r="AH166" s="96"/>
      <c r="AI166" s="96"/>
    </row>
    <row r="167" spans="1:35" s="16" customFormat="1" ht="12" x14ac:dyDescent="0.25">
      <c r="A167" s="2"/>
      <c r="B167" s="2"/>
      <c r="C167" s="2"/>
      <c r="D167" s="2"/>
      <c r="E167" s="2"/>
      <c r="F167" s="383">
        <f t="shared" si="62"/>
        <v>156</v>
      </c>
      <c r="G167" s="384">
        <f t="shared" si="49"/>
        <v>47746</v>
      </c>
      <c r="H167" s="340">
        <f t="shared" si="50"/>
        <v>0</v>
      </c>
      <c r="I167" s="340">
        <f t="shared" si="51"/>
        <v>0</v>
      </c>
      <c r="J167" s="340">
        <f t="shared" si="59"/>
        <v>0</v>
      </c>
      <c r="K167" s="340">
        <f t="shared" si="60"/>
        <v>0</v>
      </c>
      <c r="L167" s="382">
        <f t="shared" si="63"/>
        <v>47484</v>
      </c>
      <c r="M167" s="382">
        <f t="shared" si="64"/>
        <v>47849</v>
      </c>
      <c r="N167" s="382">
        <f t="shared" si="65"/>
        <v>47119</v>
      </c>
      <c r="O167" s="340">
        <f t="shared" si="52"/>
        <v>0</v>
      </c>
      <c r="P167" s="340">
        <f t="shared" si="69"/>
        <v>0</v>
      </c>
      <c r="Q167" s="340">
        <f t="shared" si="66"/>
        <v>0</v>
      </c>
      <c r="R167" s="340">
        <f t="shared" si="53"/>
        <v>0</v>
      </c>
      <c r="S167" s="340">
        <f t="shared" si="68"/>
        <v>0</v>
      </c>
      <c r="T167" s="340">
        <f t="shared" si="54"/>
        <v>0</v>
      </c>
      <c r="U167" s="340">
        <f t="shared" si="61"/>
        <v>0</v>
      </c>
      <c r="V167" s="340">
        <f t="shared" si="55"/>
        <v>0</v>
      </c>
      <c r="W167" s="198">
        <f t="shared" si="67"/>
        <v>0</v>
      </c>
      <c r="X167" s="36">
        <f t="shared" si="56"/>
        <v>0</v>
      </c>
      <c r="Y167" s="2"/>
      <c r="Z167" s="34">
        <f t="shared" si="57"/>
        <v>0</v>
      </c>
      <c r="AA167" s="57">
        <f t="shared" si="58"/>
        <v>99938</v>
      </c>
      <c r="AB167" s="96"/>
      <c r="AC167" s="96"/>
      <c r="AD167" s="96"/>
      <c r="AE167" s="96"/>
      <c r="AF167" s="96"/>
      <c r="AG167" s="96"/>
      <c r="AH167" s="96"/>
      <c r="AI167" s="96"/>
    </row>
    <row r="168" spans="1:35" s="16" customFormat="1" ht="12" x14ac:dyDescent="0.25">
      <c r="A168" s="2"/>
      <c r="B168" s="2"/>
      <c r="C168" s="2"/>
      <c r="D168" s="2"/>
      <c r="F168" s="383">
        <f t="shared" si="62"/>
        <v>157</v>
      </c>
      <c r="G168" s="384">
        <f t="shared" si="49"/>
        <v>47776</v>
      </c>
      <c r="H168" s="340">
        <f t="shared" si="50"/>
        <v>0</v>
      </c>
      <c r="I168" s="340">
        <f t="shared" si="51"/>
        <v>0</v>
      </c>
      <c r="J168" s="340">
        <f t="shared" si="59"/>
        <v>0</v>
      </c>
      <c r="K168" s="340">
        <f t="shared" si="60"/>
        <v>0</v>
      </c>
      <c r="L168" s="382">
        <f t="shared" si="63"/>
        <v>47484</v>
      </c>
      <c r="M168" s="382">
        <f t="shared" si="64"/>
        <v>47849</v>
      </c>
      <c r="N168" s="382">
        <f t="shared" si="65"/>
        <v>47119</v>
      </c>
      <c r="O168" s="340">
        <f t="shared" si="52"/>
        <v>0</v>
      </c>
      <c r="P168" s="340">
        <f t="shared" si="69"/>
        <v>0</v>
      </c>
      <c r="Q168" s="340">
        <f t="shared" si="66"/>
        <v>0</v>
      </c>
      <c r="R168" s="340">
        <f t="shared" si="53"/>
        <v>0</v>
      </c>
      <c r="S168" s="340">
        <f t="shared" si="68"/>
        <v>0</v>
      </c>
      <c r="T168" s="340">
        <f t="shared" si="54"/>
        <v>0</v>
      </c>
      <c r="U168" s="340">
        <f t="shared" si="61"/>
        <v>0</v>
      </c>
      <c r="V168" s="340">
        <f t="shared" si="55"/>
        <v>0</v>
      </c>
      <c r="W168" s="198">
        <f t="shared" si="67"/>
        <v>0</v>
      </c>
      <c r="X168" s="36">
        <f t="shared" si="56"/>
        <v>0</v>
      </c>
      <c r="Y168" s="2"/>
      <c r="Z168" s="34">
        <f t="shared" si="57"/>
        <v>0</v>
      </c>
      <c r="AA168" s="57">
        <f t="shared" si="58"/>
        <v>100303</v>
      </c>
      <c r="AB168" s="96"/>
      <c r="AC168" s="96"/>
      <c r="AD168" s="96"/>
      <c r="AE168" s="96"/>
      <c r="AF168" s="96"/>
      <c r="AG168" s="96"/>
      <c r="AH168" s="96"/>
      <c r="AI168" s="96"/>
    </row>
    <row r="169" spans="1:35" s="16" customFormat="1" ht="12" x14ac:dyDescent="0.25">
      <c r="A169" s="2"/>
      <c r="B169" s="2"/>
      <c r="C169" s="2"/>
      <c r="D169" s="2"/>
      <c r="E169" s="2"/>
      <c r="F169" s="383">
        <f t="shared" si="62"/>
        <v>158</v>
      </c>
      <c r="G169" s="384">
        <f t="shared" si="49"/>
        <v>47807</v>
      </c>
      <c r="H169" s="340">
        <f t="shared" si="50"/>
        <v>0</v>
      </c>
      <c r="I169" s="340">
        <f t="shared" si="51"/>
        <v>0</v>
      </c>
      <c r="J169" s="340">
        <f t="shared" si="59"/>
        <v>0</v>
      </c>
      <c r="K169" s="340">
        <f t="shared" si="60"/>
        <v>0</v>
      </c>
      <c r="L169" s="382">
        <f t="shared" si="63"/>
        <v>47484</v>
      </c>
      <c r="M169" s="382">
        <f t="shared" si="64"/>
        <v>47849</v>
      </c>
      <c r="N169" s="382">
        <f t="shared" si="65"/>
        <v>47119</v>
      </c>
      <c r="O169" s="340">
        <f t="shared" si="52"/>
        <v>0</v>
      </c>
      <c r="P169" s="340">
        <f t="shared" si="69"/>
        <v>0</v>
      </c>
      <c r="Q169" s="340">
        <f t="shared" si="66"/>
        <v>0</v>
      </c>
      <c r="R169" s="340">
        <f t="shared" si="53"/>
        <v>0</v>
      </c>
      <c r="S169" s="340">
        <f t="shared" si="68"/>
        <v>0</v>
      </c>
      <c r="T169" s="340">
        <f t="shared" si="54"/>
        <v>0</v>
      </c>
      <c r="U169" s="340">
        <f t="shared" si="61"/>
        <v>0</v>
      </c>
      <c r="V169" s="340">
        <f t="shared" si="55"/>
        <v>0</v>
      </c>
      <c r="W169" s="198">
        <f t="shared" si="67"/>
        <v>0</v>
      </c>
      <c r="X169" s="36">
        <f t="shared" si="56"/>
        <v>0</v>
      </c>
      <c r="Y169" s="2"/>
      <c r="Z169" s="34">
        <f t="shared" si="57"/>
        <v>0</v>
      </c>
      <c r="AA169" s="57">
        <f t="shared" si="58"/>
        <v>100668</v>
      </c>
      <c r="AB169" s="96"/>
      <c r="AC169" s="96"/>
      <c r="AD169" s="96"/>
      <c r="AE169" s="96"/>
      <c r="AF169" s="96"/>
      <c r="AG169" s="96"/>
      <c r="AH169" s="96"/>
      <c r="AI169" s="96"/>
    </row>
    <row r="170" spans="1:35" s="16" customFormat="1" ht="12" x14ac:dyDescent="0.25">
      <c r="A170" s="2"/>
      <c r="B170" s="2"/>
      <c r="C170" s="2"/>
      <c r="D170" s="2"/>
      <c r="E170" s="2"/>
      <c r="F170" s="383">
        <f t="shared" si="62"/>
        <v>159</v>
      </c>
      <c r="G170" s="384">
        <f t="shared" si="49"/>
        <v>47837</v>
      </c>
      <c r="H170" s="340">
        <f t="shared" si="50"/>
        <v>0</v>
      </c>
      <c r="I170" s="340">
        <f t="shared" si="51"/>
        <v>0</v>
      </c>
      <c r="J170" s="340">
        <f t="shared" si="59"/>
        <v>0</v>
      </c>
      <c r="K170" s="340">
        <f t="shared" si="60"/>
        <v>0</v>
      </c>
      <c r="L170" s="382">
        <f t="shared" si="63"/>
        <v>47484</v>
      </c>
      <c r="M170" s="382">
        <f t="shared" si="64"/>
        <v>47849</v>
      </c>
      <c r="N170" s="382">
        <f t="shared" si="65"/>
        <v>47119</v>
      </c>
      <c r="O170" s="340">
        <f t="shared" si="52"/>
        <v>0</v>
      </c>
      <c r="P170" s="340">
        <f t="shared" si="69"/>
        <v>0</v>
      </c>
      <c r="Q170" s="340">
        <f t="shared" si="66"/>
        <v>0</v>
      </c>
      <c r="R170" s="340">
        <f t="shared" si="53"/>
        <v>0</v>
      </c>
      <c r="S170" s="340">
        <f t="shared" si="68"/>
        <v>0</v>
      </c>
      <c r="T170" s="340">
        <f t="shared" si="54"/>
        <v>0</v>
      </c>
      <c r="U170" s="340">
        <f t="shared" si="61"/>
        <v>0</v>
      </c>
      <c r="V170" s="340">
        <f t="shared" si="55"/>
        <v>0</v>
      </c>
      <c r="W170" s="198">
        <f t="shared" si="67"/>
        <v>0</v>
      </c>
      <c r="X170" s="36">
        <f t="shared" si="56"/>
        <v>0</v>
      </c>
      <c r="Y170" s="2"/>
      <c r="Z170" s="34">
        <f t="shared" si="57"/>
        <v>0</v>
      </c>
      <c r="AA170" s="57">
        <f t="shared" si="58"/>
        <v>101033</v>
      </c>
      <c r="AB170" s="96"/>
      <c r="AC170" s="96"/>
      <c r="AD170" s="96"/>
      <c r="AE170" s="96"/>
      <c r="AF170" s="96"/>
      <c r="AG170" s="96"/>
      <c r="AH170" s="96"/>
      <c r="AI170" s="96"/>
    </row>
    <row r="171" spans="1:35" s="16" customFormat="1" ht="12" x14ac:dyDescent="0.25">
      <c r="A171" s="2"/>
      <c r="B171" s="2"/>
      <c r="C171" s="2"/>
      <c r="D171" s="2"/>
      <c r="E171" s="2"/>
      <c r="F171" s="383">
        <f t="shared" si="62"/>
        <v>160</v>
      </c>
      <c r="G171" s="384">
        <f t="shared" si="49"/>
        <v>47868</v>
      </c>
      <c r="H171" s="340">
        <f t="shared" si="50"/>
        <v>0</v>
      </c>
      <c r="I171" s="340">
        <f t="shared" si="51"/>
        <v>0</v>
      </c>
      <c r="J171" s="340">
        <f t="shared" si="59"/>
        <v>0</v>
      </c>
      <c r="K171" s="340">
        <f t="shared" si="60"/>
        <v>0</v>
      </c>
      <c r="L171" s="382">
        <f t="shared" si="63"/>
        <v>47849</v>
      </c>
      <c r="M171" s="382">
        <f t="shared" si="64"/>
        <v>48214</v>
      </c>
      <c r="N171" s="382">
        <f t="shared" si="65"/>
        <v>47484</v>
      </c>
      <c r="O171" s="340">
        <f t="shared" si="52"/>
        <v>0</v>
      </c>
      <c r="P171" s="340">
        <f t="shared" si="69"/>
        <v>0</v>
      </c>
      <c r="Q171" s="340">
        <f t="shared" si="66"/>
        <v>0</v>
      </c>
      <c r="R171" s="340">
        <f t="shared" si="53"/>
        <v>0</v>
      </c>
      <c r="S171" s="340">
        <f t="shared" si="68"/>
        <v>0</v>
      </c>
      <c r="T171" s="340">
        <f t="shared" si="54"/>
        <v>0</v>
      </c>
      <c r="U171" s="340">
        <f t="shared" si="61"/>
        <v>0</v>
      </c>
      <c r="V171" s="340">
        <f t="shared" si="55"/>
        <v>0</v>
      </c>
      <c r="W171" s="198">
        <f t="shared" si="67"/>
        <v>0</v>
      </c>
      <c r="X171" s="36">
        <f t="shared" si="56"/>
        <v>0</v>
      </c>
      <c r="Y171" s="2"/>
      <c r="Z171" s="34">
        <f t="shared" si="57"/>
        <v>0</v>
      </c>
      <c r="AA171" s="57">
        <f t="shared" si="58"/>
        <v>101398</v>
      </c>
      <c r="AB171" s="96"/>
      <c r="AC171" s="96"/>
      <c r="AD171" s="96"/>
      <c r="AE171" s="96"/>
      <c r="AF171" s="96"/>
      <c r="AG171" s="96"/>
      <c r="AH171" s="96"/>
      <c r="AI171" s="96"/>
    </row>
    <row r="172" spans="1:35" s="16" customFormat="1" ht="12" x14ac:dyDescent="0.25">
      <c r="A172" s="2"/>
      <c r="B172" s="2"/>
      <c r="C172" s="2"/>
      <c r="D172" s="2"/>
      <c r="E172" s="2"/>
      <c r="F172" s="383">
        <f t="shared" si="62"/>
        <v>161</v>
      </c>
      <c r="G172" s="384">
        <f t="shared" si="49"/>
        <v>47899</v>
      </c>
      <c r="H172" s="340">
        <f t="shared" ref="H172:H191" si="70">IF(F172&lt;=$I$7,I172+P172,IF(AND(V171+P172+I172&gt;H171,H171&lt;&gt;0),$C$21,IF(V171=0,0,V171+P172+I172+I173)))</f>
        <v>0</v>
      </c>
      <c r="I172" s="340">
        <f t="shared" si="51"/>
        <v>0</v>
      </c>
      <c r="J172" s="340">
        <f t="shared" si="59"/>
        <v>0</v>
      </c>
      <c r="K172" s="340">
        <f t="shared" si="60"/>
        <v>0</v>
      </c>
      <c r="L172" s="382">
        <f t="shared" si="63"/>
        <v>47849</v>
      </c>
      <c r="M172" s="382">
        <f t="shared" si="64"/>
        <v>48214</v>
      </c>
      <c r="N172" s="382">
        <f t="shared" si="65"/>
        <v>47484</v>
      </c>
      <c r="O172" s="340">
        <f t="shared" si="52"/>
        <v>0</v>
      </c>
      <c r="P172" s="340">
        <f t="shared" si="69"/>
        <v>0</v>
      </c>
      <c r="Q172" s="340">
        <f t="shared" si="66"/>
        <v>0</v>
      </c>
      <c r="R172" s="340">
        <f t="shared" si="53"/>
        <v>0</v>
      </c>
      <c r="S172" s="340">
        <f t="shared" si="68"/>
        <v>0</v>
      </c>
      <c r="T172" s="340">
        <f t="shared" si="54"/>
        <v>0</v>
      </c>
      <c r="U172" s="340">
        <f t="shared" si="61"/>
        <v>0</v>
      </c>
      <c r="V172" s="340">
        <f t="shared" si="55"/>
        <v>0</v>
      </c>
      <c r="W172" s="198">
        <f t="shared" si="67"/>
        <v>0</v>
      </c>
      <c r="X172" s="36">
        <f t="shared" si="56"/>
        <v>0</v>
      </c>
      <c r="Y172" s="2"/>
      <c r="Z172" s="34">
        <f t="shared" si="57"/>
        <v>0</v>
      </c>
      <c r="AA172" s="57">
        <f t="shared" si="58"/>
        <v>101763</v>
      </c>
      <c r="AB172" s="96"/>
      <c r="AC172" s="96"/>
      <c r="AD172" s="96"/>
      <c r="AE172" s="96"/>
      <c r="AF172" s="96"/>
      <c r="AG172" s="96"/>
      <c r="AH172" s="96"/>
      <c r="AI172" s="96"/>
    </row>
    <row r="173" spans="1:35" s="16" customFormat="1" ht="12" x14ac:dyDescent="0.25">
      <c r="A173" s="2"/>
      <c r="B173" s="2"/>
      <c r="C173" s="13"/>
      <c r="D173" s="2"/>
      <c r="E173" s="2"/>
      <c r="F173" s="383">
        <f t="shared" si="62"/>
        <v>162</v>
      </c>
      <c r="G173" s="384">
        <f t="shared" si="49"/>
        <v>47927</v>
      </c>
      <c r="H173" s="340">
        <f t="shared" si="70"/>
        <v>0</v>
      </c>
      <c r="I173" s="340">
        <f t="shared" si="51"/>
        <v>0</v>
      </c>
      <c r="J173" s="340">
        <f t="shared" si="59"/>
        <v>0</v>
      </c>
      <c r="K173" s="340">
        <f t="shared" si="60"/>
        <v>0</v>
      </c>
      <c r="L173" s="382">
        <f t="shared" si="63"/>
        <v>47849</v>
      </c>
      <c r="M173" s="382">
        <f t="shared" si="64"/>
        <v>48214</v>
      </c>
      <c r="N173" s="382">
        <f t="shared" si="65"/>
        <v>47484</v>
      </c>
      <c r="O173" s="340">
        <f t="shared" si="52"/>
        <v>0</v>
      </c>
      <c r="P173" s="340">
        <f t="shared" si="69"/>
        <v>0</v>
      </c>
      <c r="Q173" s="340">
        <f t="shared" si="66"/>
        <v>0</v>
      </c>
      <c r="R173" s="340">
        <f t="shared" si="53"/>
        <v>0</v>
      </c>
      <c r="S173" s="340">
        <f t="shared" si="68"/>
        <v>0</v>
      </c>
      <c r="T173" s="340">
        <f t="shared" si="54"/>
        <v>0</v>
      </c>
      <c r="U173" s="340">
        <f t="shared" si="61"/>
        <v>0</v>
      </c>
      <c r="V173" s="340">
        <f t="shared" si="55"/>
        <v>0</v>
      </c>
      <c r="W173" s="198">
        <f t="shared" si="67"/>
        <v>0</v>
      </c>
      <c r="X173" s="36">
        <f t="shared" si="56"/>
        <v>0</v>
      </c>
      <c r="Y173" s="2"/>
      <c r="Z173" s="34">
        <f t="shared" si="57"/>
        <v>0</v>
      </c>
      <c r="AA173" s="57">
        <f t="shared" si="58"/>
        <v>102128</v>
      </c>
      <c r="AB173" s="96"/>
      <c r="AC173" s="96"/>
      <c r="AD173" s="96"/>
      <c r="AE173" s="96"/>
      <c r="AF173" s="96"/>
      <c r="AG173" s="96"/>
      <c r="AH173" s="96"/>
      <c r="AI173" s="96"/>
    </row>
    <row r="174" spans="1:35" s="16" customFormat="1" ht="12" x14ac:dyDescent="0.25">
      <c r="A174" s="2"/>
      <c r="B174" s="2"/>
      <c r="C174" s="2"/>
      <c r="D174" s="13"/>
      <c r="E174" s="2"/>
      <c r="F174" s="383">
        <f t="shared" si="62"/>
        <v>163</v>
      </c>
      <c r="G174" s="384">
        <f t="shared" si="49"/>
        <v>47958</v>
      </c>
      <c r="H174" s="340">
        <f t="shared" si="70"/>
        <v>0</v>
      </c>
      <c r="I174" s="340">
        <f t="shared" si="51"/>
        <v>0</v>
      </c>
      <c r="J174" s="340">
        <f t="shared" si="59"/>
        <v>0</v>
      </c>
      <c r="K174" s="340">
        <f t="shared" si="60"/>
        <v>0</v>
      </c>
      <c r="L174" s="382">
        <f t="shared" si="63"/>
        <v>47849</v>
      </c>
      <c r="M174" s="382">
        <f t="shared" si="64"/>
        <v>48214</v>
      </c>
      <c r="N174" s="382">
        <f t="shared" si="65"/>
        <v>47484</v>
      </c>
      <c r="O174" s="340">
        <f t="shared" si="52"/>
        <v>0</v>
      </c>
      <c r="P174" s="340">
        <f t="shared" si="69"/>
        <v>0</v>
      </c>
      <c r="Q174" s="340">
        <f t="shared" si="66"/>
        <v>0</v>
      </c>
      <c r="R174" s="340">
        <f t="shared" si="53"/>
        <v>0</v>
      </c>
      <c r="S174" s="340">
        <f t="shared" si="68"/>
        <v>0</v>
      </c>
      <c r="T174" s="340">
        <f t="shared" si="54"/>
        <v>0</v>
      </c>
      <c r="U174" s="340">
        <f t="shared" si="61"/>
        <v>0</v>
      </c>
      <c r="V174" s="340">
        <f t="shared" si="55"/>
        <v>0</v>
      </c>
      <c r="W174" s="198">
        <f t="shared" si="67"/>
        <v>0</v>
      </c>
      <c r="X174" s="36">
        <f t="shared" si="56"/>
        <v>0</v>
      </c>
      <c r="Y174" s="2"/>
      <c r="Z174" s="34">
        <f t="shared" si="57"/>
        <v>0</v>
      </c>
      <c r="AA174" s="57">
        <f t="shared" si="58"/>
        <v>102493</v>
      </c>
      <c r="AB174" s="96"/>
      <c r="AC174" s="96"/>
      <c r="AD174" s="96"/>
      <c r="AE174" s="96"/>
      <c r="AF174" s="96"/>
      <c r="AG174" s="96"/>
      <c r="AH174" s="96"/>
      <c r="AI174" s="96"/>
    </row>
    <row r="175" spans="1:35" s="16" customFormat="1" ht="12" x14ac:dyDescent="0.25">
      <c r="A175" s="2"/>
      <c r="B175" s="2"/>
      <c r="C175" s="2"/>
      <c r="D175" s="13"/>
      <c r="E175" s="2"/>
      <c r="F175" s="383">
        <f t="shared" si="62"/>
        <v>164</v>
      </c>
      <c r="G175" s="384">
        <f t="shared" si="49"/>
        <v>47988</v>
      </c>
      <c r="H175" s="340">
        <f t="shared" si="70"/>
        <v>0</v>
      </c>
      <c r="I175" s="340">
        <f t="shared" si="51"/>
        <v>0</v>
      </c>
      <c r="J175" s="340">
        <f t="shared" si="59"/>
        <v>0</v>
      </c>
      <c r="K175" s="340">
        <f t="shared" si="60"/>
        <v>0</v>
      </c>
      <c r="L175" s="382">
        <f t="shared" si="63"/>
        <v>47849</v>
      </c>
      <c r="M175" s="382">
        <f t="shared" si="64"/>
        <v>48214</v>
      </c>
      <c r="N175" s="382">
        <f t="shared" si="65"/>
        <v>47484</v>
      </c>
      <c r="O175" s="340">
        <f t="shared" si="52"/>
        <v>0</v>
      </c>
      <c r="P175" s="340">
        <f t="shared" si="69"/>
        <v>0</v>
      </c>
      <c r="Q175" s="340">
        <f t="shared" si="66"/>
        <v>0</v>
      </c>
      <c r="R175" s="340">
        <f t="shared" si="53"/>
        <v>0</v>
      </c>
      <c r="S175" s="340">
        <f t="shared" si="68"/>
        <v>0</v>
      </c>
      <c r="T175" s="340">
        <f t="shared" si="54"/>
        <v>0</v>
      </c>
      <c r="U175" s="340">
        <f t="shared" si="61"/>
        <v>0</v>
      </c>
      <c r="V175" s="340">
        <f t="shared" si="55"/>
        <v>0</v>
      </c>
      <c r="W175" s="198">
        <f t="shared" si="67"/>
        <v>0</v>
      </c>
      <c r="X175" s="36">
        <f t="shared" si="56"/>
        <v>0</v>
      </c>
      <c r="Y175" s="2"/>
      <c r="Z175" s="34">
        <f t="shared" si="57"/>
        <v>0</v>
      </c>
      <c r="AA175" s="57">
        <f t="shared" si="58"/>
        <v>102858</v>
      </c>
      <c r="AB175" s="96"/>
      <c r="AC175" s="96"/>
      <c r="AD175" s="96"/>
      <c r="AE175" s="96"/>
      <c r="AF175" s="96"/>
      <c r="AG175" s="96"/>
      <c r="AH175" s="96"/>
      <c r="AI175" s="96"/>
    </row>
    <row r="176" spans="1:35" s="16" customFormat="1" ht="12" x14ac:dyDescent="0.25">
      <c r="A176" s="2"/>
      <c r="B176" s="2"/>
      <c r="C176" s="2"/>
      <c r="D176" s="2"/>
      <c r="E176" s="2"/>
      <c r="F176" s="383">
        <f t="shared" si="62"/>
        <v>165</v>
      </c>
      <c r="G176" s="384">
        <f t="shared" si="49"/>
        <v>48019</v>
      </c>
      <c r="H176" s="340">
        <f t="shared" si="70"/>
        <v>0</v>
      </c>
      <c r="I176" s="340">
        <f t="shared" si="51"/>
        <v>0</v>
      </c>
      <c r="J176" s="340">
        <f t="shared" si="59"/>
        <v>0</v>
      </c>
      <c r="K176" s="340">
        <f t="shared" si="60"/>
        <v>0</v>
      </c>
      <c r="L176" s="382">
        <f t="shared" si="63"/>
        <v>47849</v>
      </c>
      <c r="M176" s="382">
        <f t="shared" si="64"/>
        <v>48214</v>
      </c>
      <c r="N176" s="382">
        <f t="shared" si="65"/>
        <v>47484</v>
      </c>
      <c r="O176" s="340">
        <f t="shared" si="52"/>
        <v>0</v>
      </c>
      <c r="P176" s="340">
        <f t="shared" si="69"/>
        <v>0</v>
      </c>
      <c r="Q176" s="340">
        <f t="shared" si="66"/>
        <v>0</v>
      </c>
      <c r="R176" s="340">
        <f t="shared" si="53"/>
        <v>0</v>
      </c>
      <c r="S176" s="340">
        <f t="shared" si="68"/>
        <v>0</v>
      </c>
      <c r="T176" s="340">
        <f t="shared" si="54"/>
        <v>0</v>
      </c>
      <c r="U176" s="340">
        <f t="shared" si="61"/>
        <v>0</v>
      </c>
      <c r="V176" s="340">
        <f t="shared" si="55"/>
        <v>0</v>
      </c>
      <c r="W176" s="198">
        <f t="shared" si="67"/>
        <v>0</v>
      </c>
      <c r="X176" s="36">
        <f t="shared" si="56"/>
        <v>0</v>
      </c>
      <c r="Y176" s="2"/>
      <c r="Z176" s="34">
        <f t="shared" si="57"/>
        <v>0</v>
      </c>
      <c r="AA176" s="57">
        <f t="shared" si="58"/>
        <v>103223</v>
      </c>
      <c r="AB176" s="96"/>
      <c r="AC176" s="96"/>
      <c r="AD176" s="96"/>
      <c r="AE176" s="96"/>
      <c r="AF176" s="96"/>
      <c r="AG176" s="96"/>
      <c r="AH176" s="96"/>
      <c r="AI176" s="96"/>
    </row>
    <row r="177" spans="1:35" s="16" customFormat="1" ht="12" x14ac:dyDescent="0.25">
      <c r="A177" s="2"/>
      <c r="B177" s="2"/>
      <c r="C177" s="2"/>
      <c r="D177" s="2"/>
      <c r="E177" s="2"/>
      <c r="F177" s="383">
        <f t="shared" si="62"/>
        <v>166</v>
      </c>
      <c r="G177" s="384">
        <f t="shared" si="49"/>
        <v>48049</v>
      </c>
      <c r="H177" s="340">
        <f t="shared" si="70"/>
        <v>0</v>
      </c>
      <c r="I177" s="340">
        <f t="shared" si="51"/>
        <v>0</v>
      </c>
      <c r="J177" s="340">
        <f t="shared" si="59"/>
        <v>0</v>
      </c>
      <c r="K177" s="340">
        <f t="shared" si="60"/>
        <v>0</v>
      </c>
      <c r="L177" s="382">
        <f t="shared" si="63"/>
        <v>47849</v>
      </c>
      <c r="M177" s="382">
        <f t="shared" si="64"/>
        <v>48214</v>
      </c>
      <c r="N177" s="382">
        <f t="shared" si="65"/>
        <v>47484</v>
      </c>
      <c r="O177" s="340">
        <f t="shared" si="52"/>
        <v>0</v>
      </c>
      <c r="P177" s="340">
        <f t="shared" si="69"/>
        <v>0</v>
      </c>
      <c r="Q177" s="340">
        <f t="shared" si="66"/>
        <v>0</v>
      </c>
      <c r="R177" s="340">
        <f t="shared" si="53"/>
        <v>0</v>
      </c>
      <c r="S177" s="340">
        <f t="shared" si="68"/>
        <v>0</v>
      </c>
      <c r="T177" s="340">
        <f t="shared" si="54"/>
        <v>0</v>
      </c>
      <c r="U177" s="340">
        <f t="shared" si="61"/>
        <v>0</v>
      </c>
      <c r="V177" s="340">
        <f t="shared" si="55"/>
        <v>0</v>
      </c>
      <c r="W177" s="198">
        <f t="shared" si="67"/>
        <v>0</v>
      </c>
      <c r="X177" s="36">
        <f t="shared" si="56"/>
        <v>0</v>
      </c>
      <c r="Y177" s="2"/>
      <c r="Z177" s="34">
        <f t="shared" si="57"/>
        <v>0</v>
      </c>
      <c r="AA177" s="57">
        <f t="shared" si="58"/>
        <v>103588</v>
      </c>
      <c r="AB177" s="96"/>
      <c r="AC177" s="96"/>
      <c r="AD177" s="96"/>
      <c r="AE177" s="96"/>
      <c r="AF177" s="96"/>
      <c r="AG177" s="96"/>
      <c r="AH177" s="96"/>
      <c r="AI177" s="96"/>
    </row>
    <row r="178" spans="1:35" s="16" customFormat="1" ht="12" x14ac:dyDescent="0.25">
      <c r="A178" s="2"/>
      <c r="B178" s="2"/>
      <c r="C178" s="2"/>
      <c r="D178" s="2"/>
      <c r="E178" s="2"/>
      <c r="F178" s="383">
        <f t="shared" si="62"/>
        <v>167</v>
      </c>
      <c r="G178" s="384">
        <f t="shared" si="49"/>
        <v>48080</v>
      </c>
      <c r="H178" s="340">
        <f t="shared" si="70"/>
        <v>0</v>
      </c>
      <c r="I178" s="340">
        <f t="shared" si="51"/>
        <v>0</v>
      </c>
      <c r="J178" s="340">
        <f t="shared" si="59"/>
        <v>0</v>
      </c>
      <c r="K178" s="340">
        <f t="shared" si="60"/>
        <v>0</v>
      </c>
      <c r="L178" s="382">
        <f t="shared" si="63"/>
        <v>47849</v>
      </c>
      <c r="M178" s="382">
        <f t="shared" si="64"/>
        <v>48214</v>
      </c>
      <c r="N178" s="382">
        <f t="shared" si="65"/>
        <v>47484</v>
      </c>
      <c r="O178" s="340">
        <f t="shared" si="52"/>
        <v>0</v>
      </c>
      <c r="P178" s="340">
        <f t="shared" si="69"/>
        <v>0</v>
      </c>
      <c r="Q178" s="340">
        <f t="shared" si="66"/>
        <v>0</v>
      </c>
      <c r="R178" s="340">
        <f t="shared" si="53"/>
        <v>0</v>
      </c>
      <c r="S178" s="340">
        <f t="shared" si="68"/>
        <v>0</v>
      </c>
      <c r="T178" s="340">
        <f t="shared" si="54"/>
        <v>0</v>
      </c>
      <c r="U178" s="340">
        <f t="shared" si="61"/>
        <v>0</v>
      </c>
      <c r="V178" s="340">
        <f t="shared" si="55"/>
        <v>0</v>
      </c>
      <c r="W178" s="198">
        <f t="shared" si="67"/>
        <v>0</v>
      </c>
      <c r="X178" s="36">
        <f t="shared" si="56"/>
        <v>0</v>
      </c>
      <c r="Y178" s="2"/>
      <c r="Z178" s="34">
        <f t="shared" si="57"/>
        <v>0</v>
      </c>
      <c r="AA178" s="57">
        <f t="shared" si="58"/>
        <v>103953</v>
      </c>
      <c r="AB178" s="96"/>
      <c r="AC178" s="96"/>
      <c r="AD178" s="96"/>
      <c r="AE178" s="96"/>
      <c r="AF178" s="96"/>
      <c r="AG178" s="96"/>
      <c r="AH178" s="96"/>
      <c r="AI178" s="96"/>
    </row>
    <row r="179" spans="1:35" s="16" customFormat="1" ht="12" x14ac:dyDescent="0.25">
      <c r="A179" s="2"/>
      <c r="B179" s="2"/>
      <c r="C179" s="2"/>
      <c r="D179" s="2"/>
      <c r="E179" s="2"/>
      <c r="F179" s="383">
        <f t="shared" si="62"/>
        <v>168</v>
      </c>
      <c r="G179" s="384">
        <f t="shared" si="49"/>
        <v>48111</v>
      </c>
      <c r="H179" s="340">
        <f t="shared" si="70"/>
        <v>0</v>
      </c>
      <c r="I179" s="340">
        <f t="shared" si="51"/>
        <v>0</v>
      </c>
      <c r="J179" s="340">
        <f t="shared" si="59"/>
        <v>0</v>
      </c>
      <c r="K179" s="340">
        <f t="shared" si="60"/>
        <v>0</v>
      </c>
      <c r="L179" s="382">
        <f t="shared" si="63"/>
        <v>47849</v>
      </c>
      <c r="M179" s="382">
        <f t="shared" si="64"/>
        <v>48214</v>
      </c>
      <c r="N179" s="382">
        <f t="shared" si="65"/>
        <v>47484</v>
      </c>
      <c r="O179" s="340">
        <f t="shared" si="52"/>
        <v>0</v>
      </c>
      <c r="P179" s="340">
        <f t="shared" ref="P179:P191" si="71">IF(R179&gt;$C$21,$C$21-I179,IF(X179=0,0,S179))</f>
        <v>0</v>
      </c>
      <c r="Q179" s="340">
        <f t="shared" si="66"/>
        <v>0</v>
      </c>
      <c r="R179" s="340">
        <f t="shared" si="53"/>
        <v>0</v>
      </c>
      <c r="S179" s="340">
        <f t="shared" si="68"/>
        <v>0</v>
      </c>
      <c r="T179" s="340">
        <f t="shared" si="54"/>
        <v>0</v>
      </c>
      <c r="U179" s="340">
        <f t="shared" si="61"/>
        <v>0</v>
      </c>
      <c r="V179" s="340">
        <f t="shared" si="55"/>
        <v>0</v>
      </c>
      <c r="W179" s="198">
        <f t="shared" si="67"/>
        <v>0</v>
      </c>
      <c r="X179" s="36">
        <f t="shared" si="56"/>
        <v>0</v>
      </c>
      <c r="Y179" s="2"/>
      <c r="Z179" s="34">
        <f t="shared" si="57"/>
        <v>0</v>
      </c>
      <c r="AA179" s="57">
        <f t="shared" si="58"/>
        <v>104318</v>
      </c>
      <c r="AB179" s="96"/>
      <c r="AC179" s="96"/>
      <c r="AD179" s="96"/>
      <c r="AE179" s="96"/>
      <c r="AF179" s="96"/>
      <c r="AG179" s="96"/>
      <c r="AH179" s="96"/>
      <c r="AI179" s="96"/>
    </row>
    <row r="180" spans="1:35" s="16" customFormat="1" ht="12" x14ac:dyDescent="0.25">
      <c r="A180" s="2"/>
      <c r="B180" s="2"/>
      <c r="C180" s="2"/>
      <c r="D180" s="2"/>
      <c r="E180" s="2"/>
      <c r="F180" s="383">
        <f t="shared" si="62"/>
        <v>169</v>
      </c>
      <c r="G180" s="384">
        <f t="shared" si="49"/>
        <v>48141</v>
      </c>
      <c r="H180" s="340">
        <f t="shared" si="70"/>
        <v>0</v>
      </c>
      <c r="I180" s="340">
        <f t="shared" si="51"/>
        <v>0</v>
      </c>
      <c r="J180" s="340">
        <f t="shared" si="59"/>
        <v>0</v>
      </c>
      <c r="K180" s="340">
        <f t="shared" si="60"/>
        <v>0</v>
      </c>
      <c r="L180" s="382">
        <f t="shared" si="63"/>
        <v>47849</v>
      </c>
      <c r="M180" s="382">
        <f t="shared" si="64"/>
        <v>48214</v>
      </c>
      <c r="N180" s="382">
        <f t="shared" si="65"/>
        <v>47484</v>
      </c>
      <c r="O180" s="340">
        <f t="shared" si="52"/>
        <v>0</v>
      </c>
      <c r="P180" s="340">
        <f t="shared" si="71"/>
        <v>0</v>
      </c>
      <c r="Q180" s="340">
        <f t="shared" si="66"/>
        <v>0</v>
      </c>
      <c r="R180" s="340">
        <f t="shared" si="53"/>
        <v>0</v>
      </c>
      <c r="S180" s="340">
        <f t="shared" si="68"/>
        <v>0</v>
      </c>
      <c r="T180" s="340">
        <f t="shared" si="54"/>
        <v>0</v>
      </c>
      <c r="U180" s="340">
        <f t="shared" si="61"/>
        <v>0</v>
      </c>
      <c r="V180" s="340">
        <f t="shared" si="55"/>
        <v>0</v>
      </c>
      <c r="W180" s="198">
        <f t="shared" si="67"/>
        <v>0</v>
      </c>
      <c r="X180" s="36">
        <f t="shared" si="56"/>
        <v>0</v>
      </c>
      <c r="Y180" s="2"/>
      <c r="Z180" s="34">
        <f t="shared" si="57"/>
        <v>0</v>
      </c>
      <c r="AA180" s="57">
        <f t="shared" si="58"/>
        <v>104683</v>
      </c>
      <c r="AB180" s="96"/>
      <c r="AC180" s="96"/>
      <c r="AD180" s="96"/>
      <c r="AE180" s="96"/>
      <c r="AF180" s="96"/>
      <c r="AG180" s="96"/>
      <c r="AH180" s="96"/>
      <c r="AI180" s="96"/>
    </row>
    <row r="181" spans="1:35" s="16" customFormat="1" ht="12" x14ac:dyDescent="0.25">
      <c r="A181" s="2"/>
      <c r="B181" s="2"/>
      <c r="C181" s="2"/>
      <c r="D181" s="2"/>
      <c r="E181" s="2"/>
      <c r="F181" s="383">
        <f t="shared" si="62"/>
        <v>170</v>
      </c>
      <c r="G181" s="384">
        <f t="shared" si="49"/>
        <v>48172</v>
      </c>
      <c r="H181" s="340">
        <f t="shared" si="70"/>
        <v>0</v>
      </c>
      <c r="I181" s="340">
        <f t="shared" si="51"/>
        <v>0</v>
      </c>
      <c r="J181" s="340">
        <f t="shared" si="59"/>
        <v>0</v>
      </c>
      <c r="K181" s="340">
        <f t="shared" si="60"/>
        <v>0</v>
      </c>
      <c r="L181" s="382">
        <f t="shared" si="63"/>
        <v>47849</v>
      </c>
      <c r="M181" s="382">
        <f t="shared" si="64"/>
        <v>48214</v>
      </c>
      <c r="N181" s="382">
        <f t="shared" si="65"/>
        <v>47484</v>
      </c>
      <c r="O181" s="340">
        <f t="shared" si="52"/>
        <v>0</v>
      </c>
      <c r="P181" s="340">
        <f t="shared" si="71"/>
        <v>0</v>
      </c>
      <c r="Q181" s="340">
        <f t="shared" si="66"/>
        <v>0</v>
      </c>
      <c r="R181" s="340">
        <f t="shared" si="53"/>
        <v>0</v>
      </c>
      <c r="S181" s="340">
        <f t="shared" si="68"/>
        <v>0</v>
      </c>
      <c r="T181" s="340">
        <f t="shared" si="54"/>
        <v>0</v>
      </c>
      <c r="U181" s="340">
        <f t="shared" si="61"/>
        <v>0</v>
      </c>
      <c r="V181" s="340">
        <f t="shared" si="55"/>
        <v>0</v>
      </c>
      <c r="W181" s="198">
        <f t="shared" si="67"/>
        <v>0</v>
      </c>
      <c r="X181" s="36">
        <f t="shared" si="56"/>
        <v>0</v>
      </c>
      <c r="Y181" s="2"/>
      <c r="Z181" s="34">
        <f t="shared" si="57"/>
        <v>0</v>
      </c>
      <c r="AA181" s="57">
        <f t="shared" si="58"/>
        <v>105048</v>
      </c>
      <c r="AB181" s="96"/>
      <c r="AC181" s="96"/>
      <c r="AD181" s="96"/>
      <c r="AE181" s="96"/>
      <c r="AF181" s="96"/>
      <c r="AG181" s="96"/>
      <c r="AH181" s="96"/>
      <c r="AI181" s="96"/>
    </row>
    <row r="182" spans="1:35" s="16" customFormat="1" ht="12" x14ac:dyDescent="0.25">
      <c r="A182" s="2"/>
      <c r="B182" s="2"/>
      <c r="C182" s="2"/>
      <c r="D182" s="2"/>
      <c r="E182" s="2"/>
      <c r="F182" s="383">
        <f t="shared" si="62"/>
        <v>171</v>
      </c>
      <c r="G182" s="384">
        <f t="shared" si="49"/>
        <v>48202</v>
      </c>
      <c r="H182" s="340">
        <f t="shared" si="70"/>
        <v>0</v>
      </c>
      <c r="I182" s="340">
        <f t="shared" si="51"/>
        <v>0</v>
      </c>
      <c r="J182" s="340">
        <f t="shared" si="59"/>
        <v>0</v>
      </c>
      <c r="K182" s="340">
        <f t="shared" si="60"/>
        <v>0</v>
      </c>
      <c r="L182" s="382">
        <f t="shared" si="63"/>
        <v>47849</v>
      </c>
      <c r="M182" s="382">
        <f t="shared" si="64"/>
        <v>48214</v>
      </c>
      <c r="N182" s="382">
        <f t="shared" si="65"/>
        <v>47484</v>
      </c>
      <c r="O182" s="340">
        <f t="shared" si="52"/>
        <v>0</v>
      </c>
      <c r="P182" s="340">
        <f t="shared" si="71"/>
        <v>0</v>
      </c>
      <c r="Q182" s="340">
        <f t="shared" si="66"/>
        <v>0</v>
      </c>
      <c r="R182" s="340">
        <f t="shared" si="53"/>
        <v>0</v>
      </c>
      <c r="S182" s="340">
        <f t="shared" si="68"/>
        <v>0</v>
      </c>
      <c r="T182" s="340">
        <f t="shared" si="54"/>
        <v>0</v>
      </c>
      <c r="U182" s="340">
        <f t="shared" si="61"/>
        <v>0</v>
      </c>
      <c r="V182" s="340">
        <f t="shared" si="55"/>
        <v>0</v>
      </c>
      <c r="W182" s="198">
        <f t="shared" si="67"/>
        <v>0</v>
      </c>
      <c r="X182" s="36">
        <f t="shared" si="56"/>
        <v>0</v>
      </c>
      <c r="Y182" s="2"/>
      <c r="Z182" s="34">
        <f t="shared" si="57"/>
        <v>0</v>
      </c>
      <c r="AA182" s="57">
        <f t="shared" si="58"/>
        <v>105413</v>
      </c>
      <c r="AB182" s="96"/>
      <c r="AC182" s="96"/>
      <c r="AD182" s="96"/>
      <c r="AE182" s="96"/>
      <c r="AF182" s="96"/>
      <c r="AG182" s="96"/>
      <c r="AH182" s="96"/>
      <c r="AI182" s="96"/>
    </row>
    <row r="183" spans="1:35" s="16" customFormat="1" ht="12" x14ac:dyDescent="0.25">
      <c r="A183" s="2"/>
      <c r="B183" s="2"/>
      <c r="C183" s="2"/>
      <c r="D183" s="2"/>
      <c r="E183" s="2"/>
      <c r="F183" s="383">
        <f t="shared" si="62"/>
        <v>172</v>
      </c>
      <c r="G183" s="384">
        <f t="shared" si="49"/>
        <v>48233</v>
      </c>
      <c r="H183" s="340">
        <f t="shared" si="70"/>
        <v>0</v>
      </c>
      <c r="I183" s="340">
        <f t="shared" si="51"/>
        <v>0</v>
      </c>
      <c r="J183" s="340">
        <f t="shared" si="59"/>
        <v>0</v>
      </c>
      <c r="K183" s="340">
        <f t="shared" si="60"/>
        <v>0</v>
      </c>
      <c r="L183" s="382">
        <f t="shared" si="63"/>
        <v>48214</v>
      </c>
      <c r="M183" s="382">
        <f t="shared" si="64"/>
        <v>48580</v>
      </c>
      <c r="N183" s="382">
        <f t="shared" si="65"/>
        <v>47849</v>
      </c>
      <c r="O183" s="340">
        <f t="shared" si="52"/>
        <v>0</v>
      </c>
      <c r="P183" s="340">
        <f t="shared" si="71"/>
        <v>0</v>
      </c>
      <c r="Q183" s="340">
        <f t="shared" si="66"/>
        <v>0</v>
      </c>
      <c r="R183" s="340">
        <f t="shared" si="53"/>
        <v>0</v>
      </c>
      <c r="S183" s="340">
        <f t="shared" si="68"/>
        <v>0</v>
      </c>
      <c r="T183" s="340">
        <f t="shared" si="54"/>
        <v>0</v>
      </c>
      <c r="U183" s="340">
        <f t="shared" si="61"/>
        <v>0</v>
      </c>
      <c r="V183" s="340">
        <f t="shared" si="55"/>
        <v>0</v>
      </c>
      <c r="W183" s="198">
        <f t="shared" si="67"/>
        <v>0</v>
      </c>
      <c r="X183" s="36">
        <f t="shared" si="56"/>
        <v>0</v>
      </c>
      <c r="Y183" s="2"/>
      <c r="Z183" s="34">
        <f t="shared" si="57"/>
        <v>0</v>
      </c>
      <c r="AA183" s="57">
        <f t="shared" si="58"/>
        <v>105778</v>
      </c>
      <c r="AB183" s="96"/>
      <c r="AC183" s="96"/>
      <c r="AD183" s="96"/>
      <c r="AE183" s="96"/>
      <c r="AF183" s="96"/>
      <c r="AG183" s="96"/>
      <c r="AH183" s="96"/>
      <c r="AI183" s="96"/>
    </row>
    <row r="184" spans="1:35" s="16" customFormat="1" ht="12" x14ac:dyDescent="0.25">
      <c r="A184" s="2"/>
      <c r="B184" s="2"/>
      <c r="C184" s="2"/>
      <c r="D184" s="2"/>
      <c r="E184" s="2"/>
      <c r="F184" s="383">
        <f t="shared" si="62"/>
        <v>173</v>
      </c>
      <c r="G184" s="384">
        <f t="shared" si="49"/>
        <v>48264</v>
      </c>
      <c r="H184" s="340">
        <f t="shared" si="70"/>
        <v>0</v>
      </c>
      <c r="I184" s="340">
        <f t="shared" si="51"/>
        <v>0</v>
      </c>
      <c r="J184" s="340">
        <f t="shared" si="59"/>
        <v>0</v>
      </c>
      <c r="K184" s="340">
        <f t="shared" si="60"/>
        <v>0</v>
      </c>
      <c r="L184" s="382">
        <f t="shared" si="63"/>
        <v>48214</v>
      </c>
      <c r="M184" s="382">
        <f t="shared" si="64"/>
        <v>48580</v>
      </c>
      <c r="N184" s="382">
        <f t="shared" si="65"/>
        <v>47849</v>
      </c>
      <c r="O184" s="340">
        <f t="shared" si="52"/>
        <v>0</v>
      </c>
      <c r="P184" s="340">
        <f t="shared" si="71"/>
        <v>0</v>
      </c>
      <c r="Q184" s="340">
        <f t="shared" si="66"/>
        <v>0</v>
      </c>
      <c r="R184" s="340">
        <f t="shared" si="53"/>
        <v>0</v>
      </c>
      <c r="S184" s="340">
        <f t="shared" si="68"/>
        <v>0</v>
      </c>
      <c r="T184" s="340">
        <f t="shared" si="54"/>
        <v>0</v>
      </c>
      <c r="U184" s="340">
        <f t="shared" si="61"/>
        <v>0</v>
      </c>
      <c r="V184" s="340">
        <f t="shared" si="55"/>
        <v>0</v>
      </c>
      <c r="W184" s="198">
        <f t="shared" si="67"/>
        <v>0</v>
      </c>
      <c r="X184" s="36">
        <f t="shared" si="56"/>
        <v>0</v>
      </c>
      <c r="Y184" s="2"/>
      <c r="Z184" s="34">
        <f t="shared" si="57"/>
        <v>0</v>
      </c>
      <c r="AA184" s="57">
        <f t="shared" si="58"/>
        <v>106143</v>
      </c>
      <c r="AB184" s="96"/>
      <c r="AC184" s="96"/>
      <c r="AD184" s="96"/>
      <c r="AE184" s="96"/>
      <c r="AF184" s="96"/>
      <c r="AG184" s="96"/>
      <c r="AH184" s="96"/>
      <c r="AI184" s="96"/>
    </row>
    <row r="185" spans="1:35" s="16" customFormat="1" ht="12" x14ac:dyDescent="0.25">
      <c r="A185" s="53"/>
      <c r="C185" s="2"/>
      <c r="D185" s="2"/>
      <c r="E185" s="2"/>
      <c r="F185" s="383">
        <f t="shared" si="62"/>
        <v>174</v>
      </c>
      <c r="G185" s="384">
        <f t="shared" si="49"/>
        <v>48293</v>
      </c>
      <c r="H185" s="340">
        <f t="shared" si="70"/>
        <v>0</v>
      </c>
      <c r="I185" s="340">
        <f t="shared" si="51"/>
        <v>0</v>
      </c>
      <c r="J185" s="340">
        <f t="shared" si="59"/>
        <v>0</v>
      </c>
      <c r="K185" s="340">
        <f t="shared" si="60"/>
        <v>0</v>
      </c>
      <c r="L185" s="382">
        <f t="shared" si="63"/>
        <v>48214</v>
      </c>
      <c r="M185" s="382">
        <f t="shared" si="64"/>
        <v>48580</v>
      </c>
      <c r="N185" s="382">
        <f t="shared" si="65"/>
        <v>47849</v>
      </c>
      <c r="O185" s="340">
        <f t="shared" si="52"/>
        <v>0</v>
      </c>
      <c r="P185" s="340">
        <f t="shared" si="71"/>
        <v>0</v>
      </c>
      <c r="Q185" s="340">
        <f t="shared" si="66"/>
        <v>0</v>
      </c>
      <c r="R185" s="340">
        <f t="shared" si="53"/>
        <v>0</v>
      </c>
      <c r="S185" s="340">
        <f t="shared" si="68"/>
        <v>0</v>
      </c>
      <c r="T185" s="340">
        <f t="shared" si="54"/>
        <v>0</v>
      </c>
      <c r="U185" s="340">
        <f t="shared" si="61"/>
        <v>0</v>
      </c>
      <c r="V185" s="340">
        <f t="shared" si="55"/>
        <v>0</v>
      </c>
      <c r="W185" s="198">
        <f t="shared" si="67"/>
        <v>0</v>
      </c>
      <c r="X185" s="36">
        <f t="shared" si="56"/>
        <v>0</v>
      </c>
      <c r="Y185" s="2"/>
      <c r="Z185" s="34">
        <f t="shared" si="57"/>
        <v>0</v>
      </c>
      <c r="AA185" s="57">
        <f t="shared" si="58"/>
        <v>106508</v>
      </c>
      <c r="AB185" s="96"/>
      <c r="AC185" s="96"/>
      <c r="AD185" s="96"/>
      <c r="AE185" s="96"/>
      <c r="AF185" s="96"/>
      <c r="AG185" s="96"/>
      <c r="AH185" s="96"/>
      <c r="AI185" s="96"/>
    </row>
    <row r="186" spans="1:35" s="16" customFormat="1" ht="12" x14ac:dyDescent="0.25">
      <c r="A186" s="53"/>
      <c r="B186" s="2"/>
      <c r="C186" s="2"/>
      <c r="D186" s="13"/>
      <c r="E186" s="2"/>
      <c r="F186" s="383">
        <f t="shared" si="62"/>
        <v>175</v>
      </c>
      <c r="G186" s="384">
        <f t="shared" si="49"/>
        <v>48324</v>
      </c>
      <c r="H186" s="340">
        <f t="shared" si="70"/>
        <v>0</v>
      </c>
      <c r="I186" s="340">
        <f t="shared" si="51"/>
        <v>0</v>
      </c>
      <c r="J186" s="340">
        <f t="shared" si="59"/>
        <v>0</v>
      </c>
      <c r="K186" s="340">
        <f t="shared" si="60"/>
        <v>0</v>
      </c>
      <c r="L186" s="382">
        <f t="shared" si="63"/>
        <v>48214</v>
      </c>
      <c r="M186" s="382">
        <f t="shared" si="64"/>
        <v>48580</v>
      </c>
      <c r="N186" s="382">
        <f t="shared" si="65"/>
        <v>47849</v>
      </c>
      <c r="O186" s="340">
        <f t="shared" si="52"/>
        <v>0</v>
      </c>
      <c r="P186" s="340">
        <f t="shared" si="71"/>
        <v>0</v>
      </c>
      <c r="Q186" s="340">
        <f t="shared" si="66"/>
        <v>0</v>
      </c>
      <c r="R186" s="340">
        <f t="shared" si="53"/>
        <v>0</v>
      </c>
      <c r="S186" s="340">
        <f t="shared" si="68"/>
        <v>0</v>
      </c>
      <c r="T186" s="340">
        <f t="shared" si="54"/>
        <v>0</v>
      </c>
      <c r="U186" s="340">
        <f t="shared" si="61"/>
        <v>0</v>
      </c>
      <c r="V186" s="340">
        <f t="shared" si="55"/>
        <v>0</v>
      </c>
      <c r="W186" s="198">
        <f t="shared" si="67"/>
        <v>0</v>
      </c>
      <c r="X186" s="36">
        <f t="shared" si="56"/>
        <v>0</v>
      </c>
      <c r="Y186" s="2"/>
      <c r="Z186" s="34">
        <f t="shared" si="57"/>
        <v>0</v>
      </c>
      <c r="AA186" s="57">
        <f t="shared" si="58"/>
        <v>106873</v>
      </c>
      <c r="AB186" s="96"/>
      <c r="AC186" s="96"/>
      <c r="AD186" s="96"/>
      <c r="AE186" s="96"/>
      <c r="AF186" s="96"/>
      <c r="AG186" s="96"/>
      <c r="AH186" s="96"/>
      <c r="AI186" s="96"/>
    </row>
    <row r="187" spans="1:35" s="16" customFormat="1" ht="12" x14ac:dyDescent="0.25">
      <c r="A187" s="2"/>
      <c r="B187" s="2"/>
      <c r="C187" s="1"/>
      <c r="D187" s="2"/>
      <c r="E187" s="2"/>
      <c r="F187" s="383">
        <f t="shared" si="62"/>
        <v>176</v>
      </c>
      <c r="G187" s="384">
        <f t="shared" si="49"/>
        <v>48354</v>
      </c>
      <c r="H187" s="340">
        <f t="shared" si="70"/>
        <v>0</v>
      </c>
      <c r="I187" s="340">
        <f t="shared" si="51"/>
        <v>0</v>
      </c>
      <c r="J187" s="340">
        <f t="shared" si="59"/>
        <v>0</v>
      </c>
      <c r="K187" s="340">
        <f t="shared" si="60"/>
        <v>0</v>
      </c>
      <c r="L187" s="382">
        <f t="shared" si="63"/>
        <v>48214</v>
      </c>
      <c r="M187" s="382">
        <f t="shared" si="64"/>
        <v>48580</v>
      </c>
      <c r="N187" s="382">
        <f t="shared" si="65"/>
        <v>47849</v>
      </c>
      <c r="O187" s="340">
        <f t="shared" si="52"/>
        <v>0</v>
      </c>
      <c r="P187" s="340">
        <f t="shared" si="71"/>
        <v>0</v>
      </c>
      <c r="Q187" s="340">
        <f t="shared" si="66"/>
        <v>0</v>
      </c>
      <c r="R187" s="340">
        <f t="shared" si="53"/>
        <v>0</v>
      </c>
      <c r="S187" s="340">
        <f t="shared" si="68"/>
        <v>0</v>
      </c>
      <c r="T187" s="340">
        <f t="shared" si="54"/>
        <v>0</v>
      </c>
      <c r="U187" s="340">
        <f t="shared" si="61"/>
        <v>0</v>
      </c>
      <c r="V187" s="340">
        <f t="shared" si="55"/>
        <v>0</v>
      </c>
      <c r="W187" s="198">
        <f t="shared" si="67"/>
        <v>0</v>
      </c>
      <c r="X187" s="36">
        <f t="shared" si="56"/>
        <v>0</v>
      </c>
      <c r="Y187" s="2"/>
      <c r="Z187" s="34">
        <f t="shared" si="57"/>
        <v>0</v>
      </c>
      <c r="AA187" s="57">
        <f t="shared" si="58"/>
        <v>107238</v>
      </c>
      <c r="AB187" s="96"/>
      <c r="AC187" s="96"/>
      <c r="AD187" s="96"/>
      <c r="AE187" s="96"/>
      <c r="AF187" s="96"/>
      <c r="AG187" s="96"/>
      <c r="AH187" s="96"/>
      <c r="AI187" s="96"/>
    </row>
    <row r="188" spans="1:35" s="16" customFormat="1" ht="12" x14ac:dyDescent="0.25">
      <c r="A188" s="2"/>
      <c r="B188" s="2"/>
      <c r="C188" s="1"/>
      <c r="D188" s="1"/>
      <c r="E188" s="2"/>
      <c r="F188" s="383">
        <f t="shared" si="62"/>
        <v>177</v>
      </c>
      <c r="G188" s="384">
        <f t="shared" si="49"/>
        <v>48385</v>
      </c>
      <c r="H188" s="340">
        <f t="shared" si="70"/>
        <v>0</v>
      </c>
      <c r="I188" s="340">
        <f t="shared" si="51"/>
        <v>0</v>
      </c>
      <c r="J188" s="340">
        <f t="shared" si="59"/>
        <v>0</v>
      </c>
      <c r="K188" s="340">
        <f t="shared" si="60"/>
        <v>0</v>
      </c>
      <c r="L188" s="382">
        <f t="shared" si="63"/>
        <v>48214</v>
      </c>
      <c r="M188" s="382">
        <f t="shared" si="64"/>
        <v>48580</v>
      </c>
      <c r="N188" s="382">
        <f t="shared" si="65"/>
        <v>47849</v>
      </c>
      <c r="O188" s="340">
        <f t="shared" si="52"/>
        <v>0</v>
      </c>
      <c r="P188" s="340">
        <f t="shared" si="71"/>
        <v>0</v>
      </c>
      <c r="Q188" s="340">
        <f t="shared" si="66"/>
        <v>0</v>
      </c>
      <c r="R188" s="340">
        <f t="shared" si="53"/>
        <v>0</v>
      </c>
      <c r="S188" s="340">
        <f t="shared" si="68"/>
        <v>0</v>
      </c>
      <c r="T188" s="340">
        <f t="shared" si="54"/>
        <v>0</v>
      </c>
      <c r="U188" s="340">
        <f t="shared" si="61"/>
        <v>0</v>
      </c>
      <c r="V188" s="340">
        <f t="shared" si="55"/>
        <v>0</v>
      </c>
      <c r="W188" s="198">
        <f t="shared" si="67"/>
        <v>0</v>
      </c>
      <c r="X188" s="36">
        <f t="shared" si="56"/>
        <v>0</v>
      </c>
      <c r="Y188" s="2"/>
      <c r="Z188" s="34">
        <f t="shared" si="57"/>
        <v>0</v>
      </c>
      <c r="AA188" s="57">
        <f t="shared" si="58"/>
        <v>107603</v>
      </c>
      <c r="AB188" s="96"/>
      <c r="AC188" s="96"/>
      <c r="AD188" s="96"/>
      <c r="AE188" s="96"/>
      <c r="AF188" s="96"/>
      <c r="AG188" s="96"/>
      <c r="AH188" s="96"/>
      <c r="AI188" s="96"/>
    </row>
    <row r="189" spans="1:35" s="16" customFormat="1" ht="12" x14ac:dyDescent="0.25">
      <c r="A189" s="2"/>
      <c r="B189" s="2"/>
      <c r="C189" s="1"/>
      <c r="D189" s="1"/>
      <c r="E189" s="2"/>
      <c r="F189" s="383">
        <f t="shared" si="62"/>
        <v>178</v>
      </c>
      <c r="G189" s="384">
        <f t="shared" si="49"/>
        <v>48415</v>
      </c>
      <c r="H189" s="340">
        <f t="shared" si="70"/>
        <v>0</v>
      </c>
      <c r="I189" s="340">
        <f t="shared" si="51"/>
        <v>0</v>
      </c>
      <c r="J189" s="340">
        <f t="shared" si="59"/>
        <v>0</v>
      </c>
      <c r="K189" s="340">
        <f t="shared" si="60"/>
        <v>0</v>
      </c>
      <c r="L189" s="382">
        <f t="shared" si="63"/>
        <v>48214</v>
      </c>
      <c r="M189" s="382">
        <f t="shared" si="64"/>
        <v>48580</v>
      </c>
      <c r="N189" s="382">
        <f t="shared" si="65"/>
        <v>47849</v>
      </c>
      <c r="O189" s="340">
        <f t="shared" si="52"/>
        <v>0</v>
      </c>
      <c r="P189" s="340">
        <f t="shared" si="71"/>
        <v>0</v>
      </c>
      <c r="Q189" s="340">
        <f t="shared" si="66"/>
        <v>0</v>
      </c>
      <c r="R189" s="340">
        <f t="shared" si="53"/>
        <v>0</v>
      </c>
      <c r="S189" s="340">
        <f t="shared" si="68"/>
        <v>0</v>
      </c>
      <c r="T189" s="340">
        <f t="shared" si="54"/>
        <v>0</v>
      </c>
      <c r="U189" s="340">
        <f t="shared" si="61"/>
        <v>0</v>
      </c>
      <c r="V189" s="340">
        <f t="shared" si="55"/>
        <v>0</v>
      </c>
      <c r="W189" s="198">
        <f t="shared" si="67"/>
        <v>0</v>
      </c>
      <c r="X189" s="36">
        <f t="shared" si="56"/>
        <v>0</v>
      </c>
      <c r="Y189" s="2"/>
      <c r="Z189" s="34">
        <f t="shared" si="57"/>
        <v>0</v>
      </c>
      <c r="AA189" s="57">
        <f t="shared" si="58"/>
        <v>107968</v>
      </c>
      <c r="AB189" s="96"/>
      <c r="AC189" s="96"/>
      <c r="AD189" s="96"/>
      <c r="AE189" s="96"/>
      <c r="AF189" s="96"/>
      <c r="AG189" s="96"/>
      <c r="AH189" s="96"/>
      <c r="AI189" s="96"/>
    </row>
    <row r="190" spans="1:35" s="16" customFormat="1" ht="12" x14ac:dyDescent="0.25">
      <c r="A190" s="2"/>
      <c r="B190" s="2"/>
      <c r="C190" s="1"/>
      <c r="D190" s="1"/>
      <c r="E190" s="2"/>
      <c r="F190" s="383">
        <f t="shared" si="62"/>
        <v>179</v>
      </c>
      <c r="G190" s="384">
        <f t="shared" si="49"/>
        <v>48446</v>
      </c>
      <c r="H190" s="340">
        <f t="shared" si="70"/>
        <v>0</v>
      </c>
      <c r="I190" s="340">
        <f t="shared" si="51"/>
        <v>0</v>
      </c>
      <c r="J190" s="340">
        <f t="shared" si="59"/>
        <v>0</v>
      </c>
      <c r="K190" s="340">
        <f t="shared" si="60"/>
        <v>0</v>
      </c>
      <c r="L190" s="382">
        <f t="shared" si="63"/>
        <v>48214</v>
      </c>
      <c r="M190" s="382">
        <f t="shared" si="64"/>
        <v>48580</v>
      </c>
      <c r="N190" s="382">
        <f t="shared" si="65"/>
        <v>47849</v>
      </c>
      <c r="O190" s="340">
        <f t="shared" si="52"/>
        <v>0</v>
      </c>
      <c r="P190" s="340">
        <f t="shared" si="71"/>
        <v>0</v>
      </c>
      <c r="Q190" s="340">
        <f t="shared" si="66"/>
        <v>0</v>
      </c>
      <c r="R190" s="340">
        <f t="shared" si="53"/>
        <v>0</v>
      </c>
      <c r="S190" s="340">
        <f t="shared" si="68"/>
        <v>0</v>
      </c>
      <c r="T190" s="340">
        <f t="shared" si="54"/>
        <v>0</v>
      </c>
      <c r="U190" s="340">
        <f t="shared" si="61"/>
        <v>0</v>
      </c>
      <c r="V190" s="340">
        <f t="shared" si="55"/>
        <v>0</v>
      </c>
      <c r="W190" s="198">
        <f t="shared" si="67"/>
        <v>0</v>
      </c>
      <c r="X190" s="36">
        <f t="shared" si="56"/>
        <v>0</v>
      </c>
      <c r="Y190" s="2"/>
      <c r="Z190" s="34">
        <f t="shared" si="57"/>
        <v>0</v>
      </c>
      <c r="AA190" s="57">
        <f t="shared" si="58"/>
        <v>108333</v>
      </c>
      <c r="AB190" s="96"/>
      <c r="AC190" s="96"/>
      <c r="AD190" s="96"/>
      <c r="AE190" s="96"/>
      <c r="AF190" s="96"/>
      <c r="AG190" s="96"/>
      <c r="AH190" s="96"/>
      <c r="AI190" s="96"/>
    </row>
    <row r="191" spans="1:35" s="16" customFormat="1" ht="12" x14ac:dyDescent="0.25">
      <c r="A191" s="2"/>
      <c r="B191" s="2"/>
      <c r="C191" s="1"/>
      <c r="D191" s="1"/>
      <c r="E191" s="2"/>
      <c r="F191" s="383">
        <f t="shared" si="62"/>
        <v>180</v>
      </c>
      <c r="G191" s="384">
        <f t="shared" si="49"/>
        <v>48477</v>
      </c>
      <c r="H191" s="340">
        <f t="shared" si="70"/>
        <v>0</v>
      </c>
      <c r="I191" s="340">
        <f t="shared" si="51"/>
        <v>0</v>
      </c>
      <c r="J191" s="340">
        <f t="shared" si="59"/>
        <v>0</v>
      </c>
      <c r="K191" s="340">
        <f t="shared" si="60"/>
        <v>0</v>
      </c>
      <c r="L191" s="382">
        <f t="shared" si="63"/>
        <v>48214</v>
      </c>
      <c r="M191" s="382">
        <f t="shared" si="64"/>
        <v>48580</v>
      </c>
      <c r="N191" s="382">
        <f t="shared" si="65"/>
        <v>47849</v>
      </c>
      <c r="O191" s="340">
        <f t="shared" si="52"/>
        <v>0</v>
      </c>
      <c r="P191" s="340">
        <f t="shared" si="71"/>
        <v>0</v>
      </c>
      <c r="Q191" s="340">
        <f t="shared" si="66"/>
        <v>0</v>
      </c>
      <c r="R191" s="340">
        <f t="shared" si="53"/>
        <v>0</v>
      </c>
      <c r="S191" s="340">
        <f t="shared" si="68"/>
        <v>0</v>
      </c>
      <c r="T191" s="340">
        <f t="shared" si="54"/>
        <v>0</v>
      </c>
      <c r="U191" s="340">
        <f t="shared" si="61"/>
        <v>0</v>
      </c>
      <c r="V191" s="340">
        <f t="shared" si="55"/>
        <v>0</v>
      </c>
      <c r="W191" s="198">
        <f t="shared" si="67"/>
        <v>0</v>
      </c>
      <c r="X191" s="36">
        <f t="shared" si="56"/>
        <v>0</v>
      </c>
      <c r="Y191" s="2"/>
      <c r="Z191" s="34">
        <f t="shared" si="57"/>
        <v>0</v>
      </c>
      <c r="AA191" s="57">
        <f t="shared" si="58"/>
        <v>108698</v>
      </c>
      <c r="AB191" s="96"/>
      <c r="AC191" s="96"/>
      <c r="AD191" s="96"/>
      <c r="AE191" s="96"/>
      <c r="AF191" s="96"/>
      <c r="AG191" s="96"/>
      <c r="AH191" s="96"/>
      <c r="AI191" s="96"/>
    </row>
    <row r="192" spans="1:35" s="16" customFormat="1" ht="12" x14ac:dyDescent="0.25">
      <c r="A192" s="2"/>
      <c r="B192" s="2"/>
      <c r="C192" s="1"/>
      <c r="D192" s="1"/>
      <c r="E192" s="2"/>
      <c r="F192" s="28"/>
      <c r="G192" s="29" t="s">
        <v>7</v>
      </c>
      <c r="H192" s="30">
        <f>SUM(H12:H191)</f>
        <v>1237325.1700000002</v>
      </c>
      <c r="I192" s="31">
        <f>SUM(I12:I191)</f>
        <v>274955.17</v>
      </c>
      <c r="J192" s="31"/>
      <c r="K192" s="31"/>
      <c r="L192" s="99"/>
      <c r="M192" s="99"/>
      <c r="N192" s="99"/>
      <c r="O192" s="30">
        <f>SUM(O12:O191)</f>
        <v>900000.00000000012</v>
      </c>
      <c r="P192" s="31">
        <f>SUM(P12:P191)</f>
        <v>62370</v>
      </c>
      <c r="Q192" s="31"/>
      <c r="R192" s="31"/>
      <c r="S192" s="31"/>
      <c r="T192" s="31"/>
      <c r="U192" s="31"/>
      <c r="V192" s="31"/>
      <c r="W192" s="31"/>
      <c r="X192" s="51"/>
      <c r="Y192" s="2"/>
      <c r="Z192" s="34"/>
      <c r="AC192" s="60"/>
    </row>
    <row r="193" spans="1:39" s="16" customFormat="1" ht="12" x14ac:dyDescent="0.25">
      <c r="A193" s="2"/>
      <c r="B193" s="2"/>
      <c r="C193" s="1"/>
      <c r="D193" s="1"/>
      <c r="E193" s="2"/>
      <c r="F193" s="32"/>
      <c r="H193" s="2"/>
      <c r="L193" s="60"/>
      <c r="M193" s="60"/>
      <c r="N193" s="60"/>
      <c r="O193" s="1"/>
      <c r="P193" s="33"/>
      <c r="Q193" s="33"/>
      <c r="R193" s="33"/>
      <c r="S193" s="33"/>
      <c r="T193" s="33"/>
      <c r="U193" s="33"/>
      <c r="V193" s="33"/>
      <c r="W193" s="33"/>
      <c r="X193" s="52"/>
      <c r="Y193" s="2"/>
      <c r="Z193" s="34"/>
      <c r="AC193" s="60"/>
    </row>
    <row r="194" spans="1:39" s="16" customFormat="1" x14ac:dyDescent="0.25">
      <c r="A194" s="2"/>
      <c r="B194" s="2"/>
      <c r="C194" s="1"/>
      <c r="D194" s="1"/>
      <c r="E194" s="2"/>
      <c r="F194" s="1"/>
      <c r="G194" s="53"/>
      <c r="H194" s="1"/>
      <c r="I194" s="54"/>
      <c r="J194" s="54"/>
      <c r="K194" s="54"/>
      <c r="L194" s="57"/>
      <c r="M194" s="57"/>
      <c r="N194" s="57"/>
      <c r="O194" s="1"/>
      <c r="P194" s="3"/>
      <c r="Q194" s="3"/>
      <c r="R194" s="3"/>
      <c r="S194" s="3"/>
      <c r="T194" s="3"/>
      <c r="U194" s="3"/>
      <c r="V194" s="2"/>
      <c r="W194" s="2"/>
      <c r="X194" s="44"/>
      <c r="Y194" s="2"/>
      <c r="Z194" s="34"/>
      <c r="AC194" s="57"/>
      <c r="AD194" s="2"/>
      <c r="AE194" s="2"/>
      <c r="AF194" s="2"/>
      <c r="AG194" s="2"/>
      <c r="AH194" s="2"/>
      <c r="AI194" s="2"/>
      <c r="AJ194" s="2"/>
      <c r="AK194" s="2"/>
    </row>
    <row r="195" spans="1:39" s="16" customFormat="1" ht="12" x14ac:dyDescent="0.25">
      <c r="A195" s="2"/>
      <c r="B195" s="2"/>
      <c r="C195" s="1"/>
      <c r="D195" s="1"/>
      <c r="E195" s="2"/>
      <c r="F195" s="1"/>
      <c r="G195" s="1"/>
      <c r="H195" s="1"/>
      <c r="I195" s="55"/>
      <c r="J195" s="55"/>
      <c r="K195" s="55"/>
      <c r="L195" s="100"/>
      <c r="M195" s="100"/>
      <c r="N195" s="100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2"/>
      <c r="Z195" s="34"/>
      <c r="AC195" s="57"/>
      <c r="AD195" s="2"/>
      <c r="AE195" s="2"/>
      <c r="AF195" s="2"/>
      <c r="AG195" s="2"/>
      <c r="AH195" s="2"/>
      <c r="AI195" s="2"/>
      <c r="AJ195" s="2"/>
      <c r="AK195" s="2"/>
    </row>
    <row r="196" spans="1:39" s="16" customFormat="1" x14ac:dyDescent="0.25">
      <c r="A196" s="2"/>
      <c r="B196" s="2"/>
      <c r="C196" s="1"/>
      <c r="D196" s="1"/>
      <c r="E196" s="2"/>
      <c r="F196" s="1"/>
      <c r="G196" s="1"/>
      <c r="H196" s="1"/>
      <c r="I196" s="2"/>
      <c r="J196" s="2"/>
      <c r="K196" s="2"/>
      <c r="L196" s="57"/>
      <c r="M196" s="57"/>
      <c r="N196" s="57"/>
      <c r="O196" s="1"/>
      <c r="P196" s="3"/>
      <c r="Q196" s="3"/>
      <c r="R196" s="3"/>
      <c r="S196" s="3"/>
      <c r="T196" s="3"/>
      <c r="U196" s="3"/>
      <c r="V196" s="2"/>
      <c r="W196" s="2"/>
      <c r="X196" s="44"/>
      <c r="Y196" s="2"/>
      <c r="Z196" s="35"/>
      <c r="AC196" s="57"/>
      <c r="AD196" s="2"/>
      <c r="AE196" s="2"/>
      <c r="AF196" s="2"/>
      <c r="AG196" s="2"/>
      <c r="AH196" s="2"/>
      <c r="AI196" s="2"/>
      <c r="AJ196" s="2"/>
      <c r="AK196" s="2"/>
    </row>
    <row r="197" spans="1:39" s="16" customFormat="1" x14ac:dyDescent="0.25">
      <c r="A197" s="2"/>
      <c r="B197" s="2"/>
      <c r="C197" s="1"/>
      <c r="D197" s="1"/>
      <c r="E197" s="2"/>
      <c r="F197" s="1"/>
      <c r="G197" s="1"/>
      <c r="H197" s="1"/>
      <c r="I197" s="2"/>
      <c r="J197" s="2"/>
      <c r="K197" s="2"/>
      <c r="L197" s="57"/>
      <c r="M197" s="57"/>
      <c r="N197" s="57"/>
      <c r="O197" s="1"/>
      <c r="P197" s="3"/>
      <c r="Q197" s="3"/>
      <c r="R197" s="3"/>
      <c r="S197" s="3"/>
      <c r="T197" s="3"/>
      <c r="U197" s="3"/>
      <c r="V197" s="2"/>
      <c r="W197" s="2"/>
      <c r="X197" s="44"/>
      <c r="Y197" s="2"/>
      <c r="Z197" s="2"/>
      <c r="AC197" s="57"/>
      <c r="AD197" s="2"/>
      <c r="AE197" s="2"/>
      <c r="AF197" s="2"/>
      <c r="AG197" s="2"/>
      <c r="AH197" s="2"/>
      <c r="AI197" s="2"/>
      <c r="AJ197" s="2"/>
      <c r="AK197" s="2"/>
    </row>
    <row r="198" spans="1:39" x14ac:dyDescent="0.25">
      <c r="AC198" s="57"/>
      <c r="AG198" s="2"/>
      <c r="AH198" s="2"/>
      <c r="AI198" s="2"/>
      <c r="AJ198" s="2"/>
      <c r="AM198" s="2"/>
    </row>
    <row r="199" spans="1:39" x14ac:dyDescent="0.25">
      <c r="Y199" s="55"/>
      <c r="Z199" s="55"/>
      <c r="AA199" s="55"/>
      <c r="AB199" s="55"/>
      <c r="AC199" s="55"/>
      <c r="AD199" s="55"/>
      <c r="AG199" s="55"/>
      <c r="AH199" s="55"/>
      <c r="AI199" s="55"/>
      <c r="AJ199" s="55"/>
    </row>
  </sheetData>
  <sheetProtection sheet="1" selectLockedCells="1"/>
  <mergeCells count="32">
    <mergeCell ref="A23:B23"/>
    <mergeCell ref="A24:B24"/>
    <mergeCell ref="C20:D20"/>
    <mergeCell ref="C21:D21"/>
    <mergeCell ref="C22:D22"/>
    <mergeCell ref="A18:B18"/>
    <mergeCell ref="A19:B19"/>
    <mergeCell ref="A20:B20"/>
    <mergeCell ref="A21:B21"/>
    <mergeCell ref="A22:B22"/>
    <mergeCell ref="A16:B16"/>
    <mergeCell ref="A17:D17"/>
    <mergeCell ref="A11:B11"/>
    <mergeCell ref="A12:B12"/>
    <mergeCell ref="C11:D11"/>
    <mergeCell ref="C12:D12"/>
    <mergeCell ref="A13:B13"/>
    <mergeCell ref="C16:D16"/>
    <mergeCell ref="A1:D1"/>
    <mergeCell ref="A2:D2"/>
    <mergeCell ref="A8:B9"/>
    <mergeCell ref="A10:B10"/>
    <mergeCell ref="C15:D15"/>
    <mergeCell ref="A14:B14"/>
    <mergeCell ref="A15:B15"/>
    <mergeCell ref="C18:D18"/>
    <mergeCell ref="C19:D19"/>
    <mergeCell ref="F8:W9"/>
    <mergeCell ref="C10:D10"/>
    <mergeCell ref="C13:D13"/>
    <mergeCell ref="C14:D14"/>
    <mergeCell ref="C8:D9"/>
  </mergeCells>
  <dataValidations count="3">
    <dataValidation type="list" allowBlank="1" showInputMessage="1" showErrorMessage="1" sqref="C13:D13" xr:uid="{00000000-0002-0000-1700-000000000000}">
      <formula1>$O$6:$P$6</formula1>
    </dataValidation>
    <dataValidation type="list" allowBlank="1" showInputMessage="1" showErrorMessage="1" sqref="C16:D16" xr:uid="{00000000-0002-0000-1700-000001000000}">
      <formula1>$O$3</formula1>
    </dataValidation>
    <dataValidation type="whole" allowBlank="1" showInputMessage="1" showErrorMessage="1" errorTitle="Срок погашения указан не верно" error="Выберите срок аннуитетного погашения не более 48 мес." prompt="Период аннуитетного погашения не более 48 мес." sqref="C15:D15" xr:uid="{00000000-0002-0000-1700-000002000000}">
      <formula1>1</formula1>
      <formula2>48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V154"/>
  <sheetViews>
    <sheetView showGridLines="0" tabSelected="1" view="pageBreakPreview" zoomScale="80" zoomScaleNormal="90" zoomScaleSheetLayoutView="80" workbookViewId="0">
      <selection activeCell="C7" sqref="C7:D7"/>
    </sheetView>
  </sheetViews>
  <sheetFormatPr defaultColWidth="8.6640625" defaultRowHeight="13.2" x14ac:dyDescent="0.25"/>
  <cols>
    <col min="1" max="1" width="38" style="2" customWidth="1"/>
    <col min="2" max="2" width="36.6640625" style="2" customWidth="1"/>
    <col min="3" max="3" width="25.44140625" style="1" customWidth="1"/>
    <col min="4" max="4" width="24.6640625" style="1" customWidth="1"/>
    <col min="5" max="5" width="25" style="1" customWidth="1"/>
    <col min="6" max="6" width="5.44140625" style="1" hidden="1" customWidth="1"/>
    <col min="7" max="7" width="7.6640625" style="1" customWidth="1"/>
    <col min="8" max="9" width="10.6640625" style="1" customWidth="1"/>
    <col min="10" max="10" width="16.33203125" style="1" hidden="1" customWidth="1"/>
    <col min="11" max="11" width="15.44140625" style="1" customWidth="1"/>
    <col min="12" max="12" width="14" style="2" customWidth="1"/>
    <col min="13" max="13" width="14.109375" style="1" customWidth="1"/>
    <col min="14" max="16" width="15" style="3" hidden="1" customWidth="1"/>
    <col min="17" max="17" width="17.109375" style="3" hidden="1" customWidth="1"/>
    <col min="18" max="18" width="15" style="3" hidden="1" customWidth="1"/>
    <col min="19" max="19" width="14" style="2" customWidth="1"/>
    <col min="20" max="20" width="10.5546875" style="2" customWidth="1"/>
    <col min="21" max="21" width="11.109375" style="2" hidden="1" customWidth="1"/>
    <col min="22" max="23" width="11.44140625" style="44" hidden="1" customWidth="1"/>
    <col min="24" max="24" width="17.6640625" style="2" hidden="1" customWidth="1"/>
    <col min="25" max="25" width="18.33203125" style="2" hidden="1" customWidth="1"/>
    <col min="26" max="26" width="13.109375" style="2" hidden="1" customWidth="1"/>
    <col min="27" max="27" width="20" style="2" hidden="1" customWidth="1"/>
    <col min="28" max="28" width="19.6640625" style="2" hidden="1" customWidth="1"/>
    <col min="29" max="29" width="20.88671875" style="2" hidden="1" customWidth="1"/>
    <col min="30" max="30" width="33.6640625" style="2" hidden="1" customWidth="1"/>
    <col min="31" max="31" width="19" style="2" hidden="1" customWidth="1"/>
    <col min="32" max="32" width="32.44140625" style="3" hidden="1" customWidth="1"/>
    <col min="33" max="33" width="31.109375" style="3" hidden="1" customWidth="1"/>
    <col min="34" max="34" width="14.44140625" style="3" hidden="1" customWidth="1"/>
    <col min="35" max="35" width="17" style="3" hidden="1" customWidth="1"/>
    <col min="36" max="36" width="13.44140625" style="2" hidden="1" customWidth="1"/>
    <col min="37" max="37" width="14.44140625" style="2" hidden="1" customWidth="1"/>
    <col min="38" max="38" width="14.44140625" style="57" hidden="1" customWidth="1"/>
    <col min="39" max="41" width="14.44140625" style="2" hidden="1" customWidth="1"/>
    <col min="42" max="42" width="2.33203125" style="2" hidden="1" customWidth="1"/>
    <col min="43" max="43" width="7.6640625" style="2" customWidth="1"/>
    <col min="44" max="44" width="12.33203125" style="2" customWidth="1"/>
    <col min="45" max="45" width="11.109375" style="2" customWidth="1"/>
    <col min="46" max="46" width="14.44140625" style="2" hidden="1" customWidth="1"/>
    <col min="47" max="47" width="14.44140625" style="2" customWidth="1"/>
    <col min="48" max="48" width="12.88671875" style="2" customWidth="1"/>
    <col min="49" max="49" width="15.6640625" style="2" customWidth="1"/>
    <col min="50" max="50" width="12" style="2" hidden="1" customWidth="1"/>
    <col min="51" max="52" width="13.6640625" style="2" hidden="1" customWidth="1"/>
    <col min="53" max="53" width="10.6640625" style="2" hidden="1" customWidth="1"/>
    <col min="54" max="59" width="8.6640625" style="2" hidden="1" customWidth="1"/>
    <col min="60" max="60" width="14" style="2" customWidth="1"/>
    <col min="61" max="61" width="8.6640625" style="2" hidden="1" customWidth="1"/>
    <col min="62" max="62" width="11.44140625" style="2" hidden="1" customWidth="1"/>
    <col min="63" max="63" width="1.33203125" style="1" hidden="1" customWidth="1"/>
    <col min="64" max="65" width="1.109375" style="2" hidden="1" customWidth="1"/>
    <col min="66" max="66" width="2.109375" style="2" hidden="1" customWidth="1"/>
    <col min="67" max="67" width="24.109375" style="2" hidden="1" customWidth="1"/>
    <col min="68" max="68" width="3.6640625" style="2" hidden="1" customWidth="1"/>
    <col min="69" max="69" width="41.44140625" style="2" hidden="1" customWidth="1"/>
    <col min="70" max="70" width="4.44140625" style="2" hidden="1" customWidth="1"/>
    <col min="71" max="71" width="18" style="2" hidden="1" customWidth="1"/>
    <col min="72" max="72" width="4.6640625" style="2" hidden="1" customWidth="1"/>
    <col min="73" max="73" width="7.6640625" style="2" hidden="1" customWidth="1"/>
    <col min="74" max="77" width="8.6640625" style="2" hidden="1" customWidth="1"/>
    <col min="78" max="78" width="15.44140625" style="2" hidden="1" customWidth="1"/>
    <col min="79" max="79" width="20.5546875" style="2" hidden="1" customWidth="1"/>
    <col min="80" max="85" width="8.6640625" style="2" customWidth="1"/>
    <col min="86" max="16384" width="8.6640625" style="2"/>
  </cols>
  <sheetData>
    <row r="1" spans="1:79" ht="12.75" customHeight="1" x14ac:dyDescent="0.4">
      <c r="A1" s="855" t="s">
        <v>470</v>
      </c>
      <c r="B1" s="856"/>
      <c r="C1" s="856"/>
      <c r="D1" s="856"/>
      <c r="E1" s="857"/>
      <c r="F1" s="227"/>
      <c r="G1" s="2"/>
      <c r="H1" s="2"/>
      <c r="I1" s="2"/>
      <c r="J1" s="2"/>
      <c r="K1" s="2"/>
      <c r="M1" s="2"/>
      <c r="N1" s="2"/>
      <c r="O1" s="2"/>
      <c r="P1" s="2"/>
      <c r="Q1" s="2"/>
      <c r="R1" s="2"/>
      <c r="V1" s="2"/>
      <c r="W1" s="2"/>
      <c r="AF1" s="2"/>
      <c r="AG1" s="2"/>
      <c r="AH1" s="2"/>
      <c r="AI1" s="2"/>
      <c r="AL1" s="62" t="s">
        <v>52</v>
      </c>
      <c r="AM1" s="86" t="str">
        <f>IF($C$12=$AH$3,$AH$4,IF($C$12=$AI$3,$AI$4,IF($C$12=$AJ$3,$AJ$4,IF($C$12=$AK$3,$AK$4,IF($C$12=$AL$3,$AL$4,IF($C$12=$AM$3,$AM$4,""))))))</f>
        <v/>
      </c>
      <c r="AO1" s="65"/>
      <c r="BK1" s="2"/>
    </row>
    <row r="2" spans="1:79" ht="34.950000000000003" customHeight="1" x14ac:dyDescent="0.4">
      <c r="A2" s="872"/>
      <c r="B2" s="873"/>
      <c r="C2" s="873"/>
      <c r="D2" s="873"/>
      <c r="E2" s="874"/>
      <c r="F2" s="227"/>
      <c r="G2" s="2"/>
      <c r="H2" s="2"/>
      <c r="I2" s="2"/>
      <c r="J2" s="2"/>
      <c r="K2" s="2"/>
      <c r="M2" s="2"/>
      <c r="N2" s="2"/>
      <c r="O2" s="2"/>
      <c r="P2" s="2"/>
      <c r="Q2" s="2"/>
      <c r="R2" s="2"/>
      <c r="V2" s="2"/>
      <c r="W2" s="2"/>
      <c r="AF2" s="2" t="s">
        <v>47</v>
      </c>
      <c r="AG2" s="2"/>
      <c r="AH2" s="2"/>
      <c r="AI2" s="2"/>
      <c r="BK2" s="2"/>
    </row>
    <row r="3" spans="1:79" ht="25.95" customHeight="1" x14ac:dyDescent="0.3">
      <c r="A3" s="864" t="s">
        <v>196</v>
      </c>
      <c r="B3" s="865"/>
      <c r="C3" s="865"/>
      <c r="D3" s="865"/>
      <c r="E3" s="866"/>
      <c r="F3" s="310"/>
      <c r="G3" s="875" t="str">
        <f>CONCATENATE("ГРАФИК ПЛАТЕЖЕЙ - ТАРИФ ОПТИМИСТИЧНЫЙ",IF(C16="Да"," + ГАРАНТИРОВАННАЯ СТАВКА",""))</f>
        <v>ГРАФИК ПЛАТЕЖЕЙ - ТАРИФ ОПТИМИСТИЧНЫЙ + ГАРАНТИРОВАННАЯ СТАВКА</v>
      </c>
      <c r="H3" s="875"/>
      <c r="I3" s="875"/>
      <c r="J3" s="875"/>
      <c r="K3" s="875"/>
      <c r="L3" s="875"/>
      <c r="M3" s="875"/>
      <c r="N3" s="875"/>
      <c r="O3" s="875"/>
      <c r="P3" s="875"/>
      <c r="Q3" s="875"/>
      <c r="R3" s="875"/>
      <c r="S3" s="875"/>
      <c r="T3" s="875"/>
      <c r="U3" s="875"/>
      <c r="V3" s="146"/>
      <c r="W3" s="146"/>
      <c r="X3" s="63" t="s">
        <v>33</v>
      </c>
      <c r="Y3" s="63" t="s">
        <v>159</v>
      </c>
      <c r="Z3" s="63" t="s">
        <v>72</v>
      </c>
      <c r="AA3" s="63" t="s">
        <v>73</v>
      </c>
      <c r="AB3" s="63" t="s">
        <v>74</v>
      </c>
      <c r="AC3" s="63" t="s">
        <v>375</v>
      </c>
      <c r="AD3" s="63" t="s">
        <v>159</v>
      </c>
      <c r="AE3" s="63"/>
      <c r="AF3" s="63"/>
      <c r="AG3" s="63"/>
      <c r="AH3" s="87"/>
      <c r="AI3" s="87"/>
      <c r="AJ3" s="87"/>
      <c r="AK3" s="87"/>
      <c r="AL3" s="87"/>
      <c r="AM3" s="87"/>
      <c r="AN3" s="63"/>
      <c r="AO3" s="63"/>
      <c r="AP3" s="63"/>
      <c r="AQ3" s="876" t="s">
        <v>471</v>
      </c>
      <c r="AR3" s="876"/>
      <c r="AS3" s="876"/>
      <c r="AT3" s="876"/>
      <c r="AU3" s="876"/>
      <c r="AV3" s="876"/>
      <c r="AW3" s="876"/>
      <c r="AX3" s="876"/>
      <c r="AY3" s="876"/>
      <c r="AZ3" s="876"/>
      <c r="BA3" s="876"/>
      <c r="BB3" s="876"/>
      <c r="BC3" s="876"/>
      <c r="BD3" s="876"/>
      <c r="BE3" s="876"/>
      <c r="BF3" s="876"/>
      <c r="BG3" s="876"/>
      <c r="BH3" s="876"/>
      <c r="BI3" s="876"/>
      <c r="BJ3" s="102"/>
      <c r="BK3" s="102"/>
      <c r="BL3" s="102"/>
      <c r="BO3" s="826" t="s">
        <v>94</v>
      </c>
      <c r="BP3" s="826"/>
      <c r="BQ3" s="826"/>
      <c r="BR3" s="826"/>
      <c r="BS3" s="826"/>
      <c r="BT3" s="826"/>
      <c r="BU3" s="826"/>
    </row>
    <row r="4" spans="1:79" ht="13.5" hidden="1" customHeight="1" x14ac:dyDescent="0.2">
      <c r="A4" s="187"/>
      <c r="B4" s="185"/>
      <c r="C4" s="521"/>
      <c r="D4" s="185"/>
      <c r="E4" s="188"/>
      <c r="F4" s="228"/>
      <c r="G4" s="875"/>
      <c r="H4" s="875"/>
      <c r="I4" s="875"/>
      <c r="J4" s="875"/>
      <c r="K4" s="875"/>
      <c r="L4" s="875"/>
      <c r="M4" s="875"/>
      <c r="N4" s="875"/>
      <c r="O4" s="875"/>
      <c r="P4" s="875"/>
      <c r="Q4" s="875"/>
      <c r="R4" s="875"/>
      <c r="S4" s="875"/>
      <c r="T4" s="875"/>
      <c r="U4" s="875"/>
      <c r="V4" s="146"/>
      <c r="W4" s="146"/>
      <c r="X4" s="15">
        <v>0.29899999999999999</v>
      </c>
      <c r="Y4" s="15">
        <v>0.29899999999999999</v>
      </c>
      <c r="Z4" s="15">
        <v>0.29899999999999999</v>
      </c>
      <c r="AA4" s="15">
        <v>0.29899999999999999</v>
      </c>
      <c r="AB4" s="15">
        <v>0.29899999999999999</v>
      </c>
      <c r="AC4" s="15">
        <v>0.16900000000000001</v>
      </c>
      <c r="AD4" s="63" t="s">
        <v>72</v>
      </c>
      <c r="AE4" s="147"/>
      <c r="AF4" s="147"/>
      <c r="AG4" s="147"/>
      <c r="AH4" s="148"/>
      <c r="AI4" s="148"/>
      <c r="AJ4" s="148"/>
      <c r="AK4" s="148"/>
      <c r="AL4" s="148"/>
      <c r="AM4" s="148"/>
      <c r="AN4" s="147"/>
      <c r="AO4" s="147"/>
      <c r="AP4" s="147"/>
      <c r="AQ4" s="876"/>
      <c r="AR4" s="876"/>
      <c r="AS4" s="876"/>
      <c r="AT4" s="876"/>
      <c r="AU4" s="876"/>
      <c r="AV4" s="876"/>
      <c r="AW4" s="876"/>
      <c r="AX4" s="876"/>
      <c r="AY4" s="876"/>
      <c r="AZ4" s="876"/>
      <c r="BA4" s="876"/>
      <c r="BB4" s="876"/>
      <c r="BC4" s="876"/>
      <c r="BD4" s="876"/>
      <c r="BE4" s="876"/>
      <c r="BF4" s="876"/>
      <c r="BG4" s="876"/>
      <c r="BH4" s="876"/>
      <c r="BI4" s="876"/>
      <c r="BJ4" s="102"/>
      <c r="BK4" s="102"/>
      <c r="BL4" s="102"/>
      <c r="BM4" s="57"/>
    </row>
    <row r="5" spans="1:79" ht="13.5" hidden="1" customHeight="1" x14ac:dyDescent="0.2">
      <c r="A5" s="869"/>
      <c r="B5" s="870"/>
      <c r="C5" s="870"/>
      <c r="D5" s="870"/>
      <c r="E5" s="871"/>
      <c r="F5" s="229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49"/>
      <c r="W5" s="49"/>
      <c r="X5" s="15">
        <v>0.129</v>
      </c>
      <c r="Y5" s="15">
        <v>0.129</v>
      </c>
      <c r="Z5" s="15">
        <v>0.129</v>
      </c>
      <c r="AA5" s="15">
        <v>0.129</v>
      </c>
      <c r="AB5" s="15">
        <v>0.129</v>
      </c>
      <c r="AC5" s="15">
        <v>0.19900000000000001</v>
      </c>
      <c r="AD5" s="63" t="s">
        <v>73</v>
      </c>
      <c r="AE5" s="147"/>
      <c r="AF5" s="147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2"/>
      <c r="BK5" s="117"/>
      <c r="BL5" s="102"/>
      <c r="BM5" s="57"/>
    </row>
    <row r="6" spans="1:79" ht="25.95" customHeight="1" thickBot="1" x14ac:dyDescent="0.3">
      <c r="A6" s="839" t="s">
        <v>164</v>
      </c>
      <c r="B6" s="839"/>
      <c r="C6" s="839" t="s">
        <v>165</v>
      </c>
      <c r="D6" s="839"/>
      <c r="E6" s="189" t="s">
        <v>166</v>
      </c>
      <c r="F6" s="230"/>
      <c r="G6" s="825" t="s">
        <v>148</v>
      </c>
      <c r="H6" s="825" t="s">
        <v>187</v>
      </c>
      <c r="I6" s="825" t="s">
        <v>188</v>
      </c>
      <c r="J6" s="238"/>
      <c r="K6" s="825" t="s">
        <v>194</v>
      </c>
      <c r="L6" s="825" t="s">
        <v>191</v>
      </c>
      <c r="M6" s="825" t="s">
        <v>192</v>
      </c>
      <c r="N6" s="238"/>
      <c r="O6" s="238"/>
      <c r="P6" s="238"/>
      <c r="Q6" s="238"/>
      <c r="R6" s="238"/>
      <c r="S6" s="825" t="s">
        <v>193</v>
      </c>
      <c r="T6" s="825" t="s">
        <v>473</v>
      </c>
      <c r="U6" s="195"/>
      <c r="V6" s="49"/>
      <c r="W6" s="49"/>
      <c r="X6" s="15">
        <v>0.13900000000000001</v>
      </c>
      <c r="Y6" s="15">
        <v>0.13900000000000001</v>
      </c>
      <c r="Z6" s="15">
        <v>0.13900000000000001</v>
      </c>
      <c r="AA6" s="15">
        <v>0.13900000000000001</v>
      </c>
      <c r="AB6" s="15">
        <v>0.13900000000000001</v>
      </c>
      <c r="AC6" s="15">
        <v>0.17899999999999999</v>
      </c>
      <c r="AD6" s="63" t="s">
        <v>74</v>
      </c>
      <c r="AE6" s="147"/>
      <c r="AF6" s="147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878" t="s">
        <v>148</v>
      </c>
      <c r="AR6" s="878" t="s">
        <v>187</v>
      </c>
      <c r="AS6" s="878" t="s">
        <v>188</v>
      </c>
      <c r="AT6" s="543"/>
      <c r="AU6" s="878" t="s">
        <v>194</v>
      </c>
      <c r="AV6" s="878" t="s">
        <v>191</v>
      </c>
      <c r="AW6" s="878" t="s">
        <v>192</v>
      </c>
      <c r="AX6" s="528"/>
      <c r="AY6" s="528"/>
      <c r="AZ6" s="528"/>
      <c r="BA6" s="528"/>
      <c r="BB6" s="528"/>
      <c r="BC6" s="528"/>
      <c r="BD6" s="528"/>
      <c r="BE6" s="528"/>
      <c r="BF6" s="528"/>
      <c r="BG6" s="528"/>
      <c r="BH6" s="878" t="s">
        <v>193</v>
      </c>
      <c r="BI6" s="103"/>
      <c r="BJ6" s="102"/>
      <c r="BK6" s="117"/>
      <c r="BL6" s="102"/>
      <c r="BM6" s="57"/>
      <c r="BO6" s="827" t="s">
        <v>95</v>
      </c>
      <c r="BP6" s="827"/>
      <c r="BQ6" s="827"/>
      <c r="BR6" s="827"/>
      <c r="BS6" s="827"/>
      <c r="BT6" s="827"/>
      <c r="BU6" s="827"/>
    </row>
    <row r="7" spans="1:79" ht="28.5" customHeight="1" x14ac:dyDescent="0.6">
      <c r="A7" s="841" t="s">
        <v>200</v>
      </c>
      <c r="B7" s="841"/>
      <c r="C7" s="862">
        <v>60000</v>
      </c>
      <c r="D7" s="862"/>
      <c r="E7" s="510"/>
      <c r="F7" s="231"/>
      <c r="G7" s="825"/>
      <c r="H7" s="825"/>
      <c r="I7" s="825"/>
      <c r="J7" s="570" t="s">
        <v>189</v>
      </c>
      <c r="K7" s="825"/>
      <c r="L7" s="825"/>
      <c r="M7" s="825"/>
      <c r="N7" s="237" t="s">
        <v>36</v>
      </c>
      <c r="O7" s="237" t="s">
        <v>39</v>
      </c>
      <c r="P7" s="237" t="s">
        <v>38</v>
      </c>
      <c r="Q7" s="570" t="s">
        <v>195</v>
      </c>
      <c r="R7" s="326" t="s">
        <v>40</v>
      </c>
      <c r="S7" s="825"/>
      <c r="T7" s="825"/>
      <c r="U7" s="196" t="s">
        <v>32</v>
      </c>
      <c r="V7" s="150" t="s">
        <v>31</v>
      </c>
      <c r="W7" s="150" t="s">
        <v>472</v>
      </c>
      <c r="X7" s="15">
        <v>0.14899999999999999</v>
      </c>
      <c r="Y7" s="15">
        <v>0.14899999999999999</v>
      </c>
      <c r="Z7" s="15">
        <v>0.14899999999999999</v>
      </c>
      <c r="AA7" s="15">
        <v>0.14899999999999999</v>
      </c>
      <c r="AB7" s="15">
        <v>0.14899999999999999</v>
      </c>
      <c r="AC7" s="15">
        <v>0.20899999999999999</v>
      </c>
      <c r="AD7" s="101"/>
      <c r="AE7" s="147"/>
      <c r="AF7" s="147"/>
      <c r="AG7" s="101"/>
      <c r="AH7" s="101"/>
      <c r="AI7" s="101"/>
      <c r="AJ7" s="101"/>
      <c r="AK7" s="101"/>
      <c r="AL7" s="101"/>
      <c r="AM7" s="101"/>
      <c r="AN7" s="101"/>
      <c r="AO7" s="101"/>
      <c r="AP7" s="151">
        <f>SUM(AP9:AP108)</f>
        <v>48</v>
      </c>
      <c r="AQ7" s="878"/>
      <c r="AR7" s="878"/>
      <c r="AS7" s="878"/>
      <c r="AT7" s="544" t="s">
        <v>156</v>
      </c>
      <c r="AU7" s="878"/>
      <c r="AV7" s="878"/>
      <c r="AW7" s="878"/>
      <c r="AX7" s="527" t="s">
        <v>36</v>
      </c>
      <c r="AY7" s="527" t="s">
        <v>39</v>
      </c>
      <c r="AZ7" s="527" t="s">
        <v>38</v>
      </c>
      <c r="BA7" s="527" t="s">
        <v>158</v>
      </c>
      <c r="BB7" s="527" t="s">
        <v>40</v>
      </c>
      <c r="BC7" s="527"/>
      <c r="BD7" s="527"/>
      <c r="BE7" s="527"/>
      <c r="BF7" s="527"/>
      <c r="BG7" s="527"/>
      <c r="BH7" s="878"/>
      <c r="BI7" s="163" t="s">
        <v>32</v>
      </c>
      <c r="BJ7" s="104" t="s">
        <v>31</v>
      </c>
      <c r="BK7" s="153">
        <f>BK8</f>
        <v>45315</v>
      </c>
      <c r="BL7" s="108">
        <f>K8</f>
        <v>-75631</v>
      </c>
      <c r="BM7" s="61"/>
      <c r="BO7" s="830" t="s">
        <v>84</v>
      </c>
      <c r="BP7" s="828" t="s">
        <v>85</v>
      </c>
      <c r="BQ7" s="127" t="s">
        <v>86</v>
      </c>
      <c r="BR7" s="124" t="s">
        <v>88</v>
      </c>
      <c r="BS7" s="834" t="s">
        <v>9</v>
      </c>
      <c r="BT7" s="836" t="s">
        <v>89</v>
      </c>
      <c r="BU7" s="832">
        <v>1</v>
      </c>
      <c r="BZ7" s="2" t="s">
        <v>461</v>
      </c>
    </row>
    <row r="8" spans="1:79" ht="18" customHeight="1" thickBot="1" x14ac:dyDescent="0.65">
      <c r="A8" s="877" t="s">
        <v>495</v>
      </c>
      <c r="B8" s="841"/>
      <c r="C8" s="502" t="s">
        <v>491</v>
      </c>
      <c r="D8" s="215" t="s">
        <v>29</v>
      </c>
      <c r="E8" s="510"/>
      <c r="F8" s="231"/>
      <c r="G8" s="253"/>
      <c r="H8" s="240">
        <f>C9</f>
        <v>45315</v>
      </c>
      <c r="I8" s="240"/>
      <c r="J8" s="240"/>
      <c r="K8" s="241">
        <f>-C23</f>
        <v>-75631</v>
      </c>
      <c r="L8" s="242"/>
      <c r="M8" s="243"/>
      <c r="N8" s="243"/>
      <c r="O8" s="243"/>
      <c r="P8" s="243"/>
      <c r="Q8" s="243"/>
      <c r="R8" s="243"/>
      <c r="S8" s="239">
        <f>C23</f>
        <v>75631</v>
      </c>
      <c r="T8" s="466"/>
      <c r="U8" s="197"/>
      <c r="V8" s="36"/>
      <c r="W8" s="36"/>
      <c r="X8" s="15">
        <v>0.159</v>
      </c>
      <c r="Y8" s="15">
        <v>0.159</v>
      </c>
      <c r="Z8" s="15">
        <v>0.159</v>
      </c>
      <c r="AA8" s="15">
        <v>0.159</v>
      </c>
      <c r="AB8" s="15">
        <v>0.159</v>
      </c>
      <c r="AC8" s="15">
        <v>0.22900000000000001</v>
      </c>
      <c r="AD8" s="15"/>
      <c r="AE8" s="147">
        <f>IF(OR($C$8="Гарантия стандарт",$C$8="Гарантия пакет"),AC5,X4)</f>
        <v>0.29899999999999999</v>
      </c>
      <c r="AF8" s="147">
        <f>IF(OR($D$8="Гарантия стандарт",$D$8="Гарантия пакет"),AC5,X4)</f>
        <v>0.29899999999999999</v>
      </c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548"/>
      <c r="AR8" s="549">
        <f>C9</f>
        <v>45315</v>
      </c>
      <c r="AS8" s="549"/>
      <c r="AT8" s="549"/>
      <c r="AU8" s="550">
        <f>-D23</f>
        <v>-64999</v>
      </c>
      <c r="AV8" s="546"/>
      <c r="AW8" s="551"/>
      <c r="AX8" s="551"/>
      <c r="AY8" s="551"/>
      <c r="AZ8" s="551"/>
      <c r="BA8" s="551"/>
      <c r="BB8" s="551"/>
      <c r="BC8" s="551"/>
      <c r="BD8" s="551"/>
      <c r="BE8" s="551"/>
      <c r="BF8" s="551"/>
      <c r="BG8" s="551"/>
      <c r="BH8" s="552">
        <f>D23</f>
        <v>64999</v>
      </c>
      <c r="BI8" s="106"/>
      <c r="BJ8" s="108"/>
      <c r="BK8" s="22">
        <f>H8</f>
        <v>45315</v>
      </c>
      <c r="BL8" s="104">
        <f>$C$25</f>
        <v>7632</v>
      </c>
      <c r="BO8" s="831"/>
      <c r="BP8" s="829"/>
      <c r="BQ8" s="125" t="s">
        <v>87</v>
      </c>
      <c r="BR8" s="126" t="s">
        <v>88</v>
      </c>
      <c r="BS8" s="835"/>
      <c r="BT8" s="837"/>
      <c r="BU8" s="833"/>
      <c r="BZ8" s="653" t="s">
        <v>481</v>
      </c>
      <c r="CA8" s="800" t="s">
        <v>491</v>
      </c>
    </row>
    <row r="9" spans="1:79" ht="16.95" customHeight="1" thickBot="1" x14ac:dyDescent="0.3">
      <c r="A9" s="841" t="s">
        <v>199</v>
      </c>
      <c r="B9" s="841"/>
      <c r="C9" s="842">
        <v>45315</v>
      </c>
      <c r="D9" s="842"/>
      <c r="E9" s="510"/>
      <c r="F9" s="231"/>
      <c r="G9" s="244">
        <f>1</f>
        <v>1</v>
      </c>
      <c r="H9" s="245">
        <f t="shared" ref="H9:H40" si="0">IF((OR(DAY($AE$54)=29,DAY($AE$54)=30,DAY($AE$54)=31)),(EDATE($C$9-3,G9)),EDATE($C$9,G9))</f>
        <v>45346</v>
      </c>
      <c r="I9" s="246">
        <f t="shared" ref="I9:I40" si="1">IF(AND($X$11=1,G9&gt;=$X$11,),0%,$C$13)</f>
        <v>0.23899999999999999</v>
      </c>
      <c r="J9" s="242">
        <f t="shared" ref="J9:J73" si="2">K9+Q9</f>
        <v>2407</v>
      </c>
      <c r="K9" s="242">
        <f>C24</f>
        <v>2407</v>
      </c>
      <c r="L9" s="242">
        <f>S8*($C$13/(DATE(YEAR(H8)+1,1,1)-DATE(YEAR(H8),1,1))*(H9-H8))</f>
        <v>1531.011144808743</v>
      </c>
      <c r="M9" s="242">
        <f>K9-L9</f>
        <v>875.98885519125702</v>
      </c>
      <c r="N9" s="242">
        <f t="shared" ref="N9:N40" si="3">IF(P9-Q9&gt;$C$24,$C$24-L9,IF(V9=0,0,R9)+$AJ$51)</f>
        <v>0</v>
      </c>
      <c r="O9" s="242">
        <v>0</v>
      </c>
      <c r="P9" s="242">
        <f>L9+Q9</f>
        <v>1531.011144808743</v>
      </c>
      <c r="Q9" s="242">
        <f t="shared" ref="Q9:Q14" si="4">IF(V9=0,0,0)</f>
        <v>0</v>
      </c>
      <c r="R9" s="242">
        <f>IF(V9=0,0,0)</f>
        <v>0</v>
      </c>
      <c r="S9" s="242">
        <f>S8-M9-T9</f>
        <v>74755.011144808741</v>
      </c>
      <c r="T9" s="467"/>
      <c r="U9" s="198">
        <f>C10</f>
        <v>48</v>
      </c>
      <c r="V9" s="36">
        <f>U9</f>
        <v>48</v>
      </c>
      <c r="W9" s="36">
        <f>IF(G9=$C$10,T9,0)</f>
        <v>0</v>
      </c>
      <c r="X9" s="15">
        <v>0.19900000000000001</v>
      </c>
      <c r="Y9" s="15">
        <v>0.19900000000000001</v>
      </c>
      <c r="Z9" s="15">
        <v>0.19900000000000001</v>
      </c>
      <c r="AA9" s="15">
        <v>0.19900000000000001</v>
      </c>
      <c r="AB9" s="15">
        <v>0.19900000000000001</v>
      </c>
      <c r="AC9" s="15">
        <v>0.25900000000000001</v>
      </c>
      <c r="AD9" s="132"/>
      <c r="AE9" s="147">
        <f>IF(OR($C$8="Гарантия стандарт",$C$8="Гарантия пакет"),AC6,X5)</f>
        <v>0.129</v>
      </c>
      <c r="AF9" s="147">
        <f>IF(OR($D$8="Гарантия стандарт",$D$8="Гарантия пакет"),AC6,X5)</f>
        <v>0.129</v>
      </c>
      <c r="AG9" s="15"/>
      <c r="AH9" s="15"/>
      <c r="AI9" s="15"/>
      <c r="AJ9" s="15"/>
      <c r="AK9" s="15"/>
      <c r="AL9" s="15"/>
      <c r="AM9" s="15"/>
      <c r="AN9" s="15"/>
      <c r="AO9" s="15"/>
      <c r="AP9" s="130">
        <f>IF(OR(AU9="",AU9=0),0,1)</f>
        <v>1</v>
      </c>
      <c r="AQ9" s="553">
        <f>1</f>
        <v>1</v>
      </c>
      <c r="AR9" s="554">
        <f t="shared" ref="AR9:AR40" si="5">IF((OR(DAY($AE$54)=29,DAY($AE$54)=30,DAY($AE$54)=31)),(EDATE($C$9-3,AQ9)),EDATE($C$9,AQ9))</f>
        <v>45346</v>
      </c>
      <c r="AS9" s="555">
        <f t="shared" ref="AS9:AS14" si="6">$D$13</f>
        <v>0.29899999999999999</v>
      </c>
      <c r="AT9" s="546">
        <f>AU9+BA9</f>
        <v>2344</v>
      </c>
      <c r="AU9" s="546">
        <f>'КЭШ, Реф (БВ_ОПТИ_Базовый)'!D29</f>
        <v>2344</v>
      </c>
      <c r="AV9" s="546">
        <f t="shared" ref="AV9:AV40" si="7">BH8*($D$13/365*(AR9-AR8))</f>
        <v>1650.6184410958904</v>
      </c>
      <c r="AW9" s="546">
        <f>IF(BJ9=0,0,IF(BJ9=1,BH8,IF(BH8+AX9+AV9&gt;AU8,AU9-AV9-AX9,BH8)))</f>
        <v>693.38155890410962</v>
      </c>
      <c r="AX9" s="546">
        <f t="shared" ref="AX9:AX40" si="8">IF(AZ9-BA9&gt;$D$24,$D$24-AV9,IF(BJ9=0,0,BB9)+BY57)</f>
        <v>0</v>
      </c>
      <c r="AY9" s="546"/>
      <c r="AZ9" s="546">
        <f>AV9+BA9</f>
        <v>1650.6184410958904</v>
      </c>
      <c r="BA9" s="546">
        <f t="shared" ref="BA9:BA20" si="9">IF($D$16="Нет",0,IF($D$17="Серебряный",1800,IF($D$17="Золотой",2500,IF($D$17="Платиновый",3500,""))))</f>
        <v>0</v>
      </c>
      <c r="BB9" s="546">
        <f>IF(BJ9=0,0,0)</f>
        <v>0</v>
      </c>
      <c r="BC9" s="546"/>
      <c r="BD9" s="546"/>
      <c r="BE9" s="546"/>
      <c r="BF9" s="546"/>
      <c r="BG9" s="546"/>
      <c r="BH9" s="546">
        <f>IF(OR(BJ9=1,BH8=0),0,BH8-AW9)</f>
        <v>64305.618441095889</v>
      </c>
      <c r="BI9" s="108">
        <f>C10</f>
        <v>48</v>
      </c>
      <c r="BJ9" s="108">
        <f>BI9</f>
        <v>48</v>
      </c>
      <c r="BK9" s="22">
        <f>H9</f>
        <v>45346</v>
      </c>
      <c r="BL9" s="108">
        <f t="shared" ref="BL9:BL72" si="10">K9</f>
        <v>2407</v>
      </c>
      <c r="BN9" s="682"/>
      <c r="BZ9" s="655"/>
      <c r="CA9" s="800" t="s">
        <v>486</v>
      </c>
    </row>
    <row r="10" spans="1:79" ht="18" customHeight="1" x14ac:dyDescent="0.25">
      <c r="A10" s="846" t="s">
        <v>198</v>
      </c>
      <c r="B10" s="846"/>
      <c r="C10" s="840">
        <v>48</v>
      </c>
      <c r="D10" s="840"/>
      <c r="E10" s="510"/>
      <c r="F10" s="231"/>
      <c r="G10" s="244">
        <f>G9+1</f>
        <v>2</v>
      </c>
      <c r="H10" s="245">
        <f t="shared" si="0"/>
        <v>45375</v>
      </c>
      <c r="I10" s="246">
        <f t="shared" si="1"/>
        <v>0.23899999999999999</v>
      </c>
      <c r="J10" s="242">
        <f t="shared" si="2"/>
        <v>2407</v>
      </c>
      <c r="K10" s="242">
        <f t="shared" ref="K10:K41" si="11">IF(G10&gt;$C$10,0,IF((S9+L10)&lt;K9,(S9+L10),IF(T9=0,K9,MIN(K9,ROUNDUP(S9*$C$13/12/((1-(1+$C$13/12)^(0-($C$10-G10)))),0)))))</f>
        <v>2407</v>
      </c>
      <c r="L10" s="242">
        <f t="shared" ref="L10:L73" si="12">S9*($C$13/(DATE(YEAR(H9)+1,1,1)-DATE(YEAR(H9),1,1))*(H10-H9))</f>
        <v>1415.6474924717741</v>
      </c>
      <c r="M10" s="242">
        <f>IF(S9=0,0,IF(S9+L10&gt;K9,K10-L10,S9))</f>
        <v>991.35250752822594</v>
      </c>
      <c r="N10" s="242">
        <f t="shared" si="3"/>
        <v>0</v>
      </c>
      <c r="O10" s="242">
        <v>0</v>
      </c>
      <c r="P10" s="242">
        <f>L10+Q10</f>
        <v>1415.6474924717741</v>
      </c>
      <c r="Q10" s="242">
        <f t="shared" si="4"/>
        <v>0</v>
      </c>
      <c r="R10" s="242">
        <f t="shared" ref="R10:R73" si="13">IF(V10=0,0,0)</f>
        <v>0</v>
      </c>
      <c r="S10" s="242">
        <f t="shared" ref="S10:S73" si="14">S9-M10-T10</f>
        <v>73763.658637280518</v>
      </c>
      <c r="T10" s="467"/>
      <c r="U10" s="198">
        <f>IF((U9-1)&lt;0,0,U9-1)</f>
        <v>47</v>
      </c>
      <c r="V10" s="36">
        <f t="shared" ref="V10:V73" si="15">U10</f>
        <v>47</v>
      </c>
      <c r="W10" s="36">
        <f t="shared" ref="W10:W73" si="16">IF(G10=$C$10,T10,0)</f>
        <v>0</v>
      </c>
      <c r="X10" s="54">
        <f>ROUND(S8*0%,-2)</f>
        <v>0</v>
      </c>
      <c r="Y10" s="54">
        <f>ROUND(S8*0.5%,0)</f>
        <v>378</v>
      </c>
      <c r="Z10" s="15"/>
      <c r="AA10" s="15"/>
      <c r="AB10" s="15"/>
      <c r="AC10" s="15"/>
      <c r="AD10" s="15"/>
      <c r="AE10" s="147">
        <f>IF(OR($C$8="Гарантия стандарт",$C$8="Гарантия пакет"),AC7,X6)</f>
        <v>0.13900000000000001</v>
      </c>
      <c r="AF10" s="147">
        <f>IF(OR($D$8="Гарантия стандарт",$D$8="Гарантия пакет"),AC7,X6)</f>
        <v>0.13900000000000001</v>
      </c>
      <c r="AG10" s="15"/>
      <c r="AH10" s="15"/>
      <c r="AI10" s="15"/>
      <c r="AJ10" s="15"/>
      <c r="AK10" s="15"/>
      <c r="AL10" s="15"/>
      <c r="AM10" s="15"/>
      <c r="AN10" s="15"/>
      <c r="AO10" s="15"/>
      <c r="AP10" s="130">
        <f t="shared" ref="AP10:AP73" si="17">IF(OR(AU10="",AU10=0),0,1)</f>
        <v>1</v>
      </c>
      <c r="AQ10" s="553">
        <f>AQ9+1</f>
        <v>2</v>
      </c>
      <c r="AR10" s="554">
        <f t="shared" si="5"/>
        <v>45375</v>
      </c>
      <c r="AS10" s="555">
        <f t="shared" si="6"/>
        <v>0.29899999999999999</v>
      </c>
      <c r="AT10" s="546">
        <f t="shared" ref="AT10:AT73" si="18">AU10+BA10</f>
        <v>2344</v>
      </c>
      <c r="AU10" s="546">
        <f>IF(AQ10&gt;$C$10,0,IF(BD9=0,AU9,ROUNDUP(BC9*$C$11/12/((1-(1+$C$11/12)^(0-($C$10-AQ10)))),0)))</f>
        <v>2344</v>
      </c>
      <c r="AV10" s="546">
        <f t="shared" si="7"/>
        <v>1527.6548424732671</v>
      </c>
      <c r="AW10" s="546">
        <f t="shared" ref="AW10:AW73" si="19">IF(BJ10=0,0,IF(BJ10=1,BH9,IF(BH9+AX10+AV10&gt;AU9,AU10-AV10-AX10,BH9)))</f>
        <v>816.34515752673292</v>
      </c>
      <c r="AX10" s="546">
        <f t="shared" si="8"/>
        <v>0</v>
      </c>
      <c r="AY10" s="546">
        <v>0</v>
      </c>
      <c r="AZ10" s="546">
        <f t="shared" ref="AZ10:AZ85" si="20">AV10+BA10</f>
        <v>1527.6548424732671</v>
      </c>
      <c r="BA10" s="546">
        <f t="shared" si="9"/>
        <v>0</v>
      </c>
      <c r="BB10" s="546">
        <f t="shared" ref="BB10:BB18" si="21">IF(BJ10=0,0,0)</f>
        <v>0</v>
      </c>
      <c r="BC10" s="546"/>
      <c r="BD10" s="546"/>
      <c r="BE10" s="546"/>
      <c r="BF10" s="546"/>
      <c r="BG10" s="546"/>
      <c r="BH10" s="546">
        <f t="shared" ref="BH10:BH73" si="22">IF(OR(BJ10=1,BH9=0),0,BH9-AW10)</f>
        <v>63489.273283569157</v>
      </c>
      <c r="BI10" s="108">
        <f>IF((BI9-1)&lt;0,0,BI9-1)</f>
        <v>47</v>
      </c>
      <c r="BJ10" s="108">
        <f>BI10</f>
        <v>47</v>
      </c>
      <c r="BK10" s="22">
        <f>H10</f>
        <v>45375</v>
      </c>
      <c r="BL10" s="108">
        <f t="shared" si="10"/>
        <v>2407</v>
      </c>
      <c r="BN10" s="682"/>
      <c r="BO10" s="830" t="s">
        <v>90</v>
      </c>
      <c r="BP10" s="828" t="s">
        <v>85</v>
      </c>
      <c r="BQ10" s="129" t="s">
        <v>84</v>
      </c>
      <c r="BZ10" s="656"/>
      <c r="CA10" s="2" t="s">
        <v>29</v>
      </c>
    </row>
    <row r="11" spans="1:79" ht="18" customHeight="1" thickBot="1" x14ac:dyDescent="0.3">
      <c r="A11" s="882" t="s">
        <v>172</v>
      </c>
      <c r="B11" s="882"/>
      <c r="C11" s="577">
        <v>0.29899999999999999</v>
      </c>
      <c r="D11" s="578">
        <f>C11</f>
        <v>0.29899999999999999</v>
      </c>
      <c r="E11" s="514"/>
      <c r="F11" s="232"/>
      <c r="G11" s="244">
        <f>G10+1</f>
        <v>3</v>
      </c>
      <c r="H11" s="245">
        <f t="shared" si="0"/>
        <v>45406</v>
      </c>
      <c r="I11" s="246">
        <f t="shared" si="1"/>
        <v>0.23899999999999999</v>
      </c>
      <c r="J11" s="242">
        <f t="shared" si="2"/>
        <v>2407</v>
      </c>
      <c r="K11" s="242">
        <f t="shared" si="11"/>
        <v>2407</v>
      </c>
      <c r="L11" s="242">
        <f t="shared" si="12"/>
        <v>1493.2102372776264</v>
      </c>
      <c r="M11" s="242">
        <f t="shared" ref="M11:M74" si="23">IF(S10=0,0,IF(S10+L11&gt;K10,K11-L11,S10))</f>
        <v>913.78976272237355</v>
      </c>
      <c r="N11" s="242">
        <f t="shared" si="3"/>
        <v>0</v>
      </c>
      <c r="O11" s="242">
        <v>0</v>
      </c>
      <c r="P11" s="242">
        <f t="shared" ref="P11:P85" si="24">L11+Q11</f>
        <v>1493.2102372776264</v>
      </c>
      <c r="Q11" s="242">
        <f t="shared" si="4"/>
        <v>0</v>
      </c>
      <c r="R11" s="242">
        <f t="shared" si="13"/>
        <v>0</v>
      </c>
      <c r="S11" s="242">
        <f t="shared" si="14"/>
        <v>72849.868874558146</v>
      </c>
      <c r="T11" s="467"/>
      <c r="U11" s="198">
        <f>IF((U10-1)&lt;0,0,U10-1)</f>
        <v>46</v>
      </c>
      <c r="V11" s="36">
        <f t="shared" si="15"/>
        <v>46</v>
      </c>
      <c r="W11" s="36">
        <f t="shared" si="16"/>
        <v>0</v>
      </c>
      <c r="X11" s="130">
        <f>IF($C$8="Нет",0,1)</f>
        <v>1</v>
      </c>
      <c r="Y11" s="15"/>
      <c r="Z11" s="15"/>
      <c r="AA11" s="15"/>
      <c r="AB11" s="15"/>
      <c r="AC11" s="15"/>
      <c r="AD11" s="15"/>
      <c r="AE11" s="147"/>
      <c r="AF11" s="147"/>
      <c r="AG11" s="15"/>
      <c r="AH11" s="15"/>
      <c r="AI11" s="15"/>
      <c r="AJ11" s="15"/>
      <c r="AK11" s="15"/>
      <c r="AL11" s="15"/>
      <c r="AM11" s="15"/>
      <c r="AN11" s="3"/>
      <c r="AO11" s="175"/>
      <c r="AP11" s="130">
        <f t="shared" si="17"/>
        <v>1</v>
      </c>
      <c r="AQ11" s="553">
        <f>AQ10+1</f>
        <v>3</v>
      </c>
      <c r="AR11" s="554">
        <f t="shared" si="5"/>
        <v>45406</v>
      </c>
      <c r="AS11" s="555">
        <f t="shared" si="6"/>
        <v>0.29899999999999999</v>
      </c>
      <c r="AT11" s="546">
        <f t="shared" si="18"/>
        <v>2344</v>
      </c>
      <c r="AU11" s="546">
        <f t="shared" ref="AU11:AU74" si="25">IF(AQ11&gt;$C$10,0,IF(BD10=0,AU10,ROUNDUP(BC10*$C$11/12/((1-(1+$C$11/12)^(0-($C$10-AQ11)))),0)))</f>
        <v>2344</v>
      </c>
      <c r="AV11" s="546">
        <f t="shared" si="7"/>
        <v>1612.2796549737054</v>
      </c>
      <c r="AW11" s="546">
        <f>IF(BJ11=0,0,IF(BJ11=1,BH10,IF(BH10+AX11+AV11&gt;AU10,AU11-AV11-AX11,BH10)))</f>
        <v>731.72034502629458</v>
      </c>
      <c r="AX11" s="546">
        <f t="shared" si="8"/>
        <v>0</v>
      </c>
      <c r="AY11" s="546">
        <v>0</v>
      </c>
      <c r="AZ11" s="546">
        <f t="shared" si="20"/>
        <v>1612.2796549737054</v>
      </c>
      <c r="BA11" s="546">
        <f t="shared" si="9"/>
        <v>0</v>
      </c>
      <c r="BB11" s="546">
        <f t="shared" si="21"/>
        <v>0</v>
      </c>
      <c r="BC11" s="546"/>
      <c r="BD11" s="546"/>
      <c r="BE11" s="546"/>
      <c r="BF11" s="546"/>
      <c r="BG11" s="546"/>
      <c r="BH11" s="546">
        <f>IF(OR(BJ11=1,BH10=0),0,BH10-AW11)</f>
        <v>62757.55293854286</v>
      </c>
      <c r="BI11" s="108">
        <f>IF((BI10-1)&lt;0,0,BI10-1)</f>
        <v>46</v>
      </c>
      <c r="BJ11" s="108">
        <f t="shared" ref="BJ11:BJ74" si="26">BI11</f>
        <v>46</v>
      </c>
      <c r="BK11" s="22">
        <f t="shared" ref="BK11:BK74" si="27">H11</f>
        <v>45406</v>
      </c>
      <c r="BL11" s="108">
        <f t="shared" si="10"/>
        <v>2407</v>
      </c>
      <c r="BN11" s="682"/>
      <c r="BO11" s="831"/>
      <c r="BP11" s="829"/>
      <c r="BQ11" s="128" t="s">
        <v>91</v>
      </c>
      <c r="BZ11" s="653" t="s">
        <v>463</v>
      </c>
      <c r="CA11" s="658">
        <v>0.29899999999999999</v>
      </c>
    </row>
    <row r="12" spans="1:79" ht="18" customHeight="1" thickBot="1" x14ac:dyDescent="0.3">
      <c r="A12" s="897" t="s">
        <v>468</v>
      </c>
      <c r="B12" s="898"/>
      <c r="C12" s="663" t="s">
        <v>33</v>
      </c>
      <c r="D12" s="664" t="str">
        <f>C12</f>
        <v>Базовый</v>
      </c>
      <c r="E12" s="665"/>
      <c r="F12" s="232"/>
      <c r="G12" s="244">
        <f t="shared" ref="G12:G75" si="28">G11+1</f>
        <v>4</v>
      </c>
      <c r="H12" s="245">
        <f t="shared" si="0"/>
        <v>45436</v>
      </c>
      <c r="I12" s="246">
        <f t="shared" si="1"/>
        <v>0.23899999999999999</v>
      </c>
      <c r="J12" s="242">
        <f t="shared" si="2"/>
        <v>2407</v>
      </c>
      <c r="K12" s="242">
        <f t="shared" si="11"/>
        <v>2407</v>
      </c>
      <c r="L12" s="242">
        <f t="shared" si="12"/>
        <v>1427.1408738540488</v>
      </c>
      <c r="M12" s="242">
        <f t="shared" si="23"/>
        <v>979.85912614595122</v>
      </c>
      <c r="N12" s="242">
        <f t="shared" si="3"/>
        <v>0</v>
      </c>
      <c r="O12" s="242">
        <v>0</v>
      </c>
      <c r="P12" s="242">
        <f t="shared" si="24"/>
        <v>1427.1408738540488</v>
      </c>
      <c r="Q12" s="242">
        <f t="shared" si="4"/>
        <v>0</v>
      </c>
      <c r="R12" s="242">
        <f t="shared" si="13"/>
        <v>0</v>
      </c>
      <c r="S12" s="242">
        <f t="shared" si="14"/>
        <v>71870.009748412194</v>
      </c>
      <c r="T12" s="467"/>
      <c r="U12" s="198">
        <f t="shared" ref="U12:U75" si="29">IF((U11-1)&lt;0,0,U11-1)</f>
        <v>45</v>
      </c>
      <c r="V12" s="36">
        <f t="shared" si="15"/>
        <v>45</v>
      </c>
      <c r="W12" s="36">
        <f t="shared" si="16"/>
        <v>0</v>
      </c>
      <c r="X12" s="15"/>
      <c r="Y12" s="15"/>
      <c r="Z12" s="15"/>
      <c r="AA12" s="15"/>
      <c r="AB12" s="15"/>
      <c r="AC12" s="15"/>
      <c r="AD12" s="15"/>
      <c r="AE12" s="147">
        <f>IF(OR($C$8="Гарантия стандарт",$C$8="Гарантия пакет"),#REF!,X7)</f>
        <v>0.14899999999999999</v>
      </c>
      <c r="AF12" s="147">
        <f>IF(OR($D$8="Гарантия стандарт",$D$8="Гарантия пакет"),#REF!,X7)</f>
        <v>0.14899999999999999</v>
      </c>
      <c r="AG12" s="15"/>
      <c r="AH12" s="15"/>
      <c r="AI12" s="15"/>
      <c r="AJ12" s="15"/>
      <c r="AK12" s="15"/>
      <c r="AL12" s="15"/>
      <c r="AM12" s="15"/>
      <c r="AO12" s="57"/>
      <c r="AP12" s="130">
        <f t="shared" si="17"/>
        <v>1</v>
      </c>
      <c r="AQ12" s="553">
        <f t="shared" ref="AQ12:AQ75" si="30">AQ11+1</f>
        <v>4</v>
      </c>
      <c r="AR12" s="554">
        <f t="shared" si="5"/>
        <v>45436</v>
      </c>
      <c r="AS12" s="555">
        <f t="shared" si="6"/>
        <v>0.29899999999999999</v>
      </c>
      <c r="AT12" s="546">
        <f t="shared" si="18"/>
        <v>2344</v>
      </c>
      <c r="AU12" s="546">
        <f t="shared" si="25"/>
        <v>2344</v>
      </c>
      <c r="AV12" s="546">
        <f t="shared" si="7"/>
        <v>1542.2883557773407</v>
      </c>
      <c r="AW12" s="546">
        <f t="shared" si="19"/>
        <v>801.71164422265929</v>
      </c>
      <c r="AX12" s="546">
        <f t="shared" si="8"/>
        <v>0</v>
      </c>
      <c r="AY12" s="546">
        <v>0</v>
      </c>
      <c r="AZ12" s="546">
        <f t="shared" si="20"/>
        <v>1542.2883557773407</v>
      </c>
      <c r="BA12" s="546">
        <f t="shared" si="9"/>
        <v>0</v>
      </c>
      <c r="BB12" s="546">
        <f t="shared" si="21"/>
        <v>0</v>
      </c>
      <c r="BC12" s="546"/>
      <c r="BD12" s="546"/>
      <c r="BE12" s="546"/>
      <c r="BF12" s="546"/>
      <c r="BG12" s="546"/>
      <c r="BH12" s="546">
        <f t="shared" si="22"/>
        <v>61955.841294320198</v>
      </c>
      <c r="BI12" s="108">
        <f t="shared" ref="BI12:BI75" si="31">IF((BI11-1)&lt;0,0,BI11-1)</f>
        <v>45</v>
      </c>
      <c r="BJ12" s="108">
        <f t="shared" si="26"/>
        <v>45</v>
      </c>
      <c r="BK12" s="22">
        <f t="shared" si="27"/>
        <v>45436</v>
      </c>
      <c r="BL12" s="108">
        <f t="shared" si="10"/>
        <v>2407</v>
      </c>
      <c r="BN12" s="682"/>
      <c r="BZ12" s="655"/>
      <c r="CA12" s="659">
        <v>0.26900000000000002</v>
      </c>
    </row>
    <row r="13" spans="1:79" ht="18" customHeight="1" x14ac:dyDescent="0.25">
      <c r="A13" s="882" t="s">
        <v>171</v>
      </c>
      <c r="B13" s="892"/>
      <c r="C13" s="567">
        <f>'КЭШ, Реф (БВ_ОПТИ_Льготный)'!C19</f>
        <v>0.23899999999999999</v>
      </c>
      <c r="D13" s="578">
        <f>IF(D8="нет",D11,'КЭШ, Реф (БВ_ОПТИ_Базовый)'!D19)</f>
        <v>0.29899999999999999</v>
      </c>
      <c r="E13" s="514"/>
      <c r="F13" s="232"/>
      <c r="G13" s="244">
        <f t="shared" si="28"/>
        <v>5</v>
      </c>
      <c r="H13" s="245">
        <f t="shared" si="0"/>
        <v>45467</v>
      </c>
      <c r="I13" s="246">
        <f t="shared" si="1"/>
        <v>0.23899999999999999</v>
      </c>
      <c r="J13" s="242">
        <f t="shared" si="2"/>
        <v>2407</v>
      </c>
      <c r="K13" s="242">
        <f t="shared" si="11"/>
        <v>2407</v>
      </c>
      <c r="L13" s="242">
        <f t="shared" si="12"/>
        <v>1454.8767820382127</v>
      </c>
      <c r="M13" s="242">
        <f t="shared" si="23"/>
        <v>952.1232179617873</v>
      </c>
      <c r="N13" s="242">
        <f t="shared" si="3"/>
        <v>0</v>
      </c>
      <c r="O13" s="242">
        <v>0</v>
      </c>
      <c r="P13" s="242">
        <f t="shared" si="24"/>
        <v>1454.8767820382127</v>
      </c>
      <c r="Q13" s="242">
        <f t="shared" si="4"/>
        <v>0</v>
      </c>
      <c r="R13" s="242">
        <f t="shared" si="13"/>
        <v>0</v>
      </c>
      <c r="S13" s="242">
        <f t="shared" si="14"/>
        <v>70917.8865304504</v>
      </c>
      <c r="T13" s="467"/>
      <c r="U13" s="198">
        <f>IF((U12-1)&lt;0,0,U12-1)</f>
        <v>44</v>
      </c>
      <c r="V13" s="36">
        <f>U13</f>
        <v>44</v>
      </c>
      <c r="W13" s="36">
        <f t="shared" si="16"/>
        <v>0</v>
      </c>
      <c r="X13" s="15"/>
      <c r="Y13" s="15"/>
      <c r="Z13" s="15"/>
      <c r="AA13" s="15"/>
      <c r="AB13" s="15"/>
      <c r="AC13" s="15"/>
      <c r="AD13" s="15"/>
      <c r="AE13" s="62">
        <f>INDEX(AE4:AE12,MATCH(C11,$X$4:$X$7,0))</f>
        <v>0</v>
      </c>
      <c r="AF13" s="62">
        <f>INDEX(AF4:AF12,MATCH(D13,$X$4:$X$7,0))</f>
        <v>0</v>
      </c>
      <c r="AG13" s="15"/>
      <c r="AH13" s="15"/>
      <c r="AI13" s="15"/>
      <c r="AJ13" s="15"/>
      <c r="AK13" s="15"/>
      <c r="AL13" s="15"/>
      <c r="AM13" s="15"/>
      <c r="AP13" s="130">
        <f t="shared" si="17"/>
        <v>1</v>
      </c>
      <c r="AQ13" s="553">
        <f>AQ12+1</f>
        <v>5</v>
      </c>
      <c r="AR13" s="554">
        <f t="shared" si="5"/>
        <v>45467</v>
      </c>
      <c r="AS13" s="555">
        <f t="shared" si="6"/>
        <v>0.29899999999999999</v>
      </c>
      <c r="AT13" s="546">
        <f t="shared" si="18"/>
        <v>2344</v>
      </c>
      <c r="AU13" s="546">
        <f t="shared" si="25"/>
        <v>2344</v>
      </c>
      <c r="AV13" s="546">
        <f t="shared" si="7"/>
        <v>1573.3388848138463</v>
      </c>
      <c r="AW13" s="546">
        <f t="shared" si="19"/>
        <v>770.66111518615367</v>
      </c>
      <c r="AX13" s="546">
        <f t="shared" si="8"/>
        <v>0</v>
      </c>
      <c r="AY13" s="546">
        <v>0</v>
      </c>
      <c r="AZ13" s="546">
        <f t="shared" si="20"/>
        <v>1573.3388848138463</v>
      </c>
      <c r="BA13" s="546">
        <f t="shared" si="9"/>
        <v>0</v>
      </c>
      <c r="BB13" s="546">
        <f t="shared" si="21"/>
        <v>0</v>
      </c>
      <c r="BC13" s="546"/>
      <c r="BD13" s="546"/>
      <c r="BE13" s="546"/>
      <c r="BF13" s="546"/>
      <c r="BG13" s="546"/>
      <c r="BH13" s="546">
        <f t="shared" si="22"/>
        <v>61185.180179134048</v>
      </c>
      <c r="BI13" s="108">
        <f t="shared" si="31"/>
        <v>44</v>
      </c>
      <c r="BJ13" s="108">
        <f t="shared" si="26"/>
        <v>44</v>
      </c>
      <c r="BK13" s="22">
        <f t="shared" si="27"/>
        <v>45467</v>
      </c>
      <c r="BL13" s="108">
        <f t="shared" si="10"/>
        <v>2407</v>
      </c>
      <c r="BN13" s="118"/>
      <c r="BO13" s="830" t="s">
        <v>92</v>
      </c>
      <c r="BP13" s="828" t="s">
        <v>85</v>
      </c>
      <c r="BQ13" s="129" t="s">
        <v>90</v>
      </c>
      <c r="BZ13" s="655"/>
      <c r="CA13" s="659">
        <v>0.25900000000000001</v>
      </c>
    </row>
    <row r="14" spans="1:79" ht="19.5" customHeight="1" thickBot="1" x14ac:dyDescent="0.3">
      <c r="A14" s="879" t="s">
        <v>168</v>
      </c>
      <c r="B14" s="419" t="s">
        <v>102</v>
      </c>
      <c r="C14" s="568" t="s">
        <v>47</v>
      </c>
      <c r="D14" s="218" t="str">
        <f>C14</f>
        <v>Да</v>
      </c>
      <c r="E14" s="510"/>
      <c r="F14" s="231"/>
      <c r="G14" s="244">
        <f t="shared" si="28"/>
        <v>6</v>
      </c>
      <c r="H14" s="245">
        <f t="shared" si="0"/>
        <v>45497</v>
      </c>
      <c r="I14" s="246">
        <f t="shared" si="1"/>
        <v>0.23899999999999999</v>
      </c>
      <c r="J14" s="242">
        <f t="shared" si="2"/>
        <v>2407</v>
      </c>
      <c r="K14" s="242">
        <f t="shared" si="11"/>
        <v>2407</v>
      </c>
      <c r="L14" s="242">
        <f t="shared" si="12"/>
        <v>1389.293023014561</v>
      </c>
      <c r="M14" s="242">
        <f t="shared" si="23"/>
        <v>1017.706976985439</v>
      </c>
      <c r="N14" s="242">
        <f t="shared" si="3"/>
        <v>0</v>
      </c>
      <c r="O14" s="242">
        <v>0</v>
      </c>
      <c r="P14" s="242">
        <f t="shared" si="24"/>
        <v>1389.293023014561</v>
      </c>
      <c r="Q14" s="242">
        <f t="shared" si="4"/>
        <v>0</v>
      </c>
      <c r="R14" s="242">
        <f t="shared" si="13"/>
        <v>0</v>
      </c>
      <c r="S14" s="242">
        <f t="shared" si="14"/>
        <v>69900.179553464957</v>
      </c>
      <c r="T14" s="242"/>
      <c r="U14" s="198">
        <f>IF((U13-1)&lt;0,0,U13-1)</f>
        <v>43</v>
      </c>
      <c r="V14" s="36">
        <f t="shared" si="15"/>
        <v>43</v>
      </c>
      <c r="W14" s="36">
        <f t="shared" si="16"/>
        <v>0</v>
      </c>
      <c r="X14" s="565">
        <v>0.19900000000000001</v>
      </c>
      <c r="Y14" s="565">
        <v>0.19900000000000001</v>
      </c>
      <c r="Z14" s="565">
        <v>0.19900000000000001</v>
      </c>
      <c r="AA14" s="565">
        <v>0.19900000000000001</v>
      </c>
      <c r="AB14" s="565">
        <v>0.19900000000000001</v>
      </c>
      <c r="AC14" s="15"/>
      <c r="AD14" s="15"/>
      <c r="AF14" s="15">
        <f>IF(OR(D$8="Гарантия стандарт",D$8="Гарантия пакет"),AF13,D13)</f>
        <v>0.29899999999999999</v>
      </c>
      <c r="AG14" s="15"/>
      <c r="AH14" s="15"/>
      <c r="AI14" s="15"/>
      <c r="AJ14" s="15"/>
      <c r="AK14" s="15"/>
      <c r="AL14" s="15"/>
      <c r="AM14" s="15"/>
      <c r="AO14" s="57"/>
      <c r="AP14" s="130">
        <f t="shared" si="17"/>
        <v>1</v>
      </c>
      <c r="AQ14" s="553">
        <f>AQ13+1</f>
        <v>6</v>
      </c>
      <c r="AR14" s="554">
        <f t="shared" si="5"/>
        <v>45497</v>
      </c>
      <c r="AS14" s="555">
        <f t="shared" si="6"/>
        <v>0.29899999999999999</v>
      </c>
      <c r="AT14" s="546">
        <f t="shared" si="18"/>
        <v>2344</v>
      </c>
      <c r="AU14" s="546">
        <f t="shared" si="25"/>
        <v>2344</v>
      </c>
      <c r="AV14" s="546">
        <f t="shared" si="7"/>
        <v>1503.6467567310476</v>
      </c>
      <c r="AW14" s="546">
        <f t="shared" si="19"/>
        <v>840.35324326895238</v>
      </c>
      <c r="AX14" s="546">
        <f t="shared" si="8"/>
        <v>0</v>
      </c>
      <c r="AY14" s="546">
        <v>0</v>
      </c>
      <c r="AZ14" s="546">
        <f t="shared" si="20"/>
        <v>1503.6467567310476</v>
      </c>
      <c r="BA14" s="546">
        <f t="shared" si="9"/>
        <v>0</v>
      </c>
      <c r="BB14" s="546">
        <f t="shared" si="21"/>
        <v>0</v>
      </c>
      <c r="BC14" s="546"/>
      <c r="BD14" s="546"/>
      <c r="BE14" s="546"/>
      <c r="BF14" s="546"/>
      <c r="BG14" s="546"/>
      <c r="BH14" s="546">
        <f t="shared" si="22"/>
        <v>60344.826935865094</v>
      </c>
      <c r="BI14" s="108">
        <f t="shared" si="31"/>
        <v>43</v>
      </c>
      <c r="BJ14" s="108">
        <f t="shared" si="26"/>
        <v>43</v>
      </c>
      <c r="BK14" s="22">
        <f t="shared" si="27"/>
        <v>45497</v>
      </c>
      <c r="BL14" s="108">
        <f t="shared" si="10"/>
        <v>2407</v>
      </c>
      <c r="BN14" s="118"/>
      <c r="BO14" s="831"/>
      <c r="BP14" s="829"/>
      <c r="BQ14" s="128" t="s">
        <v>93</v>
      </c>
      <c r="BZ14" s="656"/>
      <c r="CA14" s="660">
        <v>0.23899999999999999</v>
      </c>
    </row>
    <row r="15" spans="1:79" ht="20.25" customHeight="1" x14ac:dyDescent="0.25">
      <c r="A15" s="880"/>
      <c r="B15" s="418" t="s">
        <v>182</v>
      </c>
      <c r="C15" s="505">
        <f>IF(C14="нет","",AK109)</f>
        <v>4999</v>
      </c>
      <c r="D15" s="216">
        <f>IF(D14="нет","",AK109)</f>
        <v>4999</v>
      </c>
      <c r="E15" s="510"/>
      <c r="F15" s="231"/>
      <c r="G15" s="244">
        <f t="shared" si="28"/>
        <v>7</v>
      </c>
      <c r="H15" s="245">
        <f t="shared" si="0"/>
        <v>45528</v>
      </c>
      <c r="I15" s="246">
        <f t="shared" si="1"/>
        <v>0.23899999999999999</v>
      </c>
      <c r="J15" s="242">
        <f t="shared" si="2"/>
        <v>2407</v>
      </c>
      <c r="K15" s="242">
        <f t="shared" si="11"/>
        <v>2407</v>
      </c>
      <c r="L15" s="242">
        <f t="shared" si="12"/>
        <v>1415.0011757148136</v>
      </c>
      <c r="M15" s="242">
        <f t="shared" si="23"/>
        <v>991.9988242851864</v>
      </c>
      <c r="N15" s="242">
        <f t="shared" si="3"/>
        <v>0</v>
      </c>
      <c r="O15" s="242">
        <v>0</v>
      </c>
      <c r="P15" s="242">
        <f t="shared" si="24"/>
        <v>1415.0011757148136</v>
      </c>
      <c r="Q15" s="242">
        <f t="shared" ref="Q15:Q78" si="32">IF(V15=0,0,0)</f>
        <v>0</v>
      </c>
      <c r="R15" s="242">
        <f t="shared" si="13"/>
        <v>0</v>
      </c>
      <c r="S15" s="242">
        <f t="shared" si="14"/>
        <v>68908.180729179774</v>
      </c>
      <c r="T15" s="467"/>
      <c r="U15" s="198">
        <f t="shared" si="29"/>
        <v>42</v>
      </c>
      <c r="V15" s="36">
        <f t="shared" si="15"/>
        <v>42</v>
      </c>
      <c r="W15" s="36">
        <f t="shared" si="16"/>
        <v>0</v>
      </c>
      <c r="X15" s="566">
        <v>0.19900000000000001</v>
      </c>
      <c r="Y15" s="566">
        <v>0.19900000000000001</v>
      </c>
      <c r="Z15" s="566">
        <v>0.19900000000000001</v>
      </c>
      <c r="AA15" s="566">
        <v>0.19900000000000001</v>
      </c>
      <c r="AB15" s="566">
        <v>0.19900000000000001</v>
      </c>
      <c r="AC15" s="15"/>
      <c r="AD15" s="15"/>
      <c r="AE15" s="15" t="str">
        <f>IF(OR(C8="Гарантия стандарт",C8="Гарантия плюс",C8="Гарантия пакет"),AE13,"")</f>
        <v/>
      </c>
      <c r="AF15" s="15" t="str">
        <f>IF(OR(D8="Гарантия стандарт",D8="Гарантия плюс",D8="Гарантия пакет"),AF13,"")</f>
        <v/>
      </c>
      <c r="AG15" s="15"/>
      <c r="AH15" s="15"/>
      <c r="AI15" s="15"/>
      <c r="AJ15" s="15"/>
      <c r="AK15" s="15"/>
      <c r="AL15" s="15"/>
      <c r="AM15" s="15"/>
      <c r="AP15" s="130">
        <f t="shared" si="17"/>
        <v>1</v>
      </c>
      <c r="AQ15" s="553">
        <f t="shared" si="30"/>
        <v>7</v>
      </c>
      <c r="AR15" s="554">
        <f t="shared" si="5"/>
        <v>45528</v>
      </c>
      <c r="AS15" s="555">
        <f t="shared" ref="AS15:AS32" si="33">IF($D$16="Да",$AN$37,$D$13)</f>
        <v>0.29899999999999999</v>
      </c>
      <c r="AT15" s="546">
        <f t="shared" si="18"/>
        <v>2344</v>
      </c>
      <c r="AU15" s="546">
        <f t="shared" si="25"/>
        <v>2344</v>
      </c>
      <c r="AV15" s="546">
        <f t="shared" si="7"/>
        <v>1532.4279475850233</v>
      </c>
      <c r="AW15" s="546">
        <f t="shared" si="19"/>
        <v>811.57205241497672</v>
      </c>
      <c r="AX15" s="546">
        <f t="shared" si="8"/>
        <v>0</v>
      </c>
      <c r="AY15" s="546">
        <v>0</v>
      </c>
      <c r="AZ15" s="546">
        <f t="shared" si="20"/>
        <v>1532.4279475850233</v>
      </c>
      <c r="BA15" s="546">
        <f t="shared" si="9"/>
        <v>0</v>
      </c>
      <c r="BB15" s="546">
        <f t="shared" si="21"/>
        <v>0</v>
      </c>
      <c r="BC15" s="546"/>
      <c r="BD15" s="546"/>
      <c r="BE15" s="546"/>
      <c r="BF15" s="546"/>
      <c r="BG15" s="546"/>
      <c r="BH15" s="546">
        <f t="shared" si="22"/>
        <v>59533.254883450114</v>
      </c>
      <c r="BI15" s="108">
        <f t="shared" si="31"/>
        <v>42</v>
      </c>
      <c r="BJ15" s="108">
        <f t="shared" si="26"/>
        <v>42</v>
      </c>
      <c r="BK15" s="22">
        <f t="shared" si="27"/>
        <v>45528</v>
      </c>
      <c r="BL15" s="108">
        <f t="shared" si="10"/>
        <v>2407</v>
      </c>
      <c r="BN15" s="118"/>
      <c r="CA15" s="660">
        <v>0.22900000000000001</v>
      </c>
    </row>
    <row r="16" spans="1:79" ht="19.2" customHeight="1" x14ac:dyDescent="0.25">
      <c r="A16" s="881" t="s">
        <v>356</v>
      </c>
      <c r="B16" s="186" t="s">
        <v>351</v>
      </c>
      <c r="C16" s="568" t="s">
        <v>47</v>
      </c>
      <c r="D16" s="448" t="s">
        <v>178</v>
      </c>
      <c r="E16" s="514"/>
      <c r="F16" s="232"/>
      <c r="G16" s="244">
        <f t="shared" si="28"/>
        <v>8</v>
      </c>
      <c r="H16" s="245">
        <f t="shared" si="0"/>
        <v>45559</v>
      </c>
      <c r="I16" s="246">
        <f t="shared" si="1"/>
        <v>0.23899999999999999</v>
      </c>
      <c r="J16" s="242">
        <f t="shared" si="2"/>
        <v>2407</v>
      </c>
      <c r="K16" s="242">
        <f t="shared" si="11"/>
        <v>2407</v>
      </c>
      <c r="L16" s="242">
        <f t="shared" si="12"/>
        <v>1394.919975471292</v>
      </c>
      <c r="M16" s="242">
        <f t="shared" si="23"/>
        <v>1012.080024528708</v>
      </c>
      <c r="N16" s="242">
        <f t="shared" si="3"/>
        <v>0</v>
      </c>
      <c r="O16" s="242">
        <v>0</v>
      </c>
      <c r="P16" s="242">
        <f t="shared" si="24"/>
        <v>1394.919975471292</v>
      </c>
      <c r="Q16" s="242">
        <f t="shared" si="32"/>
        <v>0</v>
      </c>
      <c r="R16" s="242">
        <f t="shared" si="13"/>
        <v>0</v>
      </c>
      <c r="S16" s="242">
        <f t="shared" si="14"/>
        <v>67896.100704651064</v>
      </c>
      <c r="T16" s="467"/>
      <c r="U16" s="198">
        <f t="shared" si="29"/>
        <v>41</v>
      </c>
      <c r="V16" s="36">
        <f t="shared" si="15"/>
        <v>41</v>
      </c>
      <c r="W16" s="36">
        <f t="shared" si="16"/>
        <v>0</v>
      </c>
      <c r="X16" s="569">
        <f>IF($C$11=X4,X15,IF($C$11=X5,X15,IF($C$11=X6,X14,IF($C$11=X7,X14,IF($C$11=X8,X14,IF($C$11=X9,X14,))))))</f>
        <v>0.19900000000000001</v>
      </c>
      <c r="Y16" s="569">
        <f t="shared" ref="Y16:AB16" si="34">IF($C$11=Y4,Y15,IF($C$11=Y5,Y15,IF($C$11=Y6,Y14,IF($C$11=Y7,Y14,IF($C$11=Y8,Y14,IF($C$11=Y9,Y14,))))))</f>
        <v>0.19900000000000001</v>
      </c>
      <c r="Z16" s="569">
        <f t="shared" si="34"/>
        <v>0.19900000000000001</v>
      </c>
      <c r="AA16" s="569">
        <f t="shared" si="34"/>
        <v>0.19900000000000001</v>
      </c>
      <c r="AB16" s="569">
        <f t="shared" si="34"/>
        <v>0.19900000000000001</v>
      </c>
      <c r="AC16" s="112" t="s">
        <v>365</v>
      </c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P16" s="130">
        <f t="shared" si="17"/>
        <v>1</v>
      </c>
      <c r="AQ16" s="553">
        <f t="shared" si="30"/>
        <v>8</v>
      </c>
      <c r="AR16" s="554">
        <f t="shared" si="5"/>
        <v>45559</v>
      </c>
      <c r="AS16" s="555">
        <f t="shared" si="33"/>
        <v>0.29899999999999999</v>
      </c>
      <c r="AT16" s="546">
        <f t="shared" si="18"/>
        <v>2344</v>
      </c>
      <c r="AU16" s="546">
        <f t="shared" si="25"/>
        <v>2344</v>
      </c>
      <c r="AV16" s="546">
        <f t="shared" si="7"/>
        <v>1511.8184644238331</v>
      </c>
      <c r="AW16" s="546">
        <f t="shared" si="19"/>
        <v>832.18153557616688</v>
      </c>
      <c r="AX16" s="546">
        <f t="shared" si="8"/>
        <v>0</v>
      </c>
      <c r="AY16" s="546">
        <v>0</v>
      </c>
      <c r="AZ16" s="546">
        <f t="shared" si="20"/>
        <v>1511.8184644238331</v>
      </c>
      <c r="BA16" s="546">
        <f t="shared" si="9"/>
        <v>0</v>
      </c>
      <c r="BB16" s="546">
        <f t="shared" si="21"/>
        <v>0</v>
      </c>
      <c r="BC16" s="546"/>
      <c r="BD16" s="546"/>
      <c r="BE16" s="546"/>
      <c r="BF16" s="546"/>
      <c r="BG16" s="546"/>
      <c r="BH16" s="546">
        <f t="shared" si="22"/>
        <v>58701.073347873949</v>
      </c>
      <c r="BI16" s="108">
        <f t="shared" si="31"/>
        <v>41</v>
      </c>
      <c r="BJ16" s="108">
        <f t="shared" si="26"/>
        <v>41</v>
      </c>
      <c r="BK16" s="22">
        <f t="shared" si="27"/>
        <v>45559</v>
      </c>
      <c r="BL16" s="108">
        <f t="shared" si="10"/>
        <v>2407</v>
      </c>
      <c r="BN16" s="118"/>
    </row>
    <row r="17" spans="1:394" ht="19.95" customHeight="1" x14ac:dyDescent="0.25">
      <c r="A17" s="881"/>
      <c r="B17" s="186" t="s">
        <v>352</v>
      </c>
      <c r="C17" s="567">
        <f>'КЭШ, Реф (БВ_ОПТИ_Льготный)'!C24</f>
        <v>0.05</v>
      </c>
      <c r="D17" s="450" t="str">
        <f>IF(D16="Да",IF(AND($D$23&gt;=100000,$D$23&lt;200000),"Серебряный",IF(AND($D$23&gt;=200000,$D$23&lt;300000),"Золотой",IF(AND($D$23&gt;=300000,$C$7&lt;=500000),"Платиновый",""))),"")</f>
        <v/>
      </c>
      <c r="E17" s="514"/>
      <c r="F17" s="232"/>
      <c r="G17" s="244">
        <f t="shared" si="28"/>
        <v>9</v>
      </c>
      <c r="H17" s="245">
        <f t="shared" si="0"/>
        <v>45589</v>
      </c>
      <c r="I17" s="246">
        <f t="shared" si="1"/>
        <v>0.23899999999999999</v>
      </c>
      <c r="J17" s="242">
        <f t="shared" si="2"/>
        <v>2407</v>
      </c>
      <c r="K17" s="242">
        <f t="shared" si="11"/>
        <v>2407</v>
      </c>
      <c r="L17" s="242">
        <f t="shared" si="12"/>
        <v>1330.0957433124265</v>
      </c>
      <c r="M17" s="242">
        <f t="shared" si="23"/>
        <v>1076.9042566875735</v>
      </c>
      <c r="N17" s="242">
        <f t="shared" si="3"/>
        <v>0</v>
      </c>
      <c r="O17" s="242">
        <v>0</v>
      </c>
      <c r="P17" s="242">
        <f t="shared" si="24"/>
        <v>1330.0957433124265</v>
      </c>
      <c r="Q17" s="242">
        <f t="shared" si="32"/>
        <v>0</v>
      </c>
      <c r="R17" s="242">
        <f t="shared" si="13"/>
        <v>0</v>
      </c>
      <c r="S17" s="242">
        <f t="shared" si="14"/>
        <v>66819.196447963492</v>
      </c>
      <c r="T17" s="467"/>
      <c r="U17" s="198">
        <f t="shared" si="29"/>
        <v>40</v>
      </c>
      <c r="V17" s="36">
        <f t="shared" si="15"/>
        <v>40</v>
      </c>
      <c r="W17" s="36">
        <f t="shared" si="16"/>
        <v>0</v>
      </c>
      <c r="X17" s="484">
        <f>IF($C$11=X4,X18,IF($C$11=X5,X18,IF($C$11=X6,X19,IF($C$11=X7,X20,IF($C$11=X8,X21,IF($C$11=X9,X22,))))))</f>
        <v>0.1</v>
      </c>
      <c r="Y17" s="484">
        <f>IF($C$11=Y4,Y18,IF($C$11=Y5,Y18,IF($C$11=Y6,Y19,IF($C$11=Y7,Y20,IF($C$11=Y8,Y21,IF($C$11=Y9,Y22,))))))</f>
        <v>0.1</v>
      </c>
      <c r="Z17" s="484">
        <f>IF($C$11=Z4,Z18,IF($C$11=Z5,Z18,IF($C$11=Z6,Z19,IF($C$11=Z7,Z20,IF($C$11=Z8,Z21,IF($C$11=Z9,Z22,))))))</f>
        <v>0.1</v>
      </c>
      <c r="AA17" s="484">
        <f>IF($C$11=AA4,AA18,IF($C$11=AA5,AA18,IF($C$11=AA6,AA19,IF($C$11=AA7,AA20,IF($C$11=AA8,AA21,IF($C$11=AA9,AA22,))))))</f>
        <v>0.1</v>
      </c>
      <c r="AB17" s="484">
        <f>IF($C$11=AB4,AB18,IF($C$11=AB5,AB18,IF($C$11=AB6,AB19,IF($C$11=AB7,AB20,IF($C$11=AB8,AB21,IF($C$11=AB9,AB22,))))))</f>
        <v>0.1</v>
      </c>
      <c r="AC17" s="84">
        <v>0.129</v>
      </c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P17" s="130">
        <f t="shared" si="17"/>
        <v>1</v>
      </c>
      <c r="AQ17" s="553">
        <f t="shared" si="30"/>
        <v>9</v>
      </c>
      <c r="AR17" s="554">
        <f t="shared" si="5"/>
        <v>45589</v>
      </c>
      <c r="AS17" s="555">
        <f t="shared" si="33"/>
        <v>0.29899999999999999</v>
      </c>
      <c r="AT17" s="546">
        <f t="shared" si="18"/>
        <v>2344</v>
      </c>
      <c r="AU17" s="546">
        <f t="shared" si="25"/>
        <v>2344</v>
      </c>
      <c r="AV17" s="546">
        <f t="shared" si="7"/>
        <v>1442.598980631313</v>
      </c>
      <c r="AW17" s="546">
        <f t="shared" si="19"/>
        <v>901.401019368687</v>
      </c>
      <c r="AX17" s="546">
        <f t="shared" si="8"/>
        <v>0</v>
      </c>
      <c r="AY17" s="546">
        <v>0</v>
      </c>
      <c r="AZ17" s="546">
        <f t="shared" si="20"/>
        <v>1442.598980631313</v>
      </c>
      <c r="BA17" s="546">
        <f t="shared" si="9"/>
        <v>0</v>
      </c>
      <c r="BB17" s="546">
        <f t="shared" si="21"/>
        <v>0</v>
      </c>
      <c r="BC17" s="546"/>
      <c r="BD17" s="546"/>
      <c r="BE17" s="546"/>
      <c r="BF17" s="546"/>
      <c r="BG17" s="546"/>
      <c r="BH17" s="546">
        <f t="shared" si="22"/>
        <v>57799.672328505265</v>
      </c>
      <c r="BI17" s="108">
        <f t="shared" si="31"/>
        <v>40</v>
      </c>
      <c r="BJ17" s="108">
        <f t="shared" si="26"/>
        <v>40</v>
      </c>
      <c r="BK17" s="22">
        <f t="shared" si="27"/>
        <v>45589</v>
      </c>
      <c r="BL17" s="108">
        <f t="shared" si="10"/>
        <v>2407</v>
      </c>
      <c r="BN17" s="118"/>
    </row>
    <row r="18" spans="1:394" ht="19.95" customHeight="1" x14ac:dyDescent="0.25">
      <c r="A18" s="881"/>
      <c r="B18" s="186" t="s">
        <v>353</v>
      </c>
      <c r="C18" s="508">
        <f>'КЭШ, Реф (БВ_ОПТИ_Льготный)'!C25</f>
        <v>3000</v>
      </c>
      <c r="D18" s="450" t="str">
        <f>IF($D$17="Серебряный",1800,IF($D$17="Золотой",2500,IF($D$17="Платиновый",3500,"")))</f>
        <v/>
      </c>
      <c r="E18" s="514"/>
      <c r="F18" s="232"/>
      <c r="G18" s="244">
        <f t="shared" si="28"/>
        <v>10</v>
      </c>
      <c r="H18" s="245">
        <f t="shared" si="0"/>
        <v>45620</v>
      </c>
      <c r="I18" s="246">
        <f t="shared" si="1"/>
        <v>0.23899999999999999</v>
      </c>
      <c r="J18" s="242">
        <f t="shared" si="2"/>
        <v>2407</v>
      </c>
      <c r="K18" s="242">
        <f t="shared" si="11"/>
        <v>2407</v>
      </c>
      <c r="L18" s="242">
        <f t="shared" si="12"/>
        <v>1352.6323127949765</v>
      </c>
      <c r="M18" s="242">
        <f t="shared" si="23"/>
        <v>1054.3676872050235</v>
      </c>
      <c r="N18" s="242">
        <f t="shared" si="3"/>
        <v>0</v>
      </c>
      <c r="O18" s="242">
        <v>0</v>
      </c>
      <c r="P18" s="242">
        <f t="shared" si="24"/>
        <v>1352.6323127949765</v>
      </c>
      <c r="Q18" s="242">
        <f t="shared" si="32"/>
        <v>0</v>
      </c>
      <c r="R18" s="242">
        <f t="shared" si="13"/>
        <v>0</v>
      </c>
      <c r="S18" s="242">
        <f t="shared" si="14"/>
        <v>65764.828760758464</v>
      </c>
      <c r="T18" s="467"/>
      <c r="U18" s="198">
        <f t="shared" si="29"/>
        <v>39</v>
      </c>
      <c r="V18" s="36">
        <f t="shared" si="15"/>
        <v>39</v>
      </c>
      <c r="W18" s="36">
        <f t="shared" si="16"/>
        <v>0</v>
      </c>
      <c r="X18" s="565">
        <v>0.1</v>
      </c>
      <c r="Y18" s="565">
        <v>0.1</v>
      </c>
      <c r="Z18" s="565">
        <v>0.1</v>
      </c>
      <c r="AA18" s="565">
        <v>0.1</v>
      </c>
      <c r="AB18" s="565">
        <v>0.1</v>
      </c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P18" s="130">
        <f t="shared" si="17"/>
        <v>1</v>
      </c>
      <c r="AQ18" s="553">
        <f t="shared" si="30"/>
        <v>10</v>
      </c>
      <c r="AR18" s="554">
        <f t="shared" si="5"/>
        <v>45620</v>
      </c>
      <c r="AS18" s="555">
        <f t="shared" si="33"/>
        <v>0.29899999999999999</v>
      </c>
      <c r="AT18" s="546">
        <f t="shared" si="18"/>
        <v>2344</v>
      </c>
      <c r="AU18" s="546">
        <f t="shared" si="25"/>
        <v>2344</v>
      </c>
      <c r="AV18" s="546">
        <f t="shared" si="7"/>
        <v>1467.7949666107268</v>
      </c>
      <c r="AW18" s="546">
        <f t="shared" si="19"/>
        <v>876.20503338927324</v>
      </c>
      <c r="AX18" s="546">
        <f t="shared" si="8"/>
        <v>0</v>
      </c>
      <c r="AY18" s="546">
        <v>0</v>
      </c>
      <c r="AZ18" s="546">
        <f t="shared" si="20"/>
        <v>1467.7949666107268</v>
      </c>
      <c r="BA18" s="546">
        <f t="shared" si="9"/>
        <v>0</v>
      </c>
      <c r="BB18" s="546">
        <f t="shared" si="21"/>
        <v>0</v>
      </c>
      <c r="BC18" s="546"/>
      <c r="BD18" s="546"/>
      <c r="BE18" s="546"/>
      <c r="BF18" s="546"/>
      <c r="BG18" s="546"/>
      <c r="BH18" s="546">
        <f t="shared" si="22"/>
        <v>56923.467295115988</v>
      </c>
      <c r="BI18" s="108">
        <f t="shared" si="31"/>
        <v>39</v>
      </c>
      <c r="BJ18" s="108">
        <f t="shared" si="26"/>
        <v>39</v>
      </c>
      <c r="BK18" s="22">
        <f t="shared" si="27"/>
        <v>45620</v>
      </c>
      <c r="BL18" s="108">
        <f t="shared" si="10"/>
        <v>2407</v>
      </c>
      <c r="BN18" s="118"/>
    </row>
    <row r="19" spans="1:394" ht="18.75" customHeight="1" x14ac:dyDescent="0.25">
      <c r="A19" s="739"/>
      <c r="B19" s="186" t="s">
        <v>464</v>
      </c>
      <c r="C19" s="567">
        <f>'КЭШ, Реф (БВ_ОПТИ_Льготный)'!C23</f>
        <v>0.16900000000000001</v>
      </c>
      <c r="D19" s="450"/>
      <c r="E19" s="514"/>
      <c r="F19" s="233"/>
      <c r="G19" s="244">
        <f>G18+1</f>
        <v>11</v>
      </c>
      <c r="H19" s="245">
        <f t="shared" si="0"/>
        <v>45650</v>
      </c>
      <c r="I19" s="246">
        <f t="shared" si="1"/>
        <v>0.23899999999999999</v>
      </c>
      <c r="J19" s="242">
        <f t="shared" si="2"/>
        <v>2407</v>
      </c>
      <c r="K19" s="242">
        <f t="shared" si="11"/>
        <v>2407</v>
      </c>
      <c r="L19" s="242">
        <f t="shared" si="12"/>
        <v>1288.3437765427273</v>
      </c>
      <c r="M19" s="242">
        <f>IF(S18=0,0,IF(S18+L19&gt;K18,K19-L19,S18))</f>
        <v>1118.6562234572727</v>
      </c>
      <c r="N19" s="242">
        <f t="shared" si="3"/>
        <v>0</v>
      </c>
      <c r="O19" s="242">
        <v>0</v>
      </c>
      <c r="P19" s="242">
        <f t="shared" si="24"/>
        <v>1288.3437765427273</v>
      </c>
      <c r="Q19" s="242">
        <f t="shared" si="32"/>
        <v>0</v>
      </c>
      <c r="R19" s="242">
        <f t="shared" si="13"/>
        <v>0</v>
      </c>
      <c r="S19" s="242">
        <f>S18-M19-T19</f>
        <v>64646.172537301194</v>
      </c>
      <c r="T19" s="467"/>
      <c r="U19" s="198">
        <f>IF((U18-1)&lt;0,0,U18-1)</f>
        <v>38</v>
      </c>
      <c r="V19" s="36">
        <f t="shared" si="15"/>
        <v>38</v>
      </c>
      <c r="W19" s="36">
        <f t="shared" si="16"/>
        <v>0</v>
      </c>
      <c r="X19" s="565">
        <v>0.1</v>
      </c>
      <c r="Y19" s="565">
        <v>0.1</v>
      </c>
      <c r="Z19" s="565">
        <v>0.1</v>
      </c>
      <c r="AA19" s="565">
        <v>0.1</v>
      </c>
      <c r="AB19" s="565">
        <v>0.1</v>
      </c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P19" s="130">
        <f t="shared" si="17"/>
        <v>1</v>
      </c>
      <c r="AQ19" s="553">
        <f>AQ18+1</f>
        <v>11</v>
      </c>
      <c r="AR19" s="554">
        <f t="shared" si="5"/>
        <v>45650</v>
      </c>
      <c r="AS19" s="555">
        <f t="shared" si="33"/>
        <v>0.29899999999999999</v>
      </c>
      <c r="AT19" s="546">
        <f t="shared" si="18"/>
        <v>2344</v>
      </c>
      <c r="AU19" s="546">
        <f>IF(AQ19&gt;$C$10,0,IF(BD18=0,AU18,ROUNDUP(BC18*$C$11/12/((1-(1+$C$11/12)^(0-($C$10-AQ19)))),0)))</f>
        <v>2344</v>
      </c>
      <c r="AV19" s="546">
        <f t="shared" si="7"/>
        <v>1398.9137031155901</v>
      </c>
      <c r="AW19" s="546">
        <f>IF(BJ19=0,0,IF(BJ19=1,BH18,IF(BH18+AX19+AV19&gt;AU18,AU19-AV19-AX19,BH18)))</f>
        <v>945.08629688440988</v>
      </c>
      <c r="AX19" s="546">
        <f t="shared" si="8"/>
        <v>0</v>
      </c>
      <c r="AY19" s="546">
        <v>0</v>
      </c>
      <c r="AZ19" s="546">
        <f t="shared" si="20"/>
        <v>1398.9137031155901</v>
      </c>
      <c r="BA19" s="546">
        <f t="shared" si="9"/>
        <v>0</v>
      </c>
      <c r="BB19" s="546">
        <f>IF(BJ25=0,0,0)</f>
        <v>0</v>
      </c>
      <c r="BC19" s="546"/>
      <c r="BD19" s="546"/>
      <c r="BE19" s="546"/>
      <c r="BF19" s="546"/>
      <c r="BG19" s="546"/>
      <c r="BH19" s="546">
        <f>IF(OR(BJ19=1,BH18=0),0,BH18-AW19)</f>
        <v>55978.38099823158</v>
      </c>
      <c r="BI19" s="108">
        <f>IF((BI18-1)&lt;0,0,BI18-1)</f>
        <v>38</v>
      </c>
      <c r="BJ19" s="108">
        <f t="shared" si="26"/>
        <v>38</v>
      </c>
      <c r="BK19" s="22">
        <f t="shared" si="27"/>
        <v>45650</v>
      </c>
      <c r="BL19" s="108">
        <f t="shared" si="10"/>
        <v>2407</v>
      </c>
      <c r="BN19" s="118"/>
    </row>
    <row r="20" spans="1:394" ht="16.95" customHeight="1" thickBot="1" x14ac:dyDescent="0.3">
      <c r="A20" s="893"/>
      <c r="B20" s="893"/>
      <c r="C20" s="893"/>
      <c r="D20" s="893"/>
      <c r="E20" s="893"/>
      <c r="F20" s="224"/>
      <c r="G20" s="248">
        <f t="shared" si="28"/>
        <v>12</v>
      </c>
      <c r="H20" s="679">
        <f t="shared" si="0"/>
        <v>45681</v>
      </c>
      <c r="I20" s="250">
        <f t="shared" si="1"/>
        <v>0.23899999999999999</v>
      </c>
      <c r="J20" s="252">
        <f t="shared" si="2"/>
        <v>2407</v>
      </c>
      <c r="K20" s="252">
        <f t="shared" si="11"/>
        <v>2407</v>
      </c>
      <c r="L20" s="242">
        <f t="shared" si="12"/>
        <v>1308.6434216635641</v>
      </c>
      <c r="M20" s="252">
        <f t="shared" si="23"/>
        <v>1098.3565783364359</v>
      </c>
      <c r="N20" s="252">
        <f t="shared" si="3"/>
        <v>0</v>
      </c>
      <c r="O20" s="252">
        <v>0</v>
      </c>
      <c r="P20" s="252">
        <f t="shared" si="24"/>
        <v>1308.6434216635641</v>
      </c>
      <c r="Q20" s="252">
        <f t="shared" si="32"/>
        <v>0</v>
      </c>
      <c r="R20" s="252">
        <f t="shared" si="13"/>
        <v>0</v>
      </c>
      <c r="S20" s="252">
        <f t="shared" si="14"/>
        <v>63547.815958964755</v>
      </c>
      <c r="T20" s="468"/>
      <c r="U20" s="198">
        <f>IF((U19-1)&lt;0,0,U19-1)</f>
        <v>37</v>
      </c>
      <c r="V20" s="36">
        <f t="shared" si="15"/>
        <v>37</v>
      </c>
      <c r="W20" s="36">
        <f t="shared" si="16"/>
        <v>0</v>
      </c>
      <c r="X20" s="565">
        <v>0.1</v>
      </c>
      <c r="Y20" s="565">
        <v>0.1</v>
      </c>
      <c r="Z20" s="565">
        <v>0.1</v>
      </c>
      <c r="AA20" s="565">
        <v>0.1</v>
      </c>
      <c r="AB20" s="565">
        <v>0.1</v>
      </c>
      <c r="AC20" s="15">
        <v>4.9000000000000002E-2</v>
      </c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3"/>
      <c r="AO20" s="113"/>
      <c r="AP20" s="130">
        <f t="shared" si="17"/>
        <v>1</v>
      </c>
      <c r="AQ20" s="556">
        <f>AQ19+1</f>
        <v>12</v>
      </c>
      <c r="AR20" s="680">
        <f t="shared" si="5"/>
        <v>45681</v>
      </c>
      <c r="AS20" s="557">
        <f t="shared" si="33"/>
        <v>0.29899999999999999</v>
      </c>
      <c r="AT20" s="547">
        <f t="shared" si="18"/>
        <v>2344</v>
      </c>
      <c r="AU20" s="547">
        <f t="shared" si="25"/>
        <v>2344</v>
      </c>
      <c r="AV20" s="547">
        <f t="shared" si="7"/>
        <v>1421.5441465002971</v>
      </c>
      <c r="AW20" s="547">
        <f t="shared" si="19"/>
        <v>922.45585349970293</v>
      </c>
      <c r="AX20" s="547">
        <f t="shared" si="8"/>
        <v>0</v>
      </c>
      <c r="AY20" s="547">
        <v>0</v>
      </c>
      <c r="AZ20" s="547">
        <f t="shared" si="20"/>
        <v>1421.5441465002971</v>
      </c>
      <c r="BA20" s="547">
        <f t="shared" si="9"/>
        <v>0</v>
      </c>
      <c r="BB20" s="547">
        <f t="shared" ref="BB20:BB83" si="35">IF(BJ26=0,0,0)</f>
        <v>0</v>
      </c>
      <c r="BC20" s="547"/>
      <c r="BD20" s="547"/>
      <c r="BE20" s="547"/>
      <c r="BF20" s="547"/>
      <c r="BG20" s="547"/>
      <c r="BH20" s="547">
        <f t="shared" si="22"/>
        <v>55055.925144731875</v>
      </c>
      <c r="BI20" s="108">
        <f t="shared" si="31"/>
        <v>37</v>
      </c>
      <c r="BJ20" s="108">
        <f t="shared" si="26"/>
        <v>37</v>
      </c>
      <c r="BK20" s="22">
        <f t="shared" si="27"/>
        <v>45681</v>
      </c>
      <c r="BL20" s="108">
        <f t="shared" si="10"/>
        <v>2407</v>
      </c>
      <c r="BN20" s="118"/>
    </row>
    <row r="21" spans="1:394" ht="12.75" customHeight="1" x14ac:dyDescent="0.25">
      <c r="A21" s="888" t="s">
        <v>469</v>
      </c>
      <c r="B21" s="888"/>
      <c r="C21" s="889" t="str">
        <f>IF(AND(C8=CA8,C10&gt;47),"Ошибка: при указанном сроке нужна страховка ОПТИ_ПакетБВ+ГС_48",IF(AND(C8=CA9,C10&lt;48),"Ошибка: при указанном сроке нужна страховка ОПТИ_ПакетБВ+ГС_36",IF(AND(C8&lt;&gt;"нет",C16="Нет"),"Ошибка: Пакет без ГС не оформляется",IF(AND(C8="нет",C16="Нет"),"Базовые условия",IF(AND(C8="нет",C16="Да"),"Только ГС","Акция!")))))</f>
        <v>Ошибка: при указанном сроке нужна страховка ОПТИ_ПакетБВ+ГС_48</v>
      </c>
      <c r="D21" s="889"/>
      <c r="E21" s="889"/>
      <c r="F21" s="224"/>
      <c r="G21" s="244">
        <f t="shared" si="28"/>
        <v>13</v>
      </c>
      <c r="H21" s="245">
        <f t="shared" si="0"/>
        <v>45712</v>
      </c>
      <c r="I21" s="246">
        <f t="shared" si="1"/>
        <v>0.23899999999999999</v>
      </c>
      <c r="J21" s="242">
        <f>K21+Q21</f>
        <v>2407</v>
      </c>
      <c r="K21" s="242">
        <f t="shared" si="11"/>
        <v>2407</v>
      </c>
      <c r="L21" s="242">
        <f t="shared" si="12"/>
        <v>1289.9336121643009</v>
      </c>
      <c r="M21" s="242">
        <f t="shared" si="23"/>
        <v>1117.0663878356991</v>
      </c>
      <c r="N21" s="242">
        <f t="shared" si="3"/>
        <v>0</v>
      </c>
      <c r="O21" s="242">
        <v>0</v>
      </c>
      <c r="P21" s="242">
        <f t="shared" si="24"/>
        <v>1289.9336121643009</v>
      </c>
      <c r="Q21" s="242">
        <f t="shared" si="32"/>
        <v>0</v>
      </c>
      <c r="R21" s="242">
        <f t="shared" si="13"/>
        <v>0</v>
      </c>
      <c r="S21" s="242">
        <f t="shared" si="14"/>
        <v>62430.749571129054</v>
      </c>
      <c r="T21" s="467"/>
      <c r="U21" s="198">
        <f>IF((U20-1)&lt;0,0,U20-1)</f>
        <v>36</v>
      </c>
      <c r="V21" s="36">
        <f t="shared" si="15"/>
        <v>36</v>
      </c>
      <c r="W21" s="36">
        <f t="shared" si="16"/>
        <v>0</v>
      </c>
      <c r="X21" s="565">
        <v>0.1</v>
      </c>
      <c r="Y21" s="565">
        <v>0.1</v>
      </c>
      <c r="Z21" s="565">
        <v>0.1</v>
      </c>
      <c r="AA21" s="565">
        <v>0.1</v>
      </c>
      <c r="AB21" s="565">
        <v>0.1</v>
      </c>
      <c r="AC21" s="115"/>
      <c r="AD21" s="84">
        <v>0.129</v>
      </c>
      <c r="AE21" s="84">
        <v>0.129</v>
      </c>
      <c r="AF21" s="84">
        <v>0.129</v>
      </c>
      <c r="AG21" s="84">
        <v>0.129</v>
      </c>
      <c r="AH21" s="84">
        <v>0.129</v>
      </c>
      <c r="AI21" s="84">
        <v>0.129</v>
      </c>
      <c r="AJ21" s="84">
        <v>0.129</v>
      </c>
      <c r="AK21" s="84">
        <v>0.129</v>
      </c>
      <c r="AL21" s="84">
        <v>0.129</v>
      </c>
      <c r="AM21" s="84">
        <v>0.129</v>
      </c>
      <c r="AN21" s="3"/>
      <c r="AO21" s="3"/>
      <c r="AP21" s="130">
        <f t="shared" si="17"/>
        <v>1</v>
      </c>
      <c r="AQ21" s="553">
        <f>AQ20+1</f>
        <v>13</v>
      </c>
      <c r="AR21" s="554">
        <f t="shared" si="5"/>
        <v>45712</v>
      </c>
      <c r="AS21" s="555">
        <f t="shared" si="33"/>
        <v>0.29899999999999999</v>
      </c>
      <c r="AT21" s="546">
        <f t="shared" si="18"/>
        <v>2344</v>
      </c>
      <c r="AU21" s="546">
        <f t="shared" si="25"/>
        <v>2344</v>
      </c>
      <c r="AV21" s="546">
        <f t="shared" si="7"/>
        <v>1398.1188223740266</v>
      </c>
      <c r="AW21" s="546">
        <f t="shared" si="19"/>
        <v>945.88117762597335</v>
      </c>
      <c r="AX21" s="546">
        <f t="shared" si="8"/>
        <v>0</v>
      </c>
      <c r="AY21" s="546">
        <v>0</v>
      </c>
      <c r="AZ21" s="546">
        <f t="shared" si="20"/>
        <v>1398.1188223740266</v>
      </c>
      <c r="BA21" s="546">
        <f t="shared" ref="BA21:BA84" si="36">IF(BJ27=0,0,0)</f>
        <v>0</v>
      </c>
      <c r="BB21" s="546">
        <f t="shared" si="35"/>
        <v>0</v>
      </c>
      <c r="BC21" s="546"/>
      <c r="BD21" s="546"/>
      <c r="BE21" s="546"/>
      <c r="BF21" s="546"/>
      <c r="BG21" s="546"/>
      <c r="BH21" s="546">
        <f t="shared" si="22"/>
        <v>54110.043967105899</v>
      </c>
      <c r="BI21" s="108">
        <f t="shared" si="31"/>
        <v>36</v>
      </c>
      <c r="BJ21" s="108">
        <f t="shared" si="26"/>
        <v>36</v>
      </c>
      <c r="BK21" s="22">
        <f t="shared" si="27"/>
        <v>45712</v>
      </c>
      <c r="BL21" s="108">
        <f t="shared" si="10"/>
        <v>2407</v>
      </c>
      <c r="BN21" s="118"/>
    </row>
    <row r="22" spans="1:394" ht="34.200000000000003" customHeight="1" x14ac:dyDescent="0.25">
      <c r="A22" s="894" t="s">
        <v>350</v>
      </c>
      <c r="B22" s="894"/>
      <c r="C22" s="895"/>
      <c r="D22" s="496"/>
      <c r="E22" s="496"/>
      <c r="F22" s="225"/>
      <c r="G22" s="244">
        <f t="shared" si="28"/>
        <v>14</v>
      </c>
      <c r="H22" s="245">
        <f t="shared" si="0"/>
        <v>45740</v>
      </c>
      <c r="I22" s="246">
        <f t="shared" si="1"/>
        <v>0.23899999999999999</v>
      </c>
      <c r="J22" s="242">
        <f t="shared" si="2"/>
        <v>2407</v>
      </c>
      <c r="K22" s="242">
        <f t="shared" si="11"/>
        <v>2407</v>
      </c>
      <c r="L22" s="242">
        <f t="shared" si="12"/>
        <v>1144.6207565205359</v>
      </c>
      <c r="M22" s="242">
        <f t="shared" si="23"/>
        <v>1262.3792434794641</v>
      </c>
      <c r="N22" s="242">
        <f t="shared" si="3"/>
        <v>0</v>
      </c>
      <c r="O22" s="242">
        <v>0</v>
      </c>
      <c r="P22" s="242">
        <f t="shared" si="24"/>
        <v>1144.6207565205359</v>
      </c>
      <c r="Q22" s="242">
        <f t="shared" si="32"/>
        <v>0</v>
      </c>
      <c r="R22" s="242">
        <f t="shared" si="13"/>
        <v>0</v>
      </c>
      <c r="S22" s="242">
        <f t="shared" si="14"/>
        <v>61168.370327649587</v>
      </c>
      <c r="T22" s="467"/>
      <c r="U22" s="198">
        <f t="shared" si="29"/>
        <v>35</v>
      </c>
      <c r="V22" s="36">
        <f t="shared" si="15"/>
        <v>35</v>
      </c>
      <c r="W22" s="36">
        <f t="shared" si="16"/>
        <v>0</v>
      </c>
      <c r="X22" s="565">
        <v>0.1</v>
      </c>
      <c r="Y22" s="565">
        <v>0.1</v>
      </c>
      <c r="Z22" s="565">
        <v>0.1</v>
      </c>
      <c r="AA22" s="565">
        <v>0.1</v>
      </c>
      <c r="AB22" s="565">
        <v>0.1</v>
      </c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P22" s="130">
        <f t="shared" si="17"/>
        <v>1</v>
      </c>
      <c r="AQ22" s="553">
        <f t="shared" si="30"/>
        <v>14</v>
      </c>
      <c r="AR22" s="554">
        <f t="shared" si="5"/>
        <v>45740</v>
      </c>
      <c r="AS22" s="555">
        <f t="shared" si="33"/>
        <v>0.29899999999999999</v>
      </c>
      <c r="AT22" s="546">
        <f t="shared" si="18"/>
        <v>2344</v>
      </c>
      <c r="AU22" s="546">
        <f t="shared" si="25"/>
        <v>2344</v>
      </c>
      <c r="AV22" s="546">
        <f t="shared" si="7"/>
        <v>1241.1213372400289</v>
      </c>
      <c r="AW22" s="546">
        <f t="shared" si="19"/>
        <v>1102.8786627599711</v>
      </c>
      <c r="AX22" s="546">
        <f t="shared" si="8"/>
        <v>0</v>
      </c>
      <c r="AY22" s="546">
        <v>0</v>
      </c>
      <c r="AZ22" s="546">
        <f t="shared" si="20"/>
        <v>1241.1213372400289</v>
      </c>
      <c r="BA22" s="546">
        <f t="shared" si="36"/>
        <v>0</v>
      </c>
      <c r="BB22" s="546">
        <f t="shared" si="35"/>
        <v>0</v>
      </c>
      <c r="BC22" s="546"/>
      <c r="BD22" s="546"/>
      <c r="BE22" s="546"/>
      <c r="BF22" s="546"/>
      <c r="BG22" s="546"/>
      <c r="BH22" s="546">
        <f t="shared" si="22"/>
        <v>53007.16530434593</v>
      </c>
      <c r="BI22" s="108">
        <f t="shared" si="31"/>
        <v>35</v>
      </c>
      <c r="BJ22" s="108">
        <f t="shared" si="26"/>
        <v>35</v>
      </c>
      <c r="BK22" s="22">
        <f t="shared" si="27"/>
        <v>45740</v>
      </c>
      <c r="BL22" s="108">
        <f t="shared" si="10"/>
        <v>2407</v>
      </c>
      <c r="BN22" s="118"/>
    </row>
    <row r="23" spans="1:394" ht="19.2" customHeight="1" x14ac:dyDescent="0.25">
      <c r="A23" s="896" t="str">
        <f>IF(AND($C$8&lt;&gt;"Нет",$D$8&lt;&gt;"Нет",$C$14&lt;&gt;"Нет",$C$16&lt;&gt;"Нет"),"Сумма кредита с ФЗ + услуга ГС + Всё под контролем, руб.",IF(AND($C$8&lt;&gt;"Нет",$D$8&lt;&gt;"Нет",$C$14&lt;&gt;"Да",$C$16&lt;&gt;"Да"),"Сумма кредита с учетом Финансовой защиты, руб.",IF(AND($C$8&lt;&gt;"Нет",$D$8&lt;&gt;"Нет",$C$14&lt;&gt;"Да",$C$16&lt;&gt;"Нет"),"Сумма кредита с учетом Финансовой защиты + услуга ГС, руб.",IF(AND($C$8&lt;&gt;"Нет",$D$8&lt;&gt;"Нет",$C$14&lt;&gt;"Да",$C$16&lt;&gt;"Нет"),"Сумма кредита с учетом Финансовой защиты + Всё под контролем, руб.",IF(AND($C$8&lt;&gt;"Нет",$D$8&lt;&gt;"Нет",$C$14&lt;&gt;"Нет",$C$16&lt;&gt;"Да"),"Сумма кредита с ФЗ + Всё под контролем, руб.",IF(AND($C$8&lt;&gt;"Да",$D$8&lt;&gt;"Да",$C$14&lt;&gt;"Да",$C$16&lt;&gt;"Нет"),"Сумма кредита с учетом услуги ГС, руб.",IF(AND($C$8&lt;&gt;"Да",$D$8&lt;&gt;"Да",$C$14&lt;&gt;"Нет",$C$16&lt;&gt;"Нет"),"Сумма кредита с учетом пакета услуг Всё под контролем + услуги ГС, руб.","Сумма кредита, руб.")))))))</f>
        <v>Сумма кредита с учетом пакета услуг Всё под контролем + услуги ГС, руб.</v>
      </c>
      <c r="B23" s="896"/>
      <c r="C23" s="358">
        <f>'КЭШ, Реф (БВ_ОПТИ_Льготный)'!C28</f>
        <v>75631</v>
      </c>
      <c r="D23" s="355">
        <f>$C$7+(IF($D$8="Нет",0,IF($D$25&lt;&gt;"",$D$25,0))+IF(D14="Нет",0,IF(D14="Да",D15,0)))</f>
        <v>64999</v>
      </c>
      <c r="E23" s="224">
        <f>C23-D23</f>
        <v>10632</v>
      </c>
      <c r="F23" s="226"/>
      <c r="G23" s="244">
        <f t="shared" si="28"/>
        <v>15</v>
      </c>
      <c r="H23" s="245">
        <f t="shared" si="0"/>
        <v>45771</v>
      </c>
      <c r="I23" s="246">
        <f t="shared" si="1"/>
        <v>0.23899999999999999</v>
      </c>
      <c r="J23" s="242">
        <f t="shared" si="2"/>
        <v>2407</v>
      </c>
      <c r="K23" s="242">
        <f t="shared" si="11"/>
        <v>2407</v>
      </c>
      <c r="L23" s="242">
        <f t="shared" si="12"/>
        <v>1241.6341253631665</v>
      </c>
      <c r="M23" s="242">
        <f t="shared" si="23"/>
        <v>1165.3658746368335</v>
      </c>
      <c r="N23" s="242">
        <f t="shared" si="3"/>
        <v>0</v>
      </c>
      <c r="O23" s="242">
        <v>0</v>
      </c>
      <c r="P23" s="242">
        <f t="shared" si="24"/>
        <v>1241.6341253631665</v>
      </c>
      <c r="Q23" s="242">
        <f t="shared" si="32"/>
        <v>0</v>
      </c>
      <c r="R23" s="242">
        <f t="shared" si="13"/>
        <v>0</v>
      </c>
      <c r="S23" s="242">
        <f t="shared" si="14"/>
        <v>60003.004453012756</v>
      </c>
      <c r="T23" s="467"/>
      <c r="U23" s="198">
        <f t="shared" si="29"/>
        <v>34</v>
      </c>
      <c r="V23" s="36">
        <f t="shared" si="15"/>
        <v>34</v>
      </c>
      <c r="W23" s="36">
        <f t="shared" si="16"/>
        <v>0</v>
      </c>
      <c r="X23" s="2">
        <v>1</v>
      </c>
      <c r="Y23" s="2">
        <v>1</v>
      </c>
      <c r="Z23" s="3">
        <v>1</v>
      </c>
      <c r="AA23" s="2">
        <v>1</v>
      </c>
      <c r="AB23" s="3">
        <v>1</v>
      </c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P23" s="130">
        <f t="shared" si="17"/>
        <v>1</v>
      </c>
      <c r="AQ23" s="553">
        <f t="shared" si="30"/>
        <v>15</v>
      </c>
      <c r="AR23" s="554">
        <f t="shared" si="5"/>
        <v>45771</v>
      </c>
      <c r="AS23" s="555">
        <f t="shared" si="33"/>
        <v>0.29899999999999999</v>
      </c>
      <c r="AT23" s="546">
        <f t="shared" si="18"/>
        <v>2344</v>
      </c>
      <c r="AU23" s="546">
        <f t="shared" si="25"/>
        <v>2344</v>
      </c>
      <c r="AV23" s="546">
        <f t="shared" si="7"/>
        <v>1346.0915485095409</v>
      </c>
      <c r="AW23" s="546">
        <f t="shared" si="19"/>
        <v>997.90845149045913</v>
      </c>
      <c r="AX23" s="546">
        <f t="shared" si="8"/>
        <v>0</v>
      </c>
      <c r="AY23" s="546">
        <v>0</v>
      </c>
      <c r="AZ23" s="546">
        <f t="shared" si="20"/>
        <v>1346.0915485095409</v>
      </c>
      <c r="BA23" s="546">
        <f t="shared" si="36"/>
        <v>0</v>
      </c>
      <c r="BB23" s="546">
        <f t="shared" si="35"/>
        <v>0</v>
      </c>
      <c r="BC23" s="546"/>
      <c r="BD23" s="546"/>
      <c r="BE23" s="546"/>
      <c r="BF23" s="546"/>
      <c r="BG23" s="546"/>
      <c r="BH23" s="546">
        <f t="shared" si="22"/>
        <v>52009.256852855469</v>
      </c>
      <c r="BI23" s="108">
        <f t="shared" si="31"/>
        <v>34</v>
      </c>
      <c r="BJ23" s="108">
        <f t="shared" si="26"/>
        <v>34</v>
      </c>
      <c r="BK23" s="22">
        <f t="shared" si="27"/>
        <v>45771</v>
      </c>
      <c r="BL23" s="108">
        <f t="shared" si="10"/>
        <v>2407</v>
      </c>
      <c r="BN23" s="118"/>
    </row>
    <row r="24" spans="1:394" ht="18" customHeight="1" x14ac:dyDescent="0.25">
      <c r="A24" s="852" t="str">
        <f>IF(AND($C$8&lt;&gt;"Нет",$D$8&lt;&gt;"Нет",$C$14&lt;&gt;"Нет",$C$16&lt;&gt;"Нет"),"Платеж с ФЗ + услуга ГС + Всё под контролем, руб.",IF(AND($C$8&lt;&gt;"Нет",$D$8&lt;&gt;"Нет",$C$14&lt;&gt;"Да",$C$16&lt;&gt;"Да"),"Платеж с учетом Финансовой защиты, руб.",IF(AND($C$8&lt;&gt;"Нет",$D$8&lt;&gt;"Нет",$C$14&lt;&gt;"Да",$C$16&lt;&gt;"Нет"),"Платеж с учетом Финансовой защиты + услуга ГС, руб.",IF(AND($C$8&lt;&gt;"Нет",$D$8&lt;&gt;"Нет",$C$14&lt;&gt;"Да",$C$16&lt;&gt;"Нет"),"Платеж с учетом Финансовой защиты + Всё под контролем, руб.",IF(AND($C$8&lt;&gt;"Нет",$D$8&lt;&gt;"Нет",$C$14&lt;&gt;"Нет",$C$16&lt;&gt;"Да"),"Платеж с ФЗ + Всё под контролем, руб.",IF(AND($C$8&lt;&gt;"Да",$D$8&lt;&gt;"Да",$C$14&lt;&gt;"Да",$C$16&lt;&gt;"Нет"),"Платеж с учетом услуги ГС, руб.",IF(AND($C$8&lt;&gt;"Да",$D$8&lt;&gt;"Да",$C$14&lt;&gt;"Нет",$C$16&lt;&gt;"Нет"),"Платеж с учетом пакета услуг Всё под контролем + услуги ГС, руб.","Платеж, руб.")))))))</f>
        <v>Платеж с учетом пакета услуг Всё под контролем + услуги ГС, руб.</v>
      </c>
      <c r="B24" s="852"/>
      <c r="C24" s="358">
        <f>'КЭШ, Реф (БВ_ОПТИ_Льготный)'!C29</f>
        <v>2407</v>
      </c>
      <c r="D24" s="355">
        <f>AU9</f>
        <v>2344</v>
      </c>
      <c r="E24" s="224">
        <f>C24-D24</f>
        <v>63</v>
      </c>
      <c r="F24" s="226"/>
      <c r="G24" s="244">
        <f t="shared" si="28"/>
        <v>16</v>
      </c>
      <c r="H24" s="245">
        <f t="shared" si="0"/>
        <v>45801</v>
      </c>
      <c r="I24" s="246">
        <f t="shared" si="1"/>
        <v>0.23899999999999999</v>
      </c>
      <c r="J24" s="242">
        <f t="shared" si="2"/>
        <v>2407</v>
      </c>
      <c r="K24" s="242">
        <f t="shared" si="11"/>
        <v>2407</v>
      </c>
      <c r="L24" s="242">
        <f t="shared" si="12"/>
        <v>1178.6891559674011</v>
      </c>
      <c r="M24" s="242">
        <f t="shared" si="23"/>
        <v>1228.3108440325989</v>
      </c>
      <c r="N24" s="242">
        <f t="shared" si="3"/>
        <v>0</v>
      </c>
      <c r="O24" s="242">
        <v>0</v>
      </c>
      <c r="P24" s="242">
        <f t="shared" si="24"/>
        <v>1178.6891559674011</v>
      </c>
      <c r="Q24" s="242">
        <f t="shared" si="32"/>
        <v>0</v>
      </c>
      <c r="R24" s="242">
        <f t="shared" si="13"/>
        <v>0</v>
      </c>
      <c r="S24" s="242">
        <f t="shared" si="14"/>
        <v>58774.69360898016</v>
      </c>
      <c r="T24" s="467"/>
      <c r="U24" s="198">
        <f t="shared" si="29"/>
        <v>33</v>
      </c>
      <c r="V24" s="36">
        <f t="shared" si="15"/>
        <v>33</v>
      </c>
      <c r="W24" s="36">
        <f t="shared" si="16"/>
        <v>0</v>
      </c>
      <c r="AC24" s="3">
        <v>1</v>
      </c>
      <c r="AD24" s="15">
        <v>4.9000000000000002E-2</v>
      </c>
      <c r="AE24" s="15">
        <v>4.9000000000000002E-2</v>
      </c>
      <c r="AF24" s="15">
        <v>4.9000000000000002E-2</v>
      </c>
      <c r="AG24" s="80">
        <v>6.9000000000000006E-2</v>
      </c>
      <c r="AH24" s="80">
        <v>6.9000000000000006E-2</v>
      </c>
      <c r="AI24" s="80">
        <v>6.9000000000000006E-2</v>
      </c>
      <c r="AJ24" s="80">
        <v>6.9000000000000006E-2</v>
      </c>
      <c r="AK24" s="80">
        <v>6.9000000000000006E-2</v>
      </c>
      <c r="AL24" s="80">
        <v>6.9000000000000006E-2</v>
      </c>
      <c r="AM24" s="80">
        <v>6.9000000000000006E-2</v>
      </c>
      <c r="AP24" s="130">
        <f t="shared" si="17"/>
        <v>1</v>
      </c>
      <c r="AQ24" s="553">
        <f t="shared" si="30"/>
        <v>16</v>
      </c>
      <c r="AR24" s="554">
        <f t="shared" si="5"/>
        <v>45801</v>
      </c>
      <c r="AS24" s="555">
        <f t="shared" si="33"/>
        <v>0.29899999999999999</v>
      </c>
      <c r="AT24" s="546">
        <f t="shared" si="18"/>
        <v>2344</v>
      </c>
      <c r="AU24" s="546">
        <f t="shared" si="25"/>
        <v>2344</v>
      </c>
      <c r="AV24" s="546">
        <f t="shared" si="7"/>
        <v>1278.1452985482563</v>
      </c>
      <c r="AW24" s="546">
        <f t="shared" si="19"/>
        <v>1065.8547014517437</v>
      </c>
      <c r="AX24" s="546">
        <f t="shared" si="8"/>
        <v>0</v>
      </c>
      <c r="AY24" s="546">
        <v>0</v>
      </c>
      <c r="AZ24" s="546">
        <f t="shared" si="20"/>
        <v>1278.1452985482563</v>
      </c>
      <c r="BA24" s="546">
        <f t="shared" si="36"/>
        <v>0</v>
      </c>
      <c r="BB24" s="546">
        <f t="shared" si="35"/>
        <v>0</v>
      </c>
      <c r="BC24" s="546"/>
      <c r="BD24" s="546"/>
      <c r="BE24" s="546"/>
      <c r="BF24" s="546"/>
      <c r="BG24" s="546"/>
      <c r="BH24" s="546">
        <f t="shared" si="22"/>
        <v>50943.402151403723</v>
      </c>
      <c r="BI24" s="108">
        <f t="shared" si="31"/>
        <v>33</v>
      </c>
      <c r="BJ24" s="108">
        <f t="shared" si="26"/>
        <v>33</v>
      </c>
      <c r="BK24" s="22">
        <f t="shared" si="27"/>
        <v>45801</v>
      </c>
      <c r="BL24" s="108">
        <f t="shared" si="10"/>
        <v>2407</v>
      </c>
      <c r="BN24" s="118"/>
    </row>
    <row r="25" spans="1:394" ht="18" customHeight="1" x14ac:dyDescent="0.25">
      <c r="A25" s="846" t="s">
        <v>496</v>
      </c>
      <c r="B25" s="846"/>
      <c r="C25" s="331">
        <f>'КЭШ, Реф (БВ_ОПТИ_Льготный)'!C32</f>
        <v>7632</v>
      </c>
      <c r="D25" s="357">
        <v>0</v>
      </c>
      <c r="E25" s="226">
        <f>C25-D25</f>
        <v>7632</v>
      </c>
      <c r="F25" s="226"/>
      <c r="G25" s="244">
        <f t="shared" si="28"/>
        <v>17</v>
      </c>
      <c r="H25" s="245">
        <f t="shared" si="0"/>
        <v>45832</v>
      </c>
      <c r="I25" s="246">
        <f t="shared" si="1"/>
        <v>0.23899999999999999</v>
      </c>
      <c r="J25" s="242">
        <f t="shared" si="2"/>
        <v>2407</v>
      </c>
      <c r="K25" s="242">
        <f t="shared" si="11"/>
        <v>2407</v>
      </c>
      <c r="L25" s="242">
        <f t="shared" si="12"/>
        <v>1193.0457669833806</v>
      </c>
      <c r="M25" s="242">
        <f t="shared" si="23"/>
        <v>1213.9542330166194</v>
      </c>
      <c r="N25" s="242">
        <f t="shared" si="3"/>
        <v>0</v>
      </c>
      <c r="O25" s="242">
        <v>0</v>
      </c>
      <c r="P25" s="242">
        <f t="shared" si="24"/>
        <v>1193.0457669833806</v>
      </c>
      <c r="Q25" s="242">
        <f t="shared" si="32"/>
        <v>0</v>
      </c>
      <c r="R25" s="242">
        <f t="shared" si="13"/>
        <v>0</v>
      </c>
      <c r="S25" s="242">
        <f t="shared" si="14"/>
        <v>57560.739375963538</v>
      </c>
      <c r="T25" s="467"/>
      <c r="U25" s="198">
        <f t="shared" si="29"/>
        <v>32</v>
      </c>
      <c r="V25" s="36">
        <f t="shared" si="15"/>
        <v>32</v>
      </c>
      <c r="W25" s="36">
        <f t="shared" si="16"/>
        <v>0</v>
      </c>
      <c r="X25" s="2">
        <v>0</v>
      </c>
      <c r="Y25" s="2">
        <v>1</v>
      </c>
      <c r="Z25" s="2">
        <v>2</v>
      </c>
      <c r="AA25" s="2">
        <v>3</v>
      </c>
      <c r="AB25" s="2">
        <v>4</v>
      </c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6"/>
      <c r="AO25" s="116"/>
      <c r="AP25" s="130">
        <f t="shared" si="17"/>
        <v>1</v>
      </c>
      <c r="AQ25" s="558">
        <f t="shared" si="30"/>
        <v>17</v>
      </c>
      <c r="AR25" s="554">
        <f t="shared" si="5"/>
        <v>45832</v>
      </c>
      <c r="AS25" s="555">
        <f t="shared" si="33"/>
        <v>0.29899999999999999</v>
      </c>
      <c r="AT25" s="546">
        <f t="shared" si="18"/>
        <v>2344</v>
      </c>
      <c r="AU25" s="546">
        <f t="shared" si="25"/>
        <v>2344</v>
      </c>
      <c r="AV25" s="546">
        <f t="shared" si="7"/>
        <v>1293.6832727160577</v>
      </c>
      <c r="AW25" s="546">
        <f t="shared" si="19"/>
        <v>1050.3167272839423</v>
      </c>
      <c r="AX25" s="546">
        <f t="shared" si="8"/>
        <v>0</v>
      </c>
      <c r="AY25" s="546">
        <v>0</v>
      </c>
      <c r="AZ25" s="546">
        <f t="shared" si="20"/>
        <v>1293.6832727160577</v>
      </c>
      <c r="BA25" s="546">
        <f t="shared" si="36"/>
        <v>0</v>
      </c>
      <c r="BB25" s="546">
        <f t="shared" si="35"/>
        <v>0</v>
      </c>
      <c r="BC25" s="546"/>
      <c r="BD25" s="546"/>
      <c r="BE25" s="546"/>
      <c r="BF25" s="546"/>
      <c r="BG25" s="546"/>
      <c r="BH25" s="546">
        <f t="shared" si="22"/>
        <v>49893.085424119781</v>
      </c>
      <c r="BI25" s="108">
        <f t="shared" si="31"/>
        <v>32</v>
      </c>
      <c r="BJ25" s="108">
        <f t="shared" si="26"/>
        <v>32</v>
      </c>
      <c r="BK25" s="22">
        <f t="shared" si="27"/>
        <v>45832</v>
      </c>
      <c r="BL25" s="108">
        <f t="shared" si="10"/>
        <v>2407</v>
      </c>
      <c r="BN25" s="118"/>
    </row>
    <row r="26" spans="1:394" ht="18" customHeight="1" x14ac:dyDescent="0.25">
      <c r="A26" s="846" t="s">
        <v>100</v>
      </c>
      <c r="B26" s="891"/>
      <c r="C26" s="482">
        <f>'КЭШ, Реф (БВ_ОПТИ_Льготный)'!C31</f>
        <v>1.06E-2</v>
      </c>
      <c r="D26" s="666">
        <v>0</v>
      </c>
      <c r="E26" s="225"/>
      <c r="F26" s="192"/>
      <c r="G26" s="244">
        <f t="shared" si="28"/>
        <v>18</v>
      </c>
      <c r="H26" s="245">
        <f t="shared" si="0"/>
        <v>45862</v>
      </c>
      <c r="I26" s="246">
        <f t="shared" si="1"/>
        <v>0.23899999999999999</v>
      </c>
      <c r="J26" s="242">
        <f t="shared" si="2"/>
        <v>2407</v>
      </c>
      <c r="K26" s="242">
        <f t="shared" si="11"/>
        <v>2407</v>
      </c>
      <c r="L26" s="242">
        <f t="shared" si="12"/>
        <v>1130.7137022620782</v>
      </c>
      <c r="M26" s="242">
        <f t="shared" si="23"/>
        <v>1276.2862977379218</v>
      </c>
      <c r="N26" s="242">
        <f t="shared" si="3"/>
        <v>0</v>
      </c>
      <c r="O26" s="242">
        <v>0</v>
      </c>
      <c r="P26" s="242">
        <f t="shared" si="24"/>
        <v>1130.7137022620782</v>
      </c>
      <c r="Q26" s="242">
        <f t="shared" si="32"/>
        <v>0</v>
      </c>
      <c r="R26" s="242">
        <f t="shared" si="13"/>
        <v>0</v>
      </c>
      <c r="S26" s="242">
        <f t="shared" si="14"/>
        <v>56284.453078225619</v>
      </c>
      <c r="T26" s="467"/>
      <c r="U26" s="198">
        <f t="shared" si="29"/>
        <v>31</v>
      </c>
      <c r="V26" s="36">
        <f t="shared" si="15"/>
        <v>31</v>
      </c>
      <c r="W26" s="36">
        <f t="shared" si="16"/>
        <v>0</v>
      </c>
      <c r="AC26" s="13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P26" s="130">
        <f t="shared" si="17"/>
        <v>1</v>
      </c>
      <c r="AQ26" s="553">
        <f t="shared" si="30"/>
        <v>18</v>
      </c>
      <c r="AR26" s="554">
        <f t="shared" si="5"/>
        <v>45862</v>
      </c>
      <c r="AS26" s="555">
        <f t="shared" si="33"/>
        <v>0.29899999999999999</v>
      </c>
      <c r="AT26" s="546">
        <f t="shared" si="18"/>
        <v>2344</v>
      </c>
      <c r="AU26" s="546">
        <f t="shared" si="25"/>
        <v>2344</v>
      </c>
      <c r="AV26" s="546">
        <f t="shared" si="7"/>
        <v>1226.139660970834</v>
      </c>
      <c r="AW26" s="546">
        <f t="shared" si="19"/>
        <v>1117.860339029166</v>
      </c>
      <c r="AX26" s="546">
        <f t="shared" si="8"/>
        <v>0</v>
      </c>
      <c r="AY26" s="546">
        <v>0</v>
      </c>
      <c r="AZ26" s="546">
        <f t="shared" si="20"/>
        <v>1226.139660970834</v>
      </c>
      <c r="BA26" s="546">
        <f t="shared" si="36"/>
        <v>0</v>
      </c>
      <c r="BB26" s="546">
        <f t="shared" si="35"/>
        <v>0</v>
      </c>
      <c r="BC26" s="546"/>
      <c r="BD26" s="546"/>
      <c r="BE26" s="546"/>
      <c r="BF26" s="546"/>
      <c r="BG26" s="546"/>
      <c r="BH26" s="546">
        <f t="shared" si="22"/>
        <v>48775.225085090613</v>
      </c>
      <c r="BI26" s="108">
        <f t="shared" si="31"/>
        <v>31</v>
      </c>
      <c r="BJ26" s="108">
        <f t="shared" si="26"/>
        <v>31</v>
      </c>
      <c r="BK26" s="22">
        <f t="shared" si="27"/>
        <v>45862</v>
      </c>
      <c r="BL26" s="108">
        <f t="shared" si="10"/>
        <v>2407</v>
      </c>
      <c r="BM26" s="97"/>
      <c r="BN26" s="118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97"/>
      <c r="DW26" s="97"/>
      <c r="DX26" s="97"/>
      <c r="DY26" s="97"/>
      <c r="DZ26" s="97"/>
      <c r="EA26" s="97"/>
      <c r="EB26" s="97"/>
      <c r="EC26" s="97"/>
      <c r="ED26" s="97"/>
      <c r="EE26" s="97"/>
      <c r="EF26" s="97"/>
      <c r="EG26" s="97"/>
      <c r="EH26" s="97"/>
      <c r="EI26" s="97"/>
      <c r="EJ26" s="97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97"/>
      <c r="FC26" s="97"/>
      <c r="FD26" s="97"/>
      <c r="FE26" s="97"/>
      <c r="FF26" s="97"/>
      <c r="FG26" s="97"/>
      <c r="FH26" s="97"/>
      <c r="FI26" s="97"/>
      <c r="FJ26" s="97"/>
      <c r="FK26" s="97"/>
      <c r="FL26" s="97"/>
      <c r="FM26" s="97"/>
      <c r="FN26" s="97"/>
      <c r="FO26" s="97"/>
      <c r="FP26" s="97"/>
      <c r="FQ26" s="97"/>
      <c r="FR26" s="97"/>
      <c r="FS26" s="97"/>
      <c r="FT26" s="97"/>
      <c r="FU26" s="97"/>
      <c r="FV26" s="97"/>
      <c r="FW26" s="97"/>
      <c r="FX26" s="97"/>
      <c r="FY26" s="97"/>
      <c r="FZ26" s="97"/>
      <c r="GA26" s="97"/>
      <c r="GB26" s="97"/>
      <c r="GC26" s="97"/>
      <c r="GD26" s="97"/>
      <c r="GE26" s="97"/>
      <c r="GF26" s="97"/>
      <c r="GG26" s="97"/>
      <c r="GH26" s="97"/>
      <c r="GI26" s="97"/>
      <c r="GJ26" s="97"/>
      <c r="GK26" s="97"/>
      <c r="GL26" s="97"/>
      <c r="GM26" s="97"/>
      <c r="GN26" s="97"/>
      <c r="GO26" s="97"/>
      <c r="GP26" s="97"/>
      <c r="GQ26" s="97"/>
      <c r="GR26" s="97"/>
      <c r="GS26" s="97"/>
      <c r="GT26" s="97"/>
      <c r="GU26" s="97"/>
      <c r="GV26" s="97"/>
      <c r="GW26" s="97"/>
      <c r="GX26" s="97"/>
      <c r="GY26" s="97"/>
      <c r="GZ26" s="97"/>
      <c r="HA26" s="97"/>
      <c r="HB26" s="97"/>
      <c r="HC26" s="97"/>
      <c r="HD26" s="97"/>
      <c r="HE26" s="97"/>
      <c r="HF26" s="97"/>
      <c r="HG26" s="97"/>
      <c r="HH26" s="97"/>
      <c r="HI26" s="97"/>
      <c r="HJ26" s="97"/>
      <c r="HK26" s="97"/>
      <c r="HL26" s="97"/>
      <c r="HM26" s="97"/>
      <c r="HN26" s="97"/>
      <c r="HO26" s="97"/>
      <c r="HP26" s="97"/>
      <c r="HQ26" s="97"/>
      <c r="HR26" s="97"/>
      <c r="HS26" s="97"/>
      <c r="HT26" s="97"/>
      <c r="HU26" s="97"/>
      <c r="HV26" s="97"/>
      <c r="HW26" s="97"/>
      <c r="HX26" s="97"/>
      <c r="HY26" s="97"/>
      <c r="HZ26" s="97"/>
      <c r="IA26" s="97"/>
      <c r="IB26" s="97"/>
      <c r="IC26" s="97"/>
      <c r="ID26" s="97"/>
      <c r="IE26" s="97"/>
      <c r="IF26" s="97"/>
      <c r="IG26" s="97"/>
      <c r="IH26" s="97"/>
      <c r="II26" s="97"/>
      <c r="IJ26" s="97"/>
      <c r="IK26" s="97"/>
      <c r="IL26" s="97"/>
      <c r="IM26" s="97"/>
      <c r="IN26" s="97"/>
      <c r="IO26" s="97"/>
      <c r="IP26" s="97"/>
      <c r="IQ26" s="97"/>
      <c r="IR26" s="97"/>
      <c r="IS26" s="97"/>
      <c r="IT26" s="97"/>
      <c r="IU26" s="97"/>
      <c r="IV26" s="97"/>
      <c r="IW26" s="97"/>
      <c r="IX26" s="97"/>
      <c r="IY26" s="97"/>
      <c r="IZ26" s="97"/>
      <c r="JA26" s="97"/>
      <c r="JB26" s="97"/>
      <c r="JC26" s="97"/>
      <c r="JD26" s="97"/>
      <c r="JE26" s="97"/>
      <c r="JF26" s="97"/>
      <c r="JG26" s="97"/>
      <c r="JH26" s="97"/>
      <c r="JI26" s="97"/>
      <c r="JJ26" s="97"/>
      <c r="JK26" s="97"/>
      <c r="JL26" s="97"/>
      <c r="JM26" s="97"/>
      <c r="JN26" s="97"/>
      <c r="JO26" s="97"/>
      <c r="JP26" s="97"/>
      <c r="JQ26" s="97"/>
      <c r="JR26" s="97"/>
      <c r="JS26" s="97"/>
      <c r="JT26" s="97"/>
      <c r="JU26" s="97"/>
      <c r="JV26" s="97"/>
      <c r="JW26" s="97"/>
      <c r="JX26" s="97"/>
      <c r="JY26" s="97"/>
      <c r="JZ26" s="97"/>
      <c r="KA26" s="97"/>
      <c r="KB26" s="97"/>
      <c r="KC26" s="97"/>
      <c r="KD26" s="97"/>
      <c r="KE26" s="97"/>
      <c r="KF26" s="97"/>
      <c r="KG26" s="97"/>
      <c r="KH26" s="97"/>
      <c r="KI26" s="97"/>
      <c r="KJ26" s="97"/>
      <c r="KK26" s="97"/>
      <c r="KL26" s="97"/>
      <c r="KM26" s="97"/>
      <c r="KN26" s="97"/>
      <c r="KO26" s="97"/>
      <c r="KP26" s="97"/>
      <c r="KQ26" s="97"/>
      <c r="KR26" s="97"/>
      <c r="KS26" s="97"/>
      <c r="KT26" s="97"/>
      <c r="KU26" s="97"/>
      <c r="KV26" s="97"/>
      <c r="KW26" s="97"/>
      <c r="KX26" s="97"/>
      <c r="KY26" s="97"/>
      <c r="KZ26" s="97"/>
      <c r="LA26" s="97"/>
      <c r="LB26" s="97"/>
      <c r="LC26" s="97"/>
      <c r="LD26" s="97"/>
      <c r="LE26" s="97"/>
      <c r="LF26" s="97"/>
      <c r="LG26" s="97"/>
      <c r="LH26" s="97"/>
      <c r="LI26" s="97"/>
      <c r="LJ26" s="97"/>
      <c r="LK26" s="97"/>
      <c r="LL26" s="97"/>
      <c r="LM26" s="97"/>
      <c r="LN26" s="97"/>
      <c r="LO26" s="97"/>
      <c r="LP26" s="97"/>
      <c r="LQ26" s="97"/>
      <c r="LR26" s="97"/>
      <c r="LS26" s="97"/>
      <c r="LT26" s="97"/>
      <c r="LU26" s="97"/>
      <c r="LV26" s="97"/>
      <c r="LW26" s="97"/>
      <c r="LX26" s="97"/>
      <c r="LY26" s="97"/>
      <c r="LZ26" s="97"/>
      <c r="MA26" s="97"/>
      <c r="MB26" s="97"/>
      <c r="MC26" s="97"/>
      <c r="MD26" s="97"/>
      <c r="ME26" s="97"/>
      <c r="MF26" s="97"/>
      <c r="MG26" s="97"/>
      <c r="MH26" s="97"/>
      <c r="MI26" s="97"/>
      <c r="MJ26" s="97"/>
      <c r="MK26" s="97"/>
      <c r="ML26" s="97"/>
      <c r="MM26" s="97"/>
      <c r="MN26" s="97"/>
      <c r="MO26" s="97"/>
      <c r="MP26" s="97"/>
      <c r="MQ26" s="97"/>
      <c r="MR26" s="97"/>
      <c r="MS26" s="97"/>
      <c r="MT26" s="97"/>
      <c r="MU26" s="97"/>
      <c r="MV26" s="97"/>
      <c r="MW26" s="97"/>
      <c r="MX26" s="97"/>
      <c r="MY26" s="97"/>
      <c r="MZ26" s="97"/>
      <c r="NA26" s="97"/>
      <c r="NB26" s="97"/>
      <c r="NC26" s="97"/>
      <c r="ND26" s="97"/>
      <c r="NE26" s="97"/>
      <c r="NF26" s="97"/>
      <c r="NG26" s="97"/>
      <c r="NH26" s="97"/>
      <c r="NI26" s="97"/>
      <c r="NJ26" s="97"/>
      <c r="NK26" s="97"/>
      <c r="NL26" s="97"/>
      <c r="NM26" s="97"/>
      <c r="NN26" s="97"/>
      <c r="NO26" s="97"/>
      <c r="NP26" s="97"/>
      <c r="NQ26" s="97"/>
      <c r="NR26" s="97"/>
      <c r="NS26" s="97"/>
      <c r="NT26" s="97"/>
      <c r="NU26" s="97"/>
      <c r="NV26" s="97"/>
      <c r="NW26" s="97"/>
      <c r="NX26" s="97"/>
      <c r="NY26" s="97"/>
      <c r="NZ26" s="97"/>
      <c r="OA26" s="97"/>
      <c r="OB26" s="97"/>
      <c r="OC26" s="97"/>
      <c r="OD26" s="97"/>
    </row>
    <row r="27" spans="1:394" ht="16.95" customHeight="1" x14ac:dyDescent="0.25">
      <c r="A27" s="882" t="s">
        <v>465</v>
      </c>
      <c r="B27" s="846"/>
      <c r="C27" s="661">
        <f>'КЭШ, Реф (БВ_ОПТИ_Льготный)'!C30</f>
        <v>12</v>
      </c>
      <c r="D27" s="667">
        <v>0</v>
      </c>
      <c r="E27" s="226">
        <f t="shared" ref="E27:E29" si="37">C27-D27</f>
        <v>12</v>
      </c>
      <c r="F27" s="192"/>
      <c r="G27" s="244">
        <f t="shared" si="28"/>
        <v>19</v>
      </c>
      <c r="H27" s="245">
        <f t="shared" si="0"/>
        <v>45893</v>
      </c>
      <c r="I27" s="246">
        <f t="shared" si="1"/>
        <v>0.23899999999999999</v>
      </c>
      <c r="J27" s="242">
        <f t="shared" si="2"/>
        <v>2407</v>
      </c>
      <c r="K27" s="242">
        <f t="shared" si="11"/>
        <v>2407</v>
      </c>
      <c r="L27" s="242">
        <f t="shared" si="12"/>
        <v>1142.4972954974619</v>
      </c>
      <c r="M27" s="242">
        <f t="shared" si="23"/>
        <v>1264.5027045025381</v>
      </c>
      <c r="N27" s="242">
        <f t="shared" si="3"/>
        <v>0</v>
      </c>
      <c r="O27" s="242">
        <v>0</v>
      </c>
      <c r="P27" s="242">
        <f t="shared" si="24"/>
        <v>1142.4972954974619</v>
      </c>
      <c r="Q27" s="242">
        <f t="shared" si="32"/>
        <v>0</v>
      </c>
      <c r="R27" s="242">
        <f t="shared" si="13"/>
        <v>0</v>
      </c>
      <c r="S27" s="242">
        <f t="shared" si="14"/>
        <v>55019.950373723084</v>
      </c>
      <c r="T27" s="467"/>
      <c r="U27" s="198">
        <f t="shared" si="29"/>
        <v>30</v>
      </c>
      <c r="V27" s="36">
        <f t="shared" si="15"/>
        <v>30</v>
      </c>
      <c r="W27" s="36">
        <f t="shared" si="16"/>
        <v>0</v>
      </c>
      <c r="X27" s="16"/>
      <c r="Y27" s="16"/>
      <c r="Z27" s="57"/>
      <c r="AC27" s="13" t="s">
        <v>79</v>
      </c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P27" s="130">
        <f t="shared" si="17"/>
        <v>1</v>
      </c>
      <c r="AQ27" s="553">
        <f t="shared" si="30"/>
        <v>19</v>
      </c>
      <c r="AR27" s="554">
        <f t="shared" si="5"/>
        <v>45893</v>
      </c>
      <c r="AS27" s="555">
        <f t="shared" si="33"/>
        <v>0.29899999999999999</v>
      </c>
      <c r="AT27" s="546">
        <f t="shared" si="18"/>
        <v>2344</v>
      </c>
      <c r="AU27" s="546">
        <f t="shared" si="25"/>
        <v>2344</v>
      </c>
      <c r="AV27" s="546">
        <f t="shared" si="7"/>
        <v>1238.623455653986</v>
      </c>
      <c r="AW27" s="546">
        <f t="shared" si="19"/>
        <v>1105.376544346014</v>
      </c>
      <c r="AX27" s="546">
        <f t="shared" si="8"/>
        <v>0</v>
      </c>
      <c r="AY27" s="546">
        <v>0</v>
      </c>
      <c r="AZ27" s="546">
        <f t="shared" si="20"/>
        <v>1238.623455653986</v>
      </c>
      <c r="BA27" s="546">
        <f t="shared" si="36"/>
        <v>0</v>
      </c>
      <c r="BB27" s="546">
        <f t="shared" si="35"/>
        <v>0</v>
      </c>
      <c r="BC27" s="546"/>
      <c r="BD27" s="546"/>
      <c r="BE27" s="546"/>
      <c r="BF27" s="546"/>
      <c r="BG27" s="546"/>
      <c r="BH27" s="546">
        <f t="shared" si="22"/>
        <v>47669.848540744599</v>
      </c>
      <c r="BI27" s="108">
        <f t="shared" si="31"/>
        <v>30</v>
      </c>
      <c r="BJ27" s="108">
        <f t="shared" si="26"/>
        <v>30</v>
      </c>
      <c r="BK27" s="22">
        <f t="shared" si="27"/>
        <v>45893</v>
      </c>
      <c r="BL27" s="108">
        <f t="shared" si="10"/>
        <v>2407</v>
      </c>
      <c r="BN27" s="118"/>
    </row>
    <row r="28" spans="1:394" ht="22.5" customHeight="1" x14ac:dyDescent="0.25">
      <c r="A28" s="846" t="s">
        <v>75</v>
      </c>
      <c r="B28" s="846"/>
      <c r="C28" s="194">
        <f>L109</f>
        <v>44139.450349373459</v>
      </c>
      <c r="D28" s="209">
        <f>AV109</f>
        <v>46864.610771412328</v>
      </c>
      <c r="E28" s="274">
        <f t="shared" si="37"/>
        <v>-2725.160422038869</v>
      </c>
      <c r="F28" s="190"/>
      <c r="G28" s="244">
        <f t="shared" si="28"/>
        <v>20</v>
      </c>
      <c r="H28" s="245">
        <f t="shared" si="0"/>
        <v>45924</v>
      </c>
      <c r="I28" s="246">
        <f t="shared" si="1"/>
        <v>0.23899999999999999</v>
      </c>
      <c r="J28" s="242">
        <f t="shared" si="2"/>
        <v>2407</v>
      </c>
      <c r="K28" s="242">
        <f t="shared" si="11"/>
        <v>2407</v>
      </c>
      <c r="L28" s="242">
        <f t="shared" si="12"/>
        <v>1116.8296227915459</v>
      </c>
      <c r="M28" s="242">
        <f t="shared" si="23"/>
        <v>1290.1703772084541</v>
      </c>
      <c r="N28" s="242">
        <f t="shared" si="3"/>
        <v>0</v>
      </c>
      <c r="O28" s="242">
        <v>0</v>
      </c>
      <c r="P28" s="242">
        <f t="shared" si="24"/>
        <v>1116.8296227915459</v>
      </c>
      <c r="Q28" s="242">
        <f t="shared" si="32"/>
        <v>0</v>
      </c>
      <c r="R28" s="242">
        <f t="shared" si="13"/>
        <v>0</v>
      </c>
      <c r="S28" s="242">
        <f t="shared" si="14"/>
        <v>53729.779996514633</v>
      </c>
      <c r="T28" s="467"/>
      <c r="U28" s="198">
        <f t="shared" si="29"/>
        <v>29</v>
      </c>
      <c r="V28" s="36">
        <f t="shared" si="15"/>
        <v>29</v>
      </c>
      <c r="W28" s="36">
        <f t="shared" si="16"/>
        <v>0</v>
      </c>
      <c r="X28" s="16"/>
      <c r="Y28" s="16"/>
      <c r="Z28" s="57" t="s">
        <v>47</v>
      </c>
      <c r="AA28" s="2" t="s">
        <v>35</v>
      </c>
      <c r="AC28" s="13" t="s">
        <v>80</v>
      </c>
      <c r="AD28" s="3">
        <v>1</v>
      </c>
      <c r="AE28" s="3">
        <v>1</v>
      </c>
      <c r="AF28" s="3">
        <v>1</v>
      </c>
      <c r="AG28" s="81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P28" s="130">
        <f t="shared" si="17"/>
        <v>1</v>
      </c>
      <c r="AQ28" s="553">
        <f t="shared" si="30"/>
        <v>20</v>
      </c>
      <c r="AR28" s="554">
        <f t="shared" si="5"/>
        <v>45924</v>
      </c>
      <c r="AS28" s="555">
        <f t="shared" si="33"/>
        <v>0.29899999999999999</v>
      </c>
      <c r="AT28" s="546">
        <f t="shared" si="18"/>
        <v>2344</v>
      </c>
      <c r="AU28" s="546">
        <f t="shared" si="25"/>
        <v>2344</v>
      </c>
      <c r="AV28" s="546">
        <f t="shared" si="7"/>
        <v>1210.5529482853744</v>
      </c>
      <c r="AW28" s="546">
        <f t="shared" si="19"/>
        <v>1133.4470517146256</v>
      </c>
      <c r="AX28" s="546">
        <f t="shared" si="8"/>
        <v>0</v>
      </c>
      <c r="AY28" s="546">
        <v>0</v>
      </c>
      <c r="AZ28" s="546">
        <f t="shared" si="20"/>
        <v>1210.5529482853744</v>
      </c>
      <c r="BA28" s="546">
        <f t="shared" si="36"/>
        <v>0</v>
      </c>
      <c r="BB28" s="546">
        <f t="shared" si="35"/>
        <v>0</v>
      </c>
      <c r="BC28" s="546"/>
      <c r="BD28" s="546"/>
      <c r="BE28" s="546"/>
      <c r="BF28" s="546"/>
      <c r="BG28" s="546"/>
      <c r="BH28" s="546">
        <f t="shared" si="22"/>
        <v>46536.401489029973</v>
      </c>
      <c r="BI28" s="108">
        <f t="shared" si="31"/>
        <v>29</v>
      </c>
      <c r="BJ28" s="108">
        <f t="shared" si="26"/>
        <v>29</v>
      </c>
      <c r="BK28" s="22">
        <f t="shared" si="27"/>
        <v>45924</v>
      </c>
      <c r="BL28" s="108">
        <f t="shared" si="10"/>
        <v>2407</v>
      </c>
    </row>
    <row r="29" spans="1:394" ht="19.5" customHeight="1" x14ac:dyDescent="0.25">
      <c r="A29" s="887" t="s">
        <v>466</v>
      </c>
      <c r="B29" s="846"/>
      <c r="C29" s="662">
        <f>'КЭШ, Реф (БВ_ОПТИ_Льготный)'!C26</f>
        <v>12929.436401673644</v>
      </c>
      <c r="D29" s="209">
        <f>IF(D18="",0,D18*12)</f>
        <v>0</v>
      </c>
      <c r="E29" s="274">
        <f t="shared" si="37"/>
        <v>12929.436401673644</v>
      </c>
      <c r="F29" s="234"/>
      <c r="G29" s="244">
        <f t="shared" si="28"/>
        <v>21</v>
      </c>
      <c r="H29" s="245">
        <f t="shared" si="0"/>
        <v>45954</v>
      </c>
      <c r="I29" s="246">
        <f t="shared" si="1"/>
        <v>0.23899999999999999</v>
      </c>
      <c r="J29" s="242">
        <f t="shared" si="2"/>
        <v>2407</v>
      </c>
      <c r="K29" s="242">
        <f t="shared" si="11"/>
        <v>2407</v>
      </c>
      <c r="L29" s="242">
        <f t="shared" si="12"/>
        <v>1055.4589659589312</v>
      </c>
      <c r="M29" s="242">
        <f t="shared" si="23"/>
        <v>1351.5410340410688</v>
      </c>
      <c r="N29" s="242">
        <f t="shared" si="3"/>
        <v>0</v>
      </c>
      <c r="O29" s="242">
        <v>0</v>
      </c>
      <c r="P29" s="242">
        <f t="shared" si="24"/>
        <v>1055.4589659589312</v>
      </c>
      <c r="Q29" s="242">
        <f t="shared" si="32"/>
        <v>0</v>
      </c>
      <c r="R29" s="242">
        <f t="shared" si="13"/>
        <v>0</v>
      </c>
      <c r="S29" s="242">
        <f t="shared" si="14"/>
        <v>52378.238962473566</v>
      </c>
      <c r="T29" s="467"/>
      <c r="U29" s="198">
        <f t="shared" si="29"/>
        <v>28</v>
      </c>
      <c r="V29" s="36">
        <f t="shared" si="15"/>
        <v>28</v>
      </c>
      <c r="W29" s="36">
        <f t="shared" si="16"/>
        <v>0</v>
      </c>
      <c r="X29" s="16"/>
      <c r="Y29" s="16"/>
      <c r="Z29" s="57"/>
      <c r="AF29" s="82"/>
      <c r="AG29" s="2"/>
      <c r="AH29" s="2"/>
      <c r="AI29" s="2"/>
      <c r="AJ29" s="3"/>
      <c r="AK29" s="3"/>
      <c r="AL29" s="3"/>
      <c r="AM29" s="3"/>
      <c r="AP29" s="130">
        <f t="shared" si="17"/>
        <v>1</v>
      </c>
      <c r="AQ29" s="553">
        <f t="shared" si="30"/>
        <v>21</v>
      </c>
      <c r="AR29" s="554">
        <f t="shared" si="5"/>
        <v>45954</v>
      </c>
      <c r="AS29" s="555">
        <f t="shared" si="33"/>
        <v>0.29899999999999999</v>
      </c>
      <c r="AT29" s="546">
        <f t="shared" si="18"/>
        <v>2344</v>
      </c>
      <c r="AU29" s="546">
        <f t="shared" si="25"/>
        <v>2344</v>
      </c>
      <c r="AV29" s="546">
        <f t="shared" si="7"/>
        <v>1143.6480037167091</v>
      </c>
      <c r="AW29" s="546">
        <f t="shared" si="19"/>
        <v>1200.3519962832909</v>
      </c>
      <c r="AX29" s="546">
        <f t="shared" si="8"/>
        <v>0</v>
      </c>
      <c r="AY29" s="546">
        <v>0</v>
      </c>
      <c r="AZ29" s="546">
        <f t="shared" si="20"/>
        <v>1143.6480037167091</v>
      </c>
      <c r="BA29" s="546">
        <f t="shared" si="36"/>
        <v>0</v>
      </c>
      <c r="BB29" s="546">
        <f t="shared" si="35"/>
        <v>0</v>
      </c>
      <c r="BC29" s="546"/>
      <c r="BD29" s="546"/>
      <c r="BE29" s="546"/>
      <c r="BF29" s="546"/>
      <c r="BG29" s="546"/>
      <c r="BH29" s="546">
        <f t="shared" si="22"/>
        <v>45336.049492746679</v>
      </c>
      <c r="BI29" s="108">
        <f t="shared" si="31"/>
        <v>28</v>
      </c>
      <c r="BJ29" s="108">
        <f t="shared" si="26"/>
        <v>28</v>
      </c>
      <c r="BK29" s="22">
        <f t="shared" si="27"/>
        <v>45954</v>
      </c>
      <c r="BL29" s="108">
        <f t="shared" si="10"/>
        <v>2407</v>
      </c>
    </row>
    <row r="30" spans="1:394" ht="35.25" customHeight="1" x14ac:dyDescent="0.25">
      <c r="A30" s="887" t="s">
        <v>467</v>
      </c>
      <c r="B30" s="846"/>
      <c r="C30" s="662">
        <f>'КЭШ, Реф (БВ_ОПТИ_Льготный)'!C27</f>
        <v>8689.6464016736481</v>
      </c>
      <c r="D30" s="209">
        <f>D29</f>
        <v>0</v>
      </c>
      <c r="E30" s="802" t="s">
        <v>358</v>
      </c>
      <c r="F30" s="235"/>
      <c r="G30" s="244">
        <f>G29+1</f>
        <v>22</v>
      </c>
      <c r="H30" s="245">
        <f t="shared" si="0"/>
        <v>45985</v>
      </c>
      <c r="I30" s="246">
        <f t="shared" si="1"/>
        <v>0.23899999999999999</v>
      </c>
      <c r="J30" s="242">
        <f t="shared" si="2"/>
        <v>2407</v>
      </c>
      <c r="K30" s="242">
        <f t="shared" si="11"/>
        <v>2407</v>
      </c>
      <c r="L30" s="242">
        <f t="shared" si="12"/>
        <v>1063.206499925936</v>
      </c>
      <c r="M30" s="242">
        <f t="shared" si="23"/>
        <v>1343.793500074064</v>
      </c>
      <c r="N30" s="242">
        <f t="shared" si="3"/>
        <v>0</v>
      </c>
      <c r="O30" s="242">
        <v>0</v>
      </c>
      <c r="P30" s="242">
        <f t="shared" si="24"/>
        <v>1063.206499925936</v>
      </c>
      <c r="Q30" s="242">
        <f t="shared" si="32"/>
        <v>0</v>
      </c>
      <c r="R30" s="242">
        <f t="shared" si="13"/>
        <v>0</v>
      </c>
      <c r="S30" s="242">
        <f t="shared" si="14"/>
        <v>51034.445462399504</v>
      </c>
      <c r="T30" s="467"/>
      <c r="U30" s="198">
        <f>IF((U29-1)&lt;0,0,U29-1)</f>
        <v>27</v>
      </c>
      <c r="V30" s="36">
        <f t="shared" si="15"/>
        <v>27</v>
      </c>
      <c r="W30" s="36">
        <f t="shared" si="16"/>
        <v>0</v>
      </c>
      <c r="X30" s="16"/>
      <c r="Y30" s="16"/>
      <c r="Z30" s="57"/>
      <c r="AD30" s="13" t="s">
        <v>47</v>
      </c>
      <c r="AE30" s="2" t="s">
        <v>35</v>
      </c>
      <c r="AF30" s="82" t="s">
        <v>35</v>
      </c>
      <c r="AG30" s="2" t="s">
        <v>35</v>
      </c>
      <c r="AH30" s="2" t="s">
        <v>35</v>
      </c>
      <c r="AI30" s="2" t="s">
        <v>35</v>
      </c>
      <c r="AL30" s="2"/>
      <c r="AP30" s="130">
        <f t="shared" si="17"/>
        <v>1</v>
      </c>
      <c r="AQ30" s="553">
        <f>AQ29+1</f>
        <v>22</v>
      </c>
      <c r="AR30" s="554">
        <f t="shared" si="5"/>
        <v>45985</v>
      </c>
      <c r="AS30" s="555">
        <f t="shared" si="33"/>
        <v>0.29899999999999999</v>
      </c>
      <c r="AT30" s="546">
        <f t="shared" si="18"/>
        <v>2344</v>
      </c>
      <c r="AU30" s="546">
        <f t="shared" si="25"/>
        <v>2344</v>
      </c>
      <c r="AV30" s="546">
        <f t="shared" si="7"/>
        <v>1151.2872404062161</v>
      </c>
      <c r="AW30" s="546">
        <f>IF(BJ30=0,0,IF(BJ30=1,BH29,IF(BH29+AX30+AV30&gt;AU29,AU30-AV30-AX30,BH29)))</f>
        <v>1192.7127595937839</v>
      </c>
      <c r="AX30" s="546">
        <f t="shared" si="8"/>
        <v>0</v>
      </c>
      <c r="AY30" s="546">
        <v>0</v>
      </c>
      <c r="AZ30" s="546">
        <f t="shared" si="20"/>
        <v>1151.2872404062161</v>
      </c>
      <c r="BA30" s="546">
        <f t="shared" si="36"/>
        <v>0</v>
      </c>
      <c r="BB30" s="546">
        <f t="shared" si="35"/>
        <v>0</v>
      </c>
      <c r="BC30" s="546"/>
      <c r="BD30" s="546"/>
      <c r="BE30" s="546"/>
      <c r="BF30" s="546"/>
      <c r="BG30" s="546"/>
      <c r="BH30" s="546">
        <f>IF(OR(BJ30=1,BH29=0),0,BH29-AW30)</f>
        <v>44143.336733152893</v>
      </c>
      <c r="BI30" s="108">
        <f>IF((BI29-1)&lt;0,0,BI29-1)</f>
        <v>27</v>
      </c>
      <c r="BJ30" s="108">
        <f t="shared" si="26"/>
        <v>27</v>
      </c>
      <c r="BK30" s="22">
        <f t="shared" si="27"/>
        <v>45985</v>
      </c>
      <c r="BL30" s="108">
        <f t="shared" si="10"/>
        <v>2407</v>
      </c>
      <c r="BZ30" s="116"/>
      <c r="CA30" s="116"/>
    </row>
    <row r="31" spans="1:394" ht="42" customHeight="1" x14ac:dyDescent="0.25">
      <c r="A31" s="886" t="s">
        <v>357</v>
      </c>
      <c r="B31" s="886"/>
      <c r="C31" s="518">
        <f>C28-C30</f>
        <v>35449.803947699809</v>
      </c>
      <c r="D31" s="212">
        <f>D28+D29</f>
        <v>46864.610771412328</v>
      </c>
      <c r="E31" s="803">
        <f>D31-C31</f>
        <v>11414.806823712519</v>
      </c>
      <c r="F31" s="236"/>
      <c r="G31" s="244">
        <f t="shared" si="28"/>
        <v>23</v>
      </c>
      <c r="H31" s="245">
        <f t="shared" si="0"/>
        <v>46015</v>
      </c>
      <c r="I31" s="246">
        <f t="shared" si="1"/>
        <v>0.23899999999999999</v>
      </c>
      <c r="J31" s="242">
        <f t="shared" si="2"/>
        <v>2407</v>
      </c>
      <c r="K31" s="242">
        <f t="shared" si="11"/>
        <v>2407</v>
      </c>
      <c r="L31" s="242">
        <f t="shared" si="12"/>
        <v>1002.5122574394641</v>
      </c>
      <c r="M31" s="242">
        <f t="shared" si="23"/>
        <v>1404.4877425605359</v>
      </c>
      <c r="N31" s="242">
        <f t="shared" si="3"/>
        <v>0</v>
      </c>
      <c r="O31" s="242">
        <v>0</v>
      </c>
      <c r="P31" s="242">
        <f t="shared" si="24"/>
        <v>1002.5122574394641</v>
      </c>
      <c r="Q31" s="242">
        <f t="shared" si="32"/>
        <v>0</v>
      </c>
      <c r="R31" s="242">
        <f t="shared" si="13"/>
        <v>0</v>
      </c>
      <c r="S31" s="242">
        <f t="shared" si="14"/>
        <v>49629.957719838967</v>
      </c>
      <c r="T31" s="467"/>
      <c r="U31" s="198">
        <f t="shared" si="29"/>
        <v>26</v>
      </c>
      <c r="V31" s="36">
        <f t="shared" si="15"/>
        <v>26</v>
      </c>
      <c r="W31" s="36">
        <f t="shared" si="16"/>
        <v>0</v>
      </c>
      <c r="X31" s="16"/>
      <c r="Y31" s="16"/>
      <c r="Z31" s="57"/>
      <c r="AD31" s="15">
        <f>IF(C12=X3,X17,IF(C12=Z3,Z17,IF(C12=AA3,AA17,IF(C12=AB3,AB17,IF(C12=Y3,Y17,)))))</f>
        <v>0.1</v>
      </c>
      <c r="AE31" s="15">
        <v>0</v>
      </c>
      <c r="AF31" s="2">
        <v>0</v>
      </c>
      <c r="AG31" s="2">
        <v>0</v>
      </c>
      <c r="AH31" s="2">
        <v>0</v>
      </c>
      <c r="AI31" s="2"/>
      <c r="AL31" s="2"/>
      <c r="AP31" s="130">
        <f t="shared" si="17"/>
        <v>1</v>
      </c>
      <c r="AQ31" s="553">
        <f t="shared" si="30"/>
        <v>23</v>
      </c>
      <c r="AR31" s="554">
        <f t="shared" si="5"/>
        <v>46015</v>
      </c>
      <c r="AS31" s="555">
        <f t="shared" si="33"/>
        <v>0.29899999999999999</v>
      </c>
      <c r="AT31" s="546">
        <f t="shared" si="18"/>
        <v>2344</v>
      </c>
      <c r="AU31" s="546">
        <f t="shared" si="25"/>
        <v>2344</v>
      </c>
      <c r="AV31" s="546">
        <f t="shared" si="7"/>
        <v>1084.8376177983052</v>
      </c>
      <c r="AW31" s="546">
        <f t="shared" si="19"/>
        <v>1259.1623822016948</v>
      </c>
      <c r="AX31" s="546">
        <f t="shared" si="8"/>
        <v>0</v>
      </c>
      <c r="AY31" s="546">
        <v>0</v>
      </c>
      <c r="AZ31" s="546">
        <f t="shared" si="20"/>
        <v>1084.8376177983052</v>
      </c>
      <c r="BA31" s="546">
        <f t="shared" si="36"/>
        <v>0</v>
      </c>
      <c r="BB31" s="546">
        <f t="shared" si="35"/>
        <v>0</v>
      </c>
      <c r="BC31" s="546"/>
      <c r="BD31" s="546"/>
      <c r="BE31" s="546"/>
      <c r="BF31" s="546"/>
      <c r="BG31" s="546"/>
      <c r="BH31" s="546">
        <f t="shared" si="22"/>
        <v>42884.174350951202</v>
      </c>
      <c r="BI31" s="108">
        <f t="shared" si="31"/>
        <v>26</v>
      </c>
      <c r="BJ31" s="108">
        <f t="shared" si="26"/>
        <v>26</v>
      </c>
      <c r="BK31" s="22">
        <f t="shared" si="27"/>
        <v>46015</v>
      </c>
      <c r="BL31" s="108">
        <f t="shared" si="10"/>
        <v>2407</v>
      </c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116"/>
      <c r="FX31" s="116"/>
      <c r="FY31" s="116"/>
      <c r="FZ31" s="116"/>
      <c r="GA31" s="116"/>
      <c r="GB31" s="116"/>
      <c r="GC31" s="116"/>
      <c r="GD31" s="116"/>
      <c r="GE31" s="116"/>
      <c r="GF31" s="116"/>
      <c r="GG31" s="116"/>
      <c r="GH31" s="116"/>
      <c r="GI31" s="116"/>
      <c r="GJ31" s="116"/>
      <c r="GK31" s="116"/>
      <c r="GL31" s="116"/>
      <c r="GM31" s="116"/>
      <c r="GN31" s="116"/>
      <c r="GO31" s="116"/>
      <c r="GP31" s="116"/>
      <c r="GQ31" s="116"/>
      <c r="GR31" s="116"/>
      <c r="GS31" s="116"/>
      <c r="GT31" s="116"/>
      <c r="GU31" s="116"/>
      <c r="GV31" s="116"/>
      <c r="GW31" s="116"/>
      <c r="GX31" s="116"/>
      <c r="GY31" s="116"/>
      <c r="GZ31" s="116"/>
      <c r="HA31" s="116"/>
      <c r="HB31" s="116"/>
      <c r="HC31" s="116"/>
      <c r="HD31" s="116"/>
      <c r="HE31" s="116"/>
      <c r="HF31" s="116"/>
      <c r="HG31" s="116"/>
      <c r="HH31" s="116"/>
      <c r="HI31" s="116"/>
      <c r="HJ31" s="116"/>
      <c r="HK31" s="116"/>
      <c r="HL31" s="116"/>
      <c r="HM31" s="116"/>
      <c r="HN31" s="116"/>
      <c r="HO31" s="116"/>
      <c r="HP31" s="116"/>
      <c r="HQ31" s="116"/>
      <c r="HR31" s="116"/>
      <c r="HS31" s="116"/>
      <c r="HT31" s="116"/>
      <c r="HU31" s="116"/>
      <c r="HV31" s="116"/>
      <c r="HW31" s="116"/>
      <c r="HX31" s="116"/>
      <c r="HY31" s="116"/>
      <c r="HZ31" s="116"/>
      <c r="IA31" s="116"/>
      <c r="IB31" s="116"/>
      <c r="IC31" s="116"/>
      <c r="ID31" s="116"/>
      <c r="IE31" s="116"/>
      <c r="IF31" s="116"/>
      <c r="IG31" s="116"/>
      <c r="IH31" s="116"/>
      <c r="II31" s="116"/>
      <c r="IJ31" s="116"/>
      <c r="IK31" s="116"/>
      <c r="IL31" s="116"/>
      <c r="IM31" s="116"/>
      <c r="IN31" s="116"/>
      <c r="IO31" s="116"/>
      <c r="IP31" s="116"/>
      <c r="IQ31" s="116"/>
      <c r="IR31" s="116"/>
      <c r="IS31" s="116"/>
      <c r="IT31" s="116"/>
      <c r="IU31" s="116"/>
      <c r="IV31" s="116"/>
      <c r="IW31" s="116"/>
      <c r="IX31" s="116"/>
      <c r="IY31" s="116"/>
      <c r="IZ31" s="116"/>
      <c r="JA31" s="116"/>
      <c r="JB31" s="116"/>
      <c r="JC31" s="116"/>
      <c r="JD31" s="116"/>
      <c r="JE31" s="116"/>
      <c r="JF31" s="116"/>
      <c r="JG31" s="116"/>
      <c r="JH31" s="116"/>
      <c r="JI31" s="116"/>
      <c r="JJ31" s="116"/>
      <c r="JK31" s="116"/>
      <c r="JL31" s="116"/>
      <c r="JM31" s="116"/>
      <c r="JN31" s="116"/>
      <c r="JO31" s="116"/>
      <c r="JP31" s="116"/>
      <c r="JQ31" s="116"/>
      <c r="JR31" s="116"/>
      <c r="JS31" s="116"/>
      <c r="JT31" s="116"/>
      <c r="JU31" s="116"/>
      <c r="JV31" s="116"/>
      <c r="JW31" s="116"/>
      <c r="JX31" s="116"/>
      <c r="JY31" s="116"/>
      <c r="JZ31" s="116"/>
      <c r="KA31" s="116"/>
      <c r="KB31" s="116"/>
      <c r="KC31" s="116"/>
      <c r="KD31" s="116"/>
      <c r="KE31" s="116"/>
      <c r="KF31" s="116"/>
      <c r="KG31" s="116"/>
      <c r="KH31" s="116"/>
      <c r="KI31" s="116"/>
      <c r="KJ31" s="116"/>
      <c r="KK31" s="116"/>
      <c r="KL31" s="116"/>
      <c r="KM31" s="116"/>
      <c r="KN31" s="116"/>
      <c r="KO31" s="116"/>
      <c r="KP31" s="116"/>
      <c r="KQ31" s="116"/>
      <c r="KR31" s="116"/>
      <c r="KS31" s="116"/>
      <c r="KT31" s="116"/>
      <c r="KU31" s="116"/>
      <c r="KV31" s="116"/>
      <c r="KW31" s="116"/>
      <c r="KX31" s="116"/>
      <c r="KY31" s="116"/>
      <c r="KZ31" s="116"/>
      <c r="LA31" s="116"/>
      <c r="LB31" s="116"/>
      <c r="LC31" s="116"/>
      <c r="LD31" s="116"/>
      <c r="LE31" s="116"/>
      <c r="LF31" s="116"/>
      <c r="LG31" s="116"/>
      <c r="LH31" s="116"/>
      <c r="LI31" s="116"/>
      <c r="LJ31" s="116"/>
      <c r="LK31" s="116"/>
      <c r="LL31" s="116"/>
      <c r="LM31" s="116"/>
      <c r="LN31" s="116"/>
      <c r="LO31" s="116"/>
      <c r="LP31" s="116"/>
      <c r="LQ31" s="116"/>
      <c r="LR31" s="116"/>
      <c r="LS31" s="116"/>
      <c r="LT31" s="116"/>
      <c r="LU31" s="116"/>
      <c r="LV31" s="116"/>
      <c r="LW31" s="116"/>
      <c r="LX31" s="116"/>
      <c r="LY31" s="116"/>
      <c r="LZ31" s="116"/>
      <c r="MA31" s="116"/>
      <c r="MB31" s="116"/>
      <c r="MC31" s="116"/>
      <c r="MD31" s="116"/>
      <c r="ME31" s="116"/>
      <c r="MF31" s="116"/>
      <c r="MG31" s="116"/>
      <c r="MH31" s="116"/>
      <c r="MI31" s="116"/>
      <c r="MJ31" s="116"/>
      <c r="MK31" s="116"/>
      <c r="ML31" s="116"/>
      <c r="MM31" s="116"/>
      <c r="MN31" s="116"/>
      <c r="MO31" s="116"/>
      <c r="MP31" s="116"/>
      <c r="MQ31" s="116"/>
      <c r="MR31" s="116"/>
      <c r="MS31" s="116"/>
      <c r="MT31" s="116"/>
      <c r="MU31" s="116"/>
      <c r="MV31" s="116"/>
      <c r="MW31" s="116"/>
      <c r="MX31" s="116"/>
      <c r="MY31" s="116"/>
      <c r="MZ31" s="116"/>
      <c r="NA31" s="116"/>
      <c r="NB31" s="116"/>
      <c r="NC31" s="116"/>
      <c r="ND31" s="116"/>
      <c r="NE31" s="116"/>
      <c r="NF31" s="116"/>
      <c r="NG31" s="116"/>
      <c r="NH31" s="116"/>
      <c r="NI31" s="116"/>
      <c r="NJ31" s="116"/>
      <c r="NK31" s="116"/>
      <c r="NL31" s="116"/>
      <c r="NM31" s="116"/>
      <c r="NN31" s="116"/>
      <c r="NO31" s="116"/>
      <c r="NP31" s="116"/>
      <c r="NQ31" s="116"/>
      <c r="NR31" s="116"/>
    </row>
    <row r="32" spans="1:394" ht="49.5" customHeight="1" thickBot="1" x14ac:dyDescent="0.3">
      <c r="A32" s="883" t="s">
        <v>175</v>
      </c>
      <c r="B32" s="884"/>
      <c r="C32" s="884"/>
      <c r="D32" s="884"/>
      <c r="E32" s="885"/>
      <c r="F32" s="191"/>
      <c r="G32" s="248">
        <f t="shared" si="28"/>
        <v>24</v>
      </c>
      <c r="H32" s="679">
        <f t="shared" si="0"/>
        <v>46046</v>
      </c>
      <c r="I32" s="250">
        <f t="shared" si="1"/>
        <v>0.23899999999999999</v>
      </c>
      <c r="J32" s="252">
        <f t="shared" si="2"/>
        <v>2407</v>
      </c>
      <c r="K32" s="252">
        <f t="shared" si="11"/>
        <v>2407</v>
      </c>
      <c r="L32" s="242">
        <f t="shared" si="12"/>
        <v>1007.4201554692791</v>
      </c>
      <c r="M32" s="252">
        <f t="shared" si="23"/>
        <v>1399.5798445307209</v>
      </c>
      <c r="N32" s="252">
        <f t="shared" si="3"/>
        <v>0</v>
      </c>
      <c r="O32" s="252">
        <v>0</v>
      </c>
      <c r="P32" s="252">
        <f t="shared" si="24"/>
        <v>1007.4201554692791</v>
      </c>
      <c r="Q32" s="252">
        <f t="shared" si="32"/>
        <v>0</v>
      </c>
      <c r="R32" s="252">
        <f t="shared" si="13"/>
        <v>0</v>
      </c>
      <c r="S32" s="252">
        <f t="shared" si="14"/>
        <v>48230.377875308244</v>
      </c>
      <c r="T32" s="468"/>
      <c r="U32" s="198">
        <f t="shared" si="29"/>
        <v>25</v>
      </c>
      <c r="V32" s="36">
        <f t="shared" si="15"/>
        <v>25</v>
      </c>
      <c r="W32" s="36">
        <f t="shared" si="16"/>
        <v>0</v>
      </c>
      <c r="X32" s="16"/>
      <c r="Y32" s="16"/>
      <c r="Z32" s="57"/>
      <c r="AD32" s="15">
        <f>IF(C12=X3,X17,IF(C12=Z3,Z17,IF(C12=AA3,AA17,IF(C12=AB3,AB17,IF(C12=Y3,Y17,)))))</f>
        <v>0.1</v>
      </c>
      <c r="AE32" s="15">
        <v>0</v>
      </c>
      <c r="AF32" s="15"/>
      <c r="AG32" s="2"/>
      <c r="AH32" s="2"/>
      <c r="AI32" s="2"/>
      <c r="AL32" s="2"/>
      <c r="AO32" s="16"/>
      <c r="AP32" s="130">
        <f t="shared" si="17"/>
        <v>1</v>
      </c>
      <c r="AQ32" s="556">
        <f t="shared" si="30"/>
        <v>24</v>
      </c>
      <c r="AR32" s="680">
        <f t="shared" si="5"/>
        <v>46046</v>
      </c>
      <c r="AS32" s="557">
        <f t="shared" si="33"/>
        <v>0.29899999999999999</v>
      </c>
      <c r="AT32" s="547">
        <f t="shared" si="18"/>
        <v>2344</v>
      </c>
      <c r="AU32" s="547">
        <f t="shared" si="25"/>
        <v>2344</v>
      </c>
      <c r="AV32" s="547">
        <f t="shared" si="7"/>
        <v>1089.0230467368949</v>
      </c>
      <c r="AW32" s="547">
        <f t="shared" si="19"/>
        <v>1254.9769532631051</v>
      </c>
      <c r="AX32" s="547">
        <f t="shared" si="8"/>
        <v>0</v>
      </c>
      <c r="AY32" s="547">
        <v>0</v>
      </c>
      <c r="AZ32" s="547">
        <f t="shared" si="20"/>
        <v>1089.0230467368949</v>
      </c>
      <c r="BA32" s="547">
        <f t="shared" si="36"/>
        <v>0</v>
      </c>
      <c r="BB32" s="547">
        <f t="shared" si="35"/>
        <v>0</v>
      </c>
      <c r="BC32" s="547"/>
      <c r="BD32" s="547"/>
      <c r="BE32" s="547"/>
      <c r="BF32" s="547"/>
      <c r="BG32" s="547"/>
      <c r="BH32" s="547">
        <f t="shared" si="22"/>
        <v>41629.197397688098</v>
      </c>
      <c r="BI32" s="108">
        <f t="shared" si="31"/>
        <v>25</v>
      </c>
      <c r="BJ32" s="108">
        <f t="shared" si="26"/>
        <v>25</v>
      </c>
      <c r="BK32" s="22">
        <f t="shared" si="27"/>
        <v>46046</v>
      </c>
      <c r="BL32" s="108">
        <f t="shared" si="10"/>
        <v>2407</v>
      </c>
    </row>
    <row r="33" spans="1:1218" x14ac:dyDescent="0.25">
      <c r="A33" s="847" t="s">
        <v>186</v>
      </c>
      <c r="B33" s="213" t="s">
        <v>180</v>
      </c>
      <c r="C33" s="191">
        <f>C31/($C$10/12)</f>
        <v>8862.4509869249523</v>
      </c>
      <c r="D33" s="191">
        <f>D31/($C$10/12)</f>
        <v>11716.152692853082</v>
      </c>
      <c r="E33" s="191">
        <f>D33-C33</f>
        <v>2853.7017059281297</v>
      </c>
      <c r="F33" s="191"/>
      <c r="G33" s="244">
        <f t="shared" si="28"/>
        <v>25</v>
      </c>
      <c r="H33" s="245">
        <f t="shared" si="0"/>
        <v>46077</v>
      </c>
      <c r="I33" s="246">
        <f t="shared" si="1"/>
        <v>0.23899999999999999</v>
      </c>
      <c r="J33" s="242">
        <f t="shared" si="2"/>
        <v>2407</v>
      </c>
      <c r="K33" s="242">
        <f t="shared" si="11"/>
        <v>2407</v>
      </c>
      <c r="L33" s="242">
        <f t="shared" si="12"/>
        <v>979.01060185796916</v>
      </c>
      <c r="M33" s="242">
        <f t="shared" si="23"/>
        <v>1427.989398142031</v>
      </c>
      <c r="N33" s="242">
        <f t="shared" si="3"/>
        <v>0</v>
      </c>
      <c r="O33" s="242">
        <v>0</v>
      </c>
      <c r="P33" s="242">
        <f t="shared" si="24"/>
        <v>979.01060185796916</v>
      </c>
      <c r="Q33" s="242">
        <f t="shared" si="32"/>
        <v>0</v>
      </c>
      <c r="R33" s="242">
        <f t="shared" si="13"/>
        <v>0</v>
      </c>
      <c r="S33" s="242">
        <f t="shared" si="14"/>
        <v>46802.388477166212</v>
      </c>
      <c r="T33" s="467"/>
      <c r="U33" s="198">
        <f t="shared" si="29"/>
        <v>24</v>
      </c>
      <c r="V33" s="36">
        <f t="shared" si="15"/>
        <v>24</v>
      </c>
      <c r="W33" s="36">
        <f t="shared" si="16"/>
        <v>0</v>
      </c>
      <c r="X33" s="16"/>
      <c r="Y33" s="16"/>
      <c r="Z33" s="57"/>
      <c r="AF33" s="15"/>
      <c r="AG33" s="173">
        <f>$C$24-AH33</f>
        <v>-153</v>
      </c>
      <c r="AH33" s="2">
        <f>ROUNDUP(((S20)*AH37/12*(1+AH37/12)^(U21)/((1+AH37/12)^(U21)-1)+S20/10000*IF(U21&lt;11,20,IF(U21&lt;34,0.7,IF(U21&lt;58,0.3,0.1)))*IF(AH37&lt;0.3,AH37/0.2,AH37/0.1))/AH47,0)*AH47</f>
        <v>2560</v>
      </c>
      <c r="AI33" s="16">
        <v>6000000</v>
      </c>
      <c r="AN33" s="16"/>
      <c r="AO33" s="16"/>
      <c r="AP33" s="130">
        <f t="shared" si="17"/>
        <v>1</v>
      </c>
      <c r="AQ33" s="553">
        <f t="shared" si="30"/>
        <v>25</v>
      </c>
      <c r="AR33" s="554">
        <f t="shared" si="5"/>
        <v>46077</v>
      </c>
      <c r="AS33" s="555">
        <f t="shared" ref="AS33:AS44" si="38">IF($D$16="Да",$AN$38,$D$13)</f>
        <v>0.29899999999999999</v>
      </c>
      <c r="AT33" s="546">
        <f t="shared" si="18"/>
        <v>2344</v>
      </c>
      <c r="AU33" s="546">
        <f t="shared" si="25"/>
        <v>2344</v>
      </c>
      <c r="AV33" s="546">
        <f t="shared" si="7"/>
        <v>1057.1535087100574</v>
      </c>
      <c r="AW33" s="546">
        <f t="shared" si="19"/>
        <v>1286.8464912899426</v>
      </c>
      <c r="AX33" s="546">
        <f t="shared" si="8"/>
        <v>0</v>
      </c>
      <c r="AY33" s="546">
        <v>0</v>
      </c>
      <c r="AZ33" s="546">
        <f t="shared" si="20"/>
        <v>1057.1535087100574</v>
      </c>
      <c r="BA33" s="546">
        <f t="shared" si="36"/>
        <v>0</v>
      </c>
      <c r="BB33" s="546">
        <f t="shared" si="35"/>
        <v>0</v>
      </c>
      <c r="BC33" s="546"/>
      <c r="BD33" s="546"/>
      <c r="BE33" s="546"/>
      <c r="BF33" s="546"/>
      <c r="BG33" s="546"/>
      <c r="BH33" s="546">
        <f t="shared" si="22"/>
        <v>40342.350906398155</v>
      </c>
      <c r="BI33" s="108">
        <f t="shared" si="31"/>
        <v>24</v>
      </c>
      <c r="BJ33" s="108">
        <f t="shared" si="26"/>
        <v>24</v>
      </c>
      <c r="BK33" s="22">
        <f t="shared" si="27"/>
        <v>46077</v>
      </c>
      <c r="BL33" s="108">
        <f t="shared" si="10"/>
        <v>2407</v>
      </c>
      <c r="BO33" s="853"/>
      <c r="BQ33" s="131"/>
    </row>
    <row r="34" spans="1:1218" ht="25.5" customHeight="1" x14ac:dyDescent="0.25">
      <c r="A34" s="847"/>
      <c r="B34" s="213" t="s">
        <v>181</v>
      </c>
      <c r="C34" s="201">
        <f>C33/C23</f>
        <v>0.11718013760131364</v>
      </c>
      <c r="D34" s="201">
        <f>D33/D23</f>
        <v>0.18025127606352531</v>
      </c>
      <c r="E34" s="191"/>
      <c r="F34" s="191"/>
      <c r="G34" s="244">
        <f t="shared" si="28"/>
        <v>26</v>
      </c>
      <c r="H34" s="245">
        <f t="shared" si="0"/>
        <v>46105</v>
      </c>
      <c r="I34" s="246">
        <f t="shared" si="1"/>
        <v>0.23899999999999999</v>
      </c>
      <c r="J34" s="242">
        <f t="shared" si="2"/>
        <v>2407</v>
      </c>
      <c r="K34" s="242">
        <f t="shared" si="11"/>
        <v>2407</v>
      </c>
      <c r="L34" s="242">
        <f t="shared" si="12"/>
        <v>858.08653065533224</v>
      </c>
      <c r="M34" s="242">
        <f t="shared" si="23"/>
        <v>1548.9134693446676</v>
      </c>
      <c r="N34" s="242">
        <f t="shared" si="3"/>
        <v>0</v>
      </c>
      <c r="O34" s="242">
        <v>0</v>
      </c>
      <c r="P34" s="242">
        <f t="shared" si="24"/>
        <v>858.08653065533224</v>
      </c>
      <c r="Q34" s="242">
        <f t="shared" si="32"/>
        <v>0</v>
      </c>
      <c r="R34" s="242">
        <f t="shared" si="13"/>
        <v>0</v>
      </c>
      <c r="S34" s="242">
        <f t="shared" si="14"/>
        <v>45253.475007821544</v>
      </c>
      <c r="T34" s="467"/>
      <c r="U34" s="198">
        <f t="shared" si="29"/>
        <v>23</v>
      </c>
      <c r="V34" s="36">
        <f t="shared" si="15"/>
        <v>23</v>
      </c>
      <c r="W34" s="36">
        <f t="shared" si="16"/>
        <v>0</v>
      </c>
      <c r="X34" s="16"/>
      <c r="Y34" s="16"/>
      <c r="Z34" s="57"/>
      <c r="AC34" s="2">
        <f>IF(C10 &lt;=X31,X33,IF(C10 &lt;=Y31,Y33,IF(C10 &lt;=Z31,Z33,IF(C10 &lt;=AA31,AA33,AB33))))</f>
        <v>0</v>
      </c>
      <c r="AF34" s="2"/>
      <c r="AG34" s="16"/>
      <c r="AH34" s="16"/>
      <c r="AI34" s="16"/>
      <c r="AN34" s="16"/>
      <c r="AO34" s="16"/>
      <c r="AP34" s="130">
        <f t="shared" si="17"/>
        <v>1</v>
      </c>
      <c r="AQ34" s="553">
        <f t="shared" si="30"/>
        <v>26</v>
      </c>
      <c r="AR34" s="554">
        <f t="shared" si="5"/>
        <v>46105</v>
      </c>
      <c r="AS34" s="555">
        <f t="shared" si="38"/>
        <v>0.29899999999999999</v>
      </c>
      <c r="AT34" s="546">
        <f t="shared" si="18"/>
        <v>2344</v>
      </c>
      <c r="AU34" s="546">
        <f t="shared" si="25"/>
        <v>2344</v>
      </c>
      <c r="AV34" s="546">
        <f t="shared" si="7"/>
        <v>925.33195010511054</v>
      </c>
      <c r="AW34" s="546">
        <f t="shared" si="19"/>
        <v>1418.6680498948895</v>
      </c>
      <c r="AX34" s="546">
        <f t="shared" si="8"/>
        <v>0</v>
      </c>
      <c r="AY34" s="546">
        <v>0</v>
      </c>
      <c r="AZ34" s="546">
        <f t="shared" si="20"/>
        <v>925.33195010511054</v>
      </c>
      <c r="BA34" s="546">
        <f t="shared" si="36"/>
        <v>0</v>
      </c>
      <c r="BB34" s="546">
        <f t="shared" si="35"/>
        <v>0</v>
      </c>
      <c r="BC34" s="546"/>
      <c r="BD34" s="546"/>
      <c r="BE34" s="546"/>
      <c r="BF34" s="546"/>
      <c r="BG34" s="546"/>
      <c r="BH34" s="546">
        <f t="shared" si="22"/>
        <v>38923.682856503263</v>
      </c>
      <c r="BI34" s="108">
        <f t="shared" si="31"/>
        <v>23</v>
      </c>
      <c r="BJ34" s="108">
        <f t="shared" si="26"/>
        <v>23</v>
      </c>
      <c r="BK34" s="22">
        <f t="shared" si="27"/>
        <v>46105</v>
      </c>
      <c r="BL34" s="108">
        <f t="shared" si="10"/>
        <v>2407</v>
      </c>
      <c r="BO34" s="853"/>
    </row>
    <row r="35" spans="1:1218" ht="31.5" customHeight="1" x14ac:dyDescent="0.25">
      <c r="A35" s="846" t="s">
        <v>177</v>
      </c>
      <c r="B35" s="846"/>
      <c r="C35" s="190">
        <f>C33/12</f>
        <v>738.53758224374599</v>
      </c>
      <c r="D35" s="191">
        <f>D33/12</f>
        <v>976.34605773775684</v>
      </c>
      <c r="E35" s="191">
        <f>D35-C35</f>
        <v>237.80847549401085</v>
      </c>
      <c r="F35" s="191"/>
      <c r="G35" s="244">
        <f t="shared" si="28"/>
        <v>27</v>
      </c>
      <c r="H35" s="245">
        <f t="shared" si="0"/>
        <v>46136</v>
      </c>
      <c r="I35" s="246">
        <f t="shared" si="1"/>
        <v>0.23899999999999999</v>
      </c>
      <c r="J35" s="242">
        <f t="shared" si="2"/>
        <v>2407</v>
      </c>
      <c r="K35" s="242">
        <f t="shared" si="11"/>
        <v>2407</v>
      </c>
      <c r="L35" s="242">
        <f t="shared" si="12"/>
        <v>918.58355159712266</v>
      </c>
      <c r="M35" s="242">
        <f t="shared" si="23"/>
        <v>1488.4164484028774</v>
      </c>
      <c r="N35" s="242">
        <f t="shared" si="3"/>
        <v>0</v>
      </c>
      <c r="O35" s="242">
        <v>0</v>
      </c>
      <c r="P35" s="242">
        <f t="shared" si="24"/>
        <v>918.58355159712266</v>
      </c>
      <c r="Q35" s="242">
        <f t="shared" si="32"/>
        <v>0</v>
      </c>
      <c r="R35" s="242">
        <f t="shared" si="13"/>
        <v>0</v>
      </c>
      <c r="S35" s="242">
        <f t="shared" si="14"/>
        <v>43765.058559418663</v>
      </c>
      <c r="T35" s="467"/>
      <c r="U35" s="198">
        <f t="shared" si="29"/>
        <v>22</v>
      </c>
      <c r="V35" s="36">
        <f t="shared" si="15"/>
        <v>22</v>
      </c>
      <c r="W35" s="36">
        <f t="shared" si="16"/>
        <v>0</v>
      </c>
      <c r="AF35" s="15"/>
      <c r="AG35" s="47" t="e">
        <f>ROUNDUP(AI35/AI33*C7/1,0)*1</f>
        <v>#N/A</v>
      </c>
      <c r="AH35" s="169">
        <v>0.04</v>
      </c>
      <c r="AI35" s="16" t="e">
        <f>IF(AH35=3%,INDEX(X40:AF40,MATCH($C$11,$X$39:$AF$39,0)),IF(AH35=4%,INDEX(X37:AF37,MATCH($C$11,$X$36:$AF$36,0)),0))</f>
        <v>#N/A</v>
      </c>
      <c r="AM35" s="47" t="e">
        <f>ROUNDUP(AI35/AI33*C7/1,0)*1</f>
        <v>#N/A</v>
      </c>
      <c r="AN35" s="169">
        <v>0.04</v>
      </c>
      <c r="AO35" s="16"/>
      <c r="AP35" s="130">
        <f t="shared" si="17"/>
        <v>1</v>
      </c>
      <c r="AQ35" s="553">
        <f t="shared" si="30"/>
        <v>27</v>
      </c>
      <c r="AR35" s="554">
        <f t="shared" si="5"/>
        <v>46136</v>
      </c>
      <c r="AS35" s="555">
        <f t="shared" si="38"/>
        <v>0.29899999999999999</v>
      </c>
      <c r="AT35" s="546">
        <f t="shared" si="18"/>
        <v>2344</v>
      </c>
      <c r="AU35" s="546">
        <f t="shared" si="25"/>
        <v>2344</v>
      </c>
      <c r="AV35" s="546">
        <f t="shared" si="7"/>
        <v>988.44826410117457</v>
      </c>
      <c r="AW35" s="546">
        <f t="shared" si="19"/>
        <v>1355.5517358988254</v>
      </c>
      <c r="AX35" s="546">
        <f t="shared" si="8"/>
        <v>0</v>
      </c>
      <c r="AY35" s="546">
        <v>0</v>
      </c>
      <c r="AZ35" s="546">
        <f t="shared" si="20"/>
        <v>988.44826410117457</v>
      </c>
      <c r="BA35" s="546">
        <f t="shared" si="36"/>
        <v>0</v>
      </c>
      <c r="BB35" s="546">
        <f t="shared" si="35"/>
        <v>0</v>
      </c>
      <c r="BC35" s="546"/>
      <c r="BD35" s="546"/>
      <c r="BE35" s="546"/>
      <c r="BF35" s="546"/>
      <c r="BG35" s="546"/>
      <c r="BH35" s="546">
        <f t="shared" si="22"/>
        <v>37568.131120604434</v>
      </c>
      <c r="BI35" s="108">
        <f t="shared" si="31"/>
        <v>22</v>
      </c>
      <c r="BJ35" s="108">
        <f t="shared" si="26"/>
        <v>22</v>
      </c>
      <c r="BK35" s="22">
        <f t="shared" si="27"/>
        <v>46136</v>
      </c>
      <c r="BL35" s="108">
        <f t="shared" si="10"/>
        <v>2407</v>
      </c>
      <c r="BO35" s="853"/>
      <c r="BZ35" s="16"/>
      <c r="CA35" s="16"/>
    </row>
    <row r="36" spans="1:1218" ht="21.75" customHeight="1" thickBot="1" x14ac:dyDescent="0.35">
      <c r="A36" s="843" t="s">
        <v>176</v>
      </c>
      <c r="B36" s="843"/>
      <c r="C36" s="203">
        <f>C35/30</f>
        <v>24.617919408124866</v>
      </c>
      <c r="D36" s="202">
        <f>D35/30</f>
        <v>32.544868591258563</v>
      </c>
      <c r="E36" s="202">
        <f>D36-C36</f>
        <v>7.9269491831336971</v>
      </c>
      <c r="F36" s="178"/>
      <c r="G36" s="244">
        <f t="shared" si="28"/>
        <v>28</v>
      </c>
      <c r="H36" s="245">
        <f t="shared" si="0"/>
        <v>46166</v>
      </c>
      <c r="I36" s="246">
        <f t="shared" si="1"/>
        <v>0.23899999999999999</v>
      </c>
      <c r="J36" s="242">
        <f t="shared" si="2"/>
        <v>2407</v>
      </c>
      <c r="K36" s="242">
        <f t="shared" si="11"/>
        <v>2407</v>
      </c>
      <c r="L36" s="242">
        <f t="shared" si="12"/>
        <v>859.71361608501854</v>
      </c>
      <c r="M36" s="242">
        <f t="shared" si="23"/>
        <v>1547.2863839149813</v>
      </c>
      <c r="N36" s="242">
        <f t="shared" si="3"/>
        <v>0</v>
      </c>
      <c r="O36" s="242">
        <v>0</v>
      </c>
      <c r="P36" s="242">
        <f t="shared" si="24"/>
        <v>859.71361608501854</v>
      </c>
      <c r="Q36" s="242">
        <f t="shared" si="32"/>
        <v>0</v>
      </c>
      <c r="R36" s="242">
        <f t="shared" si="13"/>
        <v>0</v>
      </c>
      <c r="S36" s="242">
        <f t="shared" si="14"/>
        <v>42217.772175503684</v>
      </c>
      <c r="T36" s="467"/>
      <c r="U36" s="198">
        <f t="shared" si="29"/>
        <v>21</v>
      </c>
      <c r="V36" s="36">
        <f t="shared" si="15"/>
        <v>21</v>
      </c>
      <c r="W36" s="36">
        <f t="shared" si="16"/>
        <v>0</v>
      </c>
      <c r="X36" s="15">
        <v>0.11899999999999999</v>
      </c>
      <c r="Y36" s="101">
        <v>0.129</v>
      </c>
      <c r="Z36" s="484">
        <v>0.13900000000000001</v>
      </c>
      <c r="AA36" s="101">
        <v>0.14899999999999999</v>
      </c>
      <c r="AB36" s="484">
        <v>0.159</v>
      </c>
      <c r="AC36" s="15">
        <v>0.19900000000000001</v>
      </c>
      <c r="AD36" s="169">
        <v>0.17899999999999999</v>
      </c>
      <c r="AE36" s="15">
        <v>0.189</v>
      </c>
      <c r="AF36" s="15">
        <v>0.19900000000000001</v>
      </c>
      <c r="AG36" s="47">
        <f>C24</f>
        <v>2407</v>
      </c>
      <c r="AH36" s="15">
        <f>IF(OR(C$8="Гарантия стандарт",C$8="Гарантия пакет"),AE13,C11)</f>
        <v>0.29899999999999999</v>
      </c>
      <c r="AI36" s="16" t="e">
        <f>IF(AH35=3%,INDEX(X41:AF41,MATCH($C$11,$X$39:$AF$39,0)),IF(AH35=4%,INDEX(X38:AF38,MATCH($C$11,$X$36:$AF$36,0)),0))</f>
        <v>#N/A</v>
      </c>
      <c r="AJ36" s="2" t="e">
        <f>INDEX(X41:AF41,MATCH($D$11,$X$39:$AF$39,0))</f>
        <v>#N/A</v>
      </c>
      <c r="AM36" s="47">
        <f>D24</f>
        <v>2344</v>
      </c>
      <c r="AN36" s="15">
        <f>IF(OR(D$8="Гарантия стандарт",D$8="Гарантия пакет"),AE13,D11)</f>
        <v>0.29899999999999999</v>
      </c>
      <c r="AO36" s="16"/>
      <c r="AP36" s="130">
        <f t="shared" si="17"/>
        <v>1</v>
      </c>
      <c r="AQ36" s="553">
        <f t="shared" si="30"/>
        <v>28</v>
      </c>
      <c r="AR36" s="554">
        <f t="shared" si="5"/>
        <v>46166</v>
      </c>
      <c r="AS36" s="555">
        <f t="shared" si="38"/>
        <v>0.29899999999999999</v>
      </c>
      <c r="AT36" s="546">
        <f t="shared" si="18"/>
        <v>2344</v>
      </c>
      <c r="AU36" s="546">
        <f t="shared" si="25"/>
        <v>2344</v>
      </c>
      <c r="AV36" s="546">
        <f t="shared" si="7"/>
        <v>923.24968808718279</v>
      </c>
      <c r="AW36" s="546">
        <f t="shared" si="19"/>
        <v>1420.7503119128173</v>
      </c>
      <c r="AX36" s="546">
        <f t="shared" si="8"/>
        <v>0</v>
      </c>
      <c r="AY36" s="546">
        <v>0</v>
      </c>
      <c r="AZ36" s="546">
        <f t="shared" si="20"/>
        <v>923.24968808718279</v>
      </c>
      <c r="BA36" s="546">
        <f t="shared" si="36"/>
        <v>0</v>
      </c>
      <c r="BB36" s="546">
        <f t="shared" si="35"/>
        <v>0</v>
      </c>
      <c r="BC36" s="546"/>
      <c r="BD36" s="546"/>
      <c r="BE36" s="546"/>
      <c r="BF36" s="546"/>
      <c r="BG36" s="546"/>
      <c r="BH36" s="546">
        <f t="shared" si="22"/>
        <v>36147.380808691618</v>
      </c>
      <c r="BI36" s="108">
        <f t="shared" si="31"/>
        <v>21</v>
      </c>
      <c r="BJ36" s="108">
        <f t="shared" si="26"/>
        <v>21</v>
      </c>
      <c r="BK36" s="22">
        <f t="shared" si="27"/>
        <v>46166</v>
      </c>
      <c r="BL36" s="108">
        <f t="shared" si="10"/>
        <v>2407</v>
      </c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  <c r="AMK36" s="16"/>
      <c r="AML36" s="16"/>
      <c r="AMM36" s="16"/>
      <c r="AMN36" s="16"/>
      <c r="AMO36" s="16"/>
      <c r="AMP36" s="16"/>
      <c r="AMQ36" s="16"/>
      <c r="AMR36" s="16"/>
      <c r="AMS36" s="16"/>
      <c r="AMT36" s="16"/>
      <c r="AMU36" s="16"/>
      <c r="AMV36" s="16"/>
      <c r="AMW36" s="16"/>
      <c r="AMX36" s="16"/>
      <c r="AMY36" s="16"/>
      <c r="AMZ36" s="16"/>
      <c r="ANA36" s="16"/>
      <c r="ANB36" s="16"/>
      <c r="ANC36" s="16"/>
      <c r="AND36" s="16"/>
      <c r="ANE36" s="16"/>
      <c r="ANF36" s="16"/>
      <c r="ANG36" s="16"/>
      <c r="ANH36" s="16"/>
      <c r="ANI36" s="16"/>
      <c r="ANJ36" s="16"/>
      <c r="ANK36" s="16"/>
      <c r="ANL36" s="16"/>
      <c r="ANM36" s="16"/>
      <c r="ANN36" s="16"/>
      <c r="ANO36" s="16"/>
      <c r="ANP36" s="16"/>
      <c r="ANQ36" s="16"/>
      <c r="ANR36" s="16"/>
      <c r="ANS36" s="16"/>
      <c r="ANT36" s="16"/>
      <c r="ANU36" s="16"/>
      <c r="ANV36" s="16"/>
      <c r="ANW36" s="16"/>
      <c r="ANX36" s="16"/>
      <c r="ANY36" s="16"/>
      <c r="ANZ36" s="16"/>
      <c r="AOA36" s="16"/>
      <c r="AOB36" s="16"/>
      <c r="AOC36" s="16"/>
      <c r="AOD36" s="16"/>
      <c r="AOE36" s="16"/>
      <c r="AOF36" s="16"/>
      <c r="AOG36" s="16"/>
      <c r="AOH36" s="16"/>
      <c r="AOI36" s="16"/>
      <c r="AOJ36" s="16"/>
      <c r="AOK36" s="16"/>
      <c r="AOL36" s="16"/>
      <c r="AOM36" s="16"/>
      <c r="AON36" s="16"/>
      <c r="AOO36" s="16"/>
      <c r="AOP36" s="16"/>
      <c r="AOQ36" s="16"/>
      <c r="AOR36" s="16"/>
      <c r="AOS36" s="16"/>
      <c r="AOT36" s="16"/>
      <c r="AOU36" s="16"/>
      <c r="AOV36" s="16"/>
      <c r="AOW36" s="16"/>
      <c r="AOX36" s="16"/>
      <c r="AOY36" s="16"/>
      <c r="AOZ36" s="16"/>
      <c r="APA36" s="16"/>
      <c r="APB36" s="16"/>
      <c r="APC36" s="16"/>
      <c r="APD36" s="16"/>
      <c r="APE36" s="16"/>
      <c r="APF36" s="16"/>
      <c r="APG36" s="16"/>
      <c r="APH36" s="16"/>
      <c r="API36" s="16"/>
      <c r="APJ36" s="16"/>
      <c r="APK36" s="16"/>
      <c r="APL36" s="16"/>
      <c r="APM36" s="16"/>
      <c r="APN36" s="16"/>
      <c r="APO36" s="16"/>
      <c r="APP36" s="16"/>
      <c r="APQ36" s="16"/>
      <c r="APR36" s="16"/>
      <c r="APS36" s="16"/>
      <c r="APT36" s="16"/>
      <c r="APU36" s="16"/>
      <c r="APV36" s="16"/>
      <c r="APW36" s="16"/>
      <c r="APX36" s="16"/>
      <c r="APY36" s="16"/>
      <c r="APZ36" s="16"/>
      <c r="AQA36" s="16"/>
      <c r="AQB36" s="16"/>
      <c r="AQC36" s="16"/>
      <c r="AQD36" s="16"/>
      <c r="AQE36" s="16"/>
      <c r="AQF36" s="16"/>
      <c r="AQG36" s="16"/>
      <c r="AQH36" s="16"/>
      <c r="AQI36" s="16"/>
      <c r="AQJ36" s="16"/>
      <c r="AQK36" s="16"/>
      <c r="AQL36" s="16"/>
      <c r="AQM36" s="16"/>
      <c r="AQN36" s="16"/>
      <c r="AQO36" s="16"/>
      <c r="AQP36" s="16"/>
      <c r="AQQ36" s="16"/>
      <c r="AQR36" s="16"/>
      <c r="AQS36" s="16"/>
      <c r="AQT36" s="16"/>
      <c r="AQU36" s="16"/>
      <c r="AQV36" s="16"/>
      <c r="AQW36" s="16"/>
      <c r="AQX36" s="16"/>
      <c r="AQY36" s="16"/>
      <c r="AQZ36" s="16"/>
      <c r="ARA36" s="16"/>
      <c r="ARB36" s="16"/>
      <c r="ARC36" s="16"/>
      <c r="ARD36" s="16"/>
      <c r="ARE36" s="16"/>
      <c r="ARF36" s="16"/>
      <c r="ARG36" s="16"/>
      <c r="ARH36" s="16"/>
      <c r="ARI36" s="16"/>
      <c r="ARJ36" s="16"/>
      <c r="ARK36" s="16"/>
      <c r="ARL36" s="16"/>
      <c r="ARM36" s="16"/>
      <c r="ARN36" s="16"/>
      <c r="ARO36" s="16"/>
      <c r="ARP36" s="16"/>
      <c r="ARQ36" s="16"/>
      <c r="ARR36" s="16"/>
      <c r="ARS36" s="16"/>
      <c r="ART36" s="16"/>
      <c r="ARU36" s="16"/>
      <c r="ARV36" s="16"/>
      <c r="ARW36" s="16"/>
      <c r="ARX36" s="16"/>
      <c r="ARY36" s="16"/>
      <c r="ARZ36" s="16"/>
      <c r="ASA36" s="16"/>
      <c r="ASB36" s="16"/>
      <c r="ASC36" s="16"/>
      <c r="ASD36" s="16"/>
      <c r="ASE36" s="16"/>
      <c r="ASF36" s="16"/>
      <c r="ASG36" s="16"/>
      <c r="ASH36" s="16"/>
      <c r="ASI36" s="16"/>
      <c r="ASJ36" s="16"/>
      <c r="ASK36" s="16"/>
      <c r="ASL36" s="16"/>
      <c r="ASM36" s="16"/>
      <c r="ASN36" s="16"/>
      <c r="ASO36" s="16"/>
      <c r="ASP36" s="16"/>
      <c r="ASQ36" s="16"/>
      <c r="ASR36" s="16"/>
      <c r="ASS36" s="16"/>
      <c r="AST36" s="16"/>
      <c r="ASU36" s="16"/>
      <c r="ASV36" s="16"/>
      <c r="ASW36" s="16"/>
      <c r="ASX36" s="16"/>
      <c r="ASY36" s="16"/>
      <c r="ASZ36" s="16"/>
      <c r="ATA36" s="16"/>
      <c r="ATB36" s="16"/>
      <c r="ATC36" s="16"/>
      <c r="ATD36" s="16"/>
      <c r="ATE36" s="16"/>
      <c r="ATF36" s="16"/>
      <c r="ATG36" s="16"/>
      <c r="ATH36" s="16"/>
      <c r="ATI36" s="16"/>
      <c r="ATJ36" s="16"/>
      <c r="ATK36" s="16"/>
      <c r="ATL36" s="16"/>
      <c r="ATM36" s="16"/>
      <c r="ATN36" s="16"/>
      <c r="ATO36" s="16"/>
      <c r="ATP36" s="16"/>
      <c r="ATQ36" s="16"/>
      <c r="ATR36" s="16"/>
      <c r="ATS36" s="16"/>
      <c r="ATT36" s="16"/>
      <c r="ATU36" s="16"/>
      <c r="ATV36" s="16"/>
    </row>
    <row r="37" spans="1:1218" s="16" customFormat="1" ht="24.75" customHeight="1" x14ac:dyDescent="0.3">
      <c r="A37" s="178"/>
      <c r="B37" s="178"/>
      <c r="C37" s="184"/>
      <c r="D37" s="178"/>
      <c r="E37" s="178"/>
      <c r="F37" s="178"/>
      <c r="G37" s="244">
        <f t="shared" si="28"/>
        <v>29</v>
      </c>
      <c r="H37" s="245">
        <f t="shared" si="0"/>
        <v>46197</v>
      </c>
      <c r="I37" s="246">
        <f t="shared" si="1"/>
        <v>0.23899999999999999</v>
      </c>
      <c r="J37" s="242">
        <f t="shared" si="2"/>
        <v>2407</v>
      </c>
      <c r="K37" s="242">
        <f t="shared" si="11"/>
        <v>2407</v>
      </c>
      <c r="L37" s="242">
        <f t="shared" si="12"/>
        <v>856.96294259810065</v>
      </c>
      <c r="M37" s="242">
        <f t="shared" si="23"/>
        <v>1550.0370574018993</v>
      </c>
      <c r="N37" s="242">
        <f t="shared" si="3"/>
        <v>0</v>
      </c>
      <c r="O37" s="242">
        <v>0</v>
      </c>
      <c r="P37" s="242">
        <f t="shared" si="24"/>
        <v>856.96294259810065</v>
      </c>
      <c r="Q37" s="242">
        <f t="shared" si="32"/>
        <v>0</v>
      </c>
      <c r="R37" s="242">
        <f t="shared" si="13"/>
        <v>0</v>
      </c>
      <c r="S37" s="242">
        <f t="shared" si="14"/>
        <v>40667.735118101788</v>
      </c>
      <c r="T37" s="467"/>
      <c r="U37" s="198">
        <f t="shared" si="29"/>
        <v>20</v>
      </c>
      <c r="V37" s="36">
        <f t="shared" si="15"/>
        <v>20</v>
      </c>
      <c r="W37" s="36">
        <f t="shared" si="16"/>
        <v>0</v>
      </c>
      <c r="X37" s="16">
        <f>INDEX('Для Перспективы'!$B$6:$F$6,MATCH($C$10,'Для Перспективы'!$B$1:$F$1,0))</f>
        <v>4000</v>
      </c>
      <c r="Y37" s="16">
        <f>INDEX('Для Перспективы'!$B$8:$F$8,MATCH($C$10,'Для Перспективы'!$B$1:$F$1,0))</f>
        <v>9000</v>
      </c>
      <c r="Z37" s="16">
        <f>INDEX('Для Перспективы'!$B$10:$F$10,MATCH($C$10,'Для Перспективы'!$B$1:$F$1,0))</f>
        <v>9000</v>
      </c>
      <c r="AA37" s="16">
        <f>INDEX('Для Перспективы'!$B$12:$F$12,MATCH($C$10,'Для Перспективы'!$B$1:$F$1,0))</f>
        <v>9000</v>
      </c>
      <c r="AB37" s="16">
        <f>INDEX('Для Перспективы'!$B$14:$F$14,MATCH($C$10,'Для Перспективы'!$B$1:$F$1,0))</f>
        <v>9000</v>
      </c>
      <c r="AC37" s="16">
        <f>INDEX('Для Перспективы'!$B$22:$D$22,MATCH($C$10,'Для Перспективы'!$B$1:$D$1,0))</f>
        <v>9500</v>
      </c>
      <c r="AD37" s="16">
        <f>INDEX('Для Перспективы'!$B$20:$F$20,MATCH($C$10,'Для Перспективы'!$B$1:$F$1,0))</f>
        <v>9500</v>
      </c>
      <c r="AE37" s="16">
        <f>INDEX('Для Перспективы'!$B$6:$F$6,MATCH($C$10,'Для Перспективы'!$B$1:$F$1,0))</f>
        <v>4000</v>
      </c>
      <c r="AF37" s="16">
        <f>INDEX('Для Перспективы'!$B$6:$F$6,MATCH($C$10,'Для Перспективы'!$B$1:$F$1,0))</f>
        <v>4000</v>
      </c>
      <c r="AG37" s="47" t="e">
        <f>IF(AH37=AH36,AG36,AG36-$AG$35)</f>
        <v>#N/A</v>
      </c>
      <c r="AH37" s="169">
        <f>AH36-$AH$35</f>
        <v>0.25900000000000001</v>
      </c>
      <c r="AJ37" s="2"/>
      <c r="AK37" s="2"/>
      <c r="AL37" s="57"/>
      <c r="AM37" s="47" t="e">
        <f>AM36-$AM$35</f>
        <v>#N/A</v>
      </c>
      <c r="AN37" s="169">
        <f>AN36-$AN$35</f>
        <v>0.25900000000000001</v>
      </c>
      <c r="AP37" s="130">
        <f t="shared" si="17"/>
        <v>1</v>
      </c>
      <c r="AQ37" s="553">
        <f t="shared" si="30"/>
        <v>29</v>
      </c>
      <c r="AR37" s="554">
        <f t="shared" si="5"/>
        <v>46197</v>
      </c>
      <c r="AS37" s="555">
        <f t="shared" si="38"/>
        <v>0.29899999999999999</v>
      </c>
      <c r="AT37" s="546">
        <f t="shared" si="18"/>
        <v>2344</v>
      </c>
      <c r="AU37" s="546">
        <f t="shared" si="25"/>
        <v>2344</v>
      </c>
      <c r="AV37" s="546">
        <f t="shared" si="7"/>
        <v>917.94540470071934</v>
      </c>
      <c r="AW37" s="546">
        <f t="shared" si="19"/>
        <v>1426.0545952992807</v>
      </c>
      <c r="AX37" s="546">
        <f t="shared" si="8"/>
        <v>0</v>
      </c>
      <c r="AY37" s="546">
        <v>0</v>
      </c>
      <c r="AZ37" s="546">
        <f t="shared" si="20"/>
        <v>917.94540470071934</v>
      </c>
      <c r="BA37" s="546">
        <f t="shared" si="36"/>
        <v>0</v>
      </c>
      <c r="BB37" s="546">
        <f t="shared" si="35"/>
        <v>0</v>
      </c>
      <c r="BC37" s="546"/>
      <c r="BD37" s="546"/>
      <c r="BE37" s="546"/>
      <c r="BF37" s="546"/>
      <c r="BG37" s="546"/>
      <c r="BH37" s="546">
        <f t="shared" si="22"/>
        <v>34721.326213392334</v>
      </c>
      <c r="BI37" s="108">
        <f t="shared" si="31"/>
        <v>20</v>
      </c>
      <c r="BJ37" s="108">
        <f t="shared" si="26"/>
        <v>20</v>
      </c>
      <c r="BK37" s="22">
        <f t="shared" si="27"/>
        <v>46197</v>
      </c>
      <c r="BL37" s="108">
        <f t="shared" si="10"/>
        <v>2407</v>
      </c>
    </row>
    <row r="38" spans="1:1218" s="16" customFormat="1" ht="16.5" customHeight="1" x14ac:dyDescent="0.3">
      <c r="A38" s="178"/>
      <c r="B38" s="179"/>
      <c r="C38" s="524"/>
      <c r="D38" s="179"/>
      <c r="E38" s="178"/>
      <c r="F38" s="178"/>
      <c r="G38" s="244">
        <f t="shared" si="28"/>
        <v>30</v>
      </c>
      <c r="H38" s="245">
        <f t="shared" si="0"/>
        <v>46227</v>
      </c>
      <c r="I38" s="246">
        <f t="shared" si="1"/>
        <v>0.23899999999999999</v>
      </c>
      <c r="J38" s="242">
        <f t="shared" si="2"/>
        <v>2407</v>
      </c>
      <c r="K38" s="242">
        <f t="shared" si="11"/>
        <v>2407</v>
      </c>
      <c r="L38" s="242">
        <f t="shared" si="12"/>
        <v>798.87030355284867</v>
      </c>
      <c r="M38" s="242">
        <f t="shared" si="23"/>
        <v>1608.1296964471512</v>
      </c>
      <c r="N38" s="242">
        <f t="shared" si="3"/>
        <v>0</v>
      </c>
      <c r="O38" s="242">
        <v>0</v>
      </c>
      <c r="P38" s="242">
        <f t="shared" si="24"/>
        <v>798.87030355284867</v>
      </c>
      <c r="Q38" s="242">
        <f t="shared" si="32"/>
        <v>0</v>
      </c>
      <c r="R38" s="242">
        <f t="shared" si="13"/>
        <v>0</v>
      </c>
      <c r="S38" s="242">
        <f t="shared" si="14"/>
        <v>39059.605421654633</v>
      </c>
      <c r="T38" s="467"/>
      <c r="U38" s="198">
        <f t="shared" si="29"/>
        <v>19</v>
      </c>
      <c r="V38" s="36">
        <f t="shared" si="15"/>
        <v>19</v>
      </c>
      <c r="W38" s="36">
        <f t="shared" si="16"/>
        <v>0</v>
      </c>
      <c r="X38" s="16">
        <f>INDEX('Для Перспективы'!B7:F7,MATCH($C$10,'Для Перспективы'!$B$1:$F$1,0))</f>
        <v>158000</v>
      </c>
      <c r="Y38" s="16">
        <f>INDEX('Для Перспективы'!$B$9:$F$9,MATCH($C$10,'Для Перспективы'!$B$1:$F$1,0))</f>
        <v>160800</v>
      </c>
      <c r="Z38" s="16">
        <f>INDEX('Для Перспективы'!$B$11:$F$11,MATCH($C$10,'Для Перспективы'!$B$1:$F$1,0))</f>
        <v>163800</v>
      </c>
      <c r="AA38" s="16">
        <f>INDEX('Для Перспективы'!$B$13:$F$13,MATCH($C$10,'Для Перспективы'!$B$1:$F$1,0))</f>
        <v>166900</v>
      </c>
      <c r="AB38" s="16">
        <f>INDEX('Для Перспективы'!$B$15:$F$15,MATCH($C$10,'Для Перспективы'!$B$1:$F$1,0))</f>
        <v>170200</v>
      </c>
      <c r="AC38" s="16">
        <f>INDEX('Для Перспективы'!$B$23:$D$23,MATCH($C$10,'Для Перспективы'!$B$1:$D$1,0))</f>
        <v>182500</v>
      </c>
      <c r="AD38" s="16">
        <f>INDEX('Для Перспективы'!$B$11:$D$11,MATCH($C$10,'Для Перспективы'!$B$1:$D$1,0))</f>
        <v>163800</v>
      </c>
      <c r="AE38" s="16">
        <f>INDEX('Для Перспективы'!$B$11:$D$11,MATCH($C$10,'Для Перспективы'!$B$1:$D$1,0))</f>
        <v>163800</v>
      </c>
      <c r="AF38" s="16" t="e">
        <f>INDEX('Для Перспективы'!$G21:$I21,MATCH($C$10,'Для Перспективы'!$G$1:$I$1,0))</f>
        <v>#N/A</v>
      </c>
      <c r="AG38" s="47" t="e">
        <f t="shared" ref="AG38:AG40" si="39">IF(AH38=AH37,AG37,AG37-$AG$35)</f>
        <v>#N/A</v>
      </c>
      <c r="AH38" s="169">
        <f>AH36-$AH$35</f>
        <v>0.25900000000000001</v>
      </c>
      <c r="AJ38" s="2"/>
      <c r="AK38" s="2"/>
      <c r="AL38" s="57"/>
      <c r="AM38" s="47" t="e">
        <f>AM36-$AM$35</f>
        <v>#N/A</v>
      </c>
      <c r="AN38" s="169">
        <f>AN36-$AN$35</f>
        <v>0.25900000000000001</v>
      </c>
      <c r="AO38" s="63"/>
      <c r="AP38" s="130">
        <f t="shared" si="17"/>
        <v>1</v>
      </c>
      <c r="AQ38" s="553">
        <f t="shared" si="30"/>
        <v>30</v>
      </c>
      <c r="AR38" s="554">
        <f t="shared" si="5"/>
        <v>46227</v>
      </c>
      <c r="AS38" s="555">
        <f t="shared" si="38"/>
        <v>0.29899999999999999</v>
      </c>
      <c r="AT38" s="546">
        <f t="shared" si="18"/>
        <v>2344</v>
      </c>
      <c r="AU38" s="546">
        <f t="shared" si="25"/>
        <v>2344</v>
      </c>
      <c r="AV38" s="546">
        <f t="shared" si="7"/>
        <v>853.28848255925811</v>
      </c>
      <c r="AW38" s="546">
        <f t="shared" si="19"/>
        <v>1490.7115174407418</v>
      </c>
      <c r="AX38" s="546">
        <f t="shared" si="8"/>
        <v>0</v>
      </c>
      <c r="AY38" s="546">
        <v>0</v>
      </c>
      <c r="AZ38" s="546">
        <f t="shared" si="20"/>
        <v>853.28848255925811</v>
      </c>
      <c r="BA38" s="546">
        <f t="shared" si="36"/>
        <v>0</v>
      </c>
      <c r="BB38" s="546">
        <f t="shared" si="35"/>
        <v>0</v>
      </c>
      <c r="BC38" s="546"/>
      <c r="BD38" s="546"/>
      <c r="BE38" s="546"/>
      <c r="BF38" s="546"/>
      <c r="BG38" s="546"/>
      <c r="BH38" s="546">
        <f t="shared" si="22"/>
        <v>33230.61469595159</v>
      </c>
      <c r="BI38" s="108">
        <f t="shared" si="31"/>
        <v>19</v>
      </c>
      <c r="BJ38" s="108">
        <f t="shared" si="26"/>
        <v>19</v>
      </c>
      <c r="BK38" s="22">
        <f t="shared" si="27"/>
        <v>46227</v>
      </c>
      <c r="BL38" s="108">
        <f t="shared" si="10"/>
        <v>2407</v>
      </c>
    </row>
    <row r="39" spans="1:1218" s="16" customFormat="1" ht="12" customHeight="1" x14ac:dyDescent="0.3">
      <c r="A39" s="180"/>
      <c r="B39" s="180"/>
      <c r="C39" s="524"/>
      <c r="D39" s="254"/>
      <c r="E39" s="178"/>
      <c r="F39" s="178"/>
      <c r="G39" s="244">
        <f t="shared" si="28"/>
        <v>31</v>
      </c>
      <c r="H39" s="245">
        <f t="shared" si="0"/>
        <v>46258</v>
      </c>
      <c r="I39" s="246">
        <f t="shared" si="1"/>
        <v>0.23899999999999999</v>
      </c>
      <c r="J39" s="242">
        <f t="shared" si="2"/>
        <v>2407</v>
      </c>
      <c r="K39" s="242">
        <f t="shared" si="11"/>
        <v>2407</v>
      </c>
      <c r="L39" s="242">
        <f t="shared" si="12"/>
        <v>792.85648375079211</v>
      </c>
      <c r="M39" s="242">
        <f t="shared" si="23"/>
        <v>1614.143516249208</v>
      </c>
      <c r="N39" s="242">
        <f t="shared" si="3"/>
        <v>0</v>
      </c>
      <c r="O39" s="242">
        <v>0</v>
      </c>
      <c r="P39" s="242">
        <f t="shared" si="24"/>
        <v>792.85648375079211</v>
      </c>
      <c r="Q39" s="242">
        <f t="shared" si="32"/>
        <v>0</v>
      </c>
      <c r="R39" s="242">
        <f t="shared" si="13"/>
        <v>0</v>
      </c>
      <c r="S39" s="242">
        <f t="shared" si="14"/>
        <v>37445.461905405427</v>
      </c>
      <c r="T39" s="467"/>
      <c r="U39" s="198">
        <f t="shared" si="29"/>
        <v>18</v>
      </c>
      <c r="V39" s="36">
        <f t="shared" si="15"/>
        <v>18</v>
      </c>
      <c r="W39" s="36">
        <f t="shared" si="16"/>
        <v>0</v>
      </c>
      <c r="X39" s="15">
        <v>0.11899999999999999</v>
      </c>
      <c r="Y39" s="101">
        <v>0.129</v>
      </c>
      <c r="Z39" s="484">
        <v>0.13900000000000001</v>
      </c>
      <c r="AA39" s="101">
        <v>0.14899999999999999</v>
      </c>
      <c r="AB39" s="484">
        <v>0.159</v>
      </c>
      <c r="AC39" s="15">
        <v>0.19900000000000001</v>
      </c>
      <c r="AD39" s="169">
        <v>0.17899999999999999</v>
      </c>
      <c r="AE39" s="15">
        <v>0.189</v>
      </c>
      <c r="AF39" s="15">
        <v>0.19900000000000001</v>
      </c>
      <c r="AG39" s="47" t="e">
        <f t="shared" si="39"/>
        <v>#N/A</v>
      </c>
      <c r="AH39" s="169">
        <f>AH36-$AH$35</f>
        <v>0.25900000000000001</v>
      </c>
      <c r="AJ39" s="2"/>
      <c r="AK39" s="2"/>
      <c r="AL39" s="57"/>
      <c r="AM39" s="47" t="e">
        <f>AM36-$AM$35</f>
        <v>#N/A</v>
      </c>
      <c r="AN39" s="169">
        <f>AN36-$AN$35</f>
        <v>0.25900000000000001</v>
      </c>
      <c r="AO39" s="15"/>
      <c r="AP39" s="130">
        <f t="shared" si="17"/>
        <v>1</v>
      </c>
      <c r="AQ39" s="553">
        <f t="shared" si="30"/>
        <v>31</v>
      </c>
      <c r="AR39" s="554">
        <f t="shared" si="5"/>
        <v>46258</v>
      </c>
      <c r="AS39" s="555">
        <f t="shared" si="38"/>
        <v>0.29899999999999999</v>
      </c>
      <c r="AT39" s="546">
        <f t="shared" si="18"/>
        <v>2344</v>
      </c>
      <c r="AU39" s="546">
        <f t="shared" si="25"/>
        <v>2344</v>
      </c>
      <c r="AV39" s="546">
        <f t="shared" si="7"/>
        <v>843.87552771719254</v>
      </c>
      <c r="AW39" s="546">
        <f t="shared" si="19"/>
        <v>1500.1244722828073</v>
      </c>
      <c r="AX39" s="546">
        <f t="shared" si="8"/>
        <v>0</v>
      </c>
      <c r="AY39" s="546">
        <v>0</v>
      </c>
      <c r="AZ39" s="546">
        <f t="shared" si="20"/>
        <v>843.87552771719254</v>
      </c>
      <c r="BA39" s="546">
        <f t="shared" si="36"/>
        <v>0</v>
      </c>
      <c r="BB39" s="546">
        <f t="shared" si="35"/>
        <v>0</v>
      </c>
      <c r="BC39" s="546"/>
      <c r="BD39" s="546"/>
      <c r="BE39" s="546"/>
      <c r="BF39" s="546"/>
      <c r="BG39" s="546"/>
      <c r="BH39" s="546">
        <f t="shared" si="22"/>
        <v>31730.490223668781</v>
      </c>
      <c r="BI39" s="108">
        <f t="shared" si="31"/>
        <v>18</v>
      </c>
      <c r="BJ39" s="108">
        <f t="shared" si="26"/>
        <v>18</v>
      </c>
      <c r="BK39" s="22">
        <f t="shared" si="27"/>
        <v>46258</v>
      </c>
      <c r="BL39" s="108">
        <f t="shared" si="10"/>
        <v>2407</v>
      </c>
    </row>
    <row r="40" spans="1:1218" s="16" customFormat="1" ht="13.95" customHeight="1" x14ac:dyDescent="0.3">
      <c r="A40" s="180"/>
      <c r="B40" s="180"/>
      <c r="C40" s="524"/>
      <c r="D40" s="254"/>
      <c r="E40" s="178"/>
      <c r="F40" s="178"/>
      <c r="G40" s="244">
        <f t="shared" si="28"/>
        <v>32</v>
      </c>
      <c r="H40" s="245">
        <f t="shared" si="0"/>
        <v>46289</v>
      </c>
      <c r="I40" s="246">
        <f t="shared" si="1"/>
        <v>0.23899999999999999</v>
      </c>
      <c r="J40" s="242">
        <f t="shared" si="2"/>
        <v>2407</v>
      </c>
      <c r="K40" s="242">
        <f t="shared" si="11"/>
        <v>2407</v>
      </c>
      <c r="L40" s="242">
        <f t="shared" si="12"/>
        <v>760.09158152643499</v>
      </c>
      <c r="M40" s="242">
        <f t="shared" si="23"/>
        <v>1646.908418473565</v>
      </c>
      <c r="N40" s="242">
        <f t="shared" si="3"/>
        <v>0</v>
      </c>
      <c r="O40" s="242">
        <v>0</v>
      </c>
      <c r="P40" s="242">
        <f t="shared" si="24"/>
        <v>760.09158152643499</v>
      </c>
      <c r="Q40" s="242">
        <f t="shared" si="32"/>
        <v>0</v>
      </c>
      <c r="R40" s="242">
        <f t="shared" si="13"/>
        <v>0</v>
      </c>
      <c r="S40" s="242">
        <f t="shared" si="14"/>
        <v>35798.553486931865</v>
      </c>
      <c r="T40" s="467"/>
      <c r="U40" s="198">
        <f t="shared" si="29"/>
        <v>17</v>
      </c>
      <c r="V40" s="36">
        <f t="shared" si="15"/>
        <v>17</v>
      </c>
      <c r="W40" s="36">
        <f t="shared" si="16"/>
        <v>0</v>
      </c>
      <c r="X40" s="16">
        <f>INDEX('Для Перспективы'!B2:F2,MATCH($C$10,'Для Перспективы'!$B$1:$F$1,0))</f>
        <v>3000</v>
      </c>
      <c r="Y40" s="16">
        <f>INDEX('Для Перспективы'!B8:F8,MATCH($C$10,'Для Перспективы'!$B$1:$F$1,0))</f>
        <v>9000</v>
      </c>
      <c r="Z40" s="16">
        <f>INDEX('Для Перспективы'!B10:F10,MATCH($C$10,'Для Перспективы'!$B$1:$F$1,0))</f>
        <v>9000</v>
      </c>
      <c r="AA40" s="16">
        <f>INDEX('Для Перспективы'!B12:F12,MATCH($C$10,'Для Перспективы'!$B$1:$F$1,0))</f>
        <v>9000</v>
      </c>
      <c r="AB40" s="16">
        <f>INDEX('Для Перспективы'!B14:F14,MATCH($C$10,'Для Перспективы'!$B$1:$F$1,0))</f>
        <v>9000</v>
      </c>
      <c r="AC40" s="16">
        <f>INDEX('Для Перспективы'!B14:D14,MATCH($C$10,'Для Перспективы'!$B$1:$D$1,0))</f>
        <v>9000</v>
      </c>
      <c r="AD40" s="16">
        <f>INDEX('Для Перспективы'!B16:D16,MATCH($C$10,'Для Перспективы'!$B$1:$D$1,0))</f>
        <v>9500</v>
      </c>
      <c r="AE40" s="16">
        <f>INDEX('Для Перспективы'!B18:D18,MATCH($C$10,'Для Перспективы'!$B$1:$D$1,0))</f>
        <v>7400</v>
      </c>
      <c r="AF40" s="16">
        <f>INDEX('Для Перспективы'!B20:D20,MATCH($C$10,'Для Перспективы'!$B$1:$D$1,0))</f>
        <v>9500</v>
      </c>
      <c r="AG40" s="47" t="e">
        <f t="shared" si="39"/>
        <v>#N/A</v>
      </c>
      <c r="AH40" s="169">
        <f>AH36-$AH$35</f>
        <v>0.25900000000000001</v>
      </c>
      <c r="AJ40" s="2"/>
      <c r="AK40" s="2"/>
      <c r="AL40" s="57"/>
      <c r="AM40" s="47" t="e">
        <f>AM36-$AM$35</f>
        <v>#N/A</v>
      </c>
      <c r="AN40" s="169">
        <f>AN36-$AN$35</f>
        <v>0.25900000000000001</v>
      </c>
      <c r="AO40" s="15"/>
      <c r="AP40" s="130">
        <f t="shared" si="17"/>
        <v>1</v>
      </c>
      <c r="AQ40" s="553">
        <f t="shared" si="30"/>
        <v>32</v>
      </c>
      <c r="AR40" s="554">
        <f t="shared" si="5"/>
        <v>46289</v>
      </c>
      <c r="AS40" s="555">
        <f t="shared" si="38"/>
        <v>0.29899999999999999</v>
      </c>
      <c r="AT40" s="546">
        <f t="shared" si="18"/>
        <v>2344</v>
      </c>
      <c r="AU40" s="546">
        <f t="shared" si="25"/>
        <v>2344</v>
      </c>
      <c r="AV40" s="546">
        <f t="shared" si="7"/>
        <v>805.78058598133123</v>
      </c>
      <c r="AW40" s="546">
        <f t="shared" si="19"/>
        <v>1538.2194140186689</v>
      </c>
      <c r="AX40" s="546">
        <f t="shared" si="8"/>
        <v>0</v>
      </c>
      <c r="AY40" s="546">
        <v>0</v>
      </c>
      <c r="AZ40" s="546">
        <f t="shared" si="20"/>
        <v>805.78058598133123</v>
      </c>
      <c r="BA40" s="546">
        <f t="shared" si="36"/>
        <v>0</v>
      </c>
      <c r="BB40" s="546">
        <f t="shared" si="35"/>
        <v>0</v>
      </c>
      <c r="BC40" s="546"/>
      <c r="BD40" s="546"/>
      <c r="BE40" s="546"/>
      <c r="BF40" s="546"/>
      <c r="BG40" s="546"/>
      <c r="BH40" s="546">
        <f t="shared" si="22"/>
        <v>30192.270809650112</v>
      </c>
      <c r="BI40" s="108">
        <f t="shared" si="31"/>
        <v>17</v>
      </c>
      <c r="BJ40" s="108">
        <f t="shared" si="26"/>
        <v>17</v>
      </c>
      <c r="BK40" s="22">
        <f t="shared" si="27"/>
        <v>46289</v>
      </c>
      <c r="BL40" s="108">
        <f t="shared" si="10"/>
        <v>2407</v>
      </c>
    </row>
    <row r="41" spans="1:1218" s="16" customFormat="1" ht="39" customHeight="1" x14ac:dyDescent="0.3">
      <c r="A41" s="180"/>
      <c r="B41" s="180"/>
      <c r="C41" s="524"/>
      <c r="D41" s="254"/>
      <c r="E41" s="178"/>
      <c r="F41" s="178"/>
      <c r="G41" s="244">
        <f t="shared" si="28"/>
        <v>33</v>
      </c>
      <c r="H41" s="245">
        <f t="shared" ref="H41:H72" si="40">IF((OR(DAY($AE$54)=29,DAY($AE$54)=30,DAY($AE$54)=31)),(EDATE($C$9-3,G41)),EDATE($C$9,G41))</f>
        <v>46319</v>
      </c>
      <c r="I41" s="246">
        <f t="shared" ref="I41:I72" si="41">IF(AND($X$11=1,G41&gt;=$X$11,),0%,$C$13)</f>
        <v>0.23899999999999999</v>
      </c>
      <c r="J41" s="242">
        <f t="shared" si="2"/>
        <v>2407</v>
      </c>
      <c r="K41" s="242">
        <f t="shared" si="11"/>
        <v>2407</v>
      </c>
      <c r="L41" s="242">
        <f t="shared" si="12"/>
        <v>703.22090000356559</v>
      </c>
      <c r="M41" s="242">
        <f t="shared" si="23"/>
        <v>1703.7790999964345</v>
      </c>
      <c r="N41" s="242">
        <f t="shared" ref="N41:N72" si="42">IF(P41-Q41&gt;$C$24,$C$24-L41,IF(V41=0,0,R41)+$AJ$51)</f>
        <v>0</v>
      </c>
      <c r="O41" s="242">
        <v>0</v>
      </c>
      <c r="P41" s="242">
        <f t="shared" si="24"/>
        <v>703.22090000356559</v>
      </c>
      <c r="Q41" s="242">
        <f t="shared" si="32"/>
        <v>0</v>
      </c>
      <c r="R41" s="242">
        <f t="shared" si="13"/>
        <v>0</v>
      </c>
      <c r="S41" s="242">
        <f t="shared" si="14"/>
        <v>34094.774386935431</v>
      </c>
      <c r="T41" s="467"/>
      <c r="U41" s="198">
        <f t="shared" si="29"/>
        <v>16</v>
      </c>
      <c r="V41" s="36">
        <f t="shared" si="15"/>
        <v>16</v>
      </c>
      <c r="W41" s="36">
        <f t="shared" si="16"/>
        <v>0</v>
      </c>
      <c r="X41" s="16">
        <f>INDEX('Для Перспективы'!B3:F3,MATCH($C$10,'Для Перспективы'!$B$1:$F$1,0))</f>
        <v>152000</v>
      </c>
      <c r="Y41" s="16">
        <f>INDEX('Для Перспективы'!B9:F9,MATCH($C$10,'Для Перспективы'!$B$1:$F$1,0))</f>
        <v>160800</v>
      </c>
      <c r="Z41" s="16">
        <f>INDEX('Для Перспективы'!B11:F11,MATCH($C$10,'Для Перспективы'!$B$1:$F$1,0))</f>
        <v>163800</v>
      </c>
      <c r="AA41" s="16">
        <f>INDEX('Для Перспективы'!B13:F13,MATCH($C$10,'Для Перспективы'!$B$1:$F$1,0))</f>
        <v>166900</v>
      </c>
      <c r="AB41" s="16">
        <f>INDEX('Для Перспективы'!B15:F15,MATCH($C$10,'Для Перспективы'!$B$1:$F$1,0))</f>
        <v>170200</v>
      </c>
      <c r="AC41" s="16">
        <f>INDEX('Для Перспективы'!B15:D15,MATCH($C$10,'Для Перспективы'!$B$1:$D$1,0))</f>
        <v>170200</v>
      </c>
      <c r="AD41" s="16">
        <f>INDEX('Для Перспективы'!B17:D17,MATCH($C$10,'Для Перспективы'!$B$1:$D$1,0))</f>
        <v>173000</v>
      </c>
      <c r="AE41" s="16">
        <f>INDEX('Для Перспективы'!B19:D19,MATCH($C$10,'Для Перспективы'!$B$1:$D$1,0))</f>
        <v>175150</v>
      </c>
      <c r="AF41" s="16">
        <f>INDEX('Для Перспективы'!B21:D21,MATCH($C$10,'Для Перспективы'!$B$1:$D$1,0))</f>
        <v>176100</v>
      </c>
      <c r="AG41" s="3"/>
      <c r="AH41" s="3"/>
      <c r="AI41" s="3"/>
      <c r="AJ41" s="2"/>
      <c r="AK41" s="2"/>
      <c r="AL41" s="57"/>
      <c r="AM41" s="2"/>
      <c r="AN41" s="15"/>
      <c r="AO41" s="15"/>
      <c r="AP41" s="130">
        <f t="shared" si="17"/>
        <v>1</v>
      </c>
      <c r="AQ41" s="553">
        <f t="shared" si="30"/>
        <v>33</v>
      </c>
      <c r="AR41" s="554">
        <f t="shared" ref="AR41:AR72" si="43">IF((OR(DAY($AE$54)=29,DAY($AE$54)=30,DAY($AE$54)=31)),(EDATE($C$9-3,AQ41)),EDATE($C$9,AQ41))</f>
        <v>46319</v>
      </c>
      <c r="AS41" s="555">
        <f t="shared" si="38"/>
        <v>0.29899999999999999</v>
      </c>
      <c r="AT41" s="546">
        <f t="shared" si="18"/>
        <v>2344</v>
      </c>
      <c r="AU41" s="546">
        <f t="shared" si="25"/>
        <v>2344</v>
      </c>
      <c r="AV41" s="546">
        <f t="shared" ref="AV41:AV73" si="44">BH40*($D$13/365*(AR41-AR40))</f>
        <v>741.98539496592184</v>
      </c>
      <c r="AW41" s="546">
        <f t="shared" si="19"/>
        <v>1602.0146050340782</v>
      </c>
      <c r="AX41" s="546">
        <f t="shared" ref="AX41:AX72" si="45">IF(AZ41-BA41&gt;$D$24,$D$24-AV41,IF(BJ41=0,0,BB41)+BY89)</f>
        <v>0</v>
      </c>
      <c r="AY41" s="546">
        <v>0</v>
      </c>
      <c r="AZ41" s="546">
        <f t="shared" si="20"/>
        <v>741.98539496592184</v>
      </c>
      <c r="BA41" s="546">
        <f t="shared" si="36"/>
        <v>0</v>
      </c>
      <c r="BB41" s="546">
        <f t="shared" si="35"/>
        <v>0</v>
      </c>
      <c r="BC41" s="546"/>
      <c r="BD41" s="546"/>
      <c r="BE41" s="546"/>
      <c r="BF41" s="546"/>
      <c r="BG41" s="546"/>
      <c r="BH41" s="546">
        <f t="shared" si="22"/>
        <v>28590.256204616035</v>
      </c>
      <c r="BI41" s="108">
        <f t="shared" si="31"/>
        <v>16</v>
      </c>
      <c r="BJ41" s="108">
        <f t="shared" si="26"/>
        <v>16</v>
      </c>
      <c r="BK41" s="22">
        <f t="shared" si="27"/>
        <v>46319</v>
      </c>
      <c r="BL41" s="108">
        <f t="shared" si="10"/>
        <v>2407</v>
      </c>
    </row>
    <row r="42" spans="1:1218" s="16" customFormat="1" ht="18.75" customHeight="1" x14ac:dyDescent="0.3">
      <c r="A42" s="180"/>
      <c r="B42" s="180"/>
      <c r="C42" s="524"/>
      <c r="D42" s="254"/>
      <c r="E42" s="178"/>
      <c r="F42" s="178"/>
      <c r="G42" s="244">
        <f t="shared" si="28"/>
        <v>34</v>
      </c>
      <c r="H42" s="245">
        <f t="shared" si="40"/>
        <v>46350</v>
      </c>
      <c r="I42" s="246">
        <f t="shared" si="41"/>
        <v>0.23899999999999999</v>
      </c>
      <c r="J42" s="242">
        <f t="shared" si="2"/>
        <v>2407</v>
      </c>
      <c r="K42" s="242">
        <f t="shared" ref="K42:K73" si="46">IF(G42&gt;$C$10,0,IF((S41+L42)&lt;K41,(S41+L42),IF(T41=0,K41,MIN(K41,ROUNDUP(S41*$C$13/12/((1-(1+$C$13/12)^(0-($C$10-G42)))),0)))))</f>
        <v>2407</v>
      </c>
      <c r="L42" s="242">
        <f t="shared" si="12"/>
        <v>692.07721488439608</v>
      </c>
      <c r="M42" s="242">
        <f t="shared" si="23"/>
        <v>1714.9227851156038</v>
      </c>
      <c r="N42" s="242">
        <f t="shared" si="42"/>
        <v>0</v>
      </c>
      <c r="O42" s="242">
        <v>0</v>
      </c>
      <c r="P42" s="242">
        <f t="shared" si="24"/>
        <v>692.07721488439608</v>
      </c>
      <c r="Q42" s="242">
        <f t="shared" si="32"/>
        <v>0</v>
      </c>
      <c r="R42" s="242">
        <f t="shared" si="13"/>
        <v>0</v>
      </c>
      <c r="S42" s="242">
        <f t="shared" si="14"/>
        <v>32379.851601819828</v>
      </c>
      <c r="T42" s="467"/>
      <c r="U42" s="198">
        <f t="shared" si="29"/>
        <v>15</v>
      </c>
      <c r="V42" s="36">
        <f t="shared" si="15"/>
        <v>15</v>
      </c>
      <c r="W42" s="36">
        <f t="shared" si="16"/>
        <v>0</v>
      </c>
      <c r="X42" s="2"/>
      <c r="Y42" s="18">
        <f>K8</f>
        <v>-75631</v>
      </c>
      <c r="Z42" s="57">
        <f>H8</f>
        <v>45315</v>
      </c>
      <c r="AA42" s="2"/>
      <c r="AB42" s="2"/>
      <c r="AC42" s="2"/>
      <c r="AG42" s="2"/>
      <c r="AH42" s="2"/>
      <c r="AI42" s="2"/>
      <c r="AJ42" s="2"/>
      <c r="AK42" s="2"/>
      <c r="AL42" s="57"/>
      <c r="AM42" s="2"/>
      <c r="AN42" s="15"/>
      <c r="AO42" s="15"/>
      <c r="AP42" s="130">
        <f t="shared" si="17"/>
        <v>1</v>
      </c>
      <c r="AQ42" s="553">
        <f t="shared" si="30"/>
        <v>34</v>
      </c>
      <c r="AR42" s="554">
        <f t="shared" si="43"/>
        <v>46350</v>
      </c>
      <c r="AS42" s="555">
        <f t="shared" si="38"/>
        <v>0.29899999999999999</v>
      </c>
      <c r="AT42" s="546">
        <f t="shared" si="18"/>
        <v>2344</v>
      </c>
      <c r="AU42" s="546">
        <f t="shared" si="25"/>
        <v>2344</v>
      </c>
      <c r="AV42" s="546">
        <f t="shared" si="44"/>
        <v>726.03584865913979</v>
      </c>
      <c r="AW42" s="546">
        <f t="shared" si="19"/>
        <v>1617.9641513408601</v>
      </c>
      <c r="AX42" s="546">
        <f t="shared" si="45"/>
        <v>0</v>
      </c>
      <c r="AY42" s="546">
        <v>0</v>
      </c>
      <c r="AZ42" s="546">
        <f t="shared" si="20"/>
        <v>726.03584865913979</v>
      </c>
      <c r="BA42" s="546">
        <f t="shared" si="36"/>
        <v>0</v>
      </c>
      <c r="BB42" s="546">
        <f t="shared" si="35"/>
        <v>0</v>
      </c>
      <c r="BC42" s="546"/>
      <c r="BD42" s="546"/>
      <c r="BE42" s="546"/>
      <c r="BF42" s="546"/>
      <c r="BG42" s="546"/>
      <c r="BH42" s="546">
        <f t="shared" si="22"/>
        <v>26972.292053275174</v>
      </c>
      <c r="BI42" s="108">
        <f t="shared" si="31"/>
        <v>15</v>
      </c>
      <c r="BJ42" s="108">
        <f t="shared" si="26"/>
        <v>15</v>
      </c>
      <c r="BK42" s="22">
        <f t="shared" si="27"/>
        <v>46350</v>
      </c>
      <c r="BL42" s="108">
        <f t="shared" si="10"/>
        <v>2407</v>
      </c>
    </row>
    <row r="43" spans="1:1218" s="16" customFormat="1" ht="13.8" x14ac:dyDescent="0.3">
      <c r="A43" s="180"/>
      <c r="B43" s="180"/>
      <c r="C43" s="524"/>
      <c r="D43" s="254"/>
      <c r="E43" s="178"/>
      <c r="F43" s="178"/>
      <c r="G43" s="244">
        <f t="shared" si="28"/>
        <v>35</v>
      </c>
      <c r="H43" s="245">
        <f t="shared" si="40"/>
        <v>46380</v>
      </c>
      <c r="I43" s="246">
        <f t="shared" si="41"/>
        <v>0.23899999999999999</v>
      </c>
      <c r="J43" s="242">
        <f t="shared" si="2"/>
        <v>2407</v>
      </c>
      <c r="K43" s="242">
        <f t="shared" si="46"/>
        <v>2407</v>
      </c>
      <c r="L43" s="242">
        <f t="shared" si="12"/>
        <v>636.06448215081684</v>
      </c>
      <c r="M43" s="242">
        <f t="shared" si="23"/>
        <v>1770.9355178491833</v>
      </c>
      <c r="N43" s="242">
        <f t="shared" si="42"/>
        <v>0</v>
      </c>
      <c r="O43" s="242">
        <v>0</v>
      </c>
      <c r="P43" s="242">
        <f t="shared" si="24"/>
        <v>636.06448215081684</v>
      </c>
      <c r="Q43" s="242">
        <f t="shared" si="32"/>
        <v>0</v>
      </c>
      <c r="R43" s="242">
        <f t="shared" si="13"/>
        <v>0</v>
      </c>
      <c r="S43" s="242">
        <f t="shared" si="14"/>
        <v>30608.916083970646</v>
      </c>
      <c r="T43" s="467"/>
      <c r="U43" s="198">
        <f t="shared" si="29"/>
        <v>14</v>
      </c>
      <c r="V43" s="36">
        <f t="shared" si="15"/>
        <v>14</v>
      </c>
      <c r="W43" s="36">
        <f t="shared" si="16"/>
        <v>0</v>
      </c>
      <c r="Y43" s="34">
        <f>IF(OR(C8="Гарантия стандарт",C8="Гарантия пакет"),AI65*AI79*$C$10,0)</f>
        <v>0</v>
      </c>
      <c r="Z43" s="57">
        <f>H8</f>
        <v>45315</v>
      </c>
      <c r="AA43" s="5" t="s">
        <v>11</v>
      </c>
      <c r="AB43" s="4"/>
      <c r="AC43" s="37"/>
      <c r="AG43" s="2"/>
      <c r="AH43" s="2"/>
      <c r="AI43" s="2"/>
      <c r="AJ43" s="2"/>
      <c r="AK43" s="2"/>
      <c r="AL43" s="57"/>
      <c r="AM43" s="2"/>
      <c r="AN43" s="15"/>
      <c r="AO43" s="15"/>
      <c r="AP43" s="130">
        <f t="shared" si="17"/>
        <v>1</v>
      </c>
      <c r="AQ43" s="553">
        <f t="shared" si="30"/>
        <v>35</v>
      </c>
      <c r="AR43" s="554">
        <f t="shared" si="43"/>
        <v>46380</v>
      </c>
      <c r="AS43" s="555">
        <f t="shared" si="38"/>
        <v>0.29899999999999999</v>
      </c>
      <c r="AT43" s="546">
        <f t="shared" si="18"/>
        <v>2344</v>
      </c>
      <c r="AU43" s="546">
        <f t="shared" si="25"/>
        <v>2344</v>
      </c>
      <c r="AV43" s="546">
        <f t="shared" si="44"/>
        <v>662.85331429555697</v>
      </c>
      <c r="AW43" s="546">
        <f t="shared" si="19"/>
        <v>1681.1466857044429</v>
      </c>
      <c r="AX43" s="546">
        <f t="shared" si="45"/>
        <v>0</v>
      </c>
      <c r="AY43" s="546">
        <v>0</v>
      </c>
      <c r="AZ43" s="546">
        <f t="shared" si="20"/>
        <v>662.85331429555697</v>
      </c>
      <c r="BA43" s="546">
        <f t="shared" si="36"/>
        <v>0</v>
      </c>
      <c r="BB43" s="546">
        <f t="shared" si="35"/>
        <v>0</v>
      </c>
      <c r="BC43" s="546"/>
      <c r="BD43" s="546"/>
      <c r="BE43" s="546"/>
      <c r="BF43" s="546"/>
      <c r="BG43" s="546"/>
      <c r="BH43" s="546">
        <f t="shared" si="22"/>
        <v>25291.145367570731</v>
      </c>
      <c r="BI43" s="108">
        <f t="shared" si="31"/>
        <v>14</v>
      </c>
      <c r="BJ43" s="108">
        <f t="shared" si="26"/>
        <v>14</v>
      </c>
      <c r="BK43" s="22">
        <f t="shared" si="27"/>
        <v>46380</v>
      </c>
      <c r="BL43" s="108">
        <f t="shared" si="10"/>
        <v>2407</v>
      </c>
    </row>
    <row r="44" spans="1:1218" s="16" customFormat="1" ht="15.75" customHeight="1" thickBot="1" x14ac:dyDescent="0.35">
      <c r="A44" s="180"/>
      <c r="B44" s="180"/>
      <c r="C44" s="524"/>
      <c r="D44" s="254"/>
      <c r="E44" s="178"/>
      <c r="F44" s="178"/>
      <c r="G44" s="248">
        <f t="shared" si="28"/>
        <v>36</v>
      </c>
      <c r="H44" s="679">
        <f t="shared" si="40"/>
        <v>46411</v>
      </c>
      <c r="I44" s="250">
        <f t="shared" si="41"/>
        <v>0.23899999999999999</v>
      </c>
      <c r="J44" s="252">
        <f t="shared" si="2"/>
        <v>2407</v>
      </c>
      <c r="K44" s="252">
        <f t="shared" si="46"/>
        <v>2407</v>
      </c>
      <c r="L44" s="242">
        <f t="shared" si="12"/>
        <v>621.3190664825712</v>
      </c>
      <c r="M44" s="252">
        <f t="shared" si="23"/>
        <v>1785.6809335174289</v>
      </c>
      <c r="N44" s="252">
        <f t="shared" si="42"/>
        <v>0</v>
      </c>
      <c r="O44" s="252">
        <v>0</v>
      </c>
      <c r="P44" s="252">
        <f t="shared" si="24"/>
        <v>621.3190664825712</v>
      </c>
      <c r="Q44" s="252">
        <f t="shared" si="32"/>
        <v>0</v>
      </c>
      <c r="R44" s="252">
        <f t="shared" si="13"/>
        <v>0</v>
      </c>
      <c r="S44" s="252">
        <f t="shared" si="14"/>
        <v>28823.235150453216</v>
      </c>
      <c r="T44" s="252">
        <f t="shared" ref="T44:T67" si="47">IF(G44=$C$10,(S43-K44+L44),0)</f>
        <v>0</v>
      </c>
      <c r="U44" s="198">
        <f t="shared" si="29"/>
        <v>13</v>
      </c>
      <c r="V44" s="36">
        <f t="shared" si="15"/>
        <v>13</v>
      </c>
      <c r="W44" s="36">
        <f t="shared" si="16"/>
        <v>0</v>
      </c>
      <c r="X44" s="2">
        <f>IF(AND(G9&gt;=$X$11,G9&lt;=$X$11+5),0,IF($C$9&gt;$AG$51,ROUND(S8*#REF!/(DATEVALUE(CONCATENATE("01/01/",YEAR(H9)+1))-DATEVALUE(CONCATENATE("01/01/",YEAR(H9))))*(H9-H8),2),0))</f>
        <v>0</v>
      </c>
      <c r="Y44" s="34">
        <f>K9</f>
        <v>2407</v>
      </c>
      <c r="Z44" s="57">
        <f>Z43+365</f>
        <v>45680</v>
      </c>
      <c r="AA44" s="8" t="s">
        <v>10</v>
      </c>
      <c r="AB44" s="8"/>
      <c r="AC44" s="37"/>
      <c r="AG44" s="3"/>
      <c r="AH44" s="3"/>
      <c r="AI44" s="3"/>
      <c r="AJ44" s="2"/>
      <c r="AK44" s="2"/>
      <c r="AL44" s="57"/>
      <c r="AM44" s="2"/>
      <c r="AN44" s="15"/>
      <c r="AO44" s="3"/>
      <c r="AP44" s="130">
        <f t="shared" si="17"/>
        <v>1</v>
      </c>
      <c r="AQ44" s="556">
        <f t="shared" si="30"/>
        <v>36</v>
      </c>
      <c r="AR44" s="680">
        <f t="shared" si="43"/>
        <v>46411</v>
      </c>
      <c r="AS44" s="557">
        <f t="shared" si="38"/>
        <v>0.29899999999999999</v>
      </c>
      <c r="AT44" s="547">
        <f t="shared" si="18"/>
        <v>2344</v>
      </c>
      <c r="AU44" s="547">
        <f t="shared" si="25"/>
        <v>2344</v>
      </c>
      <c r="AV44" s="547">
        <f t="shared" si="44"/>
        <v>642.25651071784409</v>
      </c>
      <c r="AW44" s="547">
        <f t="shared" si="19"/>
        <v>1701.7434892821559</v>
      </c>
      <c r="AX44" s="547">
        <f t="shared" si="45"/>
        <v>0</v>
      </c>
      <c r="AY44" s="547">
        <v>0</v>
      </c>
      <c r="AZ44" s="547">
        <f t="shared" si="20"/>
        <v>642.25651071784409</v>
      </c>
      <c r="BA44" s="547">
        <f t="shared" si="36"/>
        <v>0</v>
      </c>
      <c r="BB44" s="547">
        <f t="shared" si="35"/>
        <v>0</v>
      </c>
      <c r="BC44" s="547"/>
      <c r="BD44" s="547"/>
      <c r="BE44" s="547"/>
      <c r="BF44" s="547"/>
      <c r="BG44" s="547"/>
      <c r="BH44" s="547">
        <f t="shared" si="22"/>
        <v>23589.401878288576</v>
      </c>
      <c r="BI44" s="108">
        <f t="shared" si="31"/>
        <v>13</v>
      </c>
      <c r="BJ44" s="108">
        <f t="shared" si="26"/>
        <v>13</v>
      </c>
      <c r="BK44" s="22">
        <f t="shared" si="27"/>
        <v>46411</v>
      </c>
      <c r="BL44" s="108">
        <f t="shared" si="10"/>
        <v>2407</v>
      </c>
    </row>
    <row r="45" spans="1:1218" s="16" customFormat="1" ht="16.95" customHeight="1" x14ac:dyDescent="0.3">
      <c r="A45" s="180"/>
      <c r="B45" s="180"/>
      <c r="C45" s="524"/>
      <c r="D45" s="178"/>
      <c r="E45" s="178"/>
      <c r="F45" s="178"/>
      <c r="G45" s="244">
        <f t="shared" si="28"/>
        <v>37</v>
      </c>
      <c r="H45" s="245">
        <f t="shared" si="40"/>
        <v>46442</v>
      </c>
      <c r="I45" s="246">
        <f t="shared" si="41"/>
        <v>0.23899999999999999</v>
      </c>
      <c r="J45" s="242">
        <f t="shared" si="2"/>
        <v>2407</v>
      </c>
      <c r="K45" s="242">
        <f t="shared" si="46"/>
        <v>2407</v>
      </c>
      <c r="L45" s="242">
        <f t="shared" si="12"/>
        <v>585.07218967043252</v>
      </c>
      <c r="M45" s="242">
        <f t="shared" si="23"/>
        <v>1821.9278103295674</v>
      </c>
      <c r="N45" s="242">
        <f t="shared" si="42"/>
        <v>0</v>
      </c>
      <c r="O45" s="242">
        <v>0</v>
      </c>
      <c r="P45" s="242">
        <f t="shared" si="24"/>
        <v>585.07218967043252</v>
      </c>
      <c r="Q45" s="242">
        <f t="shared" si="32"/>
        <v>0</v>
      </c>
      <c r="R45" s="242">
        <f t="shared" si="13"/>
        <v>0</v>
      </c>
      <c r="S45" s="242">
        <f t="shared" si="14"/>
        <v>27001.307340123647</v>
      </c>
      <c r="T45" s="467">
        <f t="shared" si="47"/>
        <v>0</v>
      </c>
      <c r="U45" s="198">
        <f t="shared" si="29"/>
        <v>12</v>
      </c>
      <c r="V45" s="36">
        <f t="shared" si="15"/>
        <v>12</v>
      </c>
      <c r="W45" s="36">
        <f t="shared" si="16"/>
        <v>0</v>
      </c>
      <c r="X45" s="2">
        <f>IF(AND(G10&gt;=$X$11,G10&lt;=$X$11+5),0,IF($C$9&gt;$AG$51,ROUND(S9*#REF!/(DATEVALUE(CONCATENATE("01/01/",YEAR(H10)+1))-DATEVALUE(CONCATENATE("01/01/",YEAR(H10))))*(H10-H9),2),0))</f>
        <v>0</v>
      </c>
      <c r="Y45" s="34">
        <f t="shared" ref="Y45:Y53" si="48">IF(K10 &gt; 0, K10, 0)</f>
        <v>2407</v>
      </c>
      <c r="Z45" s="57">
        <f t="shared" ref="Z45:Z108" si="49">Z44+365</f>
        <v>46045</v>
      </c>
      <c r="AA45" s="8" t="s">
        <v>8</v>
      </c>
      <c r="AB45" s="8"/>
      <c r="AC45" s="37"/>
      <c r="AG45" s="3"/>
      <c r="AH45" s="3"/>
      <c r="AI45" s="3"/>
      <c r="AJ45" s="2"/>
      <c r="AK45" s="2"/>
      <c r="AL45" s="57"/>
      <c r="AM45" s="2"/>
      <c r="AN45" s="3"/>
      <c r="AP45" s="130">
        <f t="shared" si="17"/>
        <v>1</v>
      </c>
      <c r="AQ45" s="553">
        <f t="shared" si="30"/>
        <v>37</v>
      </c>
      <c r="AR45" s="554">
        <f t="shared" si="43"/>
        <v>46442</v>
      </c>
      <c r="AS45" s="555">
        <f t="shared" ref="AS45:AS56" si="50">IF($D$16="Да",$AN$39,$D$13)</f>
        <v>0.29899999999999999</v>
      </c>
      <c r="AT45" s="546">
        <f t="shared" si="18"/>
        <v>2344</v>
      </c>
      <c r="AU45" s="546">
        <f t="shared" si="25"/>
        <v>2344</v>
      </c>
      <c r="AV45" s="546">
        <f t="shared" si="44"/>
        <v>599.04155071193645</v>
      </c>
      <c r="AW45" s="546">
        <f t="shared" si="19"/>
        <v>1744.9584492880635</v>
      </c>
      <c r="AX45" s="546">
        <f t="shared" si="45"/>
        <v>0</v>
      </c>
      <c r="AY45" s="546">
        <v>0</v>
      </c>
      <c r="AZ45" s="546">
        <f t="shared" si="20"/>
        <v>599.04155071193645</v>
      </c>
      <c r="BA45" s="546">
        <f t="shared" si="36"/>
        <v>0</v>
      </c>
      <c r="BB45" s="546">
        <f t="shared" si="35"/>
        <v>0</v>
      </c>
      <c r="BC45" s="546"/>
      <c r="BD45" s="546"/>
      <c r="BE45" s="546"/>
      <c r="BF45" s="546"/>
      <c r="BG45" s="546"/>
      <c r="BH45" s="546">
        <f t="shared" si="22"/>
        <v>21844.443429000512</v>
      </c>
      <c r="BI45" s="108">
        <f t="shared" si="31"/>
        <v>12</v>
      </c>
      <c r="BJ45" s="108">
        <f t="shared" si="26"/>
        <v>12</v>
      </c>
      <c r="BK45" s="22">
        <f t="shared" si="27"/>
        <v>46442</v>
      </c>
      <c r="BL45" s="108">
        <f t="shared" si="10"/>
        <v>2407</v>
      </c>
    </row>
    <row r="46" spans="1:1218" s="16" customFormat="1" ht="41.25" customHeight="1" x14ac:dyDescent="0.3">
      <c r="A46" s="180"/>
      <c r="B46" s="180"/>
      <c r="C46" s="524"/>
      <c r="D46" s="178"/>
      <c r="E46" s="178"/>
      <c r="F46" s="178"/>
      <c r="G46" s="244">
        <f t="shared" si="28"/>
        <v>38</v>
      </c>
      <c r="H46" s="245">
        <f t="shared" si="40"/>
        <v>46470</v>
      </c>
      <c r="I46" s="246">
        <f t="shared" si="41"/>
        <v>0.23899999999999999</v>
      </c>
      <c r="J46" s="242">
        <f t="shared" si="2"/>
        <v>2407</v>
      </c>
      <c r="K46" s="242">
        <f t="shared" si="46"/>
        <v>2407</v>
      </c>
      <c r="L46" s="242">
        <f t="shared" si="12"/>
        <v>495.04862663043127</v>
      </c>
      <c r="M46" s="242">
        <f t="shared" si="23"/>
        <v>1911.9513733695687</v>
      </c>
      <c r="N46" s="242">
        <f t="shared" si="42"/>
        <v>0</v>
      </c>
      <c r="O46" s="242">
        <v>0</v>
      </c>
      <c r="P46" s="242">
        <f t="shared" si="24"/>
        <v>495.04862663043127</v>
      </c>
      <c r="Q46" s="242">
        <f t="shared" si="32"/>
        <v>0</v>
      </c>
      <c r="R46" s="242">
        <f t="shared" si="13"/>
        <v>0</v>
      </c>
      <c r="S46" s="242">
        <f t="shared" si="14"/>
        <v>25089.355966754079</v>
      </c>
      <c r="T46" s="467">
        <f t="shared" si="47"/>
        <v>0</v>
      </c>
      <c r="U46" s="198">
        <f t="shared" si="29"/>
        <v>11</v>
      </c>
      <c r="V46" s="36">
        <f t="shared" si="15"/>
        <v>11</v>
      </c>
      <c r="W46" s="36">
        <f t="shared" si="16"/>
        <v>0</v>
      </c>
      <c r="X46" s="2">
        <f>IF(AND(G11&gt;=$X$11,G11&lt;=$X$11+5),0,IF($C$9&gt;$AG$51,ROUND(S10*#REF!/(DATEVALUE(CONCATENATE("01/01/",YEAR(H11)+1))-DATEVALUE(CONCATENATE("01/01/",YEAR(H11))))*(H11-H10),2),0))</f>
        <v>0</v>
      </c>
      <c r="Y46" s="34">
        <f t="shared" si="48"/>
        <v>2407</v>
      </c>
      <c r="Z46" s="57">
        <f t="shared" si="49"/>
        <v>46410</v>
      </c>
      <c r="AA46" s="5" t="s">
        <v>1</v>
      </c>
      <c r="AB46" s="8"/>
      <c r="AC46" s="40"/>
      <c r="AD46" s="2"/>
      <c r="AE46" s="2"/>
      <c r="AF46" s="3"/>
      <c r="AG46" s="3"/>
      <c r="AH46" s="3"/>
      <c r="AI46" s="3"/>
      <c r="AJ46" s="2"/>
      <c r="AK46" s="2"/>
      <c r="AL46" s="57"/>
      <c r="AM46" s="2"/>
      <c r="AN46" s="18">
        <f>AU8</f>
        <v>-64999</v>
      </c>
      <c r="AO46" s="57">
        <f>AR8</f>
        <v>45315</v>
      </c>
      <c r="AP46" s="130">
        <f t="shared" si="17"/>
        <v>1</v>
      </c>
      <c r="AQ46" s="553">
        <f t="shared" si="30"/>
        <v>38</v>
      </c>
      <c r="AR46" s="554">
        <f t="shared" si="43"/>
        <v>46470</v>
      </c>
      <c r="AS46" s="555">
        <f t="shared" si="50"/>
        <v>0.29899999999999999</v>
      </c>
      <c r="AT46" s="546">
        <f t="shared" si="18"/>
        <v>2344</v>
      </c>
      <c r="AU46" s="546">
        <f t="shared" si="25"/>
        <v>2344</v>
      </c>
      <c r="AV46" s="546">
        <f t="shared" si="44"/>
        <v>501.04569969203368</v>
      </c>
      <c r="AW46" s="546">
        <f t="shared" si="19"/>
        <v>1842.9543003079664</v>
      </c>
      <c r="AX46" s="546">
        <f t="shared" si="45"/>
        <v>0</v>
      </c>
      <c r="AY46" s="546">
        <v>0</v>
      </c>
      <c r="AZ46" s="546">
        <f t="shared" si="20"/>
        <v>501.04569969203368</v>
      </c>
      <c r="BA46" s="546">
        <f t="shared" si="36"/>
        <v>0</v>
      </c>
      <c r="BB46" s="546">
        <f t="shared" si="35"/>
        <v>0</v>
      </c>
      <c r="BC46" s="546"/>
      <c r="BD46" s="546"/>
      <c r="BE46" s="546"/>
      <c r="BF46" s="546"/>
      <c r="BG46" s="546"/>
      <c r="BH46" s="546">
        <f t="shared" si="22"/>
        <v>20001.489128692545</v>
      </c>
      <c r="BI46" s="108">
        <f t="shared" si="31"/>
        <v>11</v>
      </c>
      <c r="BJ46" s="108">
        <f t="shared" si="26"/>
        <v>11</v>
      </c>
      <c r="BK46" s="22">
        <f t="shared" si="27"/>
        <v>46470</v>
      </c>
      <c r="BL46" s="108">
        <f t="shared" si="10"/>
        <v>2407</v>
      </c>
    </row>
    <row r="47" spans="1:1218" s="16" customFormat="1" ht="30.75" customHeight="1" x14ac:dyDescent="0.3">
      <c r="A47" s="178"/>
      <c r="B47" s="178"/>
      <c r="C47" s="184"/>
      <c r="D47" s="181"/>
      <c r="E47" s="178"/>
      <c r="F47" s="178"/>
      <c r="G47" s="244">
        <f t="shared" si="28"/>
        <v>39</v>
      </c>
      <c r="H47" s="245">
        <f t="shared" si="40"/>
        <v>46501</v>
      </c>
      <c r="I47" s="246">
        <f t="shared" si="41"/>
        <v>0.23899999999999999</v>
      </c>
      <c r="J47" s="242">
        <f t="shared" si="2"/>
        <v>2407</v>
      </c>
      <c r="K47" s="242">
        <f t="shared" si="46"/>
        <v>2407</v>
      </c>
      <c r="L47" s="242">
        <f t="shared" si="12"/>
        <v>509.27955714433136</v>
      </c>
      <c r="M47" s="242">
        <f t="shared" si="23"/>
        <v>1897.7204428556686</v>
      </c>
      <c r="N47" s="242">
        <f t="shared" si="42"/>
        <v>0</v>
      </c>
      <c r="O47" s="242">
        <v>0</v>
      </c>
      <c r="P47" s="242">
        <f t="shared" si="24"/>
        <v>509.27955714433136</v>
      </c>
      <c r="Q47" s="242">
        <f t="shared" si="32"/>
        <v>0</v>
      </c>
      <c r="R47" s="242">
        <f t="shared" si="13"/>
        <v>0</v>
      </c>
      <c r="S47" s="242">
        <f t="shared" si="14"/>
        <v>23191.635523898411</v>
      </c>
      <c r="T47" s="467">
        <f t="shared" si="47"/>
        <v>0</v>
      </c>
      <c r="U47" s="198">
        <f t="shared" si="29"/>
        <v>10</v>
      </c>
      <c r="V47" s="36">
        <f t="shared" si="15"/>
        <v>10</v>
      </c>
      <c r="W47" s="36">
        <f t="shared" si="16"/>
        <v>0</v>
      </c>
      <c r="X47" s="2">
        <f>IF(AND(G12&gt;=$X$11,G12&lt;=$X$11+5),0,IF($C$9&gt;$AG$51,ROUND(S11*#REF!/(DATEVALUE(CONCATENATE("01/01/",YEAR(H12)+1))-DATEVALUE(CONCATENATE("01/01/",YEAR(H12))))*(H12-H11),2),0))</f>
        <v>0</v>
      </c>
      <c r="Y47" s="34">
        <f t="shared" si="48"/>
        <v>2407</v>
      </c>
      <c r="Z47" s="57">
        <f t="shared" si="49"/>
        <v>46775</v>
      </c>
      <c r="AA47" s="5" t="s">
        <v>42</v>
      </c>
      <c r="AB47" s="8"/>
      <c r="AC47" s="17">
        <f>AD51/C7</f>
        <v>-1</v>
      </c>
      <c r="AD47" s="38">
        <v>0</v>
      </c>
      <c r="AE47" s="1" t="s">
        <v>20</v>
      </c>
      <c r="AF47" s="6" t="s">
        <v>15</v>
      </c>
      <c r="AG47" s="6"/>
      <c r="AH47" s="6">
        <f>IF(S8&gt;=200000,10,1)</f>
        <v>1</v>
      </c>
      <c r="AI47" s="27">
        <v>41274</v>
      </c>
      <c r="AJ47" s="2">
        <v>6</v>
      </c>
      <c r="AK47" s="2"/>
      <c r="AL47" s="2"/>
      <c r="AN47" s="34">
        <f>IF(OR(D8="Гарантия стандарт",D8="Гарантия пакет"),AI65*AI79*$C$10,0)</f>
        <v>0</v>
      </c>
      <c r="AO47" s="57">
        <f>AR8</f>
        <v>45315</v>
      </c>
      <c r="AP47" s="130">
        <f t="shared" si="17"/>
        <v>1</v>
      </c>
      <c r="AQ47" s="553">
        <f t="shared" si="30"/>
        <v>39</v>
      </c>
      <c r="AR47" s="554">
        <f t="shared" si="43"/>
        <v>46501</v>
      </c>
      <c r="AS47" s="555">
        <f t="shared" si="50"/>
        <v>0.29899999999999999</v>
      </c>
      <c r="AT47" s="546">
        <f t="shared" si="18"/>
        <v>2344</v>
      </c>
      <c r="AU47" s="546">
        <f t="shared" si="25"/>
        <v>2344</v>
      </c>
      <c r="AV47" s="546">
        <f t="shared" si="44"/>
        <v>507.92822666808541</v>
      </c>
      <c r="AW47" s="546">
        <f t="shared" si="19"/>
        <v>1836.0717733319145</v>
      </c>
      <c r="AX47" s="546">
        <f t="shared" si="45"/>
        <v>0</v>
      </c>
      <c r="AY47" s="546">
        <v>0</v>
      </c>
      <c r="AZ47" s="546">
        <f t="shared" si="20"/>
        <v>507.92822666808541</v>
      </c>
      <c r="BA47" s="546">
        <f t="shared" si="36"/>
        <v>0</v>
      </c>
      <c r="BB47" s="546">
        <f t="shared" si="35"/>
        <v>0</v>
      </c>
      <c r="BC47" s="546"/>
      <c r="BD47" s="546"/>
      <c r="BE47" s="546"/>
      <c r="BF47" s="546"/>
      <c r="BG47" s="546"/>
      <c r="BH47" s="546">
        <f t="shared" si="22"/>
        <v>18165.417355360631</v>
      </c>
      <c r="BI47" s="108">
        <f t="shared" si="31"/>
        <v>10</v>
      </c>
      <c r="BJ47" s="108">
        <f t="shared" si="26"/>
        <v>10</v>
      </c>
      <c r="BK47" s="22">
        <f t="shared" si="27"/>
        <v>46501</v>
      </c>
      <c r="BL47" s="108">
        <f t="shared" si="10"/>
        <v>2407</v>
      </c>
    </row>
    <row r="48" spans="1:1218" s="16" customFormat="1" ht="44.25" customHeight="1" x14ac:dyDescent="0.3">
      <c r="A48" s="178"/>
      <c r="B48" s="178"/>
      <c r="C48" s="524"/>
      <c r="D48" s="182"/>
      <c r="E48" s="178"/>
      <c r="F48" s="178"/>
      <c r="G48" s="244">
        <f t="shared" si="28"/>
        <v>40</v>
      </c>
      <c r="H48" s="245">
        <f t="shared" si="40"/>
        <v>46531</v>
      </c>
      <c r="I48" s="246">
        <f t="shared" si="41"/>
        <v>0.23899999999999999</v>
      </c>
      <c r="J48" s="242">
        <f t="shared" si="2"/>
        <v>2407</v>
      </c>
      <c r="K48" s="242">
        <f t="shared" si="46"/>
        <v>2407</v>
      </c>
      <c r="L48" s="242">
        <f t="shared" si="12"/>
        <v>455.57267590781254</v>
      </c>
      <c r="M48" s="242">
        <f t="shared" si="23"/>
        <v>1951.4273240921875</v>
      </c>
      <c r="N48" s="242">
        <f t="shared" si="42"/>
        <v>0</v>
      </c>
      <c r="O48" s="242">
        <v>0</v>
      </c>
      <c r="P48" s="242">
        <f t="shared" si="24"/>
        <v>455.57267590781254</v>
      </c>
      <c r="Q48" s="242">
        <f t="shared" si="32"/>
        <v>0</v>
      </c>
      <c r="R48" s="242">
        <f t="shared" si="13"/>
        <v>0</v>
      </c>
      <c r="S48" s="242">
        <f t="shared" si="14"/>
        <v>21240.208199806224</v>
      </c>
      <c r="T48" s="467">
        <f t="shared" si="47"/>
        <v>0</v>
      </c>
      <c r="U48" s="198">
        <f t="shared" si="29"/>
        <v>9</v>
      </c>
      <c r="V48" s="36">
        <f t="shared" si="15"/>
        <v>9</v>
      </c>
      <c r="W48" s="36">
        <f t="shared" si="16"/>
        <v>0</v>
      </c>
      <c r="X48" s="2">
        <f>IF(AND(G13&gt;=$X$11,G13&lt;=$X$11+5),0,IF($C$9&gt;$AG$51,ROUND(S12*#REF!/(DATEVALUE(CONCATENATE("01/01/",YEAR(H13)+1))-DATEVALUE(CONCATENATE("01/01/",YEAR(H13))))*(H13-H12),2),0))</f>
        <v>0</v>
      </c>
      <c r="Y48" s="34">
        <f t="shared" si="48"/>
        <v>2407</v>
      </c>
      <c r="Z48" s="57">
        <f t="shared" si="49"/>
        <v>47140</v>
      </c>
      <c r="AA48" s="5"/>
      <c r="AB48" s="8"/>
      <c r="AC48" s="17">
        <f>IF(C8=AD59,AD65,IF(C8=AE59,AE65,IF(C8=AG59,AG65,IF(C8=AH59,AH65,IF(C8=AF59,AF65,IF(C8=AI59,AI65,IF(C8=AJ59,AJ65,IF(C8=AK59,AK65,Z23))))))))</f>
        <v>1</v>
      </c>
      <c r="AD48" s="39">
        <f>C7*(1-AD47)</f>
        <v>60000</v>
      </c>
      <c r="AE48" s="9" t="s">
        <v>29</v>
      </c>
      <c r="AF48" s="2" t="s">
        <v>17</v>
      </c>
      <c r="AG48" s="2"/>
      <c r="AH48" s="2">
        <v>7.4000000000000003E-3</v>
      </c>
      <c r="AI48" s="59">
        <v>41750</v>
      </c>
      <c r="AJ48" s="2">
        <v>72</v>
      </c>
      <c r="AK48" s="2"/>
      <c r="AL48" s="2"/>
      <c r="AM48" s="2" t="e">
        <f>IF(AND(Z5&gt;=$X$11,Z5&lt;=$X$11+5),0,IF($C$9&gt;$AG$51,ROUND(AJ8*#REF!/(DATEVALUE(CONCATENATE("01/01/",YEAR(AA5)+1))-DATEVALUE(CONCATENATE("01/01/",YEAR(AA5))))*(AA5-AA4),2),0))</f>
        <v>#REF!</v>
      </c>
      <c r="AN48" s="34">
        <f t="shared" ref="AN48:AN57" si="51">AU9</f>
        <v>2344</v>
      </c>
      <c r="AO48" s="57">
        <f>AO47+365</f>
        <v>45680</v>
      </c>
      <c r="AP48" s="130">
        <f t="shared" si="17"/>
        <v>1</v>
      </c>
      <c r="AQ48" s="553">
        <f t="shared" si="30"/>
        <v>40</v>
      </c>
      <c r="AR48" s="554">
        <f t="shared" si="43"/>
        <v>46531</v>
      </c>
      <c r="AS48" s="555">
        <f t="shared" si="50"/>
        <v>0.29899999999999999</v>
      </c>
      <c r="AT48" s="546">
        <f t="shared" si="18"/>
        <v>2344</v>
      </c>
      <c r="AU48" s="546">
        <f t="shared" si="25"/>
        <v>2344</v>
      </c>
      <c r="AV48" s="546">
        <f t="shared" si="44"/>
        <v>446.4213525413283</v>
      </c>
      <c r="AW48" s="546">
        <f t="shared" si="19"/>
        <v>1897.5786474586716</v>
      </c>
      <c r="AX48" s="546">
        <f t="shared" si="45"/>
        <v>0</v>
      </c>
      <c r="AY48" s="546">
        <v>0</v>
      </c>
      <c r="AZ48" s="546">
        <f t="shared" si="20"/>
        <v>446.4213525413283</v>
      </c>
      <c r="BA48" s="546">
        <f t="shared" si="36"/>
        <v>0</v>
      </c>
      <c r="BB48" s="546">
        <f t="shared" si="35"/>
        <v>0</v>
      </c>
      <c r="BC48" s="546"/>
      <c r="BD48" s="546"/>
      <c r="BE48" s="546"/>
      <c r="BF48" s="546"/>
      <c r="BG48" s="546"/>
      <c r="BH48" s="546">
        <f t="shared" si="22"/>
        <v>16267.838707901959</v>
      </c>
      <c r="BI48" s="108">
        <f t="shared" si="31"/>
        <v>9</v>
      </c>
      <c r="BJ48" s="108">
        <f t="shared" si="26"/>
        <v>9</v>
      </c>
      <c r="BK48" s="22">
        <f t="shared" si="27"/>
        <v>46531</v>
      </c>
      <c r="BL48" s="108">
        <f t="shared" si="10"/>
        <v>2407</v>
      </c>
    </row>
    <row r="49" spans="1:65" s="16" customFormat="1" ht="55.2" customHeight="1" x14ac:dyDescent="0.3">
      <c r="A49" s="178"/>
      <c r="B49" s="178"/>
      <c r="C49" s="524"/>
      <c r="D49" s="182"/>
      <c r="E49" s="180"/>
      <c r="F49" s="180"/>
      <c r="G49" s="244">
        <f t="shared" si="28"/>
        <v>41</v>
      </c>
      <c r="H49" s="245">
        <f t="shared" si="40"/>
        <v>46562</v>
      </c>
      <c r="I49" s="246">
        <f t="shared" si="41"/>
        <v>0.23899999999999999</v>
      </c>
      <c r="J49" s="242">
        <f t="shared" si="2"/>
        <v>2407</v>
      </c>
      <c r="K49" s="242">
        <f t="shared" si="46"/>
        <v>2407</v>
      </c>
      <c r="L49" s="242">
        <f t="shared" si="12"/>
        <v>431.14713028045014</v>
      </c>
      <c r="M49" s="242">
        <f t="shared" si="23"/>
        <v>1975.8528697195497</v>
      </c>
      <c r="N49" s="242">
        <f t="shared" si="42"/>
        <v>0</v>
      </c>
      <c r="O49" s="242">
        <v>0</v>
      </c>
      <c r="P49" s="242">
        <f t="shared" si="24"/>
        <v>431.14713028045014</v>
      </c>
      <c r="Q49" s="242">
        <f t="shared" si="32"/>
        <v>0</v>
      </c>
      <c r="R49" s="242">
        <f t="shared" si="13"/>
        <v>0</v>
      </c>
      <c r="S49" s="242">
        <f t="shared" si="14"/>
        <v>19264.355330086673</v>
      </c>
      <c r="T49" s="467">
        <f t="shared" si="47"/>
        <v>0</v>
      </c>
      <c r="U49" s="198">
        <f t="shared" si="29"/>
        <v>8</v>
      </c>
      <c r="V49" s="36">
        <f t="shared" si="15"/>
        <v>8</v>
      </c>
      <c r="W49" s="36">
        <f t="shared" si="16"/>
        <v>0</v>
      </c>
      <c r="X49" s="2">
        <f>IF(AND(G14&gt;=$X$11,G14&lt;=$X$11+5),0,IF($C$9&gt;$AG$51,ROUND(S13*#REF!/(DATEVALUE(CONCATENATE("01/01/",YEAR(H14)+1))-DATEVALUE(CONCATENATE("01/01/",YEAR(H14))))*(H14-H13),2),0))</f>
        <v>0</v>
      </c>
      <c r="Y49" s="34">
        <f t="shared" si="48"/>
        <v>2407</v>
      </c>
      <c r="Z49" s="57">
        <f t="shared" si="49"/>
        <v>47505</v>
      </c>
      <c r="AA49" s="2"/>
      <c r="AB49" s="2"/>
      <c r="AC49" s="15">
        <f>IF(D8=AD59,AD65,IF(D8=AE59,AE65,IF(D8=AG59,AG65,IF(D8=AH59,AH65,IF(D8=AF59,AF65,IF(D8=AI59,AI65,IF(D8=AJ59,AJ65,Z23)))))))</f>
        <v>0</v>
      </c>
      <c r="AD49" s="41">
        <f>ROUNDUP(C7*AE49,0)</f>
        <v>0</v>
      </c>
      <c r="AE49" s="12">
        <v>0</v>
      </c>
      <c r="AF49" s="1">
        <v>15000</v>
      </c>
      <c r="AG49" s="53">
        <v>41365</v>
      </c>
      <c r="AH49" s="1">
        <v>500</v>
      </c>
      <c r="AI49" s="2">
        <f>ROUNDUP(($AE$55)/AH47,0)*AH47</f>
        <v>2723</v>
      </c>
      <c r="AJ49" s="2"/>
      <c r="AK49" s="2"/>
      <c r="AL49" s="2"/>
      <c r="AM49" s="2" t="e">
        <f>IF(AND(Z6&gt;=$X$11,Z6&lt;=$X$11+5),0,IF($C$9&gt;$AG$51,ROUND(AJ9*#REF!/(DATEVALUE(CONCATENATE("01/01/",YEAR(AA6)+1))-DATEVALUE(CONCATENATE("01/01/",YEAR(AA6))))*(AA6-AA5),2),0))</f>
        <v>#REF!</v>
      </c>
      <c r="AN49" s="34">
        <f t="shared" si="51"/>
        <v>2344</v>
      </c>
      <c r="AO49" s="57">
        <f t="shared" ref="AO49:AO112" si="52">AO48+365</f>
        <v>46045</v>
      </c>
      <c r="AP49" s="130">
        <f t="shared" si="17"/>
        <v>1</v>
      </c>
      <c r="AQ49" s="553">
        <f t="shared" si="30"/>
        <v>41</v>
      </c>
      <c r="AR49" s="554">
        <f t="shared" si="43"/>
        <v>46562</v>
      </c>
      <c r="AS49" s="555">
        <f t="shared" si="50"/>
        <v>0.29899999999999999</v>
      </c>
      <c r="AT49" s="546">
        <f t="shared" si="18"/>
        <v>2344</v>
      </c>
      <c r="AU49" s="546">
        <f t="shared" si="25"/>
        <v>2344</v>
      </c>
      <c r="AV49" s="546">
        <f t="shared" si="44"/>
        <v>413.11396433847466</v>
      </c>
      <c r="AW49" s="546">
        <f t="shared" si="19"/>
        <v>1930.8860356615253</v>
      </c>
      <c r="AX49" s="546">
        <f t="shared" si="45"/>
        <v>0</v>
      </c>
      <c r="AY49" s="546">
        <v>0</v>
      </c>
      <c r="AZ49" s="546">
        <f t="shared" si="20"/>
        <v>413.11396433847466</v>
      </c>
      <c r="BA49" s="546">
        <f t="shared" si="36"/>
        <v>0</v>
      </c>
      <c r="BB49" s="546">
        <f t="shared" si="35"/>
        <v>0</v>
      </c>
      <c r="BC49" s="546"/>
      <c r="BD49" s="546"/>
      <c r="BE49" s="546"/>
      <c r="BF49" s="546"/>
      <c r="BG49" s="546"/>
      <c r="BH49" s="546">
        <f t="shared" si="22"/>
        <v>14336.952672240433</v>
      </c>
      <c r="BI49" s="108">
        <f t="shared" si="31"/>
        <v>8</v>
      </c>
      <c r="BJ49" s="108">
        <f t="shared" si="26"/>
        <v>8</v>
      </c>
      <c r="BK49" s="22">
        <f t="shared" si="27"/>
        <v>46562</v>
      </c>
      <c r="BL49" s="108">
        <f t="shared" si="10"/>
        <v>2407</v>
      </c>
    </row>
    <row r="50" spans="1:65" s="16" customFormat="1" ht="55.5" customHeight="1" thickBot="1" x14ac:dyDescent="0.35">
      <c r="A50" s="178"/>
      <c r="B50" s="178"/>
      <c r="C50" s="524"/>
      <c r="D50" s="182"/>
      <c r="E50" s="180"/>
      <c r="F50" s="180"/>
      <c r="G50" s="244">
        <f t="shared" si="28"/>
        <v>42</v>
      </c>
      <c r="H50" s="245">
        <f t="shared" si="40"/>
        <v>46592</v>
      </c>
      <c r="I50" s="246">
        <f t="shared" si="41"/>
        <v>0.23899999999999999</v>
      </c>
      <c r="J50" s="242">
        <f t="shared" si="2"/>
        <v>2407</v>
      </c>
      <c r="K50" s="242">
        <f t="shared" si="46"/>
        <v>2407</v>
      </c>
      <c r="L50" s="242">
        <f t="shared" si="12"/>
        <v>378.42582936088064</v>
      </c>
      <c r="M50" s="242">
        <f t="shared" si="23"/>
        <v>2028.5741706391193</v>
      </c>
      <c r="N50" s="242">
        <f t="shared" si="42"/>
        <v>0</v>
      </c>
      <c r="O50" s="242">
        <v>0</v>
      </c>
      <c r="P50" s="242">
        <f t="shared" si="24"/>
        <v>378.42582936088064</v>
      </c>
      <c r="Q50" s="242">
        <f t="shared" si="32"/>
        <v>0</v>
      </c>
      <c r="R50" s="242">
        <f t="shared" si="13"/>
        <v>0</v>
      </c>
      <c r="S50" s="242">
        <f t="shared" si="14"/>
        <v>17235.781159447553</v>
      </c>
      <c r="T50" s="467">
        <f t="shared" si="47"/>
        <v>0</v>
      </c>
      <c r="U50" s="198">
        <f t="shared" si="29"/>
        <v>7</v>
      </c>
      <c r="V50" s="36">
        <f t="shared" si="15"/>
        <v>7</v>
      </c>
      <c r="W50" s="36">
        <f t="shared" si="16"/>
        <v>0</v>
      </c>
      <c r="X50" s="2" t="e">
        <f>IF(AND(G15&gt;=$X$11,G15&lt;=$X$11+5),0,IF($C$9&gt;$AG$51,ROUND(S14*#REF!/(DATEVALUE(CONCATENATE("01/01/",YEAR(H15)+1))-DATEVALUE(CONCATENATE("01/01/",YEAR(H15))))*(H15-H14),2),0))</f>
        <v>#REF!</v>
      </c>
      <c r="Y50" s="34">
        <f t="shared" si="48"/>
        <v>2407</v>
      </c>
      <c r="Z50" s="57">
        <f t="shared" si="49"/>
        <v>47870</v>
      </c>
      <c r="AA50" s="6" t="s">
        <v>0</v>
      </c>
      <c r="AB50" s="6"/>
      <c r="AC50" s="6"/>
      <c r="AD50" s="42">
        <v>24</v>
      </c>
      <c r="AE50" s="14"/>
      <c r="AF50" s="1">
        <f>IF(C9&lt;AG49,300000,1000000)</f>
        <v>1000000</v>
      </c>
      <c r="AG50" s="53">
        <v>41501</v>
      </c>
      <c r="AH50" s="53">
        <v>41882</v>
      </c>
      <c r="AI50" s="2" t="e">
        <f>IF(C9&gt;AH50,XIRR(Y43:Y122,Z43:Z122)*12,XIRR(Y43:Y121,H8:H86))</f>
        <v>#NUM!</v>
      </c>
      <c r="AJ50" s="2"/>
      <c r="AK50" s="2"/>
      <c r="AL50" s="2"/>
      <c r="AM50" s="2" t="e">
        <f>IF(AND(#REF!&gt;=$X$11,#REF!&lt;=$X$11+5),0,IF($C$9&gt;$AG$51,ROUND(AJ10*#REF!/(DATEVALUE(CONCATENATE("01/01/",YEAR(#REF!)+1))-DATEVALUE(CONCATENATE("01/01/",YEAR(#REF!))))*(#REF!-AA6),2),0))</f>
        <v>#REF!</v>
      </c>
      <c r="AN50" s="34">
        <f t="shared" si="51"/>
        <v>2344</v>
      </c>
      <c r="AO50" s="57">
        <f t="shared" si="52"/>
        <v>46410</v>
      </c>
      <c r="AP50" s="130">
        <f t="shared" si="17"/>
        <v>1</v>
      </c>
      <c r="AQ50" s="553">
        <f t="shared" si="30"/>
        <v>42</v>
      </c>
      <c r="AR50" s="554">
        <f t="shared" si="43"/>
        <v>46592</v>
      </c>
      <c r="AS50" s="555">
        <f t="shared" si="50"/>
        <v>0.29899999999999999</v>
      </c>
      <c r="AT50" s="546">
        <f t="shared" si="18"/>
        <v>2344</v>
      </c>
      <c r="AU50" s="546">
        <f t="shared" si="25"/>
        <v>2344</v>
      </c>
      <c r="AV50" s="546">
        <f t="shared" si="44"/>
        <v>352.33552183560732</v>
      </c>
      <c r="AW50" s="546">
        <f t="shared" si="19"/>
        <v>1991.6644781643927</v>
      </c>
      <c r="AX50" s="546">
        <f t="shared" si="45"/>
        <v>0</v>
      </c>
      <c r="AY50" s="546">
        <v>0</v>
      </c>
      <c r="AZ50" s="546">
        <f t="shared" si="20"/>
        <v>352.33552183560732</v>
      </c>
      <c r="BA50" s="546">
        <f t="shared" si="36"/>
        <v>0</v>
      </c>
      <c r="BB50" s="546">
        <f t="shared" si="35"/>
        <v>0</v>
      </c>
      <c r="BC50" s="546"/>
      <c r="BD50" s="546"/>
      <c r="BE50" s="546"/>
      <c r="BF50" s="546"/>
      <c r="BG50" s="546"/>
      <c r="BH50" s="546">
        <f t="shared" si="22"/>
        <v>12345.288194076042</v>
      </c>
      <c r="BI50" s="108">
        <f t="shared" si="31"/>
        <v>7</v>
      </c>
      <c r="BJ50" s="108">
        <f t="shared" si="26"/>
        <v>7</v>
      </c>
      <c r="BK50" s="22">
        <f t="shared" si="27"/>
        <v>46592</v>
      </c>
      <c r="BL50" s="108">
        <f t="shared" si="10"/>
        <v>2407</v>
      </c>
    </row>
    <row r="51" spans="1:65" s="16" customFormat="1" ht="19.5" customHeight="1" x14ac:dyDescent="0.3">
      <c r="A51" s="178"/>
      <c r="B51" s="178"/>
      <c r="C51" s="524"/>
      <c r="D51" s="182"/>
      <c r="E51" s="178"/>
      <c r="F51" s="178"/>
      <c r="G51" s="244">
        <f t="shared" si="28"/>
        <v>43</v>
      </c>
      <c r="H51" s="245">
        <f t="shared" si="40"/>
        <v>46623</v>
      </c>
      <c r="I51" s="246">
        <f t="shared" si="41"/>
        <v>0.23899999999999999</v>
      </c>
      <c r="J51" s="242">
        <f t="shared" si="2"/>
        <v>2407</v>
      </c>
      <c r="K51" s="242">
        <f t="shared" si="46"/>
        <v>2407</v>
      </c>
      <c r="L51" s="242">
        <f t="shared" si="12"/>
        <v>349.86274687766274</v>
      </c>
      <c r="M51" s="242">
        <f t="shared" si="23"/>
        <v>2057.1372531223374</v>
      </c>
      <c r="N51" s="242">
        <f t="shared" si="42"/>
        <v>0</v>
      </c>
      <c r="O51" s="242">
        <v>0</v>
      </c>
      <c r="P51" s="242">
        <f t="shared" si="24"/>
        <v>349.86274687766274</v>
      </c>
      <c r="Q51" s="242">
        <f t="shared" si="32"/>
        <v>0</v>
      </c>
      <c r="R51" s="242">
        <f t="shared" si="13"/>
        <v>0</v>
      </c>
      <c r="S51" s="242">
        <f t="shared" si="14"/>
        <v>15178.643906325216</v>
      </c>
      <c r="T51" s="467">
        <f t="shared" si="47"/>
        <v>0</v>
      </c>
      <c r="U51" s="198">
        <f t="shared" si="29"/>
        <v>6</v>
      </c>
      <c r="V51" s="36">
        <f t="shared" si="15"/>
        <v>6</v>
      </c>
      <c r="W51" s="36">
        <f t="shared" si="16"/>
        <v>0</v>
      </c>
      <c r="X51" s="2" t="e">
        <f>IF(AND(G16&gt;=$X$11,G16&lt;=$X$11+5),0,IF($C$9&gt;$AG$51,ROUND(S15*#REF!/(DATEVALUE(CONCATENATE("01/01/",YEAR(H16)+1))-DATEVALUE(CONCATENATE("01/01/",YEAR(H16))))*(H16-H15),2),0))</f>
        <v>#REF!</v>
      </c>
      <c r="Y51" s="34">
        <f t="shared" si="48"/>
        <v>2407</v>
      </c>
      <c r="Z51" s="57">
        <f t="shared" si="49"/>
        <v>48235</v>
      </c>
      <c r="AA51" s="11" t="s">
        <v>18</v>
      </c>
      <c r="AB51" s="11"/>
      <c r="AC51" s="11"/>
      <c r="AD51" s="42">
        <f>(D30-C7)</f>
        <v>-60000</v>
      </c>
      <c r="AE51" s="58"/>
      <c r="AF51" s="53">
        <v>41632</v>
      </c>
      <c r="AG51" s="53">
        <v>41820</v>
      </c>
      <c r="AH51" s="53">
        <v>41857</v>
      </c>
      <c r="AI51" s="46">
        <v>41991</v>
      </c>
      <c r="AJ51" s="18">
        <v>0</v>
      </c>
      <c r="AK51" s="3"/>
      <c r="AL51" s="3"/>
      <c r="AM51" s="2" t="e">
        <f>IF(AND(Z7&gt;=$X$11,Z7&lt;=$X$11+5),0,IF($C$9&gt;$AG$51,ROUND(AJ11*#REF!/(DATEVALUE(CONCATENATE("01/01/",YEAR(AA7)+1))-DATEVALUE(CONCATENATE("01/01/",YEAR(AA7))))*(AA7-#REF!),2),0))</f>
        <v>#REF!</v>
      </c>
      <c r="AN51" s="34">
        <f t="shared" si="51"/>
        <v>2344</v>
      </c>
      <c r="AO51" s="57">
        <f t="shared" si="52"/>
        <v>46775</v>
      </c>
      <c r="AP51" s="130">
        <f t="shared" si="17"/>
        <v>1</v>
      </c>
      <c r="AQ51" s="553">
        <f t="shared" si="30"/>
        <v>43</v>
      </c>
      <c r="AR51" s="554">
        <f t="shared" si="43"/>
        <v>46623</v>
      </c>
      <c r="AS51" s="555">
        <f t="shared" si="50"/>
        <v>0.29899999999999999</v>
      </c>
      <c r="AT51" s="546">
        <f t="shared" si="18"/>
        <v>2344</v>
      </c>
      <c r="AU51" s="546">
        <f t="shared" si="25"/>
        <v>2344</v>
      </c>
      <c r="AV51" s="546">
        <f t="shared" si="44"/>
        <v>313.5026747147694</v>
      </c>
      <c r="AW51" s="546">
        <f t="shared" si="19"/>
        <v>2030.4973252852305</v>
      </c>
      <c r="AX51" s="546">
        <f t="shared" si="45"/>
        <v>0</v>
      </c>
      <c r="AY51" s="546">
        <v>0</v>
      </c>
      <c r="AZ51" s="546">
        <f t="shared" si="20"/>
        <v>313.5026747147694</v>
      </c>
      <c r="BA51" s="546">
        <f t="shared" si="36"/>
        <v>0</v>
      </c>
      <c r="BB51" s="546">
        <f t="shared" si="35"/>
        <v>0</v>
      </c>
      <c r="BC51" s="546"/>
      <c r="BD51" s="546"/>
      <c r="BE51" s="546"/>
      <c r="BF51" s="546"/>
      <c r="BG51" s="546"/>
      <c r="BH51" s="546">
        <f t="shared" si="22"/>
        <v>10314.790868790811</v>
      </c>
      <c r="BI51" s="108">
        <f t="shared" si="31"/>
        <v>6</v>
      </c>
      <c r="BJ51" s="108">
        <f t="shared" si="26"/>
        <v>6</v>
      </c>
      <c r="BK51" s="22">
        <f t="shared" si="27"/>
        <v>46623</v>
      </c>
      <c r="BL51" s="108">
        <f t="shared" si="10"/>
        <v>2407</v>
      </c>
    </row>
    <row r="52" spans="1:65" s="16" customFormat="1" ht="24" customHeight="1" x14ac:dyDescent="0.3">
      <c r="A52" s="178"/>
      <c r="B52" s="178"/>
      <c r="C52" s="524"/>
      <c r="D52" s="178"/>
      <c r="E52" s="178"/>
      <c r="F52" s="178"/>
      <c r="G52" s="244">
        <f t="shared" si="28"/>
        <v>44</v>
      </c>
      <c r="H52" s="245">
        <f t="shared" si="40"/>
        <v>46654</v>
      </c>
      <c r="I52" s="246">
        <f t="shared" si="41"/>
        <v>0.23899999999999999</v>
      </c>
      <c r="J52" s="242">
        <f t="shared" si="2"/>
        <v>2407</v>
      </c>
      <c r="K52" s="242">
        <f t="shared" si="46"/>
        <v>2407</v>
      </c>
      <c r="L52" s="242">
        <f t="shared" si="12"/>
        <v>308.10567863551648</v>
      </c>
      <c r="M52" s="242">
        <f t="shared" si="23"/>
        <v>2098.8943213644834</v>
      </c>
      <c r="N52" s="242">
        <f t="shared" si="42"/>
        <v>0</v>
      </c>
      <c r="O52" s="242">
        <v>0</v>
      </c>
      <c r="P52" s="242">
        <f t="shared" si="24"/>
        <v>308.10567863551648</v>
      </c>
      <c r="Q52" s="242">
        <f t="shared" si="32"/>
        <v>0</v>
      </c>
      <c r="R52" s="242">
        <f t="shared" si="13"/>
        <v>0</v>
      </c>
      <c r="S52" s="242">
        <f t="shared" si="14"/>
        <v>13079.749584960733</v>
      </c>
      <c r="T52" s="467">
        <f t="shared" si="47"/>
        <v>0</v>
      </c>
      <c r="U52" s="198">
        <f t="shared" si="29"/>
        <v>5</v>
      </c>
      <c r="V52" s="36">
        <f t="shared" si="15"/>
        <v>5</v>
      </c>
      <c r="W52" s="36">
        <f t="shared" si="16"/>
        <v>0</v>
      </c>
      <c r="X52" s="2" t="e">
        <f>IF(AND(G17&gt;=$X$11,G17&lt;=$X$11+5),0,IF($C$9&gt;$AG$51,ROUND(S16*#REF!/(DATEVALUE(CONCATENATE("01/01/",YEAR(H17)+1))-DATEVALUE(CONCATENATE("01/01/",YEAR(H17))))*(H17-H16),2),0))</f>
        <v>#REF!</v>
      </c>
      <c r="Y52" s="34">
        <f t="shared" si="48"/>
        <v>2407</v>
      </c>
      <c r="Z52" s="57">
        <f t="shared" si="49"/>
        <v>48600</v>
      </c>
      <c r="AA52" s="3" t="s">
        <v>22</v>
      </c>
      <c r="AB52" s="3"/>
      <c r="AC52" s="3"/>
      <c r="AD52" s="42"/>
      <c r="AE52" s="58"/>
      <c r="AF52" s="53">
        <v>42124</v>
      </c>
      <c r="AG52" s="53"/>
      <c r="AH52" s="53"/>
      <c r="AI52" s="46"/>
      <c r="AJ52" s="2"/>
      <c r="AK52" s="3"/>
      <c r="AL52" s="3"/>
      <c r="AM52" s="2" t="e">
        <f>IF(AND(Z8&gt;=$X$11,Z8&lt;=$X$11+5),0,IF($C$9&gt;$AG$51,ROUND(AJ12*#REF!/(DATEVALUE(CONCATENATE("01/01/",YEAR(AA8)+1))-DATEVALUE(CONCATENATE("01/01/",YEAR(AA8))))*(AA8-AA7),2),0))</f>
        <v>#REF!</v>
      </c>
      <c r="AN52" s="34">
        <f t="shared" si="51"/>
        <v>2344</v>
      </c>
      <c r="AO52" s="57">
        <f t="shared" si="52"/>
        <v>47140</v>
      </c>
      <c r="AP52" s="130">
        <f t="shared" si="17"/>
        <v>1</v>
      </c>
      <c r="AQ52" s="553">
        <f t="shared" si="30"/>
        <v>44</v>
      </c>
      <c r="AR52" s="554">
        <f t="shared" si="43"/>
        <v>46654</v>
      </c>
      <c r="AS52" s="555">
        <f t="shared" si="50"/>
        <v>0.29899999999999999</v>
      </c>
      <c r="AT52" s="546">
        <f t="shared" si="18"/>
        <v>2344</v>
      </c>
      <c r="AU52" s="546">
        <f t="shared" si="25"/>
        <v>2344</v>
      </c>
      <c r="AV52" s="546">
        <f t="shared" si="44"/>
        <v>261.93916866526581</v>
      </c>
      <c r="AW52" s="546">
        <f t="shared" si="19"/>
        <v>2082.0608313347343</v>
      </c>
      <c r="AX52" s="546">
        <f t="shared" si="45"/>
        <v>0</v>
      </c>
      <c r="AY52" s="546">
        <v>0</v>
      </c>
      <c r="AZ52" s="546">
        <f t="shared" si="20"/>
        <v>261.93916866526581</v>
      </c>
      <c r="BA52" s="546">
        <f t="shared" si="36"/>
        <v>0</v>
      </c>
      <c r="BB52" s="546">
        <f t="shared" si="35"/>
        <v>0</v>
      </c>
      <c r="BC52" s="546"/>
      <c r="BD52" s="546"/>
      <c r="BE52" s="546"/>
      <c r="BF52" s="546"/>
      <c r="BG52" s="546"/>
      <c r="BH52" s="546">
        <f t="shared" si="22"/>
        <v>8232.7300374560764</v>
      </c>
      <c r="BI52" s="108">
        <f t="shared" si="31"/>
        <v>5</v>
      </c>
      <c r="BJ52" s="108">
        <f t="shared" si="26"/>
        <v>5</v>
      </c>
      <c r="BK52" s="22">
        <f t="shared" si="27"/>
        <v>46654</v>
      </c>
      <c r="BL52" s="108">
        <f t="shared" si="10"/>
        <v>2407</v>
      </c>
    </row>
    <row r="53" spans="1:65" s="16" customFormat="1" ht="24" customHeight="1" x14ac:dyDescent="0.3">
      <c r="A53" s="178"/>
      <c r="B53" s="178"/>
      <c r="C53" s="524"/>
      <c r="D53" s="178"/>
      <c r="E53" s="178"/>
      <c r="F53" s="178"/>
      <c r="G53" s="244">
        <f t="shared" si="28"/>
        <v>45</v>
      </c>
      <c r="H53" s="245">
        <f t="shared" si="40"/>
        <v>46684</v>
      </c>
      <c r="I53" s="246">
        <f t="shared" si="41"/>
        <v>0.23899999999999999</v>
      </c>
      <c r="J53" s="242">
        <f t="shared" si="2"/>
        <v>2407</v>
      </c>
      <c r="K53" s="242">
        <f t="shared" si="46"/>
        <v>2407</v>
      </c>
      <c r="L53" s="242">
        <f t="shared" si="12"/>
        <v>256.93645075114642</v>
      </c>
      <c r="M53" s="242">
        <f t="shared" si="23"/>
        <v>2150.0635492488536</v>
      </c>
      <c r="N53" s="242">
        <f t="shared" si="42"/>
        <v>0</v>
      </c>
      <c r="O53" s="242">
        <v>0</v>
      </c>
      <c r="P53" s="242">
        <f t="shared" si="24"/>
        <v>256.93645075114642</v>
      </c>
      <c r="Q53" s="242">
        <f t="shared" si="32"/>
        <v>0</v>
      </c>
      <c r="R53" s="242">
        <f t="shared" si="13"/>
        <v>0</v>
      </c>
      <c r="S53" s="242">
        <f t="shared" si="14"/>
        <v>10929.686035711879</v>
      </c>
      <c r="T53" s="467">
        <f t="shared" si="47"/>
        <v>0</v>
      </c>
      <c r="U53" s="198">
        <f t="shared" si="29"/>
        <v>4</v>
      </c>
      <c r="V53" s="36">
        <f t="shared" si="15"/>
        <v>4</v>
      </c>
      <c r="W53" s="36">
        <f t="shared" si="16"/>
        <v>0</v>
      </c>
      <c r="X53" s="2" t="e">
        <f>IF(AND(G18&gt;=$X$11,G18&lt;=$X$11+5),0,IF($C$9&gt;$AG$51,ROUND(S17*#REF!/(DATEVALUE(CONCATENATE("01/01/",YEAR(H18)+1))-DATEVALUE(CONCATENATE("01/01/",YEAR(H18))))*(H18-H17),2),0))</f>
        <v>#REF!</v>
      </c>
      <c r="Y53" s="34">
        <f t="shared" si="48"/>
        <v>2407</v>
      </c>
      <c r="Z53" s="57">
        <f t="shared" si="49"/>
        <v>48965</v>
      </c>
      <c r="AA53" s="3"/>
      <c r="AB53" s="3"/>
      <c r="AC53" s="3"/>
      <c r="AD53" s="2"/>
      <c r="AE53" s="2"/>
      <c r="AF53" s="2"/>
      <c r="AG53" s="2"/>
      <c r="AH53" s="2"/>
      <c r="AI53" s="2"/>
      <c r="AJ53" s="2"/>
      <c r="AK53" s="2"/>
      <c r="AL53" s="2"/>
      <c r="AM53" s="2" t="e">
        <f>IF(AND(Z9&gt;=$X$11,Z9&lt;=$X$11+5),0,IF($C$9&gt;$AG$51,ROUND(AJ13*#REF!/(DATEVALUE(CONCATENATE("01/01/",YEAR(AA9)+1))-DATEVALUE(CONCATENATE("01/01/",YEAR(AA9))))*(AA9-AA8),2),0))</f>
        <v>#REF!</v>
      </c>
      <c r="AN53" s="34">
        <f t="shared" si="51"/>
        <v>2344</v>
      </c>
      <c r="AO53" s="57">
        <f t="shared" si="52"/>
        <v>47505</v>
      </c>
      <c r="AP53" s="130">
        <f t="shared" si="17"/>
        <v>1</v>
      </c>
      <c r="AQ53" s="553">
        <f t="shared" si="30"/>
        <v>45</v>
      </c>
      <c r="AR53" s="554">
        <f t="shared" si="43"/>
        <v>46684</v>
      </c>
      <c r="AS53" s="555">
        <f t="shared" si="50"/>
        <v>0.29899999999999999</v>
      </c>
      <c r="AT53" s="546">
        <f t="shared" si="18"/>
        <v>2344</v>
      </c>
      <c r="AU53" s="546">
        <f t="shared" si="25"/>
        <v>2344</v>
      </c>
      <c r="AV53" s="546">
        <f t="shared" si="44"/>
        <v>202.32216009857808</v>
      </c>
      <c r="AW53" s="546">
        <f t="shared" si="19"/>
        <v>2141.677839901422</v>
      </c>
      <c r="AX53" s="546">
        <f t="shared" si="45"/>
        <v>0</v>
      </c>
      <c r="AY53" s="546">
        <v>0</v>
      </c>
      <c r="AZ53" s="546">
        <f t="shared" si="20"/>
        <v>202.32216009857808</v>
      </c>
      <c r="BA53" s="546">
        <f t="shared" si="36"/>
        <v>0</v>
      </c>
      <c r="BB53" s="546">
        <f t="shared" si="35"/>
        <v>0</v>
      </c>
      <c r="BC53" s="546"/>
      <c r="BD53" s="546"/>
      <c r="BE53" s="546"/>
      <c r="BF53" s="546"/>
      <c r="BG53" s="546"/>
      <c r="BH53" s="546">
        <f t="shared" si="22"/>
        <v>6091.0521975546544</v>
      </c>
      <c r="BI53" s="108">
        <f t="shared" si="31"/>
        <v>4</v>
      </c>
      <c r="BJ53" s="108">
        <f t="shared" si="26"/>
        <v>4</v>
      </c>
      <c r="BK53" s="22">
        <f t="shared" si="27"/>
        <v>46684</v>
      </c>
      <c r="BL53" s="108">
        <f t="shared" si="10"/>
        <v>2407</v>
      </c>
    </row>
    <row r="54" spans="1:65" s="16" customFormat="1" ht="24" customHeight="1" x14ac:dyDescent="0.3">
      <c r="A54" s="178"/>
      <c r="B54" s="178"/>
      <c r="C54" s="184"/>
      <c r="D54" s="178"/>
      <c r="E54" s="178"/>
      <c r="F54" s="178"/>
      <c r="G54" s="244">
        <f t="shared" si="28"/>
        <v>46</v>
      </c>
      <c r="H54" s="245">
        <f t="shared" si="40"/>
        <v>46715</v>
      </c>
      <c r="I54" s="246">
        <f t="shared" si="41"/>
        <v>0.23899999999999999</v>
      </c>
      <c r="J54" s="242">
        <f t="shared" si="2"/>
        <v>2407</v>
      </c>
      <c r="K54" s="242">
        <f t="shared" si="46"/>
        <v>2407</v>
      </c>
      <c r="L54" s="242">
        <f t="shared" si="12"/>
        <v>221.85765435229945</v>
      </c>
      <c r="M54" s="242">
        <f t="shared" si="23"/>
        <v>2185.1423456477005</v>
      </c>
      <c r="N54" s="242">
        <f t="shared" si="42"/>
        <v>0</v>
      </c>
      <c r="O54" s="242">
        <v>0</v>
      </c>
      <c r="P54" s="242">
        <f t="shared" si="24"/>
        <v>221.85765435229945</v>
      </c>
      <c r="Q54" s="242">
        <f t="shared" si="32"/>
        <v>0</v>
      </c>
      <c r="R54" s="242">
        <f t="shared" si="13"/>
        <v>0</v>
      </c>
      <c r="S54" s="242">
        <f t="shared" si="14"/>
        <v>8744.543690064178</v>
      </c>
      <c r="T54" s="467">
        <f t="shared" si="47"/>
        <v>0</v>
      </c>
      <c r="U54" s="198">
        <f t="shared" si="29"/>
        <v>3</v>
      </c>
      <c r="V54" s="36">
        <f t="shared" si="15"/>
        <v>3</v>
      </c>
      <c r="W54" s="36">
        <f t="shared" si="16"/>
        <v>0</v>
      </c>
      <c r="X54" s="2" t="e">
        <f>IF(AND(G19&gt;=$X$11,G19&lt;=$X$11+5),0,IF($C$9&gt;$AG$51,ROUND(S18*#REF!/(DATEVALUE(CONCATENATE("01/01/",YEAR(H19)+1))-DATEVALUE(CONCATENATE("01/01/",YEAR(H19))))*(H19-H18),2),0))</f>
        <v>#REF!</v>
      </c>
      <c r="Y54" s="34">
        <f t="shared" ref="Y54:Y109" si="53">IF(K19 &gt; 0, K19, 0)</f>
        <v>2407</v>
      </c>
      <c r="Z54" s="57">
        <f t="shared" si="49"/>
        <v>49330</v>
      </c>
      <c r="AA54" s="2"/>
      <c r="AB54" s="2"/>
      <c r="AC54" s="2"/>
      <c r="AD54" s="1"/>
      <c r="AE54" s="7">
        <f>H8</f>
        <v>45315</v>
      </c>
      <c r="AF54" s="47">
        <f>(C23+AJ51)*AH36/12*(1+AH36/12)^(C10)/((1+AH36/12)^(C10)-1)+C23/10000*IF(C10&lt;11,20,IF(C10&lt;20,2.5,IF(C10&lt;37,1.5,IF(C10&lt;60,0.7,0.5))))*IF(AH36&lt;0.3,AH36/0.2,AH36/0.1)</f>
        <v>2726.6870605134864</v>
      </c>
      <c r="AG54" s="2"/>
      <c r="AH54" s="47">
        <f>(D23+AJ51)*AF14/12*(1+AF14/12)^(C10)/((1+AF14/12)^(C10)-1)+D23/10000*IF(C10&lt;11,20,IF(C10&lt;20,2.5,IF(C10&lt;37,1.5,IF(C10&lt;60,0.7,0.5))))*IF(AF14&lt;0.3,AF14/0.2,AF14/0.1)</f>
        <v>2343.3768196416299</v>
      </c>
      <c r="AI54" s="2"/>
      <c r="AJ54" s="2"/>
      <c r="AK54" s="2"/>
      <c r="AL54" s="2"/>
      <c r="AM54" s="2" t="e">
        <f>IF(AND(Z10&gt;=$X$11,Z10&lt;=$X$11+5),0,IF($C$9&gt;$AG$51,ROUND(AJ14*#REF!/(DATEVALUE(CONCATENATE("01/01/",YEAR(AA10)+1))-DATEVALUE(CONCATENATE("01/01/",YEAR(AA10))))*(AA10-AA9),2),0))</f>
        <v>#REF!</v>
      </c>
      <c r="AN54" s="34">
        <f t="shared" si="51"/>
        <v>2344</v>
      </c>
      <c r="AO54" s="57">
        <f t="shared" si="52"/>
        <v>47870</v>
      </c>
      <c r="AP54" s="130">
        <f t="shared" si="17"/>
        <v>1</v>
      </c>
      <c r="AQ54" s="553">
        <f t="shared" si="30"/>
        <v>46</v>
      </c>
      <c r="AR54" s="554">
        <f t="shared" si="43"/>
        <v>46715</v>
      </c>
      <c r="AS54" s="555">
        <f t="shared" si="50"/>
        <v>0.29899999999999999</v>
      </c>
      <c r="AT54" s="546">
        <f t="shared" si="18"/>
        <v>2344</v>
      </c>
      <c r="AU54" s="546">
        <f t="shared" si="25"/>
        <v>2344</v>
      </c>
      <c r="AV54" s="546">
        <f t="shared" si="44"/>
        <v>154.67935018940847</v>
      </c>
      <c r="AW54" s="546">
        <f t="shared" si="19"/>
        <v>2189.3206498105915</v>
      </c>
      <c r="AX54" s="546">
        <f t="shared" si="45"/>
        <v>0</v>
      </c>
      <c r="AY54" s="546">
        <v>0</v>
      </c>
      <c r="AZ54" s="546">
        <f t="shared" si="20"/>
        <v>154.67935018940847</v>
      </c>
      <c r="BA54" s="546">
        <f t="shared" si="36"/>
        <v>0</v>
      </c>
      <c r="BB54" s="546">
        <f t="shared" si="35"/>
        <v>0</v>
      </c>
      <c r="BC54" s="546"/>
      <c r="BD54" s="546"/>
      <c r="BE54" s="546"/>
      <c r="BF54" s="546"/>
      <c r="BG54" s="546"/>
      <c r="BH54" s="546">
        <f t="shared" si="22"/>
        <v>3901.7315477440629</v>
      </c>
      <c r="BI54" s="108">
        <f t="shared" si="31"/>
        <v>3</v>
      </c>
      <c r="BJ54" s="108">
        <f t="shared" si="26"/>
        <v>3</v>
      </c>
      <c r="BK54" s="22">
        <f t="shared" si="27"/>
        <v>46715</v>
      </c>
      <c r="BL54" s="108">
        <f t="shared" si="10"/>
        <v>2407</v>
      </c>
      <c r="BM54" s="2">
        <f>IF(AND(G9&gt;=$X$11,G9&lt;=$X$11+5),0,IF($C$9&gt;$AG$51,ROUND(BH8*IF(#REF!="",0,#REF!)/(DATEVALUE(CONCATENATE("01/01/",YEAR(AR9)+1))-DATEVALUE(CONCATENATE("01/01/",YEAR(AR9))))*(AR9-AR8),2),0))</f>
        <v>0</v>
      </c>
    </row>
    <row r="55" spans="1:65" s="16" customFormat="1" x14ac:dyDescent="0.3">
      <c r="A55" s="178"/>
      <c r="B55" s="178"/>
      <c r="C55" s="184"/>
      <c r="D55" s="178"/>
      <c r="E55" s="178"/>
      <c r="F55" s="178"/>
      <c r="G55" s="244">
        <f t="shared" si="28"/>
        <v>47</v>
      </c>
      <c r="H55" s="245">
        <f t="shared" si="40"/>
        <v>46745</v>
      </c>
      <c r="I55" s="246">
        <f t="shared" si="41"/>
        <v>0.23899999999999999</v>
      </c>
      <c r="J55" s="242">
        <f t="shared" si="2"/>
        <v>2407</v>
      </c>
      <c r="K55" s="242">
        <f t="shared" si="46"/>
        <v>2407</v>
      </c>
      <c r="L55" s="242">
        <f t="shared" si="12"/>
        <v>171.77637878838397</v>
      </c>
      <c r="M55" s="242">
        <f t="shared" si="23"/>
        <v>2235.2236212116159</v>
      </c>
      <c r="N55" s="242">
        <f t="shared" si="42"/>
        <v>0</v>
      </c>
      <c r="O55" s="242">
        <v>0</v>
      </c>
      <c r="P55" s="242">
        <f t="shared" si="24"/>
        <v>171.77637878838397</v>
      </c>
      <c r="Q55" s="242">
        <f t="shared" si="32"/>
        <v>0</v>
      </c>
      <c r="R55" s="242">
        <f t="shared" si="13"/>
        <v>0</v>
      </c>
      <c r="S55" s="242">
        <f t="shared" si="14"/>
        <v>6509.3200688525621</v>
      </c>
      <c r="T55" s="467">
        <f t="shared" si="47"/>
        <v>0</v>
      </c>
      <c r="U55" s="198">
        <f t="shared" si="29"/>
        <v>2</v>
      </c>
      <c r="V55" s="36">
        <f t="shared" si="15"/>
        <v>2</v>
      </c>
      <c r="W55" s="36">
        <f t="shared" si="16"/>
        <v>0</v>
      </c>
      <c r="X55" s="2" t="e">
        <f>IF(AND(G20&gt;=$X$11,G20&lt;=$X$11+5),0,IF($C$9&gt;$AG$51,ROUND(S19*#REF!/(DATEVALUE(CONCATENATE("01/01/",YEAR(H20)+1))-DATEVALUE(CONCATENATE("01/01/",YEAR(H20))))*(H20-H19),2),0))</f>
        <v>#REF!</v>
      </c>
      <c r="Y55" s="34">
        <f t="shared" si="53"/>
        <v>2407</v>
      </c>
      <c r="Z55" s="57">
        <f t="shared" si="49"/>
        <v>49695</v>
      </c>
      <c r="AB55" s="170" t="s">
        <v>134</v>
      </c>
      <c r="AE55" s="47">
        <f>IF(DAY(C9)&lt;4,AF54,IF(DAY(C9)&gt;28,AF56,AF55))</f>
        <v>2722.1643267134864</v>
      </c>
      <c r="AF55" s="47">
        <f>(C23+AJ51)*AH36/12*(1+AH36/12)^(C10)/((1+AH36/12)^(C10)-1)+C23/10000*IF(C10&lt;11,20,IF(C10&lt;34,0.7,IF(C10&lt;58,0.3,0.1)))*IF(AH36&lt;0.3,AH36/0.2,AH36/0.1)</f>
        <v>2722.1643267134864</v>
      </c>
      <c r="AG55" s="13">
        <f>IF(DAY(C9)&lt;4,AH54,IF(DAY(C9)&gt;28,AH56,AH55))</f>
        <v>2339.4898794416299</v>
      </c>
      <c r="AH55" s="156">
        <f>(D23+AJ51)*AF14/12*(1+AF14/12)^(C10)/((1+AF14/12)^(C10)-1)+D23/10000*IF(C10&lt;11,20,IF(C10&lt;34,0.7,IF(C10&lt;58,0.3,0.1)))*IF(AF14&lt;0.3,AF14/0.2,AF14/0.1)</f>
        <v>2339.4898794416299</v>
      </c>
      <c r="AI55" s="2"/>
      <c r="AJ55" s="2"/>
      <c r="AK55" s="2"/>
      <c r="AL55" s="2"/>
      <c r="AM55" s="2" t="e">
        <f>IF(AND(Z11&gt;=$X$11,Z11&lt;=$X$11+5),0,IF($C$9&gt;$AG$51,ROUND(AJ15*#REF!/(DATEVALUE(CONCATENATE("01/01/",YEAR(AA11)+1))-DATEVALUE(CONCATENATE("01/01/",YEAR(AA11))))*(AA11-AA10),2),0))</f>
        <v>#REF!</v>
      </c>
      <c r="AN55" s="34">
        <f t="shared" si="51"/>
        <v>2344</v>
      </c>
      <c r="AO55" s="57">
        <f t="shared" si="52"/>
        <v>48235</v>
      </c>
      <c r="AP55" s="130">
        <f t="shared" si="17"/>
        <v>1</v>
      </c>
      <c r="AQ55" s="553">
        <f t="shared" si="30"/>
        <v>47</v>
      </c>
      <c r="AR55" s="554">
        <f t="shared" si="43"/>
        <v>46745</v>
      </c>
      <c r="AS55" s="555">
        <f t="shared" si="50"/>
        <v>0.29899999999999999</v>
      </c>
      <c r="AT55" s="546">
        <f t="shared" si="18"/>
        <v>2344</v>
      </c>
      <c r="AU55" s="546">
        <f t="shared" si="25"/>
        <v>2344</v>
      </c>
      <c r="AV55" s="546">
        <f t="shared" si="44"/>
        <v>95.886388995244502</v>
      </c>
      <c r="AW55" s="546">
        <f t="shared" si="19"/>
        <v>2248.1136110047555</v>
      </c>
      <c r="AX55" s="546">
        <f t="shared" si="45"/>
        <v>0</v>
      </c>
      <c r="AY55" s="546">
        <v>0</v>
      </c>
      <c r="AZ55" s="546">
        <f t="shared" si="20"/>
        <v>95.886388995244502</v>
      </c>
      <c r="BA55" s="546">
        <f t="shared" si="36"/>
        <v>0</v>
      </c>
      <c r="BB55" s="546">
        <f t="shared" si="35"/>
        <v>0</v>
      </c>
      <c r="BC55" s="546"/>
      <c r="BD55" s="546"/>
      <c r="BE55" s="546"/>
      <c r="BF55" s="546"/>
      <c r="BG55" s="546"/>
      <c r="BH55" s="546">
        <f t="shared" si="22"/>
        <v>1653.6179367393074</v>
      </c>
      <c r="BI55" s="108">
        <f t="shared" si="31"/>
        <v>2</v>
      </c>
      <c r="BJ55" s="108">
        <f t="shared" si="26"/>
        <v>2</v>
      </c>
      <c r="BK55" s="22">
        <f t="shared" si="27"/>
        <v>46745</v>
      </c>
      <c r="BL55" s="108">
        <f t="shared" si="10"/>
        <v>2407</v>
      </c>
      <c r="BM55" s="2">
        <f>IF(AND(G10&gt;=$X$11,G10&lt;=$X$11+5),0,IF($C$9&gt;$AG$51,ROUND(BH9*IF(#REF!="",0,#REF!)/(DATEVALUE(CONCATENATE("01/01/",YEAR(AR10)+1))-DATEVALUE(CONCATENATE("01/01/",YEAR(AR10))))*(AR10-AR9),2),0))</f>
        <v>0</v>
      </c>
    </row>
    <row r="56" spans="1:65" s="16" customFormat="1" ht="13.8" thickBot="1" x14ac:dyDescent="0.35">
      <c r="A56" s="178"/>
      <c r="B56" s="178"/>
      <c r="C56" s="184"/>
      <c r="D56" s="178"/>
      <c r="E56" s="178"/>
      <c r="F56" s="178"/>
      <c r="G56" s="248">
        <f t="shared" si="28"/>
        <v>48</v>
      </c>
      <c r="H56" s="679">
        <f t="shared" si="40"/>
        <v>46776</v>
      </c>
      <c r="I56" s="250">
        <f t="shared" si="41"/>
        <v>0.23899999999999999</v>
      </c>
      <c r="J56" s="252">
        <f t="shared" si="2"/>
        <v>2407</v>
      </c>
      <c r="K56" s="252">
        <f t="shared" si="46"/>
        <v>2407</v>
      </c>
      <c r="L56" s="242">
        <f t="shared" si="12"/>
        <v>132.13028052090036</v>
      </c>
      <c r="M56" s="252">
        <f t="shared" si="23"/>
        <v>2274.8697194790998</v>
      </c>
      <c r="N56" s="252">
        <f t="shared" si="42"/>
        <v>0</v>
      </c>
      <c r="O56" s="252">
        <v>0</v>
      </c>
      <c r="P56" s="252">
        <f t="shared" si="24"/>
        <v>132.13028052090036</v>
      </c>
      <c r="Q56" s="252">
        <f t="shared" si="32"/>
        <v>0</v>
      </c>
      <c r="R56" s="252">
        <f t="shared" si="13"/>
        <v>0</v>
      </c>
      <c r="S56" s="252">
        <f t="shared" si="14"/>
        <v>0</v>
      </c>
      <c r="T56" s="252">
        <f t="shared" si="47"/>
        <v>4234.4503493734628</v>
      </c>
      <c r="U56" s="198">
        <f t="shared" si="29"/>
        <v>1</v>
      </c>
      <c r="V56" s="36">
        <f t="shared" si="15"/>
        <v>1</v>
      </c>
      <c r="W56" s="36">
        <f t="shared" si="16"/>
        <v>4234.4503493734628</v>
      </c>
      <c r="X56" s="2" t="e">
        <f>IF(AND(G21&gt;=$X$11,G21&lt;=$X$11+5),0,IF($C$9&gt;$AG$51,ROUND(S20*#REF!/(DATEVALUE(CONCATENATE("01/01/",YEAR(H21)+1))-DATEVALUE(CONCATENATE("01/01/",YEAR(H21))))*(H21-H20),2),0))</f>
        <v>#REF!</v>
      </c>
      <c r="Y56" s="34">
        <f t="shared" si="53"/>
        <v>2407</v>
      </c>
      <c r="Z56" s="57">
        <f t="shared" si="49"/>
        <v>50060</v>
      </c>
      <c r="AB56" s="171">
        <v>20000</v>
      </c>
      <c r="AC56" s="133" t="s">
        <v>135</v>
      </c>
      <c r="AD56" s="118">
        <f>ROUNDUP(AE56/AH47,0)*AH47</f>
        <v>2169</v>
      </c>
      <c r="AE56" s="13">
        <f>(C23+AJ51)*AD57/12*(1+AD57/12)^(C10+AE57)/((1+AD57/12)^(C10+AE57)-1)+10*C23/100000*IF(C10+AE57&lt;24,4,IF(C10+AE57&lt;36,3,IF(C10+AE57&lt;48,2,IF(C10+AE57&lt;60,1.5,1))))*AD57/0.2</f>
        <v>2168.738914187456</v>
      </c>
      <c r="AF56" s="47">
        <f>(C23+AJ51)*AH36/12*(1+AH36/12)^(C10)/((1+AH36/12)^(C10)-1)+C23/10000*IF(C10&lt;11,20,IF(C10&lt;34,0.7,IF(C10&lt;48,0.3,0)))*IF(AH36&lt;0.3,AH36/0.2,AH36/0.1)</f>
        <v>2718.7722763634865</v>
      </c>
      <c r="AG56" s="13">
        <f>(D23+AJ51)*AG57/12*(1+AG57/12)^(C10+AE57)/((1+AG57/12)^(C10+AE57)-1)+10*D23/100000*IF(C10+AE57&lt;24,4,IF(C10+AE57&lt;36,3,IF(C10+AE57&lt;48,2,IF(C10+AE57&lt;60,1.5,1))))*AG57/0.2</f>
        <v>1863.8635041619239</v>
      </c>
      <c r="AH56" s="157">
        <f>(D23+AJ51)*AF14/12*(1+AF14/12)^(C10)/((1+AF14/12)^(C10)-1)+D23/10000*IF(C10&lt;11,20,IF(C10&lt;34,0.7,IF(C10&lt;48,0.3,0)))*IF(AF14&lt;0.3,AF14/0.2,AF14/0.1)</f>
        <v>2336.5746742916299</v>
      </c>
      <c r="AI56" s="2"/>
      <c r="AJ56" s="2"/>
      <c r="AK56" s="2"/>
      <c r="AL56" s="2"/>
      <c r="AM56" s="2" t="e">
        <f>IF(AND(Z12&gt;=$X$11,Z12&lt;=$X$11+5),0,IF($C$9&gt;$AG$51,ROUND(AJ16*#REF!/(DATEVALUE(CONCATENATE("01/01/",YEAR(AA12)+1))-DATEVALUE(CONCATENATE("01/01/",YEAR(AA12))))*(AA12-AA11),2),0))</f>
        <v>#REF!</v>
      </c>
      <c r="AN56" s="34">
        <f t="shared" si="51"/>
        <v>2344</v>
      </c>
      <c r="AO56" s="57">
        <f t="shared" si="52"/>
        <v>48600</v>
      </c>
      <c r="AP56" s="130">
        <f t="shared" si="17"/>
        <v>1</v>
      </c>
      <c r="AQ56" s="556">
        <f t="shared" si="30"/>
        <v>48</v>
      </c>
      <c r="AR56" s="680">
        <f t="shared" si="43"/>
        <v>46776</v>
      </c>
      <c r="AS56" s="557">
        <f t="shared" si="50"/>
        <v>0.29899999999999999</v>
      </c>
      <c r="AT56" s="547">
        <f t="shared" si="18"/>
        <v>2344</v>
      </c>
      <c r="AU56" s="547">
        <f t="shared" si="25"/>
        <v>2344</v>
      </c>
      <c r="AV56" s="547">
        <f t="shared" si="44"/>
        <v>41.992834672977096</v>
      </c>
      <c r="AW56" s="547">
        <f t="shared" si="19"/>
        <v>1653.6179367393074</v>
      </c>
      <c r="AX56" s="547">
        <f t="shared" si="45"/>
        <v>0</v>
      </c>
      <c r="AY56" s="547">
        <v>0</v>
      </c>
      <c r="AZ56" s="547">
        <f t="shared" si="20"/>
        <v>41.992834672977096</v>
      </c>
      <c r="BA56" s="547">
        <f t="shared" si="36"/>
        <v>0</v>
      </c>
      <c r="BB56" s="547">
        <f t="shared" si="35"/>
        <v>0</v>
      </c>
      <c r="BC56" s="547"/>
      <c r="BD56" s="547"/>
      <c r="BE56" s="547"/>
      <c r="BF56" s="547"/>
      <c r="BG56" s="547"/>
      <c r="BH56" s="547">
        <f t="shared" si="22"/>
        <v>0</v>
      </c>
      <c r="BI56" s="108">
        <f t="shared" si="31"/>
        <v>1</v>
      </c>
      <c r="BJ56" s="108">
        <f t="shared" si="26"/>
        <v>1</v>
      </c>
      <c r="BK56" s="22">
        <f t="shared" si="27"/>
        <v>46776</v>
      </c>
      <c r="BL56" s="108">
        <f t="shared" si="10"/>
        <v>2407</v>
      </c>
      <c r="BM56" s="2">
        <f>IF(AND(G11&gt;=$X$11,G11&lt;=$X$11+5),0,IF($C$9&gt;$AG$51,ROUND(BH10*IF(#REF!="",0,#REF!)/(DATEVALUE(CONCATENATE("01/01/",YEAR(AR11)+1))-DATEVALUE(CONCATENATE("01/01/",YEAR(AR11))))*(AR11-AR10),2),0))</f>
        <v>0</v>
      </c>
    </row>
    <row r="57" spans="1:65" s="16" customFormat="1" x14ac:dyDescent="0.3">
      <c r="A57" s="178"/>
      <c r="B57" s="178"/>
      <c r="C57" s="184"/>
      <c r="D57" s="178"/>
      <c r="E57" s="178"/>
      <c r="F57" s="178"/>
      <c r="G57" s="244">
        <f t="shared" si="28"/>
        <v>49</v>
      </c>
      <c r="H57" s="245">
        <f t="shared" si="40"/>
        <v>46807</v>
      </c>
      <c r="I57" s="246">
        <f t="shared" si="41"/>
        <v>0.23899999999999999</v>
      </c>
      <c r="J57" s="242">
        <f t="shared" si="2"/>
        <v>0</v>
      </c>
      <c r="K57" s="242">
        <f t="shared" si="46"/>
        <v>0</v>
      </c>
      <c r="L57" s="242">
        <f t="shared" si="12"/>
        <v>0</v>
      </c>
      <c r="M57" s="242">
        <f t="shared" si="23"/>
        <v>0</v>
      </c>
      <c r="N57" s="242">
        <f t="shared" si="42"/>
        <v>0</v>
      </c>
      <c r="O57" s="242">
        <v>0</v>
      </c>
      <c r="P57" s="242">
        <f t="shared" si="24"/>
        <v>0</v>
      </c>
      <c r="Q57" s="242">
        <f t="shared" si="32"/>
        <v>0</v>
      </c>
      <c r="R57" s="242">
        <f t="shared" si="13"/>
        <v>0</v>
      </c>
      <c r="S57" s="242">
        <f t="shared" si="14"/>
        <v>0</v>
      </c>
      <c r="T57" s="467">
        <f t="shared" si="47"/>
        <v>0</v>
      </c>
      <c r="U57" s="198">
        <f t="shared" si="29"/>
        <v>0</v>
      </c>
      <c r="V57" s="36">
        <f t="shared" si="15"/>
        <v>0</v>
      </c>
      <c r="W57" s="36">
        <f t="shared" si="16"/>
        <v>0</v>
      </c>
      <c r="X57" s="2" t="e">
        <f>IF(AND(G22&gt;=$X$11,G22&lt;=$X$11+5),0,IF($C$9&gt;$AG$51,ROUND(S21*#REF!/(DATEVALUE(CONCATENATE("01/01/",YEAR(H22)+1))-DATEVALUE(CONCATENATE("01/01/",YEAR(H22))))*(H22-H21),2),0))</f>
        <v>#REF!</v>
      </c>
      <c r="Y57" s="34">
        <f t="shared" si="53"/>
        <v>2407</v>
      </c>
      <c r="Z57" s="57">
        <f t="shared" si="49"/>
        <v>50425</v>
      </c>
      <c r="AB57" s="171">
        <v>200000</v>
      </c>
      <c r="AC57" s="171">
        <v>200000</v>
      </c>
      <c r="AD57" s="15">
        <f>IF(C9&gt;AI48,C11,C11+0.05)</f>
        <v>0.29899999999999999</v>
      </c>
      <c r="AE57" s="2">
        <f xml:space="preserve"> IF(C9&gt;AI48,36,24)</f>
        <v>36</v>
      </c>
      <c r="AF57" s="44">
        <f>(C23+AJ51)*AH36/12*(1+AH36/12)^(C10)/((1+AH36/12)^(C10)-1)</f>
        <v>2718.7722763634865</v>
      </c>
      <c r="AG57" s="15">
        <f>IF(C9&gt;AI48,D13,D13+0.05)</f>
        <v>0.29899999999999999</v>
      </c>
      <c r="AH57" s="118">
        <f>(D23+AJ51)*AF14/12*(1+AF14/12)^(C10)/((1+AF14/12)^(C10)-1)</f>
        <v>2336.5746742916299</v>
      </c>
      <c r="AI57" s="2"/>
      <c r="AJ57" s="2"/>
      <c r="AK57" s="2"/>
      <c r="AL57" s="2"/>
      <c r="AM57" s="2" t="e">
        <f>IF(AND(Z13&gt;=$X$11,Z13&lt;=$X$11+5),0,IF($C$9&gt;$AG$51,ROUND(AJ17*#REF!/(DATEVALUE(CONCATENATE("01/01/",YEAR(AA13)+1))-DATEVALUE(CONCATENATE("01/01/",YEAR(AA13))))*(AA13-AA12),2),0))</f>
        <v>#REF!</v>
      </c>
      <c r="AN57" s="34">
        <f t="shared" si="51"/>
        <v>2344</v>
      </c>
      <c r="AO57" s="57">
        <f t="shared" si="52"/>
        <v>48965</v>
      </c>
      <c r="AP57" s="130">
        <f t="shared" si="17"/>
        <v>0</v>
      </c>
      <c r="AQ57" s="553">
        <f t="shared" si="30"/>
        <v>49</v>
      </c>
      <c r="AR57" s="554">
        <f t="shared" si="43"/>
        <v>46807</v>
      </c>
      <c r="AS57" s="555">
        <f t="shared" ref="AS57:AS88" si="54">IF($D$16="Да",$AN$40,$D$13)</f>
        <v>0.29899999999999999</v>
      </c>
      <c r="AT57" s="546">
        <f t="shared" si="18"/>
        <v>0</v>
      </c>
      <c r="AU57" s="546">
        <f t="shared" si="25"/>
        <v>0</v>
      </c>
      <c r="AV57" s="546">
        <f t="shared" si="44"/>
        <v>0</v>
      </c>
      <c r="AW57" s="546">
        <f t="shared" si="19"/>
        <v>0</v>
      </c>
      <c r="AX57" s="546">
        <f t="shared" si="45"/>
        <v>0</v>
      </c>
      <c r="AY57" s="546">
        <v>0</v>
      </c>
      <c r="AZ57" s="546">
        <f t="shared" si="20"/>
        <v>0</v>
      </c>
      <c r="BA57" s="546">
        <f t="shared" si="36"/>
        <v>0</v>
      </c>
      <c r="BB57" s="546">
        <f t="shared" si="35"/>
        <v>0</v>
      </c>
      <c r="BC57" s="546"/>
      <c r="BD57" s="546"/>
      <c r="BE57" s="546"/>
      <c r="BF57" s="546"/>
      <c r="BG57" s="546"/>
      <c r="BH57" s="546">
        <f t="shared" si="22"/>
        <v>0</v>
      </c>
      <c r="BI57" s="108">
        <f t="shared" si="31"/>
        <v>0</v>
      </c>
      <c r="BJ57" s="108">
        <f t="shared" si="26"/>
        <v>0</v>
      </c>
      <c r="BK57" s="22">
        <f t="shared" si="27"/>
        <v>46807</v>
      </c>
      <c r="BL57" s="108">
        <f t="shared" si="10"/>
        <v>0</v>
      </c>
      <c r="BM57" s="2">
        <f>IF(AND(G12&gt;=$X$11,G12&lt;=$X$11+5),0,IF($C$9&gt;$AG$51,ROUND(BH11*IF(#REF!="",0,#REF!)/(DATEVALUE(CONCATENATE("01/01/",YEAR(AR12)+1))-DATEVALUE(CONCATENATE("01/01/",YEAR(AR12))))*(AR12-AR11),2),0))</f>
        <v>0</v>
      </c>
    </row>
    <row r="58" spans="1:65" s="16" customFormat="1" ht="15.75" customHeight="1" x14ac:dyDescent="0.3">
      <c r="A58" s="178"/>
      <c r="B58" s="178"/>
      <c r="C58" s="184"/>
      <c r="D58" s="178"/>
      <c r="E58" s="178"/>
      <c r="F58" s="178"/>
      <c r="G58" s="244">
        <f t="shared" si="28"/>
        <v>50</v>
      </c>
      <c r="H58" s="245">
        <f t="shared" si="40"/>
        <v>46836</v>
      </c>
      <c r="I58" s="246">
        <f t="shared" si="41"/>
        <v>0.23899999999999999</v>
      </c>
      <c r="J58" s="242">
        <f t="shared" si="2"/>
        <v>0</v>
      </c>
      <c r="K58" s="242">
        <f t="shared" si="46"/>
        <v>0</v>
      </c>
      <c r="L58" s="242">
        <f t="shared" si="12"/>
        <v>0</v>
      </c>
      <c r="M58" s="242">
        <f t="shared" si="23"/>
        <v>0</v>
      </c>
      <c r="N58" s="242">
        <f t="shared" si="42"/>
        <v>0</v>
      </c>
      <c r="O58" s="242">
        <v>0</v>
      </c>
      <c r="P58" s="242">
        <f t="shared" si="24"/>
        <v>0</v>
      </c>
      <c r="Q58" s="242">
        <f t="shared" si="32"/>
        <v>0</v>
      </c>
      <c r="R58" s="242">
        <f t="shared" si="13"/>
        <v>0</v>
      </c>
      <c r="S58" s="242">
        <f t="shared" si="14"/>
        <v>0</v>
      </c>
      <c r="T58" s="467">
        <f t="shared" si="47"/>
        <v>0</v>
      </c>
      <c r="U58" s="198">
        <f t="shared" si="29"/>
        <v>0</v>
      </c>
      <c r="V58" s="36">
        <f t="shared" si="15"/>
        <v>0</v>
      </c>
      <c r="W58" s="36">
        <f t="shared" si="16"/>
        <v>0</v>
      </c>
      <c r="X58" s="2" t="e">
        <f>IF(AND(G23&gt;=$X$11,G23&lt;=$X$11+5),0,IF($C$9&gt;$AG$51,ROUND(S22*#REF!/(DATEVALUE(CONCATENATE("01/01/",YEAR(H23)+1))-DATEVALUE(CONCATENATE("01/01/",YEAR(H23))))*(H23-H22),2),0))</f>
        <v>#REF!</v>
      </c>
      <c r="Y58" s="34">
        <f t="shared" si="53"/>
        <v>2407</v>
      </c>
      <c r="Z58" s="57">
        <f t="shared" si="49"/>
        <v>50790</v>
      </c>
      <c r="AB58" s="170">
        <v>600000</v>
      </c>
      <c r="AC58" s="171">
        <v>600000</v>
      </c>
      <c r="AD58" s="2"/>
      <c r="AE58" s="2"/>
      <c r="AF58" s="2"/>
      <c r="AG58" s="2"/>
      <c r="AH58" s="2"/>
      <c r="AI58" s="2"/>
      <c r="AJ58" s="2"/>
      <c r="AK58" s="2"/>
      <c r="AL58" s="2"/>
      <c r="AM58" s="2" t="e">
        <f>IF(AND(Z14&gt;=$X$11,Z14&lt;=$X$11+5),0,IF($C$9&gt;$AG$51,ROUND(AJ18*#REF!/(DATEVALUE(CONCATENATE("01/01/",YEAR(AA14)+1))-DATEVALUE(CONCATENATE("01/01/",YEAR(AA14))))*(AA14-AA13),2),0))</f>
        <v>#REF!</v>
      </c>
      <c r="AN58" s="34">
        <f t="shared" ref="AN58:AN113" si="55">AU19</f>
        <v>2344</v>
      </c>
      <c r="AO58" s="57">
        <f t="shared" si="52"/>
        <v>49330</v>
      </c>
      <c r="AP58" s="130">
        <f t="shared" si="17"/>
        <v>0</v>
      </c>
      <c r="AQ58" s="553">
        <f t="shared" si="30"/>
        <v>50</v>
      </c>
      <c r="AR58" s="554">
        <f t="shared" si="43"/>
        <v>46836</v>
      </c>
      <c r="AS58" s="555">
        <f t="shared" si="54"/>
        <v>0.29899999999999999</v>
      </c>
      <c r="AT58" s="546">
        <f t="shared" si="18"/>
        <v>0</v>
      </c>
      <c r="AU58" s="546">
        <f t="shared" si="25"/>
        <v>0</v>
      </c>
      <c r="AV58" s="546">
        <f t="shared" si="44"/>
        <v>0</v>
      </c>
      <c r="AW58" s="546">
        <f t="shared" si="19"/>
        <v>0</v>
      </c>
      <c r="AX58" s="546">
        <f t="shared" si="45"/>
        <v>0</v>
      </c>
      <c r="AY58" s="546">
        <v>0</v>
      </c>
      <c r="AZ58" s="546">
        <f t="shared" si="20"/>
        <v>0</v>
      </c>
      <c r="BA58" s="546">
        <f t="shared" si="36"/>
        <v>0</v>
      </c>
      <c r="BB58" s="546">
        <f t="shared" si="35"/>
        <v>0</v>
      </c>
      <c r="BC58" s="546"/>
      <c r="BD58" s="546"/>
      <c r="BE58" s="546"/>
      <c r="BF58" s="546"/>
      <c r="BG58" s="546"/>
      <c r="BH58" s="546">
        <f t="shared" si="22"/>
        <v>0</v>
      </c>
      <c r="BI58" s="108">
        <f t="shared" si="31"/>
        <v>0</v>
      </c>
      <c r="BJ58" s="108">
        <f t="shared" si="26"/>
        <v>0</v>
      </c>
      <c r="BK58" s="22">
        <f t="shared" si="27"/>
        <v>46836</v>
      </c>
      <c r="BL58" s="108">
        <f t="shared" si="10"/>
        <v>0</v>
      </c>
      <c r="BM58" s="2">
        <f>IF(AND(G13&gt;=$X$11,G13&lt;=$X$11+5),0,IF($C$9&gt;$AG$51,ROUND(BH12*IF(#REF!="",0,#REF!)/(DATEVALUE(CONCATENATE("01/01/",YEAR(AR13)+1))-DATEVALUE(CONCATENATE("01/01/",YEAR(AR13))))*(AR13-AR12),2),0))</f>
        <v>0</v>
      </c>
    </row>
    <row r="59" spans="1:65" s="16" customFormat="1" x14ac:dyDescent="0.3">
      <c r="A59" s="178"/>
      <c r="B59" s="178"/>
      <c r="C59" s="184"/>
      <c r="D59" s="178"/>
      <c r="E59" s="178"/>
      <c r="F59" s="178"/>
      <c r="G59" s="244">
        <f t="shared" si="28"/>
        <v>51</v>
      </c>
      <c r="H59" s="245">
        <f t="shared" si="40"/>
        <v>46867</v>
      </c>
      <c r="I59" s="246">
        <f t="shared" si="41"/>
        <v>0.23899999999999999</v>
      </c>
      <c r="J59" s="242">
        <f t="shared" si="2"/>
        <v>0</v>
      </c>
      <c r="K59" s="242">
        <f t="shared" si="46"/>
        <v>0</v>
      </c>
      <c r="L59" s="242">
        <f t="shared" si="12"/>
        <v>0</v>
      </c>
      <c r="M59" s="242">
        <f t="shared" si="23"/>
        <v>0</v>
      </c>
      <c r="N59" s="242">
        <f t="shared" si="42"/>
        <v>0</v>
      </c>
      <c r="O59" s="242">
        <v>0</v>
      </c>
      <c r="P59" s="242">
        <f t="shared" si="24"/>
        <v>0</v>
      </c>
      <c r="Q59" s="242">
        <f t="shared" si="32"/>
        <v>0</v>
      </c>
      <c r="R59" s="242">
        <f t="shared" si="13"/>
        <v>0</v>
      </c>
      <c r="S59" s="242">
        <f t="shared" si="14"/>
        <v>0</v>
      </c>
      <c r="T59" s="467">
        <f t="shared" si="47"/>
        <v>0</v>
      </c>
      <c r="U59" s="198">
        <f t="shared" si="29"/>
        <v>0</v>
      </c>
      <c r="V59" s="36">
        <f t="shared" si="15"/>
        <v>0</v>
      </c>
      <c r="W59" s="36">
        <f t="shared" si="16"/>
        <v>0</v>
      </c>
      <c r="X59" s="2" t="e">
        <f>IF(AND(G24&gt;=$X$11,G24&lt;=$X$11+5),0,IF($C$9&gt;$AG$51,ROUND(S23*#REF!/(DATEVALUE(CONCATENATE("01/01/",YEAR(H24)+1))-DATEVALUE(CONCATENATE("01/01/",YEAR(H24))))*(H24-H23),2),0))</f>
        <v>#REF!</v>
      </c>
      <c r="Y59" s="34">
        <f t="shared" si="53"/>
        <v>2407</v>
      </c>
      <c r="Z59" s="57">
        <f t="shared" si="49"/>
        <v>51155</v>
      </c>
      <c r="AB59" s="171">
        <v>1000000</v>
      </c>
      <c r="AC59" s="171">
        <v>1000000</v>
      </c>
      <c r="AD59" s="144" t="s">
        <v>330</v>
      </c>
      <c r="AE59" s="144" t="s">
        <v>111</v>
      </c>
      <c r="AF59" s="145" t="s">
        <v>114</v>
      </c>
      <c r="AG59" s="144" t="s">
        <v>367</v>
      </c>
      <c r="AH59" s="2" t="s">
        <v>35</v>
      </c>
      <c r="AI59" s="144" t="s">
        <v>118</v>
      </c>
      <c r="AJ59" s="144" t="s">
        <v>119</v>
      </c>
      <c r="AK59" s="145" t="s">
        <v>120</v>
      </c>
      <c r="AL59" s="2" t="s">
        <v>35</v>
      </c>
      <c r="AM59" s="2" t="e">
        <f>IF(AND(Z15&gt;=$X$11,Z15&lt;=$X$11+5),0,IF($C$9&gt;$AG$51,ROUND(AJ19*#REF!/(DATEVALUE(CONCATENATE("01/01/",YEAR(AA15)+1))-DATEVALUE(CONCATENATE("01/01/",YEAR(AA15))))*(AA15-AA14),2),0))</f>
        <v>#REF!</v>
      </c>
      <c r="AN59" s="34">
        <f t="shared" si="55"/>
        <v>2344</v>
      </c>
      <c r="AO59" s="57">
        <f t="shared" si="52"/>
        <v>49695</v>
      </c>
      <c r="AP59" s="130">
        <f t="shared" si="17"/>
        <v>0</v>
      </c>
      <c r="AQ59" s="553">
        <f t="shared" si="30"/>
        <v>51</v>
      </c>
      <c r="AR59" s="554">
        <f t="shared" si="43"/>
        <v>46867</v>
      </c>
      <c r="AS59" s="555">
        <f t="shared" si="54"/>
        <v>0.29899999999999999</v>
      </c>
      <c r="AT59" s="546">
        <f t="shared" si="18"/>
        <v>0</v>
      </c>
      <c r="AU59" s="546">
        <f t="shared" si="25"/>
        <v>0</v>
      </c>
      <c r="AV59" s="546">
        <f t="shared" si="44"/>
        <v>0</v>
      </c>
      <c r="AW59" s="546">
        <f t="shared" si="19"/>
        <v>0</v>
      </c>
      <c r="AX59" s="546">
        <f t="shared" si="45"/>
        <v>0</v>
      </c>
      <c r="AY59" s="546">
        <v>0</v>
      </c>
      <c r="AZ59" s="546">
        <f t="shared" si="20"/>
        <v>0</v>
      </c>
      <c r="BA59" s="546">
        <f t="shared" si="36"/>
        <v>0</v>
      </c>
      <c r="BB59" s="546">
        <f t="shared" si="35"/>
        <v>0</v>
      </c>
      <c r="BC59" s="546"/>
      <c r="BD59" s="546"/>
      <c r="BE59" s="546"/>
      <c r="BF59" s="546"/>
      <c r="BG59" s="546"/>
      <c r="BH59" s="546">
        <f t="shared" si="22"/>
        <v>0</v>
      </c>
      <c r="BI59" s="108">
        <f t="shared" si="31"/>
        <v>0</v>
      </c>
      <c r="BJ59" s="108">
        <f t="shared" si="26"/>
        <v>0</v>
      </c>
      <c r="BK59" s="22">
        <f t="shared" si="27"/>
        <v>46867</v>
      </c>
      <c r="BL59" s="108">
        <f t="shared" si="10"/>
        <v>0</v>
      </c>
      <c r="BM59" s="2">
        <f>IF(AND(G14&gt;=$X$11,G14&lt;=$X$11+5),0,IF($C$9&gt;$AG$51,ROUND(BH13*IF(#REF!="",0,#REF!)/(DATEVALUE(CONCATENATE("01/01/",YEAR(AR14)+1))-DATEVALUE(CONCATENATE("01/01/",YEAR(AR14))))*(AR14-AR13),2),0))</f>
        <v>0</v>
      </c>
    </row>
    <row r="60" spans="1:65" s="16" customFormat="1" x14ac:dyDescent="0.3">
      <c r="A60" s="178"/>
      <c r="B60" s="178"/>
      <c r="C60" s="525"/>
      <c r="D60" s="182"/>
      <c r="E60" s="178"/>
      <c r="F60" s="178"/>
      <c r="G60" s="244">
        <f t="shared" si="28"/>
        <v>52</v>
      </c>
      <c r="H60" s="245">
        <f t="shared" si="40"/>
        <v>46897</v>
      </c>
      <c r="I60" s="246">
        <f t="shared" si="41"/>
        <v>0.23899999999999999</v>
      </c>
      <c r="J60" s="242">
        <f t="shared" si="2"/>
        <v>0</v>
      </c>
      <c r="K60" s="242">
        <f t="shared" si="46"/>
        <v>0</v>
      </c>
      <c r="L60" s="242">
        <f t="shared" si="12"/>
        <v>0</v>
      </c>
      <c r="M60" s="242">
        <f t="shared" si="23"/>
        <v>0</v>
      </c>
      <c r="N60" s="242">
        <f t="shared" si="42"/>
        <v>0</v>
      </c>
      <c r="O60" s="242">
        <v>0</v>
      </c>
      <c r="P60" s="242">
        <f t="shared" si="24"/>
        <v>0</v>
      </c>
      <c r="Q60" s="242">
        <f t="shared" si="32"/>
        <v>0</v>
      </c>
      <c r="R60" s="242">
        <f t="shared" si="13"/>
        <v>0</v>
      </c>
      <c r="S60" s="242">
        <f t="shared" si="14"/>
        <v>0</v>
      </c>
      <c r="T60" s="467">
        <f t="shared" si="47"/>
        <v>0</v>
      </c>
      <c r="U60" s="198">
        <f t="shared" si="29"/>
        <v>0</v>
      </c>
      <c r="V60" s="36">
        <f t="shared" si="15"/>
        <v>0</v>
      </c>
      <c r="W60" s="36">
        <f t="shared" si="16"/>
        <v>0</v>
      </c>
      <c r="X60" s="2" t="e">
        <f>IF(AND(G25&gt;=$X$11,G25&lt;=$X$11+5),0,IF($C$9&gt;$AG$51,ROUND(S24*#REF!/(DATEVALUE(CONCATENATE("01/01/",YEAR(H25)+1))-DATEVALUE(CONCATENATE("01/01/",YEAR(H25))))*(H25-H24),2),0))</f>
        <v>#REF!</v>
      </c>
      <c r="Y60" s="34">
        <f t="shared" si="53"/>
        <v>2407</v>
      </c>
      <c r="Z60" s="57">
        <f t="shared" si="49"/>
        <v>51520</v>
      </c>
      <c r="AB60" s="171"/>
      <c r="AC60" s="171">
        <v>3000000</v>
      </c>
      <c r="AD60" s="133" t="s">
        <v>318</v>
      </c>
      <c r="AE60" s="155"/>
      <c r="AF60" s="155"/>
      <c r="AG60" s="155"/>
      <c r="AH60" s="155"/>
      <c r="AI60" s="155"/>
      <c r="AJ60" s="155"/>
      <c r="AK60" s="155"/>
      <c r="AL60" s="2"/>
      <c r="AM60" s="2" t="e">
        <f>IF(AND(Z16&gt;=$X$11,Z16&lt;=$X$11+5),0,IF($C$9&gt;$AG$51,ROUND(AJ20*#REF!/(DATEVALUE(CONCATENATE("01/01/",YEAR(AA16)+1))-DATEVALUE(CONCATENATE("01/01/",YEAR(AA16))))*(AA16-AA15),2),0))</f>
        <v>#REF!</v>
      </c>
      <c r="AN60" s="34">
        <f t="shared" si="55"/>
        <v>2344</v>
      </c>
      <c r="AO60" s="57">
        <f t="shared" si="52"/>
        <v>50060</v>
      </c>
      <c r="AP60" s="130">
        <f t="shared" si="17"/>
        <v>0</v>
      </c>
      <c r="AQ60" s="553">
        <f t="shared" si="30"/>
        <v>52</v>
      </c>
      <c r="AR60" s="554">
        <f t="shared" si="43"/>
        <v>46897</v>
      </c>
      <c r="AS60" s="555">
        <f t="shared" si="54"/>
        <v>0.29899999999999999</v>
      </c>
      <c r="AT60" s="546">
        <f t="shared" si="18"/>
        <v>0</v>
      </c>
      <c r="AU60" s="546">
        <f t="shared" si="25"/>
        <v>0</v>
      </c>
      <c r="AV60" s="546">
        <f t="shared" si="44"/>
        <v>0</v>
      </c>
      <c r="AW60" s="546">
        <f t="shared" si="19"/>
        <v>0</v>
      </c>
      <c r="AX60" s="546">
        <f t="shared" si="45"/>
        <v>0</v>
      </c>
      <c r="AY60" s="546">
        <v>0</v>
      </c>
      <c r="AZ60" s="546">
        <f t="shared" si="20"/>
        <v>0</v>
      </c>
      <c r="BA60" s="546">
        <f t="shared" si="36"/>
        <v>0</v>
      </c>
      <c r="BB60" s="546">
        <f t="shared" si="35"/>
        <v>0</v>
      </c>
      <c r="BC60" s="546"/>
      <c r="BD60" s="546"/>
      <c r="BE60" s="546"/>
      <c r="BF60" s="546"/>
      <c r="BG60" s="546"/>
      <c r="BH60" s="546">
        <f t="shared" si="22"/>
        <v>0</v>
      </c>
      <c r="BI60" s="108">
        <f t="shared" si="31"/>
        <v>0</v>
      </c>
      <c r="BJ60" s="108">
        <f t="shared" si="26"/>
        <v>0</v>
      </c>
      <c r="BK60" s="22">
        <f t="shared" si="27"/>
        <v>46897</v>
      </c>
      <c r="BL60" s="108">
        <f t="shared" si="10"/>
        <v>0</v>
      </c>
      <c r="BM60" s="2" t="e">
        <f>IF(AND(G15&gt;=$X$11,G15&lt;=$X$11+5),0,IF($C$9&gt;$AG$51,ROUND(BH14*IF(#REF!="",0,#REF!)/(DATEVALUE(CONCATENATE("01/01/",YEAR(AR15)+1))-DATEVALUE(CONCATENATE("01/01/",YEAR(AR15))))*(AR15-AR14),2),0))</f>
        <v>#REF!</v>
      </c>
    </row>
    <row r="61" spans="1:65" s="16" customFormat="1" ht="15.75" customHeight="1" x14ac:dyDescent="0.3">
      <c r="A61" s="178"/>
      <c r="B61" s="178"/>
      <c r="C61" s="184"/>
      <c r="D61" s="182"/>
      <c r="E61" s="178"/>
      <c r="F61" s="178"/>
      <c r="G61" s="244">
        <f t="shared" si="28"/>
        <v>53</v>
      </c>
      <c r="H61" s="245">
        <f t="shared" si="40"/>
        <v>46928</v>
      </c>
      <c r="I61" s="246">
        <f t="shared" si="41"/>
        <v>0.23899999999999999</v>
      </c>
      <c r="J61" s="242">
        <f t="shared" si="2"/>
        <v>0</v>
      </c>
      <c r="K61" s="242">
        <f t="shared" si="46"/>
        <v>0</v>
      </c>
      <c r="L61" s="242">
        <f t="shared" si="12"/>
        <v>0</v>
      </c>
      <c r="M61" s="242">
        <f t="shared" si="23"/>
        <v>0</v>
      </c>
      <c r="N61" s="242">
        <f t="shared" si="42"/>
        <v>0</v>
      </c>
      <c r="O61" s="242">
        <v>0</v>
      </c>
      <c r="P61" s="242">
        <f t="shared" si="24"/>
        <v>0</v>
      </c>
      <c r="Q61" s="242">
        <f t="shared" si="32"/>
        <v>0</v>
      </c>
      <c r="R61" s="242">
        <f t="shared" si="13"/>
        <v>0</v>
      </c>
      <c r="S61" s="242">
        <f t="shared" si="14"/>
        <v>0</v>
      </c>
      <c r="T61" s="467">
        <f t="shared" si="47"/>
        <v>0</v>
      </c>
      <c r="U61" s="198">
        <f t="shared" si="29"/>
        <v>0</v>
      </c>
      <c r="V61" s="36">
        <f t="shared" si="15"/>
        <v>0</v>
      </c>
      <c r="W61" s="36">
        <f t="shared" si="16"/>
        <v>0</v>
      </c>
      <c r="X61" s="2" t="e">
        <f>IF(AND(G26&gt;=$X$11,G26&lt;=$X$11+5),0,IF($C$9&gt;$AG$51,ROUND(S25*#REF!/(DATEVALUE(CONCATENATE("01/01/",YEAR(H26)+1))-DATEVALUE(CONCATENATE("01/01/",YEAR(H26))))*(H26-H25),2),0))</f>
        <v>#REF!</v>
      </c>
      <c r="Y61" s="34">
        <f t="shared" si="53"/>
        <v>2407</v>
      </c>
      <c r="Z61" s="57">
        <f t="shared" si="49"/>
        <v>51885</v>
      </c>
      <c r="AC61" s="172"/>
      <c r="AD61" s="133">
        <v>3.5000000000000001E-3</v>
      </c>
      <c r="AE61" s="133">
        <v>3.5000000000000001E-3</v>
      </c>
      <c r="AF61" s="133">
        <v>2.5000000000000001E-3</v>
      </c>
      <c r="AG61" s="133">
        <v>3.5000000000000001E-3</v>
      </c>
      <c r="AH61" s="133">
        <v>0</v>
      </c>
      <c r="AI61" s="133">
        <v>1E-3</v>
      </c>
      <c r="AJ61" s="133">
        <v>4.0000000000000001E-3</v>
      </c>
      <c r="AK61" s="133">
        <v>0</v>
      </c>
      <c r="AL61" s="2"/>
      <c r="AM61" s="2" t="e">
        <f>IF(AND(Z17&gt;=$X$11,Z17&lt;=$X$11+5),0,IF($C$9&gt;$AG$51,ROUND(AJ21*#REF!/(DATEVALUE(CONCATENATE("01/01/",YEAR(AA17)+1))-DATEVALUE(CONCATENATE("01/01/",YEAR(AA17))))*(AA17-AA16),2),0))</f>
        <v>#REF!</v>
      </c>
      <c r="AN61" s="34">
        <f t="shared" si="55"/>
        <v>2344</v>
      </c>
      <c r="AO61" s="57">
        <f t="shared" si="52"/>
        <v>50425</v>
      </c>
      <c r="AP61" s="130">
        <f t="shared" si="17"/>
        <v>0</v>
      </c>
      <c r="AQ61" s="553">
        <f t="shared" si="30"/>
        <v>53</v>
      </c>
      <c r="AR61" s="554">
        <f t="shared" si="43"/>
        <v>46928</v>
      </c>
      <c r="AS61" s="555">
        <f t="shared" si="54"/>
        <v>0.29899999999999999</v>
      </c>
      <c r="AT61" s="546">
        <f t="shared" si="18"/>
        <v>0</v>
      </c>
      <c r="AU61" s="546">
        <f t="shared" si="25"/>
        <v>0</v>
      </c>
      <c r="AV61" s="546">
        <f t="shared" si="44"/>
        <v>0</v>
      </c>
      <c r="AW61" s="546">
        <f t="shared" si="19"/>
        <v>0</v>
      </c>
      <c r="AX61" s="546">
        <f t="shared" si="45"/>
        <v>0</v>
      </c>
      <c r="AY61" s="546">
        <v>0</v>
      </c>
      <c r="AZ61" s="546">
        <f t="shared" si="20"/>
        <v>0</v>
      </c>
      <c r="BA61" s="546">
        <f t="shared" si="36"/>
        <v>0</v>
      </c>
      <c r="BB61" s="546">
        <f t="shared" si="35"/>
        <v>0</v>
      </c>
      <c r="BC61" s="546"/>
      <c r="BD61" s="546"/>
      <c r="BE61" s="546"/>
      <c r="BF61" s="546"/>
      <c r="BG61" s="546"/>
      <c r="BH61" s="546">
        <f t="shared" si="22"/>
        <v>0</v>
      </c>
      <c r="BI61" s="108">
        <f t="shared" si="31"/>
        <v>0</v>
      </c>
      <c r="BJ61" s="108">
        <f t="shared" si="26"/>
        <v>0</v>
      </c>
      <c r="BK61" s="22">
        <f t="shared" si="27"/>
        <v>46928</v>
      </c>
      <c r="BL61" s="108">
        <f t="shared" si="10"/>
        <v>0</v>
      </c>
      <c r="BM61" s="2" t="e">
        <f>IF(AND(G16&gt;=$X$11,G16&lt;=$X$11+5),0,IF($C$9&gt;$AG$51,ROUND(BH15*IF(#REF!="",0,#REF!)/(DATEVALUE(CONCATENATE("01/01/",YEAR(AR16)+1))-DATEVALUE(CONCATENATE("01/01/",YEAR(AR16))))*(AR16-AR15),2),0))</f>
        <v>#REF!</v>
      </c>
    </row>
    <row r="62" spans="1:65" s="16" customFormat="1" x14ac:dyDescent="0.3">
      <c r="A62" s="178"/>
      <c r="B62" s="178"/>
      <c r="C62" s="184"/>
      <c r="D62" s="178"/>
      <c r="E62" s="178"/>
      <c r="F62" s="178"/>
      <c r="G62" s="244">
        <f t="shared" si="28"/>
        <v>54</v>
      </c>
      <c r="H62" s="245">
        <f t="shared" si="40"/>
        <v>46958</v>
      </c>
      <c r="I62" s="246">
        <f t="shared" si="41"/>
        <v>0.23899999999999999</v>
      </c>
      <c r="J62" s="242">
        <f t="shared" si="2"/>
        <v>0</v>
      </c>
      <c r="K62" s="242">
        <f t="shared" si="46"/>
        <v>0</v>
      </c>
      <c r="L62" s="242">
        <f t="shared" si="12"/>
        <v>0</v>
      </c>
      <c r="M62" s="242">
        <f t="shared" si="23"/>
        <v>0</v>
      </c>
      <c r="N62" s="242">
        <f t="shared" si="42"/>
        <v>0</v>
      </c>
      <c r="O62" s="242">
        <v>0</v>
      </c>
      <c r="P62" s="242">
        <f t="shared" si="24"/>
        <v>0</v>
      </c>
      <c r="Q62" s="242">
        <f t="shared" si="32"/>
        <v>0</v>
      </c>
      <c r="R62" s="242">
        <f t="shared" si="13"/>
        <v>0</v>
      </c>
      <c r="S62" s="242">
        <f t="shared" si="14"/>
        <v>0</v>
      </c>
      <c r="T62" s="467">
        <f t="shared" si="47"/>
        <v>0</v>
      </c>
      <c r="U62" s="198">
        <f t="shared" si="29"/>
        <v>0</v>
      </c>
      <c r="V62" s="36">
        <f t="shared" si="15"/>
        <v>0</v>
      </c>
      <c r="W62" s="36">
        <f t="shared" si="16"/>
        <v>0</v>
      </c>
      <c r="X62" s="2" t="e">
        <f>IF(AND(G27&gt;=$X$11,G27&lt;=$X$11+5),0,IF($C$9&gt;$AG$51,ROUND(S26*#REF!/(DATEVALUE(CONCATENATE("01/01/",YEAR(H27)+1))-DATEVALUE(CONCATENATE("01/01/",YEAR(H27))))*(H27-H26),2),0))</f>
        <v>#REF!</v>
      </c>
      <c r="Y62" s="34">
        <f t="shared" si="53"/>
        <v>2407</v>
      </c>
      <c r="Z62" s="57">
        <f t="shared" si="49"/>
        <v>52250</v>
      </c>
      <c r="AD62" s="133">
        <v>3.0000000000000001E-3</v>
      </c>
      <c r="AE62" s="133">
        <v>3.0000000000000001E-3</v>
      </c>
      <c r="AF62" s="133">
        <v>2.5000000000000001E-3</v>
      </c>
      <c r="AG62" s="133">
        <v>3.0000000000000001E-3</v>
      </c>
      <c r="AH62" s="133">
        <v>0</v>
      </c>
      <c r="AI62" s="133">
        <v>1E-3</v>
      </c>
      <c r="AJ62" s="133">
        <v>4.0000000000000001E-3</v>
      </c>
      <c r="AK62" s="133">
        <v>0</v>
      </c>
      <c r="AL62" s="2"/>
      <c r="AM62" s="2" t="e">
        <f>IF(AND(Z18&gt;=$X$11,Z18&lt;=$X$11+5),0,IF($C$9&gt;$AG$51,ROUND(AJ22*#REF!/(DATEVALUE(CONCATENATE("01/01/",YEAR(AA18)+1))-DATEVALUE(CONCATENATE("01/01/",YEAR(AA18))))*(AA18-AA17),2),0))</f>
        <v>#REF!</v>
      </c>
      <c r="AN62" s="34">
        <f t="shared" si="55"/>
        <v>2344</v>
      </c>
      <c r="AO62" s="57">
        <f t="shared" si="52"/>
        <v>50790</v>
      </c>
      <c r="AP62" s="130">
        <f t="shared" si="17"/>
        <v>0</v>
      </c>
      <c r="AQ62" s="553">
        <f t="shared" si="30"/>
        <v>54</v>
      </c>
      <c r="AR62" s="554">
        <f t="shared" si="43"/>
        <v>46958</v>
      </c>
      <c r="AS62" s="555">
        <f t="shared" si="54"/>
        <v>0.29899999999999999</v>
      </c>
      <c r="AT62" s="546">
        <f t="shared" si="18"/>
        <v>0</v>
      </c>
      <c r="AU62" s="546">
        <f t="shared" si="25"/>
        <v>0</v>
      </c>
      <c r="AV62" s="546">
        <f t="shared" si="44"/>
        <v>0</v>
      </c>
      <c r="AW62" s="546">
        <f t="shared" si="19"/>
        <v>0</v>
      </c>
      <c r="AX62" s="546">
        <f t="shared" si="45"/>
        <v>0</v>
      </c>
      <c r="AY62" s="546">
        <v>0</v>
      </c>
      <c r="AZ62" s="546">
        <f t="shared" si="20"/>
        <v>0</v>
      </c>
      <c r="BA62" s="546">
        <f t="shared" si="36"/>
        <v>0</v>
      </c>
      <c r="BB62" s="546">
        <f t="shared" si="35"/>
        <v>0</v>
      </c>
      <c r="BC62" s="546"/>
      <c r="BD62" s="546"/>
      <c r="BE62" s="546"/>
      <c r="BF62" s="546"/>
      <c r="BG62" s="546"/>
      <c r="BH62" s="546">
        <f t="shared" si="22"/>
        <v>0</v>
      </c>
      <c r="BI62" s="108">
        <f t="shared" si="31"/>
        <v>0</v>
      </c>
      <c r="BJ62" s="108">
        <f t="shared" si="26"/>
        <v>0</v>
      </c>
      <c r="BK62" s="22">
        <f t="shared" si="27"/>
        <v>46958</v>
      </c>
      <c r="BL62" s="108">
        <f t="shared" si="10"/>
        <v>0</v>
      </c>
      <c r="BM62" s="2" t="e">
        <f>IF(AND(G17&gt;=$X$11,G17&lt;=$X$11+5),0,IF($C$9&gt;$AG$51,ROUND(BH16*IF(#REF!="",0,#REF!)/(DATEVALUE(CONCATENATE("01/01/",YEAR(AR17)+1))-DATEVALUE(CONCATENATE("01/01/",YEAR(AR17))))*(AR17-AR16),2),0))</f>
        <v>#REF!</v>
      </c>
    </row>
    <row r="63" spans="1:65" s="16" customFormat="1" x14ac:dyDescent="0.3">
      <c r="A63" s="178"/>
      <c r="B63" s="178"/>
      <c r="C63" s="184"/>
      <c r="D63" s="178"/>
      <c r="E63" s="178"/>
      <c r="F63" s="178"/>
      <c r="G63" s="244">
        <f t="shared" si="28"/>
        <v>55</v>
      </c>
      <c r="H63" s="245">
        <f t="shared" si="40"/>
        <v>46989</v>
      </c>
      <c r="I63" s="246">
        <f t="shared" si="41"/>
        <v>0.23899999999999999</v>
      </c>
      <c r="J63" s="242">
        <f t="shared" si="2"/>
        <v>0</v>
      </c>
      <c r="K63" s="242">
        <f t="shared" si="46"/>
        <v>0</v>
      </c>
      <c r="L63" s="242">
        <f t="shared" si="12"/>
        <v>0</v>
      </c>
      <c r="M63" s="242">
        <f t="shared" si="23"/>
        <v>0</v>
      </c>
      <c r="N63" s="242">
        <f t="shared" si="42"/>
        <v>0</v>
      </c>
      <c r="O63" s="242">
        <v>0</v>
      </c>
      <c r="P63" s="242">
        <f t="shared" si="24"/>
        <v>0</v>
      </c>
      <c r="Q63" s="242">
        <f t="shared" si="32"/>
        <v>0</v>
      </c>
      <c r="R63" s="242">
        <f t="shared" si="13"/>
        <v>0</v>
      </c>
      <c r="S63" s="242">
        <f t="shared" si="14"/>
        <v>0</v>
      </c>
      <c r="T63" s="467">
        <f t="shared" si="47"/>
        <v>0</v>
      </c>
      <c r="U63" s="198">
        <f t="shared" si="29"/>
        <v>0</v>
      </c>
      <c r="V63" s="36">
        <f t="shared" si="15"/>
        <v>0</v>
      </c>
      <c r="W63" s="36">
        <f t="shared" si="16"/>
        <v>0</v>
      </c>
      <c r="X63" s="2" t="e">
        <f>IF(AND(G28&gt;=$X$11,G28&lt;=$X$11+5),0,IF($C$9&gt;$AG$51,ROUND(S27*#REF!/(DATEVALUE(CONCATENATE("01/01/",YEAR(H28)+1))-DATEVALUE(CONCATENATE("01/01/",YEAR(H28))))*(H28-H27),2),0))</f>
        <v>#REF!</v>
      </c>
      <c r="Y63" s="34">
        <f t="shared" si="53"/>
        <v>2407</v>
      </c>
      <c r="Z63" s="57">
        <f t="shared" si="49"/>
        <v>52615</v>
      </c>
      <c r="AD63" s="133">
        <v>2.5000000000000001E-3</v>
      </c>
      <c r="AE63" s="133">
        <v>2.5000000000000001E-3</v>
      </c>
      <c r="AF63" s="133">
        <v>2.5000000000000001E-3</v>
      </c>
      <c r="AG63" s="133">
        <v>2.5000000000000001E-3</v>
      </c>
      <c r="AH63" s="133">
        <v>0</v>
      </c>
      <c r="AI63" s="133">
        <v>1E-3</v>
      </c>
      <c r="AJ63" s="133">
        <v>3.2000000000000002E-3</v>
      </c>
      <c r="AK63" s="133">
        <v>0</v>
      </c>
      <c r="AM63" s="2" t="e">
        <f>IF(AND(Z19&gt;=$X$11,Z19&lt;=$X$11+5),0,IF($C$9&gt;$AG$51,ROUND(AJ23*#REF!/(DATEVALUE(CONCATENATE("01/01/",YEAR(AA19)+1))-DATEVALUE(CONCATENATE("01/01/",YEAR(AA19))))*(AA19-AA18),2),0))</f>
        <v>#REF!</v>
      </c>
      <c r="AN63" s="34">
        <f t="shared" si="55"/>
        <v>2344</v>
      </c>
      <c r="AO63" s="57">
        <f t="shared" si="52"/>
        <v>51155</v>
      </c>
      <c r="AP63" s="130">
        <f t="shared" si="17"/>
        <v>0</v>
      </c>
      <c r="AQ63" s="553">
        <f t="shared" si="30"/>
        <v>55</v>
      </c>
      <c r="AR63" s="554">
        <f t="shared" si="43"/>
        <v>46989</v>
      </c>
      <c r="AS63" s="555">
        <f t="shared" si="54"/>
        <v>0.29899999999999999</v>
      </c>
      <c r="AT63" s="546">
        <f t="shared" si="18"/>
        <v>0</v>
      </c>
      <c r="AU63" s="546">
        <f t="shared" si="25"/>
        <v>0</v>
      </c>
      <c r="AV63" s="546">
        <f t="shared" si="44"/>
        <v>0</v>
      </c>
      <c r="AW63" s="546">
        <f t="shared" si="19"/>
        <v>0</v>
      </c>
      <c r="AX63" s="546">
        <f t="shared" si="45"/>
        <v>0</v>
      </c>
      <c r="AY63" s="546">
        <v>0</v>
      </c>
      <c r="AZ63" s="546">
        <f t="shared" si="20"/>
        <v>0</v>
      </c>
      <c r="BA63" s="546">
        <f t="shared" si="36"/>
        <v>0</v>
      </c>
      <c r="BB63" s="546">
        <f t="shared" si="35"/>
        <v>0</v>
      </c>
      <c r="BC63" s="546"/>
      <c r="BD63" s="546"/>
      <c r="BE63" s="546"/>
      <c r="BF63" s="546"/>
      <c r="BG63" s="546"/>
      <c r="BH63" s="546">
        <f t="shared" si="22"/>
        <v>0</v>
      </c>
      <c r="BI63" s="108">
        <f t="shared" si="31"/>
        <v>0</v>
      </c>
      <c r="BJ63" s="108">
        <f t="shared" si="26"/>
        <v>0</v>
      </c>
      <c r="BK63" s="22">
        <f t="shared" si="27"/>
        <v>46989</v>
      </c>
      <c r="BL63" s="108">
        <f t="shared" si="10"/>
        <v>0</v>
      </c>
      <c r="BM63" s="2" t="e">
        <f>IF(AND(G18&gt;=$X$11,G18&lt;=$X$11+5),0,IF($C$9&gt;$AG$51,ROUND(BH17*IF(#REF!="",0,#REF!)/(DATEVALUE(CONCATENATE("01/01/",YEAR(AR18)+1))-DATEVALUE(CONCATENATE("01/01/",YEAR(AR18))))*(AR18-AR17),2),0))</f>
        <v>#REF!</v>
      </c>
    </row>
    <row r="64" spans="1:65" s="16" customFormat="1" x14ac:dyDescent="0.3">
      <c r="A64" s="178"/>
      <c r="B64" s="178"/>
      <c r="C64" s="184"/>
      <c r="D64" s="178"/>
      <c r="E64" s="178"/>
      <c r="F64" s="178"/>
      <c r="G64" s="244">
        <f t="shared" si="28"/>
        <v>56</v>
      </c>
      <c r="H64" s="245">
        <f t="shared" si="40"/>
        <v>47020</v>
      </c>
      <c r="I64" s="246">
        <f t="shared" si="41"/>
        <v>0.23899999999999999</v>
      </c>
      <c r="J64" s="242">
        <f t="shared" si="2"/>
        <v>0</v>
      </c>
      <c r="K64" s="242">
        <f t="shared" si="46"/>
        <v>0</v>
      </c>
      <c r="L64" s="242">
        <f t="shared" si="12"/>
        <v>0</v>
      </c>
      <c r="M64" s="242">
        <f t="shared" si="23"/>
        <v>0</v>
      </c>
      <c r="N64" s="242">
        <f t="shared" si="42"/>
        <v>0</v>
      </c>
      <c r="O64" s="242">
        <v>0</v>
      </c>
      <c r="P64" s="242">
        <f t="shared" si="24"/>
        <v>0</v>
      </c>
      <c r="Q64" s="242">
        <f t="shared" si="32"/>
        <v>0</v>
      </c>
      <c r="R64" s="242">
        <f t="shared" si="13"/>
        <v>0</v>
      </c>
      <c r="S64" s="242">
        <f t="shared" si="14"/>
        <v>0</v>
      </c>
      <c r="T64" s="467">
        <f t="shared" si="47"/>
        <v>0</v>
      </c>
      <c r="U64" s="198">
        <f t="shared" si="29"/>
        <v>0</v>
      </c>
      <c r="V64" s="36">
        <f t="shared" si="15"/>
        <v>0</v>
      </c>
      <c r="W64" s="36">
        <f t="shared" si="16"/>
        <v>0</v>
      </c>
      <c r="X64" s="2" t="e">
        <f>IF(AND(G29&gt;=$X$11,G29&lt;=$X$11+5),0,IF($C$9&gt;$AG$51,ROUND(S28*#REF!/(DATEVALUE(CONCATENATE("01/01/",YEAR(H29)+1))-DATEVALUE(CONCATENATE("01/01/",YEAR(H29))))*(H29-H28),2),0))</f>
        <v>#REF!</v>
      </c>
      <c r="Y64" s="34">
        <f t="shared" si="53"/>
        <v>2407</v>
      </c>
      <c r="Z64" s="57">
        <f t="shared" si="49"/>
        <v>52980</v>
      </c>
      <c r="AD64" s="133">
        <v>2E-3</v>
      </c>
      <c r="AE64" s="133">
        <v>2E-3</v>
      </c>
      <c r="AF64" s="155"/>
      <c r="AG64" s="133">
        <v>2E-3</v>
      </c>
      <c r="AH64" s="133">
        <v>0</v>
      </c>
      <c r="AI64" s="133">
        <v>1E-3</v>
      </c>
      <c r="AJ64" s="133">
        <v>2E-3</v>
      </c>
      <c r="AK64" s="133">
        <v>0</v>
      </c>
      <c r="AM64" s="2" t="e">
        <f>IF(AND(Z20&gt;=$X$11,Z20&lt;=$X$11+5),0,IF($C$9&gt;$AG$51,ROUND(AJ24*#REF!/(DATEVALUE(CONCATENATE("01/01/",YEAR(AA20)+1))-DATEVALUE(CONCATENATE("01/01/",YEAR(AA20))))*(AA20-AA19),2),0))</f>
        <v>#REF!</v>
      </c>
      <c r="AN64" s="34">
        <f t="shared" si="55"/>
        <v>2344</v>
      </c>
      <c r="AO64" s="57">
        <f t="shared" si="52"/>
        <v>51520</v>
      </c>
      <c r="AP64" s="130">
        <f t="shared" si="17"/>
        <v>0</v>
      </c>
      <c r="AQ64" s="553">
        <f t="shared" si="30"/>
        <v>56</v>
      </c>
      <c r="AR64" s="554">
        <f t="shared" si="43"/>
        <v>47020</v>
      </c>
      <c r="AS64" s="555">
        <f t="shared" si="54"/>
        <v>0.29899999999999999</v>
      </c>
      <c r="AT64" s="546">
        <f t="shared" si="18"/>
        <v>0</v>
      </c>
      <c r="AU64" s="546">
        <f t="shared" si="25"/>
        <v>0</v>
      </c>
      <c r="AV64" s="546">
        <f t="shared" si="44"/>
        <v>0</v>
      </c>
      <c r="AW64" s="546">
        <f t="shared" si="19"/>
        <v>0</v>
      </c>
      <c r="AX64" s="546">
        <f t="shared" si="45"/>
        <v>0</v>
      </c>
      <c r="AY64" s="546">
        <v>0</v>
      </c>
      <c r="AZ64" s="546">
        <f t="shared" si="20"/>
        <v>0</v>
      </c>
      <c r="BA64" s="546">
        <f t="shared" si="36"/>
        <v>0</v>
      </c>
      <c r="BB64" s="546">
        <f t="shared" si="35"/>
        <v>0</v>
      </c>
      <c r="BC64" s="546"/>
      <c r="BD64" s="546"/>
      <c r="BE64" s="546"/>
      <c r="BF64" s="546"/>
      <c r="BG64" s="546"/>
      <c r="BH64" s="546">
        <f t="shared" si="22"/>
        <v>0</v>
      </c>
      <c r="BI64" s="108">
        <f t="shared" si="31"/>
        <v>0</v>
      </c>
      <c r="BJ64" s="108">
        <f t="shared" si="26"/>
        <v>0</v>
      </c>
      <c r="BK64" s="22">
        <f t="shared" si="27"/>
        <v>47020</v>
      </c>
      <c r="BL64" s="108">
        <f t="shared" si="10"/>
        <v>0</v>
      </c>
      <c r="BM64" s="2" t="e">
        <f>IF(AND(G19&gt;=$X$11,G19&lt;=$X$11+5),0,IF($C$9&gt;$AG$51,ROUND(BH18*IF(#REF!="",0,#REF!)/(DATEVALUE(CONCATENATE("01/01/",YEAR(AR19)+1))-DATEVALUE(CONCATENATE("01/01/",YEAR(AR19))))*(AR19-AR18),2),0))</f>
        <v>#REF!</v>
      </c>
    </row>
    <row r="65" spans="1:65" s="16" customFormat="1" x14ac:dyDescent="0.3">
      <c r="A65" s="178"/>
      <c r="B65" s="178"/>
      <c r="C65" s="184"/>
      <c r="D65" s="178"/>
      <c r="E65" s="178"/>
      <c r="F65" s="178"/>
      <c r="G65" s="244">
        <f t="shared" si="28"/>
        <v>57</v>
      </c>
      <c r="H65" s="245">
        <f t="shared" si="40"/>
        <v>47050</v>
      </c>
      <c r="I65" s="246">
        <f t="shared" si="41"/>
        <v>0.23899999999999999</v>
      </c>
      <c r="J65" s="242">
        <f t="shared" si="2"/>
        <v>0</v>
      </c>
      <c r="K65" s="242">
        <f t="shared" si="46"/>
        <v>0</v>
      </c>
      <c r="L65" s="242">
        <f t="shared" si="12"/>
        <v>0</v>
      </c>
      <c r="M65" s="242">
        <f t="shared" si="23"/>
        <v>0</v>
      </c>
      <c r="N65" s="242">
        <f t="shared" si="42"/>
        <v>0</v>
      </c>
      <c r="O65" s="242">
        <v>0</v>
      </c>
      <c r="P65" s="242">
        <f t="shared" si="24"/>
        <v>0</v>
      </c>
      <c r="Q65" s="242">
        <f t="shared" si="32"/>
        <v>0</v>
      </c>
      <c r="R65" s="242">
        <f t="shared" si="13"/>
        <v>0</v>
      </c>
      <c r="S65" s="242">
        <f t="shared" si="14"/>
        <v>0</v>
      </c>
      <c r="T65" s="467">
        <f t="shared" si="47"/>
        <v>0</v>
      </c>
      <c r="U65" s="198">
        <f t="shared" si="29"/>
        <v>0</v>
      </c>
      <c r="V65" s="36">
        <f t="shared" si="15"/>
        <v>0</v>
      </c>
      <c r="W65" s="36">
        <f t="shared" si="16"/>
        <v>0</v>
      </c>
      <c r="X65" s="2" t="e">
        <f>IF(AND(G30&gt;=$X$11,G30&lt;=$X$11+5),0,IF($C$9&gt;$AG$51,ROUND(S29*#REF!/(DATEVALUE(CONCATENATE("01/01/",YEAR(H30)+1))-DATEVALUE(CONCATENATE("01/01/",YEAR(H30))))*(H30-H29),2),0))</f>
        <v>#REF!</v>
      </c>
      <c r="Y65" s="34">
        <f t="shared" si="53"/>
        <v>2407</v>
      </c>
      <c r="Z65" s="57">
        <f t="shared" si="49"/>
        <v>53345</v>
      </c>
      <c r="AC65" s="2"/>
      <c r="AD65" s="66">
        <f>IF(AD79&gt;$AB$59,AD64,IF(AD79&gt;$AB$58,AD63,IF(AD79&gt;$AB$57,AD62,AD61)))</f>
        <v>3.5000000000000001E-3</v>
      </c>
      <c r="AE65" s="66">
        <f>IF(AE79&gt;$AB$59,AE64,IF(AE79&gt;$AB$58,AE63,IF(AE79&gt;$AB$57,AE62,AE61)))</f>
        <v>3.5000000000000001E-3</v>
      </c>
      <c r="AF65" s="66">
        <f>IF(AF79&gt;$AB$59,AF64,IF(AF79&gt;$AB$58,AF63,IF(AF79&gt;$AB$57,AF62,AF61)))</f>
        <v>2.5000000000000001E-3</v>
      </c>
      <c r="AG65" s="66">
        <f>IF(AG79&gt;1000000,AG64,IF(AG79&gt;500000,AG63,IF(AG79&gt;200000,AG62,AG61)))</f>
        <v>3.5000000000000001E-3</v>
      </c>
      <c r="AH65" s="66">
        <f>IF(AH79&gt;$AB$59,AH64,IF(AH79&gt;$AB$58,AH63,IF(AH79&gt;$AB$57,AH62,AH61)))</f>
        <v>0</v>
      </c>
      <c r="AI65" s="66">
        <f>IF(AI79&gt;$AB$59,AI64,IF(AI79&gt;$AB$58,AI63,IF(AI79&gt;$AB$57,AI62,AI61)))</f>
        <v>1E-3</v>
      </c>
      <c r="AJ65" s="66">
        <f t="shared" ref="AJ65" si="56">IF(AJ79&gt;$AB$59,AJ64,IF(AJ79&gt;$AB$58,AJ63,IF(AJ79&gt;$AB$57,AJ62,AJ61)))</f>
        <v>4.0000000000000001E-3</v>
      </c>
      <c r="AK65" s="15" t="s">
        <v>126</v>
      </c>
      <c r="AM65" s="2" t="e">
        <f>IF(AND(Z21&gt;=$X$11,Z21&lt;=$X$11+5),0,IF($C$9&gt;$AG$51,ROUND(AJ25*#REF!/(DATEVALUE(CONCATENATE("01/01/",YEAR(AA21)+1))-DATEVALUE(CONCATENATE("01/01/",YEAR(AA21))))*(AA21-AA20),2),0))</f>
        <v>#REF!</v>
      </c>
      <c r="AN65" s="34">
        <f t="shared" si="55"/>
        <v>2344</v>
      </c>
      <c r="AO65" s="57">
        <f t="shared" si="52"/>
        <v>51885</v>
      </c>
      <c r="AP65" s="130">
        <f t="shared" si="17"/>
        <v>0</v>
      </c>
      <c r="AQ65" s="553">
        <f t="shared" si="30"/>
        <v>57</v>
      </c>
      <c r="AR65" s="554">
        <f t="shared" si="43"/>
        <v>47050</v>
      </c>
      <c r="AS65" s="555">
        <f t="shared" si="54"/>
        <v>0.29899999999999999</v>
      </c>
      <c r="AT65" s="546">
        <f t="shared" si="18"/>
        <v>0</v>
      </c>
      <c r="AU65" s="546">
        <f t="shared" si="25"/>
        <v>0</v>
      </c>
      <c r="AV65" s="546">
        <f t="shared" si="44"/>
        <v>0</v>
      </c>
      <c r="AW65" s="546">
        <f t="shared" si="19"/>
        <v>0</v>
      </c>
      <c r="AX65" s="546">
        <f t="shared" si="45"/>
        <v>0</v>
      </c>
      <c r="AY65" s="546">
        <v>0</v>
      </c>
      <c r="AZ65" s="546">
        <f t="shared" si="20"/>
        <v>0</v>
      </c>
      <c r="BA65" s="546">
        <f t="shared" si="36"/>
        <v>0</v>
      </c>
      <c r="BB65" s="546">
        <f t="shared" si="35"/>
        <v>0</v>
      </c>
      <c r="BC65" s="546"/>
      <c r="BD65" s="546"/>
      <c r="BE65" s="546"/>
      <c r="BF65" s="546"/>
      <c r="BG65" s="546"/>
      <c r="BH65" s="546">
        <f t="shared" si="22"/>
        <v>0</v>
      </c>
      <c r="BI65" s="108">
        <f t="shared" si="31"/>
        <v>0</v>
      </c>
      <c r="BJ65" s="108">
        <f t="shared" si="26"/>
        <v>0</v>
      </c>
      <c r="BK65" s="22">
        <f t="shared" si="27"/>
        <v>47050</v>
      </c>
      <c r="BL65" s="108">
        <f t="shared" si="10"/>
        <v>0</v>
      </c>
      <c r="BM65" s="2" t="e">
        <f>IF(AND(G20&gt;=$X$11,G20&lt;=$X$11+5),0,IF($C$9&gt;$AG$51,ROUND(BH19*IF(#REF!="",0,#REF!)/(DATEVALUE(CONCATENATE("01/01/",YEAR(AR20)+1))-DATEVALUE(CONCATENATE("01/01/",YEAR(AR20))))*(AR20-AR19),2),0))</f>
        <v>#REF!</v>
      </c>
    </row>
    <row r="66" spans="1:65" s="16" customFormat="1" x14ac:dyDescent="0.3">
      <c r="A66" s="178"/>
      <c r="B66" s="178"/>
      <c r="C66" s="184"/>
      <c r="D66" s="178"/>
      <c r="E66" s="178"/>
      <c r="F66" s="178"/>
      <c r="G66" s="244">
        <f t="shared" si="28"/>
        <v>58</v>
      </c>
      <c r="H66" s="245">
        <f t="shared" si="40"/>
        <v>47081</v>
      </c>
      <c r="I66" s="246">
        <f t="shared" si="41"/>
        <v>0.23899999999999999</v>
      </c>
      <c r="J66" s="242">
        <f t="shared" si="2"/>
        <v>0</v>
      </c>
      <c r="K66" s="242">
        <f t="shared" si="46"/>
        <v>0</v>
      </c>
      <c r="L66" s="242">
        <f t="shared" si="12"/>
        <v>0</v>
      </c>
      <c r="M66" s="242">
        <f t="shared" si="23"/>
        <v>0</v>
      </c>
      <c r="N66" s="242">
        <f t="shared" si="42"/>
        <v>0</v>
      </c>
      <c r="O66" s="242">
        <v>0</v>
      </c>
      <c r="P66" s="242">
        <f t="shared" si="24"/>
        <v>0</v>
      </c>
      <c r="Q66" s="242">
        <f t="shared" si="32"/>
        <v>0</v>
      </c>
      <c r="R66" s="242">
        <f t="shared" si="13"/>
        <v>0</v>
      </c>
      <c r="S66" s="242">
        <f t="shared" si="14"/>
        <v>0</v>
      </c>
      <c r="T66" s="467">
        <f t="shared" si="47"/>
        <v>0</v>
      </c>
      <c r="U66" s="198">
        <f t="shared" si="29"/>
        <v>0</v>
      </c>
      <c r="V66" s="36">
        <f t="shared" si="15"/>
        <v>0</v>
      </c>
      <c r="W66" s="36">
        <f t="shared" si="16"/>
        <v>0</v>
      </c>
      <c r="X66" s="2" t="e">
        <f>IF(AND(G31&gt;=$X$11,G31&lt;=$X$11+5),0,IF($C$9&gt;$AG$51,ROUND(S30*#REF!/(DATEVALUE(CONCATENATE("01/01/",YEAR(H31)+1))-DATEVALUE(CONCATENATE("01/01/",YEAR(H31))))*(H31-H30),2),0))</f>
        <v>#REF!</v>
      </c>
      <c r="Y66" s="34">
        <f t="shared" si="53"/>
        <v>2407</v>
      </c>
      <c r="Z66" s="57">
        <f t="shared" si="49"/>
        <v>53710</v>
      </c>
      <c r="AB66" s="133" t="s">
        <v>96</v>
      </c>
      <c r="AC66" s="15"/>
      <c r="AD66" s="143">
        <f>AD65*AD79*IF($C$10&gt;60,60,$C$10)</f>
        <v>10080</v>
      </c>
      <c r="AE66" s="143">
        <f>AE65*AE79*IF($C$10&gt;60,60,$C$10)</f>
        <v>11088</v>
      </c>
      <c r="AF66" s="143">
        <f>AF65*AF79*IF($C$10&gt;60,60,$C$10)</f>
        <v>10800</v>
      </c>
      <c r="AG66" s="143">
        <f>AG65*AG79*IF($C$10&gt;60,60,$C$10)</f>
        <v>15120</v>
      </c>
      <c r="AH66" s="143">
        <f t="shared" ref="AH66:AI66" si="57">AH65*AH79*$C$10</f>
        <v>0</v>
      </c>
      <c r="AI66" s="143">
        <f t="shared" si="57"/>
        <v>2880</v>
      </c>
      <c r="AJ66" s="143">
        <f>AJ65*AJ79*$C$10</f>
        <v>23040</v>
      </c>
      <c r="AK66" s="143">
        <f>AJ66+AI66</f>
        <v>25920</v>
      </c>
      <c r="AM66" s="2" t="e">
        <f>IF(AND(Z22&gt;=$X$11,Z22&lt;=$X$11+5),0,IF($C$9&gt;$AG$51,ROUND(AJ26*#REF!/(DATEVALUE(CONCATENATE("01/01/",YEAR(AA22)+1))-DATEVALUE(CONCATENATE("01/01/",YEAR(AA22))))*(AA22-AA21),2),0))</f>
        <v>#REF!</v>
      </c>
      <c r="AN66" s="34">
        <f t="shared" si="55"/>
        <v>2344</v>
      </c>
      <c r="AO66" s="57">
        <f t="shared" si="52"/>
        <v>52250</v>
      </c>
      <c r="AP66" s="130">
        <f t="shared" si="17"/>
        <v>0</v>
      </c>
      <c r="AQ66" s="553">
        <f t="shared" si="30"/>
        <v>58</v>
      </c>
      <c r="AR66" s="554">
        <f t="shared" si="43"/>
        <v>47081</v>
      </c>
      <c r="AS66" s="555">
        <f t="shared" si="54"/>
        <v>0.29899999999999999</v>
      </c>
      <c r="AT66" s="546">
        <f t="shared" si="18"/>
        <v>0</v>
      </c>
      <c r="AU66" s="546">
        <f t="shared" si="25"/>
        <v>0</v>
      </c>
      <c r="AV66" s="546">
        <f t="shared" si="44"/>
        <v>0</v>
      </c>
      <c r="AW66" s="546">
        <f t="shared" si="19"/>
        <v>0</v>
      </c>
      <c r="AX66" s="546">
        <f t="shared" si="45"/>
        <v>0</v>
      </c>
      <c r="AY66" s="546">
        <v>0</v>
      </c>
      <c r="AZ66" s="546">
        <f t="shared" si="20"/>
        <v>0</v>
      </c>
      <c r="BA66" s="546">
        <f t="shared" si="36"/>
        <v>0</v>
      </c>
      <c r="BB66" s="546">
        <f t="shared" si="35"/>
        <v>0</v>
      </c>
      <c r="BC66" s="546"/>
      <c r="BD66" s="546"/>
      <c r="BE66" s="546"/>
      <c r="BF66" s="546"/>
      <c r="BG66" s="546"/>
      <c r="BH66" s="546">
        <f t="shared" si="22"/>
        <v>0</v>
      </c>
      <c r="BI66" s="108">
        <f t="shared" si="31"/>
        <v>0</v>
      </c>
      <c r="BJ66" s="108">
        <f t="shared" si="26"/>
        <v>0</v>
      </c>
      <c r="BK66" s="22">
        <f t="shared" si="27"/>
        <v>47081</v>
      </c>
      <c r="BL66" s="108">
        <f t="shared" si="10"/>
        <v>0</v>
      </c>
      <c r="BM66" s="2" t="e">
        <f>IF(AND(G21&gt;=$X$11,G21&lt;=$X$11+5),0,IF($C$9&gt;$AG$51,ROUND(BH20*IF(#REF!="",0,#REF!)/(DATEVALUE(CONCATENATE("01/01/",YEAR(AR21)+1))-DATEVALUE(CONCATENATE("01/01/",YEAR(AR21))))*(AR21-AR20),2),0))</f>
        <v>#REF!</v>
      </c>
    </row>
    <row r="67" spans="1:65" s="16" customFormat="1" x14ac:dyDescent="0.3">
      <c r="A67" s="178"/>
      <c r="B67" s="178"/>
      <c r="C67" s="184"/>
      <c r="D67" s="178"/>
      <c r="E67" s="178"/>
      <c r="F67" s="178"/>
      <c r="G67" s="244">
        <f t="shared" si="28"/>
        <v>59</v>
      </c>
      <c r="H67" s="245">
        <f t="shared" si="40"/>
        <v>47111</v>
      </c>
      <c r="I67" s="246">
        <f t="shared" si="41"/>
        <v>0.23899999999999999</v>
      </c>
      <c r="J67" s="242">
        <f t="shared" si="2"/>
        <v>0</v>
      </c>
      <c r="K67" s="242">
        <f t="shared" si="46"/>
        <v>0</v>
      </c>
      <c r="L67" s="242">
        <f t="shared" si="12"/>
        <v>0</v>
      </c>
      <c r="M67" s="242">
        <f t="shared" si="23"/>
        <v>0</v>
      </c>
      <c r="N67" s="242">
        <f t="shared" si="42"/>
        <v>0</v>
      </c>
      <c r="O67" s="242">
        <v>0</v>
      </c>
      <c r="P67" s="242">
        <f t="shared" si="24"/>
        <v>0</v>
      </c>
      <c r="Q67" s="242">
        <f t="shared" si="32"/>
        <v>0</v>
      </c>
      <c r="R67" s="242">
        <f t="shared" si="13"/>
        <v>0</v>
      </c>
      <c r="S67" s="242">
        <f t="shared" si="14"/>
        <v>0</v>
      </c>
      <c r="T67" s="467">
        <f t="shared" si="47"/>
        <v>0</v>
      </c>
      <c r="U67" s="198">
        <f t="shared" si="29"/>
        <v>0</v>
      </c>
      <c r="V67" s="36">
        <f t="shared" si="15"/>
        <v>0</v>
      </c>
      <c r="W67" s="36">
        <f t="shared" si="16"/>
        <v>0</v>
      </c>
      <c r="X67" s="2" t="e">
        <f>IF(AND(G32&gt;=$X$11,G32&lt;=$X$11+5),0,IF($C$9&gt;$AG$51,ROUND(S31*#REF!/(DATEVALUE(CONCATENATE("01/01/",YEAR(H32)+1))-DATEVALUE(CONCATENATE("01/01/",YEAR(H32))))*(H32-H31),2),0))</f>
        <v>#REF!</v>
      </c>
      <c r="Y67" s="34">
        <f t="shared" si="53"/>
        <v>2407</v>
      </c>
      <c r="Z67" s="57">
        <f t="shared" si="49"/>
        <v>54075</v>
      </c>
      <c r="AB67" s="170">
        <v>20000</v>
      </c>
      <c r="AC67" s="133" t="s">
        <v>323</v>
      </c>
      <c r="AM67" s="2">
        <f>IF(AND(Z23&gt;=$X$11,Z23&lt;=$X$11+5),0,IF($C$9&gt;$AG$51,ROUND(AJ27*#REF!/(DATEVALUE(CONCATENATE("01/01/",YEAR(AA23)+1))-DATEVALUE(CONCATENATE("01/01/",YEAR(AA23))))*(AA23-AA22),2),0))</f>
        <v>0</v>
      </c>
      <c r="AN67" s="34">
        <f t="shared" si="55"/>
        <v>2344</v>
      </c>
      <c r="AO67" s="57">
        <f t="shared" si="52"/>
        <v>52615</v>
      </c>
      <c r="AP67" s="130">
        <f t="shared" si="17"/>
        <v>0</v>
      </c>
      <c r="AQ67" s="553">
        <f t="shared" si="30"/>
        <v>59</v>
      </c>
      <c r="AR67" s="554">
        <f t="shared" si="43"/>
        <v>47111</v>
      </c>
      <c r="AS67" s="555">
        <f t="shared" si="54"/>
        <v>0.29899999999999999</v>
      </c>
      <c r="AT67" s="546">
        <f t="shared" si="18"/>
        <v>0</v>
      </c>
      <c r="AU67" s="546">
        <f t="shared" si="25"/>
        <v>0</v>
      </c>
      <c r="AV67" s="546">
        <f t="shared" si="44"/>
        <v>0</v>
      </c>
      <c r="AW67" s="546">
        <f t="shared" si="19"/>
        <v>0</v>
      </c>
      <c r="AX67" s="546">
        <f t="shared" si="45"/>
        <v>0</v>
      </c>
      <c r="AY67" s="546">
        <v>0</v>
      </c>
      <c r="AZ67" s="546">
        <f t="shared" si="20"/>
        <v>0</v>
      </c>
      <c r="BA67" s="546">
        <f t="shared" si="36"/>
        <v>0</v>
      </c>
      <c r="BB67" s="546">
        <f t="shared" si="35"/>
        <v>0</v>
      </c>
      <c r="BC67" s="546"/>
      <c r="BD67" s="546"/>
      <c r="BE67" s="546"/>
      <c r="BF67" s="546"/>
      <c r="BG67" s="546"/>
      <c r="BH67" s="546">
        <f t="shared" si="22"/>
        <v>0</v>
      </c>
      <c r="BI67" s="108">
        <f t="shared" si="31"/>
        <v>0</v>
      </c>
      <c r="BJ67" s="108">
        <f t="shared" si="26"/>
        <v>0</v>
      </c>
      <c r="BK67" s="22">
        <f t="shared" si="27"/>
        <v>47111</v>
      </c>
      <c r="BL67" s="108">
        <f t="shared" si="10"/>
        <v>0</v>
      </c>
      <c r="BM67" s="2" t="e">
        <f>IF(AND(G22&gt;=$X$11,G22&lt;=$X$11+5),0,IF($C$9&gt;$AG$51,ROUND(BH21*IF(#REF!="",0,#REF!)/(DATEVALUE(CONCATENATE("01/01/",YEAR(AR22)+1))-DATEVALUE(CONCATENATE("01/01/",YEAR(AR22))))*(AR22-AR21),2),0))</f>
        <v>#REF!</v>
      </c>
    </row>
    <row r="68" spans="1:65" s="16" customFormat="1" ht="13.8" thickBot="1" x14ac:dyDescent="0.35">
      <c r="A68" s="178"/>
      <c r="B68" s="178"/>
      <c r="C68" s="184"/>
      <c r="D68" s="178"/>
      <c r="E68" s="178"/>
      <c r="F68" s="178"/>
      <c r="G68" s="248">
        <f t="shared" si="28"/>
        <v>60</v>
      </c>
      <c r="H68" s="679">
        <f t="shared" si="40"/>
        <v>47142</v>
      </c>
      <c r="I68" s="250">
        <f t="shared" si="41"/>
        <v>0.23899999999999999</v>
      </c>
      <c r="J68" s="242">
        <f t="shared" si="2"/>
        <v>0</v>
      </c>
      <c r="K68" s="252">
        <f t="shared" si="46"/>
        <v>0</v>
      </c>
      <c r="L68" s="242">
        <f t="shared" si="12"/>
        <v>0</v>
      </c>
      <c r="M68" s="252">
        <f t="shared" si="23"/>
        <v>0</v>
      </c>
      <c r="N68" s="252">
        <f t="shared" si="42"/>
        <v>0</v>
      </c>
      <c r="O68" s="252">
        <v>0</v>
      </c>
      <c r="P68" s="252">
        <f t="shared" si="24"/>
        <v>0</v>
      </c>
      <c r="Q68" s="252">
        <f t="shared" si="32"/>
        <v>0</v>
      </c>
      <c r="R68" s="252">
        <f t="shared" si="13"/>
        <v>0</v>
      </c>
      <c r="S68" s="252">
        <f t="shared" si="14"/>
        <v>0</v>
      </c>
      <c r="T68" s="252">
        <f>IF(G68=$C$10,(S67-K68+L68),0)</f>
        <v>0</v>
      </c>
      <c r="U68" s="198">
        <f t="shared" si="29"/>
        <v>0</v>
      </c>
      <c r="V68" s="36">
        <f t="shared" si="15"/>
        <v>0</v>
      </c>
      <c r="W68" s="36">
        <f t="shared" si="16"/>
        <v>0</v>
      </c>
      <c r="X68" s="2" t="e">
        <f>IF(AND(G33&gt;=$X$11,G33&lt;=$X$11+5),0,IF($C$9&gt;$AG$51,ROUND(S32*#REF!/(DATEVALUE(CONCATENATE("01/01/",YEAR(H33)+1))-DATEVALUE(CONCATENATE("01/01/",YEAR(H33))))*(H33-H32),2),0))</f>
        <v>#REF!</v>
      </c>
      <c r="Y68" s="34">
        <f t="shared" si="53"/>
        <v>2407</v>
      </c>
      <c r="Z68" s="57">
        <f t="shared" si="49"/>
        <v>54440</v>
      </c>
      <c r="AB68" s="170">
        <v>300001</v>
      </c>
      <c r="AC68" s="135">
        <v>160000</v>
      </c>
      <c r="AM68" s="2" t="e">
        <f>IF(AND(Z24&gt;=$X$11,Z24&lt;=$X$11+5),0,IF($C$9&gt;$AG$51,ROUND(AJ28*#REF!/(DATEVALUE(CONCATENATE("01/01/",YEAR(AA24)+1))-DATEVALUE(CONCATENATE("01/01/",YEAR(AA24))))*(AA24-AA23),2),0))</f>
        <v>#REF!</v>
      </c>
      <c r="AN68" s="34">
        <f t="shared" si="55"/>
        <v>2344</v>
      </c>
      <c r="AO68" s="57">
        <f t="shared" si="52"/>
        <v>52980</v>
      </c>
      <c r="AP68" s="130">
        <f t="shared" si="17"/>
        <v>0</v>
      </c>
      <c r="AQ68" s="556">
        <f t="shared" si="30"/>
        <v>60</v>
      </c>
      <c r="AR68" s="680">
        <f t="shared" si="43"/>
        <v>47142</v>
      </c>
      <c r="AS68" s="557">
        <f t="shared" si="54"/>
        <v>0.29899999999999999</v>
      </c>
      <c r="AT68" s="547">
        <f t="shared" si="18"/>
        <v>0</v>
      </c>
      <c r="AU68" s="547">
        <f t="shared" si="25"/>
        <v>0</v>
      </c>
      <c r="AV68" s="547">
        <f t="shared" si="44"/>
        <v>0</v>
      </c>
      <c r="AW68" s="547">
        <f t="shared" si="19"/>
        <v>0</v>
      </c>
      <c r="AX68" s="547">
        <f t="shared" si="45"/>
        <v>0</v>
      </c>
      <c r="AY68" s="547">
        <v>0</v>
      </c>
      <c r="AZ68" s="547">
        <f t="shared" si="20"/>
        <v>0</v>
      </c>
      <c r="BA68" s="547">
        <f t="shared" si="36"/>
        <v>0</v>
      </c>
      <c r="BB68" s="547">
        <f t="shared" si="35"/>
        <v>0</v>
      </c>
      <c r="BC68" s="547"/>
      <c r="BD68" s="547"/>
      <c r="BE68" s="547"/>
      <c r="BF68" s="547"/>
      <c r="BG68" s="547"/>
      <c r="BH68" s="547">
        <f t="shared" si="22"/>
        <v>0</v>
      </c>
      <c r="BI68" s="108">
        <f t="shared" si="31"/>
        <v>0</v>
      </c>
      <c r="BJ68" s="108">
        <f t="shared" si="26"/>
        <v>0</v>
      </c>
      <c r="BK68" s="22">
        <f t="shared" si="27"/>
        <v>47142</v>
      </c>
      <c r="BL68" s="108">
        <f t="shared" si="10"/>
        <v>0</v>
      </c>
      <c r="BM68" s="2" t="e">
        <f>IF(AND(G23&gt;=$X$11,G23&lt;=$X$11+5),0,IF($C$9&gt;$AG$51,ROUND(BH22*IF(#REF!="",0,#REF!)/(DATEVALUE(CONCATENATE("01/01/",YEAR(AR23)+1))-DATEVALUE(CONCATENATE("01/01/",YEAR(AR23))))*(AR23-AR22),2),0))</f>
        <v>#REF!</v>
      </c>
    </row>
    <row r="69" spans="1:65" s="16" customFormat="1" x14ac:dyDescent="0.3">
      <c r="A69" s="178"/>
      <c r="B69" s="178"/>
      <c r="C69" s="184"/>
      <c r="D69" s="178"/>
      <c r="E69" s="178"/>
      <c r="F69" s="178"/>
      <c r="G69" s="244">
        <f t="shared" si="28"/>
        <v>61</v>
      </c>
      <c r="H69" s="245">
        <f t="shared" si="40"/>
        <v>47173</v>
      </c>
      <c r="I69" s="246">
        <f t="shared" si="41"/>
        <v>0.23899999999999999</v>
      </c>
      <c r="J69" s="242">
        <f t="shared" si="2"/>
        <v>0</v>
      </c>
      <c r="K69" s="242">
        <f t="shared" si="46"/>
        <v>0</v>
      </c>
      <c r="L69" s="242">
        <f t="shared" si="12"/>
        <v>0</v>
      </c>
      <c r="M69" s="242">
        <f t="shared" si="23"/>
        <v>0</v>
      </c>
      <c r="N69" s="242">
        <f t="shared" si="42"/>
        <v>0</v>
      </c>
      <c r="O69" s="242">
        <v>0</v>
      </c>
      <c r="P69" s="242">
        <f t="shared" si="24"/>
        <v>0</v>
      </c>
      <c r="Q69" s="242">
        <f t="shared" si="32"/>
        <v>0</v>
      </c>
      <c r="R69" s="242">
        <f t="shared" si="13"/>
        <v>0</v>
      </c>
      <c r="S69" s="242">
        <f t="shared" si="14"/>
        <v>0</v>
      </c>
      <c r="T69" s="467">
        <f t="shared" ref="T69:T92" si="58">IF(G69=$C$10,(S68-K69+L69),0)</f>
        <v>0</v>
      </c>
      <c r="U69" s="36">
        <f t="shared" si="29"/>
        <v>0</v>
      </c>
      <c r="V69" s="36">
        <f t="shared" si="15"/>
        <v>0</v>
      </c>
      <c r="W69" s="36">
        <f t="shared" si="16"/>
        <v>0</v>
      </c>
      <c r="X69" s="2" t="e">
        <f>IF(AND(G34&gt;=$X$11,G34&lt;=$X$11+5),0,IF($C$9&gt;$AG$51,ROUND(S33*#REF!/(DATEVALUE(CONCATENATE("01/01/",YEAR(H34)+1))-DATEVALUE(CONCATENATE("01/01/",YEAR(H34))))*(H34-H33),2),0))</f>
        <v>#REF!</v>
      </c>
      <c r="Y69" s="34">
        <f t="shared" si="53"/>
        <v>2407</v>
      </c>
      <c r="Z69" s="57">
        <f t="shared" si="49"/>
        <v>54805</v>
      </c>
      <c r="AB69" s="170">
        <v>500001</v>
      </c>
      <c r="AC69" s="135">
        <v>400000</v>
      </c>
      <c r="AE69" s="2"/>
      <c r="AF69" s="2"/>
      <c r="AG69" s="2"/>
      <c r="AH69" s="2"/>
      <c r="AI69" s="2"/>
      <c r="AJ69" s="63"/>
      <c r="AK69" s="63"/>
      <c r="AL69" s="63"/>
      <c r="AM69" s="2">
        <f>IF(AND(Z25&gt;=$X$11,Z25&lt;=$X$11+5),0,IF($C$9&gt;$AG$51,ROUND(AJ29*#REF!/(DATEVALUE(CONCATENATE("01/01/",YEAR(AA25)+1))-DATEVALUE(CONCATENATE("01/01/",YEAR(AA25))))*(AA25-AA24),2),0))</f>
        <v>0</v>
      </c>
      <c r="AN69" s="34">
        <f t="shared" si="55"/>
        <v>2344</v>
      </c>
      <c r="AO69" s="57">
        <f t="shared" si="52"/>
        <v>53345</v>
      </c>
      <c r="AP69" s="130">
        <f t="shared" si="17"/>
        <v>0</v>
      </c>
      <c r="AQ69" s="553">
        <f t="shared" si="30"/>
        <v>61</v>
      </c>
      <c r="AR69" s="554">
        <f t="shared" si="43"/>
        <v>47173</v>
      </c>
      <c r="AS69" s="555">
        <f t="shared" si="54"/>
        <v>0.29899999999999999</v>
      </c>
      <c r="AT69" s="546">
        <f t="shared" si="18"/>
        <v>0</v>
      </c>
      <c r="AU69" s="546">
        <f t="shared" si="25"/>
        <v>0</v>
      </c>
      <c r="AV69" s="546">
        <f t="shared" si="44"/>
        <v>0</v>
      </c>
      <c r="AW69" s="546">
        <f t="shared" si="19"/>
        <v>0</v>
      </c>
      <c r="AX69" s="546">
        <f t="shared" si="45"/>
        <v>0</v>
      </c>
      <c r="AY69" s="546">
        <v>0</v>
      </c>
      <c r="AZ69" s="546">
        <f t="shared" si="20"/>
        <v>0</v>
      </c>
      <c r="BA69" s="546">
        <f t="shared" si="36"/>
        <v>0</v>
      </c>
      <c r="BB69" s="546">
        <f t="shared" si="35"/>
        <v>0</v>
      </c>
      <c r="BC69" s="546"/>
      <c r="BD69" s="546"/>
      <c r="BE69" s="546"/>
      <c r="BF69" s="546"/>
      <c r="BG69" s="546"/>
      <c r="BH69" s="546">
        <f t="shared" si="22"/>
        <v>0</v>
      </c>
      <c r="BI69" s="108">
        <f t="shared" si="31"/>
        <v>0</v>
      </c>
      <c r="BJ69" s="108">
        <f t="shared" si="26"/>
        <v>0</v>
      </c>
      <c r="BK69" s="22">
        <f t="shared" si="27"/>
        <v>47173</v>
      </c>
      <c r="BL69" s="108">
        <f t="shared" si="10"/>
        <v>0</v>
      </c>
      <c r="BM69" s="2" t="e">
        <f>IF(AND(G24&gt;=$X$11,G24&lt;=$X$11+5),0,IF($C$9&gt;$AG$51,ROUND(BH23*IF(#REF!="",0,#REF!)/(DATEVALUE(CONCATENATE("01/01/",YEAR(AR24)+1))-DATEVALUE(CONCATENATE("01/01/",YEAR(AR24))))*(AR24-AR23),2),0))</f>
        <v>#REF!</v>
      </c>
    </row>
    <row r="70" spans="1:65" s="16" customFormat="1" x14ac:dyDescent="0.3">
      <c r="A70" s="178"/>
      <c r="B70" s="178"/>
      <c r="C70" s="525"/>
      <c r="D70" s="182"/>
      <c r="E70" s="178"/>
      <c r="F70" s="178"/>
      <c r="G70" s="244">
        <f t="shared" si="28"/>
        <v>62</v>
      </c>
      <c r="H70" s="245">
        <f t="shared" si="40"/>
        <v>47201</v>
      </c>
      <c r="I70" s="246">
        <f t="shared" si="41"/>
        <v>0.23899999999999999</v>
      </c>
      <c r="J70" s="242">
        <f t="shared" si="2"/>
        <v>0</v>
      </c>
      <c r="K70" s="242">
        <f t="shared" si="46"/>
        <v>0</v>
      </c>
      <c r="L70" s="242">
        <f t="shared" si="12"/>
        <v>0</v>
      </c>
      <c r="M70" s="242">
        <f t="shared" si="23"/>
        <v>0</v>
      </c>
      <c r="N70" s="242">
        <f t="shared" si="42"/>
        <v>0</v>
      </c>
      <c r="O70" s="242">
        <v>0</v>
      </c>
      <c r="P70" s="242">
        <f t="shared" si="24"/>
        <v>0</v>
      </c>
      <c r="Q70" s="242">
        <f t="shared" si="32"/>
        <v>0</v>
      </c>
      <c r="R70" s="242">
        <f t="shared" si="13"/>
        <v>0</v>
      </c>
      <c r="S70" s="242">
        <f t="shared" si="14"/>
        <v>0</v>
      </c>
      <c r="T70" s="467">
        <f t="shared" si="58"/>
        <v>0</v>
      </c>
      <c r="U70" s="36">
        <f t="shared" si="29"/>
        <v>0</v>
      </c>
      <c r="V70" s="36">
        <f t="shared" si="15"/>
        <v>0</v>
      </c>
      <c r="W70" s="36">
        <f t="shared" si="16"/>
        <v>0</v>
      </c>
      <c r="X70" s="2" t="e">
        <f>IF(AND(G35&gt;=$X$11,G35&lt;=$X$11+5),0,IF($C$9&gt;$AG$51,ROUND(S34*#REF!/(DATEVALUE(CONCATENATE("01/01/",YEAR(H35)+1))-DATEVALUE(CONCATENATE("01/01/",YEAR(H35))))*(H35-H34),2),0))</f>
        <v>#REF!</v>
      </c>
      <c r="Y70" s="34">
        <f t="shared" si="53"/>
        <v>2407</v>
      </c>
      <c r="Z70" s="57">
        <f t="shared" si="49"/>
        <v>55170</v>
      </c>
      <c r="AB70" s="171">
        <v>600001</v>
      </c>
      <c r="AC70" s="135">
        <v>500000</v>
      </c>
      <c r="AD70" s="145" t="s">
        <v>330</v>
      </c>
      <c r="AE70" s="145" t="s">
        <v>111</v>
      </c>
      <c r="AF70" s="145" t="s">
        <v>114</v>
      </c>
      <c r="AG70" s="144" t="s">
        <v>366</v>
      </c>
      <c r="AH70" s="2" t="s">
        <v>35</v>
      </c>
      <c r="AI70" s="144" t="s">
        <v>118</v>
      </c>
      <c r="AJ70" s="144" t="s">
        <v>119</v>
      </c>
      <c r="AK70" s="145" t="s">
        <v>120</v>
      </c>
      <c r="AL70" s="15"/>
      <c r="AM70" s="2" t="e">
        <f>IF(AND(Z26&gt;=$X$11,Z26&lt;=$X$11+5),0,IF($C$9&gt;$AG$51,ROUND(AJ30*#REF!/(DATEVALUE(CONCATENATE("01/01/",YEAR(AA26)+1))-DATEVALUE(CONCATENATE("01/01/",YEAR(AA26))))*(AA26-AA25),2),0))</f>
        <v>#REF!</v>
      </c>
      <c r="AN70" s="34">
        <f t="shared" si="55"/>
        <v>2344</v>
      </c>
      <c r="AO70" s="57">
        <f t="shared" si="52"/>
        <v>53710</v>
      </c>
      <c r="AP70" s="130">
        <f t="shared" si="17"/>
        <v>0</v>
      </c>
      <c r="AQ70" s="553">
        <f t="shared" si="30"/>
        <v>62</v>
      </c>
      <c r="AR70" s="554">
        <f t="shared" si="43"/>
        <v>47201</v>
      </c>
      <c r="AS70" s="555">
        <f t="shared" si="54"/>
        <v>0.29899999999999999</v>
      </c>
      <c r="AT70" s="546">
        <f t="shared" si="18"/>
        <v>0</v>
      </c>
      <c r="AU70" s="546">
        <f t="shared" si="25"/>
        <v>0</v>
      </c>
      <c r="AV70" s="546">
        <f t="shared" si="44"/>
        <v>0</v>
      </c>
      <c r="AW70" s="546">
        <f t="shared" si="19"/>
        <v>0</v>
      </c>
      <c r="AX70" s="546">
        <f t="shared" si="45"/>
        <v>0</v>
      </c>
      <c r="AY70" s="546">
        <v>0</v>
      </c>
      <c r="AZ70" s="546">
        <f t="shared" si="20"/>
        <v>0</v>
      </c>
      <c r="BA70" s="546">
        <f t="shared" si="36"/>
        <v>0</v>
      </c>
      <c r="BB70" s="546">
        <f t="shared" si="35"/>
        <v>0</v>
      </c>
      <c r="BC70" s="546"/>
      <c r="BD70" s="546"/>
      <c r="BE70" s="546"/>
      <c r="BF70" s="546"/>
      <c r="BG70" s="546"/>
      <c r="BH70" s="546">
        <f t="shared" si="22"/>
        <v>0</v>
      </c>
      <c r="BI70" s="108">
        <f t="shared" si="31"/>
        <v>0</v>
      </c>
      <c r="BJ70" s="108">
        <f t="shared" si="26"/>
        <v>0</v>
      </c>
      <c r="BK70" s="22">
        <f t="shared" si="27"/>
        <v>47201</v>
      </c>
      <c r="BL70" s="108">
        <f t="shared" si="10"/>
        <v>0</v>
      </c>
      <c r="BM70" s="2" t="e">
        <f>IF(AND(G25&gt;=$X$11,G25&lt;=$X$11+5),0,IF($C$9&gt;$AG$51,ROUND(BH24*IF(#REF!="",0,#REF!)/(DATEVALUE(CONCATENATE("01/01/",YEAR(AR25)+1))-DATEVALUE(CONCATENATE("01/01/",YEAR(AR25))))*(AR25-AR24),2),0))</f>
        <v>#REF!</v>
      </c>
    </row>
    <row r="71" spans="1:65" s="16" customFormat="1" x14ac:dyDescent="0.3">
      <c r="A71" s="178"/>
      <c r="B71" s="178"/>
      <c r="C71" s="184"/>
      <c r="D71" s="182"/>
      <c r="E71" s="178"/>
      <c r="F71" s="178"/>
      <c r="G71" s="244">
        <f t="shared" si="28"/>
        <v>63</v>
      </c>
      <c r="H71" s="245">
        <f t="shared" si="40"/>
        <v>47232</v>
      </c>
      <c r="I71" s="246">
        <f t="shared" si="41"/>
        <v>0.23899999999999999</v>
      </c>
      <c r="J71" s="242">
        <f t="shared" si="2"/>
        <v>0</v>
      </c>
      <c r="K71" s="242">
        <f t="shared" si="46"/>
        <v>0</v>
      </c>
      <c r="L71" s="242">
        <f t="shared" si="12"/>
        <v>0</v>
      </c>
      <c r="M71" s="242">
        <f t="shared" si="23"/>
        <v>0</v>
      </c>
      <c r="N71" s="242">
        <f t="shared" si="42"/>
        <v>0</v>
      </c>
      <c r="O71" s="242">
        <v>0</v>
      </c>
      <c r="P71" s="242">
        <f t="shared" si="24"/>
        <v>0</v>
      </c>
      <c r="Q71" s="242">
        <f t="shared" si="32"/>
        <v>0</v>
      </c>
      <c r="R71" s="242">
        <f t="shared" si="13"/>
        <v>0</v>
      </c>
      <c r="S71" s="242">
        <f t="shared" si="14"/>
        <v>0</v>
      </c>
      <c r="T71" s="467">
        <f t="shared" si="58"/>
        <v>0</v>
      </c>
      <c r="U71" s="36">
        <f t="shared" si="29"/>
        <v>0</v>
      </c>
      <c r="V71" s="36">
        <f t="shared" si="15"/>
        <v>0</v>
      </c>
      <c r="W71" s="36">
        <f t="shared" si="16"/>
        <v>0</v>
      </c>
      <c r="X71" s="2" t="e">
        <f>IF(AND(G36&gt;=$X$11,G36&lt;=$X$11+5),0,IF($C$9&gt;$AG$51,ROUND(S35*#REF!/(DATEVALUE(CONCATENATE("01/01/",YEAR(H36)+1))-DATEVALUE(CONCATENATE("01/01/",YEAR(H36))))*(H36-H35),2),0))</f>
        <v>#REF!</v>
      </c>
      <c r="Y71" s="34">
        <f t="shared" si="53"/>
        <v>2407</v>
      </c>
      <c r="Z71" s="57">
        <f t="shared" si="49"/>
        <v>55535</v>
      </c>
      <c r="AB71" s="171">
        <v>1000001</v>
      </c>
      <c r="AC71" s="135">
        <v>800000</v>
      </c>
      <c r="AD71" s="133" t="s">
        <v>98</v>
      </c>
      <c r="AE71" s="134"/>
      <c r="AF71" s="134"/>
      <c r="AG71" s="134"/>
      <c r="AH71" s="134"/>
      <c r="AI71" s="134"/>
      <c r="AJ71" s="134"/>
      <c r="AK71" s="134"/>
      <c r="AL71" s="15"/>
      <c r="AM71" s="2" t="e">
        <f>IF(AND(Z27&gt;=$X$11,Z27&lt;=$X$11+5),0,IF($C$9&gt;$AG$51,ROUND(AJ31*#REF!/(DATEVALUE(CONCATENATE("01/01/",YEAR(AA27)+1))-DATEVALUE(CONCATENATE("01/01/",YEAR(AA27))))*(AA27-AA26),2),0))</f>
        <v>#REF!</v>
      </c>
      <c r="AN71" s="34">
        <f t="shared" si="55"/>
        <v>2344</v>
      </c>
      <c r="AO71" s="57">
        <f t="shared" si="52"/>
        <v>54075</v>
      </c>
      <c r="AP71" s="130">
        <f t="shared" si="17"/>
        <v>0</v>
      </c>
      <c r="AQ71" s="553">
        <f t="shared" si="30"/>
        <v>63</v>
      </c>
      <c r="AR71" s="554">
        <f t="shared" si="43"/>
        <v>47232</v>
      </c>
      <c r="AS71" s="555">
        <f t="shared" si="54"/>
        <v>0.29899999999999999</v>
      </c>
      <c r="AT71" s="546">
        <f t="shared" si="18"/>
        <v>0</v>
      </c>
      <c r="AU71" s="546">
        <f t="shared" si="25"/>
        <v>0</v>
      </c>
      <c r="AV71" s="546">
        <f t="shared" si="44"/>
        <v>0</v>
      </c>
      <c r="AW71" s="546">
        <f t="shared" si="19"/>
        <v>0</v>
      </c>
      <c r="AX71" s="546">
        <f t="shared" si="45"/>
        <v>0</v>
      </c>
      <c r="AY71" s="546">
        <v>0</v>
      </c>
      <c r="AZ71" s="546">
        <f t="shared" si="20"/>
        <v>0</v>
      </c>
      <c r="BA71" s="546">
        <f t="shared" si="36"/>
        <v>0</v>
      </c>
      <c r="BB71" s="546">
        <f t="shared" si="35"/>
        <v>0</v>
      </c>
      <c r="BC71" s="546"/>
      <c r="BD71" s="546"/>
      <c r="BE71" s="546"/>
      <c r="BF71" s="546"/>
      <c r="BG71" s="546"/>
      <c r="BH71" s="546">
        <f t="shared" si="22"/>
        <v>0</v>
      </c>
      <c r="BI71" s="108">
        <f t="shared" si="31"/>
        <v>0</v>
      </c>
      <c r="BJ71" s="108">
        <f t="shared" si="26"/>
        <v>0</v>
      </c>
      <c r="BK71" s="22">
        <f t="shared" si="27"/>
        <v>47232</v>
      </c>
      <c r="BL71" s="108">
        <f t="shared" si="10"/>
        <v>0</v>
      </c>
      <c r="BM71" s="2" t="e">
        <f>IF(AND(G26&gt;=$X$11,G26&lt;=$X$11+5),0,IF($C$9&gt;$AG$51,ROUND(BH25*IF(#REF!="",0,#REF!)/(DATEVALUE(CONCATENATE("01/01/",YEAR(AR26)+1))-DATEVALUE(CONCATENATE("01/01/",YEAR(AR26))))*(AR26-AR25),2),0))</f>
        <v>#REF!</v>
      </c>
    </row>
    <row r="72" spans="1:65" s="16" customFormat="1" x14ac:dyDescent="0.3">
      <c r="A72" s="178"/>
      <c r="B72" s="178"/>
      <c r="C72" s="184"/>
      <c r="D72" s="178"/>
      <c r="E72" s="178"/>
      <c r="F72" s="178"/>
      <c r="G72" s="244">
        <f t="shared" si="28"/>
        <v>64</v>
      </c>
      <c r="H72" s="245">
        <f t="shared" si="40"/>
        <v>47262</v>
      </c>
      <c r="I72" s="246">
        <f t="shared" si="41"/>
        <v>0.23899999999999999</v>
      </c>
      <c r="J72" s="242">
        <f t="shared" si="2"/>
        <v>0</v>
      </c>
      <c r="K72" s="242">
        <f t="shared" si="46"/>
        <v>0</v>
      </c>
      <c r="L72" s="242">
        <f t="shared" si="12"/>
        <v>0</v>
      </c>
      <c r="M72" s="242">
        <f t="shared" si="23"/>
        <v>0</v>
      </c>
      <c r="N72" s="242">
        <f t="shared" si="42"/>
        <v>0</v>
      </c>
      <c r="O72" s="242">
        <v>0</v>
      </c>
      <c r="P72" s="242">
        <f t="shared" si="24"/>
        <v>0</v>
      </c>
      <c r="Q72" s="242">
        <f t="shared" si="32"/>
        <v>0</v>
      </c>
      <c r="R72" s="242">
        <f t="shared" si="13"/>
        <v>0</v>
      </c>
      <c r="S72" s="242">
        <f t="shared" si="14"/>
        <v>0</v>
      </c>
      <c r="T72" s="467">
        <f t="shared" si="58"/>
        <v>0</v>
      </c>
      <c r="U72" s="36">
        <f t="shared" si="29"/>
        <v>0</v>
      </c>
      <c r="V72" s="36">
        <f t="shared" si="15"/>
        <v>0</v>
      </c>
      <c r="W72" s="36">
        <f t="shared" si="16"/>
        <v>0</v>
      </c>
      <c r="X72" s="2" t="e">
        <f>IF(AND(G37&gt;=$X$11,G37&lt;=$X$11+5),0,IF($C$9&gt;$AG$51,ROUND(S36*#REF!/(DATEVALUE(CONCATENATE("01/01/",YEAR(H37)+1))-DATEVALUE(CONCATENATE("01/01/",YEAR(H37))))*(H37-H36),2),0))</f>
        <v>#REF!</v>
      </c>
      <c r="Y72" s="34">
        <f t="shared" si="53"/>
        <v>2407</v>
      </c>
      <c r="Z72" s="57">
        <f t="shared" si="49"/>
        <v>55900</v>
      </c>
      <c r="AB72" s="16" t="s">
        <v>101</v>
      </c>
      <c r="AC72" s="135">
        <v>900000</v>
      </c>
      <c r="AD72" s="134">
        <v>1</v>
      </c>
      <c r="AE72" s="134">
        <v>1.25</v>
      </c>
      <c r="AF72" s="134">
        <v>1.5</v>
      </c>
      <c r="AG72" s="134">
        <v>1.5</v>
      </c>
      <c r="AH72" s="134">
        <v>0</v>
      </c>
      <c r="AI72" s="134">
        <v>1</v>
      </c>
      <c r="AJ72" s="134">
        <v>2</v>
      </c>
      <c r="AK72" s="134">
        <v>2.5</v>
      </c>
      <c r="AL72" s="15"/>
      <c r="AM72" s="2" t="e">
        <f>IF(AND(Z28&gt;=$X$11,Z28&lt;=$X$11+5),0,IF($C$9&gt;$AG$51,ROUND(AJ32*#REF!/(DATEVALUE(CONCATENATE("01/01/",YEAR(AA28)+1))-DATEVALUE(CONCATENATE("01/01/",YEAR(AA28))))*(AA28-AA27),2),0))</f>
        <v>#REF!</v>
      </c>
      <c r="AN72" s="34">
        <f t="shared" si="55"/>
        <v>2344</v>
      </c>
      <c r="AO72" s="57">
        <f t="shared" si="52"/>
        <v>54440</v>
      </c>
      <c r="AP72" s="130">
        <f t="shared" si="17"/>
        <v>0</v>
      </c>
      <c r="AQ72" s="553">
        <f t="shared" si="30"/>
        <v>64</v>
      </c>
      <c r="AR72" s="554">
        <f t="shared" si="43"/>
        <v>47262</v>
      </c>
      <c r="AS72" s="555">
        <f t="shared" si="54"/>
        <v>0.29899999999999999</v>
      </c>
      <c r="AT72" s="546">
        <f t="shared" si="18"/>
        <v>0</v>
      </c>
      <c r="AU72" s="546">
        <f t="shared" si="25"/>
        <v>0</v>
      </c>
      <c r="AV72" s="546">
        <f t="shared" si="44"/>
        <v>0</v>
      </c>
      <c r="AW72" s="546">
        <f t="shared" si="19"/>
        <v>0</v>
      </c>
      <c r="AX72" s="546">
        <f t="shared" si="45"/>
        <v>0</v>
      </c>
      <c r="AY72" s="546">
        <v>0</v>
      </c>
      <c r="AZ72" s="546">
        <f t="shared" si="20"/>
        <v>0</v>
      </c>
      <c r="BA72" s="546">
        <f t="shared" si="36"/>
        <v>0</v>
      </c>
      <c r="BB72" s="546">
        <f t="shared" si="35"/>
        <v>0</v>
      </c>
      <c r="BC72" s="546"/>
      <c r="BD72" s="546"/>
      <c r="BE72" s="546"/>
      <c r="BF72" s="546"/>
      <c r="BG72" s="546"/>
      <c r="BH72" s="546">
        <f t="shared" si="22"/>
        <v>0</v>
      </c>
      <c r="BI72" s="108">
        <f t="shared" si="31"/>
        <v>0</v>
      </c>
      <c r="BJ72" s="108">
        <f t="shared" si="26"/>
        <v>0</v>
      </c>
      <c r="BK72" s="22">
        <f t="shared" si="27"/>
        <v>47262</v>
      </c>
      <c r="BL72" s="108">
        <f t="shared" si="10"/>
        <v>0</v>
      </c>
      <c r="BM72" s="2" t="e">
        <f>IF(AND(G27&gt;=$X$11,G27&lt;=$X$11+5),0,IF($C$9&gt;$AG$51,ROUND(BH26*IF(#REF!="",0,#REF!)/(DATEVALUE(CONCATENATE("01/01/",YEAR(AR27)+1))-DATEVALUE(CONCATENATE("01/01/",YEAR(AR27))))*(AR27-AR26),2),0))</f>
        <v>#REF!</v>
      </c>
    </row>
    <row r="73" spans="1:65" s="16" customFormat="1" x14ac:dyDescent="0.3">
      <c r="A73" s="178"/>
      <c r="B73" s="178"/>
      <c r="C73" s="184"/>
      <c r="D73" s="178"/>
      <c r="E73" s="178"/>
      <c r="F73" s="178"/>
      <c r="G73" s="244">
        <f t="shared" si="28"/>
        <v>65</v>
      </c>
      <c r="H73" s="245">
        <f t="shared" ref="H73:H104" si="59">IF((OR(DAY($AE$54)=29,DAY($AE$54)=30,DAY($AE$54)=31)),(EDATE($C$9-3,G73)),EDATE($C$9,G73))</f>
        <v>47293</v>
      </c>
      <c r="I73" s="246">
        <f t="shared" ref="I73:I108" si="60">IF(AND($X$11=1,G73&gt;=$X$11,),0%,$C$13)</f>
        <v>0.23899999999999999</v>
      </c>
      <c r="J73" s="242">
        <f t="shared" si="2"/>
        <v>0</v>
      </c>
      <c r="K73" s="242">
        <f t="shared" si="46"/>
        <v>0</v>
      </c>
      <c r="L73" s="242">
        <f t="shared" si="12"/>
        <v>0</v>
      </c>
      <c r="M73" s="242">
        <f t="shared" si="23"/>
        <v>0</v>
      </c>
      <c r="N73" s="242">
        <f t="shared" ref="N73:N108" si="61">IF(P73-Q73&gt;$C$24,$C$24-L73,IF(V73=0,0,R73)+$AJ$51)</f>
        <v>0</v>
      </c>
      <c r="O73" s="242">
        <v>0</v>
      </c>
      <c r="P73" s="242">
        <f t="shared" si="24"/>
        <v>0</v>
      </c>
      <c r="Q73" s="242">
        <f t="shared" si="32"/>
        <v>0</v>
      </c>
      <c r="R73" s="242">
        <f t="shared" si="13"/>
        <v>0</v>
      </c>
      <c r="S73" s="242">
        <f t="shared" si="14"/>
        <v>0</v>
      </c>
      <c r="T73" s="467">
        <f t="shared" si="58"/>
        <v>0</v>
      </c>
      <c r="U73" s="36">
        <f t="shared" si="29"/>
        <v>0</v>
      </c>
      <c r="V73" s="36">
        <f t="shared" si="15"/>
        <v>0</v>
      </c>
      <c r="W73" s="36">
        <f t="shared" si="16"/>
        <v>0</v>
      </c>
      <c r="X73" s="2" t="e">
        <f>IF(AND(G38&gt;=$X$11,G38&lt;=$X$11+5),0,IF($C$9&gt;$AG$51,ROUND(S37*#REF!/(DATEVALUE(CONCATENATE("01/01/",YEAR(H38)+1))-DATEVALUE(CONCATENATE("01/01/",YEAR(H38))))*(H38-H37),2),0))</f>
        <v>#REF!</v>
      </c>
      <c r="Y73" s="34">
        <f t="shared" si="53"/>
        <v>2407</v>
      </c>
      <c r="Z73" s="57">
        <f t="shared" si="49"/>
        <v>56265</v>
      </c>
      <c r="AC73" s="16">
        <v>1500000</v>
      </c>
      <c r="AD73" s="134">
        <v>1.1000000000000001</v>
      </c>
      <c r="AE73" s="134">
        <v>1.35</v>
      </c>
      <c r="AF73" s="134">
        <v>1.5</v>
      </c>
      <c r="AG73" s="134">
        <v>1.5</v>
      </c>
      <c r="AH73" s="134">
        <v>0</v>
      </c>
      <c r="AI73" s="134">
        <v>1</v>
      </c>
      <c r="AJ73" s="134">
        <v>2</v>
      </c>
      <c r="AK73" s="134">
        <v>2</v>
      </c>
      <c r="AL73" s="15"/>
      <c r="AM73" s="2" t="e">
        <f>IF(AND(Z29&gt;=$X$11,Z29&lt;=$X$11+5),0,IF($C$9&gt;$AG$51,ROUND(AJ33*#REF!/(DATEVALUE(CONCATENATE("01/01/",YEAR(AA29)+1))-DATEVALUE(CONCATENATE("01/01/",YEAR(AA29))))*(AA29-AA28),2),0))</f>
        <v>#REF!</v>
      </c>
      <c r="AN73" s="34">
        <f t="shared" si="55"/>
        <v>2344</v>
      </c>
      <c r="AO73" s="57">
        <f t="shared" si="52"/>
        <v>54805</v>
      </c>
      <c r="AP73" s="130">
        <f t="shared" si="17"/>
        <v>0</v>
      </c>
      <c r="AQ73" s="553">
        <f t="shared" si="30"/>
        <v>65</v>
      </c>
      <c r="AR73" s="554">
        <f t="shared" ref="AR73:AR104" si="62">IF((OR(DAY($AE$54)=29,DAY($AE$54)=30,DAY($AE$54)=31)),(EDATE($C$9-3,AQ73)),EDATE($C$9,AQ73))</f>
        <v>47293</v>
      </c>
      <c r="AS73" s="555">
        <f t="shared" si="54"/>
        <v>0.29899999999999999</v>
      </c>
      <c r="AT73" s="546">
        <f t="shared" si="18"/>
        <v>0</v>
      </c>
      <c r="AU73" s="546">
        <f t="shared" si="25"/>
        <v>0</v>
      </c>
      <c r="AV73" s="546">
        <f t="shared" si="44"/>
        <v>0</v>
      </c>
      <c r="AW73" s="546">
        <f t="shared" si="19"/>
        <v>0</v>
      </c>
      <c r="AX73" s="546">
        <f t="shared" ref="AX73:AX104" si="63">IF(AZ73-BA73&gt;$D$24,$D$24-AV73,IF(BJ73=0,0,BB73)+BY121)</f>
        <v>0</v>
      </c>
      <c r="AY73" s="546">
        <v>0</v>
      </c>
      <c r="AZ73" s="546">
        <f t="shared" si="20"/>
        <v>0</v>
      </c>
      <c r="BA73" s="546">
        <f t="shared" si="36"/>
        <v>0</v>
      </c>
      <c r="BB73" s="546">
        <f t="shared" si="35"/>
        <v>0</v>
      </c>
      <c r="BC73" s="546"/>
      <c r="BD73" s="546"/>
      <c r="BE73" s="546"/>
      <c r="BF73" s="546"/>
      <c r="BG73" s="546"/>
      <c r="BH73" s="546">
        <f t="shared" si="22"/>
        <v>0</v>
      </c>
      <c r="BI73" s="108">
        <f t="shared" si="31"/>
        <v>0</v>
      </c>
      <c r="BJ73" s="108">
        <f t="shared" si="26"/>
        <v>0</v>
      </c>
      <c r="BK73" s="22">
        <f t="shared" si="27"/>
        <v>47293</v>
      </c>
      <c r="BL73" s="108">
        <f t="shared" ref="BL73:BL114" si="64">K73</f>
        <v>0</v>
      </c>
      <c r="BM73" s="2" t="e">
        <f>IF(AND(G28&gt;=$X$11,G28&lt;=$X$11+5),0,IF($C$9&gt;$AG$51,ROUND(BH27*IF(#REF!="",0,#REF!)/(DATEVALUE(CONCATENATE("01/01/",YEAR(AR28)+1))-DATEVALUE(CONCATENATE("01/01/",YEAR(AR28))))*(AR28-AR27),2),0))</f>
        <v>#REF!</v>
      </c>
    </row>
    <row r="74" spans="1:65" s="16" customFormat="1" x14ac:dyDescent="0.3">
      <c r="A74" s="178"/>
      <c r="B74" s="178"/>
      <c r="C74" s="184"/>
      <c r="D74" s="178"/>
      <c r="E74" s="178"/>
      <c r="F74" s="178"/>
      <c r="G74" s="244">
        <f t="shared" si="28"/>
        <v>66</v>
      </c>
      <c r="H74" s="245">
        <f t="shared" si="59"/>
        <v>47323</v>
      </c>
      <c r="I74" s="246">
        <f t="shared" si="60"/>
        <v>0.23899999999999999</v>
      </c>
      <c r="J74" s="242">
        <f t="shared" ref="J74:J108" si="65">K74+Q74</f>
        <v>0</v>
      </c>
      <c r="K74" s="242">
        <f t="shared" ref="K74:K105" si="66">IF(G74&gt;$C$10,0,IF((S73+L74)&lt;K73,(S73+L74),IF(T73=0,K73,MIN(K73,ROUNDUP(S73*$C$13/12/((1-(1+$C$13/12)^(0-($C$10-G74)))),0)))))</f>
        <v>0</v>
      </c>
      <c r="L74" s="242">
        <f t="shared" ref="L74:L108" si="67">S73*($C$13/(DATE(YEAR(H73)+1,1,1)-DATE(YEAR(H73),1,1))*(H74-H73))</f>
        <v>0</v>
      </c>
      <c r="M74" s="242">
        <f t="shared" si="23"/>
        <v>0</v>
      </c>
      <c r="N74" s="242">
        <f t="shared" si="61"/>
        <v>0</v>
      </c>
      <c r="O74" s="242">
        <v>0</v>
      </c>
      <c r="P74" s="242">
        <f t="shared" si="24"/>
        <v>0</v>
      </c>
      <c r="Q74" s="242">
        <f t="shared" si="32"/>
        <v>0</v>
      </c>
      <c r="R74" s="242">
        <f t="shared" ref="R74:R108" si="68">IF(V74=0,0,0)</f>
        <v>0</v>
      </c>
      <c r="S74" s="242">
        <f t="shared" ref="S74" si="69">S73-M74-T74</f>
        <v>0</v>
      </c>
      <c r="T74" s="467">
        <f t="shared" si="58"/>
        <v>0</v>
      </c>
      <c r="U74" s="36">
        <f t="shared" si="29"/>
        <v>0</v>
      </c>
      <c r="V74" s="36">
        <f t="shared" ref="V74:V107" si="70">U74</f>
        <v>0</v>
      </c>
      <c r="W74" s="36">
        <f t="shared" ref="W74:W108" si="71">IF(G74=$C$10,T74,0)</f>
        <v>0</v>
      </c>
      <c r="X74" s="2" t="e">
        <f>IF(AND(G39&gt;=$X$11,G39&lt;=$X$11+5),0,IF($C$9&gt;$AG$51,ROUND(S38*#REF!/(DATEVALUE(CONCATENATE("01/01/",YEAR(H39)+1))-DATEVALUE(CONCATENATE("01/01/",YEAR(H39))))*(H39-H38),2),0))</f>
        <v>#REF!</v>
      </c>
      <c r="Y74" s="34">
        <f t="shared" si="53"/>
        <v>2407</v>
      </c>
      <c r="Z74" s="57">
        <f t="shared" si="49"/>
        <v>56630</v>
      </c>
      <c r="AD74" s="134">
        <v>1.2</v>
      </c>
      <c r="AE74" s="134">
        <v>1.5</v>
      </c>
      <c r="AF74" s="134">
        <v>1.3</v>
      </c>
      <c r="AG74" s="134">
        <v>1.2</v>
      </c>
      <c r="AH74" s="134">
        <v>0</v>
      </c>
      <c r="AI74" s="134">
        <v>1</v>
      </c>
      <c r="AJ74" s="134">
        <v>1.5</v>
      </c>
      <c r="AK74" s="134">
        <v>1.5</v>
      </c>
      <c r="AL74" s="15"/>
      <c r="AM74" s="2" t="e">
        <f>IF(AND(Z30&gt;=$X$11,Z30&lt;=$X$11+5),0,IF($C$9&gt;$AG$51,ROUND(AJ34*#REF!/(DATEVALUE(CONCATENATE("01/01/",YEAR(AA30)+1))-DATEVALUE(CONCATENATE("01/01/",YEAR(AA30))))*(AA30-AA29),2),0))</f>
        <v>#REF!</v>
      </c>
      <c r="AN74" s="34">
        <f t="shared" si="55"/>
        <v>2344</v>
      </c>
      <c r="AO74" s="57">
        <f t="shared" si="52"/>
        <v>55170</v>
      </c>
      <c r="AP74" s="130">
        <f t="shared" ref="AP74:AP108" si="72">IF(OR(AU74="",AU74=0),0,1)</f>
        <v>0</v>
      </c>
      <c r="AQ74" s="553">
        <f t="shared" si="30"/>
        <v>66</v>
      </c>
      <c r="AR74" s="554">
        <f t="shared" si="62"/>
        <v>47323</v>
      </c>
      <c r="AS74" s="555">
        <f t="shared" si="54"/>
        <v>0.29899999999999999</v>
      </c>
      <c r="AT74" s="546">
        <f t="shared" ref="AT74:AT108" si="73">AU74+BA74</f>
        <v>0</v>
      </c>
      <c r="AU74" s="546">
        <f t="shared" si="25"/>
        <v>0</v>
      </c>
      <c r="AV74" s="546">
        <f t="shared" ref="AV74:AV108" si="74">BH73*($D$13/365*(AR74-AR73))</f>
        <v>0</v>
      </c>
      <c r="AW74" s="546">
        <f t="shared" ref="AW74:AW108" si="75">IF(BJ74=0,0,IF(BJ74=1,BH73,IF(BH73+AX74+AV74&gt;AU73,AU74-AV74-AX74,BH73)))</f>
        <v>0</v>
      </c>
      <c r="AX74" s="546">
        <f t="shared" si="63"/>
        <v>0</v>
      </c>
      <c r="AY74" s="546">
        <v>0</v>
      </c>
      <c r="AZ74" s="546">
        <f t="shared" si="20"/>
        <v>0</v>
      </c>
      <c r="BA74" s="546">
        <f t="shared" si="36"/>
        <v>0</v>
      </c>
      <c r="BB74" s="546">
        <f t="shared" si="35"/>
        <v>0</v>
      </c>
      <c r="BC74" s="546"/>
      <c r="BD74" s="546"/>
      <c r="BE74" s="546"/>
      <c r="BF74" s="546"/>
      <c r="BG74" s="546"/>
      <c r="BH74" s="546">
        <f t="shared" ref="BH74:BH108" si="76">IF(OR(BJ74=1,BH73=0),0,BH73-AW74)</f>
        <v>0</v>
      </c>
      <c r="BI74" s="108">
        <f t="shared" si="31"/>
        <v>0</v>
      </c>
      <c r="BJ74" s="108">
        <f t="shared" si="26"/>
        <v>0</v>
      </c>
      <c r="BK74" s="22">
        <f t="shared" si="27"/>
        <v>47323</v>
      </c>
      <c r="BL74" s="108">
        <f t="shared" si="64"/>
        <v>0</v>
      </c>
      <c r="BM74" s="2" t="e">
        <f>IF(AND(G29&gt;=$X$11,G29&lt;=$X$11+5),0,IF($C$9&gt;$AG$51,ROUND(BH28*IF(#REF!="",0,#REF!)/(DATEVALUE(CONCATENATE("01/01/",YEAR(AR29)+1))-DATEVALUE(CONCATENATE("01/01/",YEAR(AR29))))*(AR29-AR28),2),0))</f>
        <v>#REF!</v>
      </c>
    </row>
    <row r="75" spans="1:65" s="16" customFormat="1" x14ac:dyDescent="0.3">
      <c r="A75" s="178"/>
      <c r="B75" s="178"/>
      <c r="C75" s="184"/>
      <c r="D75" s="178"/>
      <c r="E75" s="178"/>
      <c r="F75" s="178"/>
      <c r="G75" s="244">
        <f t="shared" si="28"/>
        <v>67</v>
      </c>
      <c r="H75" s="245">
        <f t="shared" si="59"/>
        <v>47354</v>
      </c>
      <c r="I75" s="246">
        <f t="shared" si="60"/>
        <v>0.23899999999999999</v>
      </c>
      <c r="J75" s="242">
        <f t="shared" si="65"/>
        <v>0</v>
      </c>
      <c r="K75" s="242">
        <f t="shared" si="66"/>
        <v>0</v>
      </c>
      <c r="L75" s="242">
        <f t="shared" si="67"/>
        <v>0</v>
      </c>
      <c r="M75" s="242">
        <f t="shared" ref="M75:M92" si="77">IF(S74=0,0,IF(S74+L75&gt;K74,K75-L75,S74))</f>
        <v>0</v>
      </c>
      <c r="N75" s="242">
        <f t="shared" si="61"/>
        <v>0</v>
      </c>
      <c r="O75" s="242">
        <v>0</v>
      </c>
      <c r="P75" s="242">
        <f t="shared" si="24"/>
        <v>0</v>
      </c>
      <c r="Q75" s="242">
        <f t="shared" si="32"/>
        <v>0</v>
      </c>
      <c r="R75" s="242">
        <f t="shared" si="68"/>
        <v>0</v>
      </c>
      <c r="S75" s="242">
        <f t="shared" ref="S75:S108" si="78">IF(OR(V75=1,S74=0),0,S74-M75)</f>
        <v>0</v>
      </c>
      <c r="T75" s="467">
        <f t="shared" si="58"/>
        <v>0</v>
      </c>
      <c r="U75" s="36">
        <f t="shared" si="29"/>
        <v>0</v>
      </c>
      <c r="V75" s="36">
        <f t="shared" si="70"/>
        <v>0</v>
      </c>
      <c r="W75" s="36">
        <f t="shared" si="71"/>
        <v>0</v>
      </c>
      <c r="X75" s="2" t="e">
        <f>IF(AND(G40&gt;=$X$11,G40&lt;=$X$11+5),0,IF($C$9&gt;$AG$51,ROUND(S39*#REF!/(DATEVALUE(CONCATENATE("01/01/",YEAR(H40)+1))-DATEVALUE(CONCATENATE("01/01/",YEAR(H40))))*(H40-H39),2),0))</f>
        <v>#REF!</v>
      </c>
      <c r="Y75" s="34">
        <f t="shared" si="53"/>
        <v>2407</v>
      </c>
      <c r="Z75" s="57">
        <f t="shared" si="49"/>
        <v>56995</v>
      </c>
      <c r="AD75" s="134">
        <v>1.1000000000000001</v>
      </c>
      <c r="AE75" s="134">
        <v>1.25</v>
      </c>
      <c r="AF75" s="134">
        <v>1.3</v>
      </c>
      <c r="AG75" s="134">
        <v>1.2</v>
      </c>
      <c r="AH75" s="134">
        <v>0</v>
      </c>
      <c r="AI75" s="134">
        <v>1</v>
      </c>
      <c r="AJ75" s="134">
        <v>1.3</v>
      </c>
      <c r="AK75" s="134">
        <v>1.3</v>
      </c>
      <c r="AL75" s="2"/>
      <c r="AM75" s="2" t="e">
        <f>IF(AND(Z31&gt;=$X$11,Z31&lt;=$X$11+5),0,IF($C$9&gt;$AG$51,ROUND(AJ35*#REF!/(DATEVALUE(CONCATENATE("01/01/",YEAR(AA31)+1))-DATEVALUE(CONCATENATE("01/01/",YEAR(AA31))))*(AA31-AA30),2),0))</f>
        <v>#REF!</v>
      </c>
      <c r="AN75" s="34">
        <f t="shared" si="55"/>
        <v>2344</v>
      </c>
      <c r="AO75" s="57">
        <f t="shared" si="52"/>
        <v>55535</v>
      </c>
      <c r="AP75" s="130">
        <f t="shared" si="72"/>
        <v>0</v>
      </c>
      <c r="AQ75" s="553">
        <f t="shared" si="30"/>
        <v>67</v>
      </c>
      <c r="AR75" s="554">
        <f t="shared" si="62"/>
        <v>47354</v>
      </c>
      <c r="AS75" s="555">
        <f t="shared" si="54"/>
        <v>0.29899999999999999</v>
      </c>
      <c r="AT75" s="559">
        <f t="shared" si="73"/>
        <v>0</v>
      </c>
      <c r="AU75" s="546">
        <f t="shared" ref="AU75:AU108" si="79">IF(AQ75&gt;$C$10,0,IF(BD74=0,AU74,ROUNDUP(BC74*$C$11/12/((1-(1+$C$11/12)^(0-($C$10-AQ75)))),0)))</f>
        <v>0</v>
      </c>
      <c r="AV75" s="546">
        <f t="shared" si="74"/>
        <v>0</v>
      </c>
      <c r="AW75" s="546">
        <f t="shared" si="75"/>
        <v>0</v>
      </c>
      <c r="AX75" s="559">
        <f t="shared" si="63"/>
        <v>0</v>
      </c>
      <c r="AY75" s="559">
        <v>0</v>
      </c>
      <c r="AZ75" s="559">
        <f t="shared" si="20"/>
        <v>0</v>
      </c>
      <c r="BA75" s="559">
        <f t="shared" si="36"/>
        <v>0</v>
      </c>
      <c r="BB75" s="559">
        <f t="shared" si="35"/>
        <v>0</v>
      </c>
      <c r="BC75" s="559"/>
      <c r="BD75" s="559"/>
      <c r="BE75" s="559"/>
      <c r="BF75" s="559"/>
      <c r="BG75" s="559"/>
      <c r="BH75" s="546">
        <f t="shared" si="76"/>
        <v>0</v>
      </c>
      <c r="BI75" s="108">
        <f t="shared" si="31"/>
        <v>0</v>
      </c>
      <c r="BJ75" s="108">
        <f t="shared" ref="BJ75:BJ114" si="80">BI75</f>
        <v>0</v>
      </c>
      <c r="BK75" s="22">
        <f t="shared" ref="BK75:BK114" si="81">H75</f>
        <v>47354</v>
      </c>
      <c r="BL75" s="108">
        <f t="shared" si="64"/>
        <v>0</v>
      </c>
      <c r="BM75" s="2" t="e">
        <f>IF(AND(G30&gt;=$X$11,G30&lt;=$X$11+5),0,IF($C$9&gt;$AG$51,ROUND(BH29*IF(#REF!="",0,#REF!)/(DATEVALUE(CONCATENATE("01/01/",YEAR(AR30)+1))-DATEVALUE(CONCATENATE("01/01/",YEAR(AR30))))*(AR30-AR29),2),0))</f>
        <v>#REF!</v>
      </c>
    </row>
    <row r="76" spans="1:65" s="16" customFormat="1" x14ac:dyDescent="0.3">
      <c r="A76" s="178"/>
      <c r="B76" s="178"/>
      <c r="C76" s="184"/>
      <c r="D76" s="178"/>
      <c r="E76" s="178"/>
      <c r="F76" s="178"/>
      <c r="G76" s="244">
        <f t="shared" ref="G76:G108" si="82">G75+1</f>
        <v>68</v>
      </c>
      <c r="H76" s="245">
        <f t="shared" si="59"/>
        <v>47385</v>
      </c>
      <c r="I76" s="246">
        <f t="shared" si="60"/>
        <v>0.23899999999999999</v>
      </c>
      <c r="J76" s="242">
        <f t="shared" si="65"/>
        <v>0</v>
      </c>
      <c r="K76" s="242">
        <f t="shared" si="66"/>
        <v>0</v>
      </c>
      <c r="L76" s="242">
        <f t="shared" si="67"/>
        <v>0</v>
      </c>
      <c r="M76" s="242">
        <f t="shared" si="77"/>
        <v>0</v>
      </c>
      <c r="N76" s="242">
        <f t="shared" si="61"/>
        <v>0</v>
      </c>
      <c r="O76" s="242">
        <v>0</v>
      </c>
      <c r="P76" s="242">
        <f t="shared" si="24"/>
        <v>0</v>
      </c>
      <c r="Q76" s="242">
        <f t="shared" si="32"/>
        <v>0</v>
      </c>
      <c r="R76" s="242">
        <f t="shared" si="68"/>
        <v>0</v>
      </c>
      <c r="S76" s="242">
        <f t="shared" si="78"/>
        <v>0</v>
      </c>
      <c r="T76" s="467">
        <f t="shared" si="58"/>
        <v>0</v>
      </c>
      <c r="U76" s="36">
        <f t="shared" ref="U76:U108" si="83">IF((U75-1)&lt;0,0,U75-1)</f>
        <v>0</v>
      </c>
      <c r="V76" s="36">
        <f t="shared" si="70"/>
        <v>0</v>
      </c>
      <c r="W76" s="36">
        <f t="shared" si="71"/>
        <v>0</v>
      </c>
      <c r="X76" s="2" t="e">
        <f>IF(AND(G41&gt;=$X$11,G41&lt;=$X$11+5),0,IF($C$9&gt;$AG$51,ROUND(S40*#REF!/(DATEVALUE(CONCATENATE("01/01/",YEAR(H41)+1))-DATEVALUE(CONCATENATE("01/01/",YEAR(H41))))*(H41-H40),2),0))</f>
        <v>#REF!</v>
      </c>
      <c r="Y76" s="34">
        <f t="shared" si="53"/>
        <v>2407</v>
      </c>
      <c r="Z76" s="57">
        <f t="shared" si="49"/>
        <v>57360</v>
      </c>
      <c r="AD76" s="134">
        <v>1</v>
      </c>
      <c r="AE76" s="134">
        <v>1.1000000000000001</v>
      </c>
      <c r="AF76" s="134">
        <v>1.3</v>
      </c>
      <c r="AG76" s="134">
        <v>1</v>
      </c>
      <c r="AH76" s="134">
        <v>0</v>
      </c>
      <c r="AI76" s="134">
        <v>1</v>
      </c>
      <c r="AJ76" s="134">
        <v>1</v>
      </c>
      <c r="AK76" s="134">
        <v>1</v>
      </c>
      <c r="AM76" s="2" t="e">
        <f>IF(AND(Z32&gt;=$X$11,Z32&lt;=$X$11+5),0,IF($C$9&gt;$AG$51,ROUND(AJ36*#REF!/(DATEVALUE(CONCATENATE("01/01/",YEAR(AA32)+1))-DATEVALUE(CONCATENATE("01/01/",YEAR(AA32))))*(AA32-AA31),2),0))</f>
        <v>#N/A</v>
      </c>
      <c r="AN76" s="34">
        <f t="shared" si="55"/>
        <v>2344</v>
      </c>
      <c r="AO76" s="57">
        <f t="shared" si="52"/>
        <v>55900</v>
      </c>
      <c r="AP76" s="130">
        <f t="shared" si="72"/>
        <v>0</v>
      </c>
      <c r="AQ76" s="553">
        <f t="shared" ref="AQ76:AQ108" si="84">AQ75+1</f>
        <v>68</v>
      </c>
      <c r="AR76" s="554">
        <f t="shared" si="62"/>
        <v>47385</v>
      </c>
      <c r="AS76" s="555">
        <f t="shared" si="54"/>
        <v>0.29899999999999999</v>
      </c>
      <c r="AT76" s="559">
        <f t="shared" si="73"/>
        <v>0</v>
      </c>
      <c r="AU76" s="546">
        <f t="shared" si="79"/>
        <v>0</v>
      </c>
      <c r="AV76" s="546">
        <f t="shared" si="74"/>
        <v>0</v>
      </c>
      <c r="AW76" s="546">
        <f t="shared" si="75"/>
        <v>0</v>
      </c>
      <c r="AX76" s="559">
        <f t="shared" si="63"/>
        <v>0</v>
      </c>
      <c r="AY76" s="559">
        <v>0</v>
      </c>
      <c r="AZ76" s="559">
        <f t="shared" si="20"/>
        <v>0</v>
      </c>
      <c r="BA76" s="559">
        <f t="shared" si="36"/>
        <v>0</v>
      </c>
      <c r="BB76" s="559">
        <f t="shared" si="35"/>
        <v>0</v>
      </c>
      <c r="BC76" s="559"/>
      <c r="BD76" s="559"/>
      <c r="BE76" s="559"/>
      <c r="BF76" s="559"/>
      <c r="BG76" s="559"/>
      <c r="BH76" s="546">
        <f t="shared" si="76"/>
        <v>0</v>
      </c>
      <c r="BI76" s="108">
        <f t="shared" ref="BI76:BI114" si="85">IF((BI75-1)&lt;0,0,BI75-1)</f>
        <v>0</v>
      </c>
      <c r="BJ76" s="108">
        <f t="shared" si="80"/>
        <v>0</v>
      </c>
      <c r="BK76" s="22">
        <f t="shared" si="81"/>
        <v>47385</v>
      </c>
      <c r="BL76" s="108">
        <f t="shared" si="64"/>
        <v>0</v>
      </c>
      <c r="BM76" s="2" t="e">
        <f>IF(AND(G31&gt;=$X$11,G31&lt;=$X$11+5),0,IF($C$9&gt;$AG$51,ROUND(BH30*IF(#REF!="",0,#REF!)/(DATEVALUE(CONCATENATE("01/01/",YEAR(AR31)+1))-DATEVALUE(CONCATENATE("01/01/",YEAR(AR31))))*(AR31-AR30),2),0))</f>
        <v>#REF!</v>
      </c>
    </row>
    <row r="77" spans="1:65" s="16" customFormat="1" x14ac:dyDescent="0.3">
      <c r="A77" s="178"/>
      <c r="B77" s="178"/>
      <c r="C77" s="184"/>
      <c r="D77" s="178"/>
      <c r="E77" s="178"/>
      <c r="F77" s="178"/>
      <c r="G77" s="244">
        <f t="shared" si="82"/>
        <v>69</v>
      </c>
      <c r="H77" s="245">
        <f t="shared" si="59"/>
        <v>47415</v>
      </c>
      <c r="I77" s="246">
        <f t="shared" si="60"/>
        <v>0.23899999999999999</v>
      </c>
      <c r="J77" s="242">
        <f t="shared" si="65"/>
        <v>0</v>
      </c>
      <c r="K77" s="242">
        <f t="shared" si="66"/>
        <v>0</v>
      </c>
      <c r="L77" s="242">
        <f t="shared" si="67"/>
        <v>0</v>
      </c>
      <c r="M77" s="242">
        <f t="shared" si="77"/>
        <v>0</v>
      </c>
      <c r="N77" s="242">
        <f t="shared" si="61"/>
        <v>0</v>
      </c>
      <c r="O77" s="242">
        <v>0</v>
      </c>
      <c r="P77" s="242">
        <f t="shared" si="24"/>
        <v>0</v>
      </c>
      <c r="Q77" s="242">
        <f t="shared" si="32"/>
        <v>0</v>
      </c>
      <c r="R77" s="242">
        <f t="shared" si="68"/>
        <v>0</v>
      </c>
      <c r="S77" s="242">
        <f t="shared" si="78"/>
        <v>0</v>
      </c>
      <c r="T77" s="467">
        <f t="shared" si="58"/>
        <v>0</v>
      </c>
      <c r="U77" s="36">
        <f t="shared" si="83"/>
        <v>0</v>
      </c>
      <c r="V77" s="36">
        <f t="shared" si="70"/>
        <v>0</v>
      </c>
      <c r="W77" s="36">
        <f t="shared" si="71"/>
        <v>0</v>
      </c>
      <c r="X77" s="2" t="e">
        <f>IF(AND(G42&gt;=$X$11,G42&lt;=$X$11+5),0,IF($C$9&gt;$AG$51,ROUND(S41*#REF!/(DATEVALUE(CONCATENATE("01/01/",YEAR(H42)+1))-DATEVALUE(CONCATENATE("01/01/",YEAR(H42))))*(H42-H41),2),0))</f>
        <v>#REF!</v>
      </c>
      <c r="Y77" s="34">
        <f t="shared" si="53"/>
        <v>2407</v>
      </c>
      <c r="Z77" s="57">
        <f t="shared" si="49"/>
        <v>57725</v>
      </c>
      <c r="AD77" s="16">
        <f>IF($C$7&gt;=$AB$71,AD76,IF($C$7&gt;=$AB$70,AD75,IF($C$7&gt;=$AB$69,AD74,IF($C$7&gt;=$AB$68,AD73,AD72))))</f>
        <v>1</v>
      </c>
      <c r="AE77" s="16">
        <v>1.3</v>
      </c>
      <c r="AF77" s="16">
        <f>IF($C$7&gt;=$AB$71,AF76,IF($C$7&gt;=$AB$70,AF75,IF($C$7&gt;=$AB$69,AF74,IF($C$7&gt;=$AB$68,AF73,AF72))))</f>
        <v>1.5</v>
      </c>
      <c r="AG77" s="16">
        <f>IF($C$7&gt;=$AB$71,AG76,IF($C$7&gt;=$AB$70,AG75,IF($C$7&gt;=$AB$69,AG74,IF($C$7&gt;=$AB$68,AG73,AG72))))</f>
        <v>1.5</v>
      </c>
      <c r="AH77" s="16">
        <f>IF($C$7&gt;=$AB$71,AH76,IF($C$7&gt;=$AB$70,AH75,IF($C$7&gt;=$AB$69,AH74,IF($C$7&gt;=$AB$68,AH73,AH72))))</f>
        <v>0</v>
      </c>
      <c r="AI77" s="16">
        <f>IF($C$7&gt;=$AB$71,AI76,IF($C$7&gt;=$AB$70,AI75,IF($C$7&gt;=$AB$69,AI74,IF($C$7&gt;=$AB$68,AI73,AI72))))</f>
        <v>1</v>
      </c>
      <c r="AJ77" s="16">
        <f>IF($C$7&gt;=$AB$71,AJ76,IF($C$7&gt;=$AB$70,AJ75,IF($C$7&gt;=$AB$69,AJ74,IF($C$7&gt;=$AB$68,AJ73,AJ72))))</f>
        <v>2</v>
      </c>
      <c r="AK77" s="16">
        <v>1</v>
      </c>
      <c r="AM77" s="2" t="e">
        <f>IF(AND(#REF!&gt;=$X$11,#REF!&lt;=$X$11+5),0,IF($C$9&gt;$AG$51,ROUND(AJ37*#REF!/(DATEVALUE(CONCATENATE("01/01/",YEAR(#REF!)+1))-DATEVALUE(CONCATENATE("01/01/",YEAR(#REF!))))*(#REF!-AA32),2),0))</f>
        <v>#REF!</v>
      </c>
      <c r="AN77" s="34">
        <f t="shared" si="55"/>
        <v>2344</v>
      </c>
      <c r="AO77" s="57">
        <f t="shared" si="52"/>
        <v>56265</v>
      </c>
      <c r="AP77" s="130">
        <f t="shared" si="72"/>
        <v>0</v>
      </c>
      <c r="AQ77" s="553">
        <f t="shared" si="84"/>
        <v>69</v>
      </c>
      <c r="AR77" s="554">
        <f t="shared" si="62"/>
        <v>47415</v>
      </c>
      <c r="AS77" s="555">
        <f t="shared" si="54"/>
        <v>0.29899999999999999</v>
      </c>
      <c r="AT77" s="559">
        <f t="shared" si="73"/>
        <v>0</v>
      </c>
      <c r="AU77" s="546">
        <f t="shared" si="79"/>
        <v>0</v>
      </c>
      <c r="AV77" s="546">
        <f t="shared" si="74"/>
        <v>0</v>
      </c>
      <c r="AW77" s="546">
        <f t="shared" si="75"/>
        <v>0</v>
      </c>
      <c r="AX77" s="559">
        <f t="shared" si="63"/>
        <v>0</v>
      </c>
      <c r="AY77" s="559">
        <v>0</v>
      </c>
      <c r="AZ77" s="559">
        <f t="shared" si="20"/>
        <v>0</v>
      </c>
      <c r="BA77" s="559">
        <f t="shared" si="36"/>
        <v>0</v>
      </c>
      <c r="BB77" s="559">
        <f t="shared" si="35"/>
        <v>0</v>
      </c>
      <c r="BC77" s="559"/>
      <c r="BD77" s="559"/>
      <c r="BE77" s="559"/>
      <c r="BF77" s="559"/>
      <c r="BG77" s="559"/>
      <c r="BH77" s="546">
        <f t="shared" si="76"/>
        <v>0</v>
      </c>
      <c r="BI77" s="108">
        <f t="shared" si="85"/>
        <v>0</v>
      </c>
      <c r="BJ77" s="108">
        <f t="shared" si="80"/>
        <v>0</v>
      </c>
      <c r="BK77" s="22">
        <f t="shared" si="81"/>
        <v>47415</v>
      </c>
      <c r="BL77" s="108">
        <f t="shared" si="64"/>
        <v>0</v>
      </c>
      <c r="BM77" s="2" t="e">
        <f>IF(AND(G32&gt;=$X$11,G32&lt;=$X$11+5),0,IF($C$9&gt;$AG$51,ROUND(BH31*IF(#REF!="",0,#REF!)/(DATEVALUE(CONCATENATE("01/01/",YEAR(AR32)+1))-DATEVALUE(CONCATENATE("01/01/",YEAR(AR32))))*(AR32-AR31),2),0))</f>
        <v>#REF!</v>
      </c>
    </row>
    <row r="78" spans="1:65" s="16" customFormat="1" x14ac:dyDescent="0.3">
      <c r="A78" s="178"/>
      <c r="B78" s="178"/>
      <c r="C78" s="184"/>
      <c r="D78" s="178"/>
      <c r="E78" s="178"/>
      <c r="F78" s="178"/>
      <c r="G78" s="244">
        <f t="shared" si="82"/>
        <v>70</v>
      </c>
      <c r="H78" s="245">
        <f t="shared" si="59"/>
        <v>47446</v>
      </c>
      <c r="I78" s="246">
        <f t="shared" si="60"/>
        <v>0.23899999999999999</v>
      </c>
      <c r="J78" s="242">
        <f t="shared" si="65"/>
        <v>0</v>
      </c>
      <c r="K78" s="242">
        <f t="shared" si="66"/>
        <v>0</v>
      </c>
      <c r="L78" s="242">
        <f t="shared" si="67"/>
        <v>0</v>
      </c>
      <c r="M78" s="242">
        <f t="shared" si="77"/>
        <v>0</v>
      </c>
      <c r="N78" s="242">
        <f t="shared" si="61"/>
        <v>0</v>
      </c>
      <c r="O78" s="242">
        <v>0</v>
      </c>
      <c r="P78" s="242">
        <f t="shared" si="24"/>
        <v>0</v>
      </c>
      <c r="Q78" s="242">
        <f t="shared" si="32"/>
        <v>0</v>
      </c>
      <c r="R78" s="242">
        <f t="shared" si="68"/>
        <v>0</v>
      </c>
      <c r="S78" s="242">
        <f>IF(OR(V78=1,S77=0),0,S77-M78)</f>
        <v>0</v>
      </c>
      <c r="T78" s="467">
        <f t="shared" si="58"/>
        <v>0</v>
      </c>
      <c r="U78" s="36">
        <f t="shared" si="83"/>
        <v>0</v>
      </c>
      <c r="V78" s="36">
        <f t="shared" si="70"/>
        <v>0</v>
      </c>
      <c r="W78" s="36">
        <f t="shared" si="71"/>
        <v>0</v>
      </c>
      <c r="X78" s="2" t="e">
        <f>IF(AND(G43&gt;=$X$11,G43&lt;=$X$11+5),0,IF($C$9&gt;$AG$51,ROUND(S42*#REF!/(DATEVALUE(CONCATENATE("01/01/",YEAR(H43)+1))-DATEVALUE(CONCATENATE("01/01/",YEAR(H43))))*(H43-H42),2),0))</f>
        <v>#REF!</v>
      </c>
      <c r="Y78" s="34">
        <f t="shared" si="53"/>
        <v>2407</v>
      </c>
      <c r="Z78" s="57">
        <f t="shared" si="49"/>
        <v>58090</v>
      </c>
      <c r="AD78" s="16" t="s">
        <v>330</v>
      </c>
      <c r="AE78" s="16" t="s">
        <v>112</v>
      </c>
      <c r="AF78" s="16" t="s">
        <v>116</v>
      </c>
      <c r="AH78" s="16" t="s">
        <v>113</v>
      </c>
      <c r="AI78" s="16" t="s">
        <v>122</v>
      </c>
      <c r="AJ78" s="16" t="s">
        <v>121</v>
      </c>
      <c r="AM78" s="2" t="e">
        <f>IF(AND(#REF!&gt;=$X$11,#REF!&lt;=$X$11+5),0,IF($C$9&gt;$AG$51,ROUND(AJ38*#REF!/(DATEVALUE(CONCATENATE("01/01/",YEAR(#REF!)+1))-DATEVALUE(CONCATENATE("01/01/",YEAR(#REF!))))*(#REF!-#REF!),2),0))</f>
        <v>#REF!</v>
      </c>
      <c r="AN78" s="34">
        <f t="shared" si="55"/>
        <v>2344</v>
      </c>
      <c r="AO78" s="57">
        <f t="shared" si="52"/>
        <v>56630</v>
      </c>
      <c r="AP78" s="130">
        <f t="shared" si="72"/>
        <v>0</v>
      </c>
      <c r="AQ78" s="553">
        <f t="shared" si="84"/>
        <v>70</v>
      </c>
      <c r="AR78" s="554">
        <f t="shared" si="62"/>
        <v>47446</v>
      </c>
      <c r="AS78" s="555">
        <f t="shared" si="54"/>
        <v>0.29899999999999999</v>
      </c>
      <c r="AT78" s="559">
        <f t="shared" si="73"/>
        <v>0</v>
      </c>
      <c r="AU78" s="546">
        <f t="shared" si="79"/>
        <v>0</v>
      </c>
      <c r="AV78" s="546">
        <f t="shared" si="74"/>
        <v>0</v>
      </c>
      <c r="AW78" s="546">
        <f t="shared" si="75"/>
        <v>0</v>
      </c>
      <c r="AX78" s="559">
        <f t="shared" si="63"/>
        <v>0</v>
      </c>
      <c r="AY78" s="559">
        <v>0</v>
      </c>
      <c r="AZ78" s="559">
        <f t="shared" si="20"/>
        <v>0</v>
      </c>
      <c r="BA78" s="559">
        <f t="shared" si="36"/>
        <v>0</v>
      </c>
      <c r="BB78" s="559">
        <f t="shared" si="35"/>
        <v>0</v>
      </c>
      <c r="BC78" s="559"/>
      <c r="BD78" s="559"/>
      <c r="BE78" s="559"/>
      <c r="BF78" s="559"/>
      <c r="BG78" s="559"/>
      <c r="BH78" s="546">
        <f t="shared" si="76"/>
        <v>0</v>
      </c>
      <c r="BI78" s="108">
        <f t="shared" si="85"/>
        <v>0</v>
      </c>
      <c r="BJ78" s="108">
        <f t="shared" si="80"/>
        <v>0</v>
      </c>
      <c r="BK78" s="22">
        <f t="shared" si="81"/>
        <v>47446</v>
      </c>
      <c r="BL78" s="108">
        <f t="shared" si="64"/>
        <v>0</v>
      </c>
      <c r="BM78" s="2" t="e">
        <f>IF(AND(G33&gt;=$X$11,G33&lt;=$X$11+5),0,IF($C$9&gt;$AG$51,ROUND(BH32*IF(#REF!="",0,#REF!)/(DATEVALUE(CONCATENATE("01/01/",YEAR(AR33)+1))-DATEVALUE(CONCATENATE("01/01/",YEAR(AR33))))*(AR33-AR32),2),0))</f>
        <v>#REF!</v>
      </c>
    </row>
    <row r="79" spans="1:65" s="16" customFormat="1" x14ac:dyDescent="0.3">
      <c r="A79" s="178"/>
      <c r="B79" s="178"/>
      <c r="C79" s="184"/>
      <c r="D79" s="178"/>
      <c r="E79" s="178"/>
      <c r="F79" s="178"/>
      <c r="G79" s="244">
        <f t="shared" si="82"/>
        <v>71</v>
      </c>
      <c r="H79" s="245">
        <f t="shared" si="59"/>
        <v>47476</v>
      </c>
      <c r="I79" s="246">
        <f t="shared" si="60"/>
        <v>0.23899999999999999</v>
      </c>
      <c r="J79" s="242">
        <f t="shared" si="65"/>
        <v>0</v>
      </c>
      <c r="K79" s="242">
        <f t="shared" si="66"/>
        <v>0</v>
      </c>
      <c r="L79" s="242">
        <f t="shared" si="67"/>
        <v>0</v>
      </c>
      <c r="M79" s="242">
        <f t="shared" si="77"/>
        <v>0</v>
      </c>
      <c r="N79" s="242">
        <f t="shared" si="61"/>
        <v>0</v>
      </c>
      <c r="O79" s="242">
        <v>0</v>
      </c>
      <c r="P79" s="242">
        <f t="shared" si="24"/>
        <v>0</v>
      </c>
      <c r="Q79" s="242">
        <f t="shared" ref="Q79:Q108" si="86">IF(V79=0,0,0)</f>
        <v>0</v>
      </c>
      <c r="R79" s="242">
        <f t="shared" si="68"/>
        <v>0</v>
      </c>
      <c r="S79" s="242">
        <f t="shared" si="78"/>
        <v>0</v>
      </c>
      <c r="T79" s="467">
        <f t="shared" si="58"/>
        <v>0</v>
      </c>
      <c r="U79" s="36">
        <f t="shared" si="83"/>
        <v>0</v>
      </c>
      <c r="V79" s="36">
        <f t="shared" si="70"/>
        <v>0</v>
      </c>
      <c r="W79" s="36">
        <f t="shared" si="71"/>
        <v>0</v>
      </c>
      <c r="X79" s="2" t="e">
        <f>IF(AND(G44&gt;=$X$11,G44&lt;=$X$11+5),0,IF($C$9&gt;$AG$51,ROUND(S43*#REF!/(DATEVALUE(CONCATENATE("01/01/",YEAR(H44)+1))-DATEVALUE(CONCATENATE("01/01/",YEAR(H44))))*(H44-H43),2),0))</f>
        <v>#REF!</v>
      </c>
      <c r="Y79" s="34">
        <f t="shared" si="53"/>
        <v>2407</v>
      </c>
      <c r="Z79" s="57">
        <f t="shared" si="49"/>
        <v>58455</v>
      </c>
      <c r="AD79" s="143">
        <f>MIN($C$7*IF($C$7&gt;$AC$71,AD76,IF($C$7&gt;$AC$70,AD75,IF($C$7&gt;$AC$69,AD74,IF($C$7&gt;$AC$68,AD73,AD72)))),5000000)</f>
        <v>60000</v>
      </c>
      <c r="AE79" s="143">
        <f>MIN($C$7*IF($C$7&gt;$AC$72,AE77,IF($C$7&gt;$AC$77,AE76,IF($C$7&gt;$AC$70,AE75,IF($C$7&gt;$AC$69,AE74,IF($C$7&gt;$AC$68,AE73,AE72))))),5000000)</f>
        <v>66000</v>
      </c>
      <c r="AF79" s="143">
        <f>MIN(3000000,$C$7*IF($C$7&gt;=$AB$71,AF76,IF($C$7&gt;=$AB$70,AF75,IF($C$7&gt;=$AB$69,AF74,IF($C$7&gt;=$AB$68,AF73,AF72)))))</f>
        <v>90000</v>
      </c>
      <c r="AG79" s="143">
        <f>MIN(5000000,$C$7*IF($C$7&gt;500000,AG76,IF($C$7&gt;200000,AG75,AG72)))</f>
        <v>90000</v>
      </c>
      <c r="AH79" s="143">
        <f>MIN(3000000,$C$7*IF($C$7&gt;=$AB$71,AH76,IF($C$7&gt;=$AB$70,AH75,IF($C$7&gt;=$AB$69,AH74,IF($C$7&gt;=$AB$68,AH73,AH72)))))</f>
        <v>0</v>
      </c>
      <c r="AI79" s="143">
        <f>$C$7*IF($C$7&gt;=$AB$71,AI76,IF($C$7&gt;=$AB$70,AI75,IF($C$7&gt;=$AB$69,AI74,IF($C$7&gt;=$AB$68,AI73,AI72))))</f>
        <v>60000</v>
      </c>
      <c r="AJ79" s="143">
        <f>$C$7*IF($C$7&gt;=$AB$71,AJ76,IF($C$7&gt;=$AB$70,AJ75,IF($C$7&gt;=$AB$69,AJ74,IF($C$7&gt;=$AB$68,AJ73,AJ72))))</f>
        <v>120000</v>
      </c>
      <c r="AM79" s="2" t="e">
        <f>IF(AND(#REF!&gt;=$X$11,#REF!&lt;=$X$11+5),0,IF($C$9&gt;$AG$51,ROUND(AJ39*#REF!/(DATEVALUE(CONCATENATE("01/01/",YEAR(#REF!)+1))-DATEVALUE(CONCATENATE("01/01/",YEAR(#REF!))))*(#REF!-#REF!),2),0))</f>
        <v>#REF!</v>
      </c>
      <c r="AN79" s="34">
        <f t="shared" si="55"/>
        <v>2344</v>
      </c>
      <c r="AO79" s="57">
        <f t="shared" si="52"/>
        <v>56995</v>
      </c>
      <c r="AP79" s="130">
        <f t="shared" si="72"/>
        <v>0</v>
      </c>
      <c r="AQ79" s="553">
        <f t="shared" si="84"/>
        <v>71</v>
      </c>
      <c r="AR79" s="554">
        <f t="shared" si="62"/>
        <v>47476</v>
      </c>
      <c r="AS79" s="555">
        <f t="shared" si="54"/>
        <v>0.29899999999999999</v>
      </c>
      <c r="AT79" s="559">
        <f t="shared" si="73"/>
        <v>0</v>
      </c>
      <c r="AU79" s="546">
        <f t="shared" si="79"/>
        <v>0</v>
      </c>
      <c r="AV79" s="546">
        <f t="shared" si="74"/>
        <v>0</v>
      </c>
      <c r="AW79" s="546">
        <f t="shared" si="75"/>
        <v>0</v>
      </c>
      <c r="AX79" s="559">
        <f t="shared" si="63"/>
        <v>0</v>
      </c>
      <c r="AY79" s="559">
        <v>0</v>
      </c>
      <c r="AZ79" s="559">
        <f t="shared" si="20"/>
        <v>0</v>
      </c>
      <c r="BA79" s="559">
        <f t="shared" si="36"/>
        <v>0</v>
      </c>
      <c r="BB79" s="559">
        <f t="shared" si="35"/>
        <v>0</v>
      </c>
      <c r="BC79" s="559"/>
      <c r="BD79" s="559"/>
      <c r="BE79" s="559"/>
      <c r="BF79" s="559"/>
      <c r="BG79" s="559"/>
      <c r="BH79" s="546">
        <f t="shared" si="76"/>
        <v>0</v>
      </c>
      <c r="BI79" s="108">
        <f t="shared" si="85"/>
        <v>0</v>
      </c>
      <c r="BJ79" s="108">
        <f t="shared" si="80"/>
        <v>0</v>
      </c>
      <c r="BK79" s="22">
        <f t="shared" si="81"/>
        <v>47476</v>
      </c>
      <c r="BL79" s="108">
        <f t="shared" si="64"/>
        <v>0</v>
      </c>
      <c r="BM79" s="2" t="e">
        <f>IF(AND(G34&gt;=$X$11,G34&lt;=$X$11+5),0,IF($C$9&gt;$AG$51,ROUND(BH33*IF(#REF!="",0,#REF!)/(DATEVALUE(CONCATENATE("01/01/",YEAR(AR34)+1))-DATEVALUE(CONCATENATE("01/01/",YEAR(AR34))))*(AR34-AR33),2),0))</f>
        <v>#REF!</v>
      </c>
    </row>
    <row r="80" spans="1:65" s="16" customFormat="1" ht="13.8" thickBot="1" x14ac:dyDescent="0.35">
      <c r="A80" s="178"/>
      <c r="B80" s="178"/>
      <c r="C80" s="184"/>
      <c r="D80" s="178"/>
      <c r="E80" s="178"/>
      <c r="F80" s="178"/>
      <c r="G80" s="248">
        <f t="shared" si="82"/>
        <v>72</v>
      </c>
      <c r="H80" s="679">
        <f t="shared" si="59"/>
        <v>47507</v>
      </c>
      <c r="I80" s="250">
        <f t="shared" si="60"/>
        <v>0.23899999999999999</v>
      </c>
      <c r="J80" s="242">
        <f t="shared" si="65"/>
        <v>0</v>
      </c>
      <c r="K80" s="252">
        <f t="shared" si="66"/>
        <v>0</v>
      </c>
      <c r="L80" s="242">
        <f t="shared" si="67"/>
        <v>0</v>
      </c>
      <c r="M80" s="252">
        <f t="shared" si="77"/>
        <v>0</v>
      </c>
      <c r="N80" s="252">
        <f t="shared" si="61"/>
        <v>0</v>
      </c>
      <c r="O80" s="252">
        <v>0</v>
      </c>
      <c r="P80" s="252">
        <f t="shared" si="24"/>
        <v>0</v>
      </c>
      <c r="Q80" s="252">
        <f t="shared" si="86"/>
        <v>0</v>
      </c>
      <c r="R80" s="252">
        <f t="shared" si="68"/>
        <v>0</v>
      </c>
      <c r="S80" s="252">
        <f t="shared" si="78"/>
        <v>0</v>
      </c>
      <c r="T80" s="252">
        <f t="shared" si="58"/>
        <v>0</v>
      </c>
      <c r="U80" s="36">
        <f t="shared" si="83"/>
        <v>0</v>
      </c>
      <c r="V80" s="36">
        <f t="shared" si="70"/>
        <v>0</v>
      </c>
      <c r="W80" s="36">
        <f t="shared" si="71"/>
        <v>0</v>
      </c>
      <c r="X80" s="2" t="e">
        <f>IF(AND(G45&gt;=$X$11,G45&lt;=$X$11+5),0,IF($C$9&gt;$AG$51,ROUND(S44*#REF!/(DATEVALUE(CONCATENATE("01/01/",YEAR(H45)+1))-DATEVALUE(CONCATENATE("01/01/",YEAR(H45))))*(H45-H44),2),0))</f>
        <v>#REF!</v>
      </c>
      <c r="Y80" s="34">
        <f t="shared" si="53"/>
        <v>2407</v>
      </c>
      <c r="Z80" s="57">
        <f t="shared" si="49"/>
        <v>58820</v>
      </c>
      <c r="AM80" s="2" t="e">
        <f>IF(AND(#REF!&gt;=$X$11,#REF!&lt;=$X$11+5),0,IF($C$9&gt;$AG$51,ROUND(AJ40*#REF!/(DATEVALUE(CONCATENATE("01/01/",YEAR(#REF!)+1))-DATEVALUE(CONCATENATE("01/01/",YEAR(#REF!))))*(#REF!-#REF!),2),0))</f>
        <v>#REF!</v>
      </c>
      <c r="AN80" s="34">
        <f t="shared" si="55"/>
        <v>2344</v>
      </c>
      <c r="AO80" s="57">
        <f t="shared" si="52"/>
        <v>57360</v>
      </c>
      <c r="AP80" s="130">
        <f t="shared" si="72"/>
        <v>0</v>
      </c>
      <c r="AQ80" s="556">
        <f t="shared" si="84"/>
        <v>72</v>
      </c>
      <c r="AR80" s="680">
        <f t="shared" si="62"/>
        <v>47507</v>
      </c>
      <c r="AS80" s="557">
        <f t="shared" si="54"/>
        <v>0.29899999999999999</v>
      </c>
      <c r="AT80" s="560">
        <f t="shared" si="73"/>
        <v>0</v>
      </c>
      <c r="AU80" s="547">
        <f t="shared" si="79"/>
        <v>0</v>
      </c>
      <c r="AV80" s="547">
        <f t="shared" si="74"/>
        <v>0</v>
      </c>
      <c r="AW80" s="547">
        <f t="shared" si="75"/>
        <v>0</v>
      </c>
      <c r="AX80" s="560">
        <f t="shared" si="63"/>
        <v>0</v>
      </c>
      <c r="AY80" s="560">
        <v>0</v>
      </c>
      <c r="AZ80" s="560">
        <f t="shared" si="20"/>
        <v>0</v>
      </c>
      <c r="BA80" s="560">
        <f t="shared" si="36"/>
        <v>0</v>
      </c>
      <c r="BB80" s="560">
        <f t="shared" si="35"/>
        <v>0</v>
      </c>
      <c r="BC80" s="560"/>
      <c r="BD80" s="560"/>
      <c r="BE80" s="560"/>
      <c r="BF80" s="560"/>
      <c r="BG80" s="560"/>
      <c r="BH80" s="547">
        <f t="shared" si="76"/>
        <v>0</v>
      </c>
      <c r="BI80" s="108">
        <f t="shared" si="85"/>
        <v>0</v>
      </c>
      <c r="BJ80" s="108">
        <f t="shared" si="80"/>
        <v>0</v>
      </c>
      <c r="BK80" s="22">
        <f t="shared" si="81"/>
        <v>47507</v>
      </c>
      <c r="BL80" s="108">
        <f t="shared" si="64"/>
        <v>0</v>
      </c>
      <c r="BM80" s="2" t="e">
        <f>IF(AND(G35&gt;=$X$11,G35&lt;=$X$11+5),0,IF($C$9&gt;$AG$51,ROUND(BH34*IF(#REF!="",0,#REF!)/(DATEVALUE(CONCATENATE("01/01/",YEAR(AR35)+1))-DATEVALUE(CONCATENATE("01/01/",YEAR(AR35))))*(AR35-AR34),2),0))</f>
        <v>#REF!</v>
      </c>
    </row>
    <row r="81" spans="1:65" s="16" customFormat="1" x14ac:dyDescent="0.3">
      <c r="A81" s="178"/>
      <c r="B81" s="178"/>
      <c r="C81" s="184"/>
      <c r="D81" s="178"/>
      <c r="E81" s="178"/>
      <c r="F81" s="178"/>
      <c r="G81" s="244">
        <f t="shared" si="82"/>
        <v>73</v>
      </c>
      <c r="H81" s="245">
        <f t="shared" si="59"/>
        <v>47538</v>
      </c>
      <c r="I81" s="246">
        <f t="shared" si="60"/>
        <v>0.23899999999999999</v>
      </c>
      <c r="J81" s="242">
        <f t="shared" si="65"/>
        <v>0</v>
      </c>
      <c r="K81" s="242">
        <f t="shared" si="66"/>
        <v>0</v>
      </c>
      <c r="L81" s="242">
        <f t="shared" si="67"/>
        <v>0</v>
      </c>
      <c r="M81" s="242">
        <f t="shared" si="77"/>
        <v>0</v>
      </c>
      <c r="N81" s="242">
        <f t="shared" si="61"/>
        <v>0</v>
      </c>
      <c r="O81" s="242">
        <v>0</v>
      </c>
      <c r="P81" s="242">
        <f t="shared" si="24"/>
        <v>0</v>
      </c>
      <c r="Q81" s="242">
        <f t="shared" si="86"/>
        <v>0</v>
      </c>
      <c r="R81" s="242">
        <f t="shared" si="68"/>
        <v>0</v>
      </c>
      <c r="S81" s="242">
        <f t="shared" si="78"/>
        <v>0</v>
      </c>
      <c r="T81" s="467">
        <f t="shared" si="58"/>
        <v>0</v>
      </c>
      <c r="U81" s="36">
        <f t="shared" si="83"/>
        <v>0</v>
      </c>
      <c r="V81" s="36">
        <f t="shared" si="70"/>
        <v>0</v>
      </c>
      <c r="W81" s="36">
        <f t="shared" si="71"/>
        <v>0</v>
      </c>
      <c r="X81" s="2" t="e">
        <f>IF(AND(G46&gt;=$X$11,G46&lt;=$X$11+5),0,IF($C$9&gt;$AG$51,ROUND(S45*#REF!/(DATEVALUE(CONCATENATE("01/01/",YEAR(H46)+1))-DATEVALUE(CONCATENATE("01/01/",YEAR(H46))))*(H46-H45),2),0))</f>
        <v>#REF!</v>
      </c>
      <c r="Y81" s="34">
        <f t="shared" si="53"/>
        <v>2407</v>
      </c>
      <c r="Z81" s="57">
        <f t="shared" si="49"/>
        <v>59185</v>
      </c>
      <c r="AM81" s="2" t="e">
        <f>IF(AND(#REF!&gt;=$X$11,#REF!&lt;=$X$11+5),0,IF($C$9&gt;$AG$51,ROUND(AJ41*#REF!/(DATEVALUE(CONCATENATE("01/01/",YEAR(#REF!)+1))-DATEVALUE(CONCATENATE("01/01/",YEAR(#REF!))))*(#REF!-#REF!),2),0))</f>
        <v>#REF!</v>
      </c>
      <c r="AN81" s="34">
        <f t="shared" si="55"/>
        <v>2344</v>
      </c>
      <c r="AO81" s="57">
        <f t="shared" si="52"/>
        <v>57725</v>
      </c>
      <c r="AP81" s="130">
        <f t="shared" si="72"/>
        <v>0</v>
      </c>
      <c r="AQ81" s="553">
        <f t="shared" si="84"/>
        <v>73</v>
      </c>
      <c r="AR81" s="554">
        <f t="shared" si="62"/>
        <v>47538</v>
      </c>
      <c r="AS81" s="555">
        <f t="shared" si="54"/>
        <v>0.29899999999999999</v>
      </c>
      <c r="AT81" s="559">
        <f t="shared" si="73"/>
        <v>0</v>
      </c>
      <c r="AU81" s="546">
        <f t="shared" si="79"/>
        <v>0</v>
      </c>
      <c r="AV81" s="546">
        <f t="shared" si="74"/>
        <v>0</v>
      </c>
      <c r="AW81" s="546">
        <f t="shared" si="75"/>
        <v>0</v>
      </c>
      <c r="AX81" s="559">
        <f t="shared" si="63"/>
        <v>0</v>
      </c>
      <c r="AY81" s="559">
        <v>0</v>
      </c>
      <c r="AZ81" s="559">
        <f t="shared" si="20"/>
        <v>0</v>
      </c>
      <c r="BA81" s="559">
        <f t="shared" si="36"/>
        <v>0</v>
      </c>
      <c r="BB81" s="559">
        <f t="shared" si="35"/>
        <v>0</v>
      </c>
      <c r="BC81" s="559"/>
      <c r="BD81" s="559"/>
      <c r="BE81" s="559"/>
      <c r="BF81" s="559"/>
      <c r="BG81" s="559"/>
      <c r="BH81" s="546">
        <f t="shared" si="76"/>
        <v>0</v>
      </c>
      <c r="BI81" s="108">
        <f t="shared" si="85"/>
        <v>0</v>
      </c>
      <c r="BJ81" s="108">
        <f t="shared" si="80"/>
        <v>0</v>
      </c>
      <c r="BK81" s="22">
        <f t="shared" si="81"/>
        <v>47538</v>
      </c>
      <c r="BL81" s="108">
        <f t="shared" si="64"/>
        <v>0</v>
      </c>
      <c r="BM81" s="2" t="e">
        <f>IF(AND(G36&gt;=$X$11,G36&lt;=$X$11+5),0,IF($C$9&gt;$AG$51,ROUND(BH35*IF(#REF!="",0,#REF!)/(DATEVALUE(CONCATENATE("01/01/",YEAR(AR36)+1))-DATEVALUE(CONCATENATE("01/01/",YEAR(AR36))))*(AR36-AR35),2),0))</f>
        <v>#REF!</v>
      </c>
    </row>
    <row r="82" spans="1:65" s="16" customFormat="1" x14ac:dyDescent="0.3">
      <c r="A82" s="183"/>
      <c r="B82" s="180"/>
      <c r="C82" s="184"/>
      <c r="D82" s="182"/>
      <c r="E82" s="178"/>
      <c r="F82" s="178"/>
      <c r="G82" s="244">
        <f t="shared" si="82"/>
        <v>74</v>
      </c>
      <c r="H82" s="245">
        <f t="shared" si="59"/>
        <v>47566</v>
      </c>
      <c r="I82" s="246">
        <f t="shared" si="60"/>
        <v>0.23899999999999999</v>
      </c>
      <c r="J82" s="242">
        <f t="shared" si="65"/>
        <v>0</v>
      </c>
      <c r="K82" s="242">
        <f t="shared" si="66"/>
        <v>0</v>
      </c>
      <c r="L82" s="242">
        <f t="shared" si="67"/>
        <v>0</v>
      </c>
      <c r="M82" s="242">
        <f t="shared" si="77"/>
        <v>0</v>
      </c>
      <c r="N82" s="242">
        <f t="shared" si="61"/>
        <v>0</v>
      </c>
      <c r="O82" s="242">
        <v>0</v>
      </c>
      <c r="P82" s="242">
        <f t="shared" si="24"/>
        <v>0</v>
      </c>
      <c r="Q82" s="242">
        <f t="shared" si="86"/>
        <v>0</v>
      </c>
      <c r="R82" s="242">
        <f t="shared" si="68"/>
        <v>0</v>
      </c>
      <c r="S82" s="242">
        <f t="shared" si="78"/>
        <v>0</v>
      </c>
      <c r="T82" s="467">
        <f t="shared" si="58"/>
        <v>0</v>
      </c>
      <c r="U82" s="36">
        <f t="shared" si="83"/>
        <v>0</v>
      </c>
      <c r="V82" s="36">
        <f t="shared" si="70"/>
        <v>0</v>
      </c>
      <c r="W82" s="36">
        <f t="shared" si="71"/>
        <v>0</v>
      </c>
      <c r="X82" s="2" t="e">
        <f>IF(AND(G47&gt;=$X$11,G47&lt;=$X$11+5),0,IF($C$9&gt;$AG$51,ROUND(S46*#REF!/(DATEVALUE(CONCATENATE("01/01/",YEAR(H47)+1))-DATEVALUE(CONCATENATE("01/01/",YEAR(H47))))*(H47-H46),2),0))</f>
        <v>#REF!</v>
      </c>
      <c r="Y82" s="34">
        <f t="shared" si="53"/>
        <v>2407</v>
      </c>
      <c r="Z82" s="57">
        <f t="shared" si="49"/>
        <v>59550</v>
      </c>
      <c r="AA82" s="60">
        <v>43858</v>
      </c>
      <c r="AF82" s="16">
        <f>500000*0.3*60</f>
        <v>9000000</v>
      </c>
      <c r="AM82" s="2" t="e">
        <f>IF(AND(#REF!&gt;=$X$11,#REF!&lt;=$X$11+5),0,IF($C$9&gt;$AG$51,ROUND(AJ42*#REF!/(DATEVALUE(CONCATENATE("01/01/",YEAR(#REF!)+1))-DATEVALUE(CONCATENATE("01/01/",YEAR(#REF!))))*(#REF!-#REF!),2),0))</f>
        <v>#REF!</v>
      </c>
      <c r="AN82" s="34">
        <f t="shared" si="55"/>
        <v>2344</v>
      </c>
      <c r="AO82" s="57">
        <f t="shared" si="52"/>
        <v>58090</v>
      </c>
      <c r="AP82" s="130">
        <f t="shared" si="72"/>
        <v>0</v>
      </c>
      <c r="AQ82" s="553">
        <f t="shared" si="84"/>
        <v>74</v>
      </c>
      <c r="AR82" s="554">
        <f t="shared" si="62"/>
        <v>47566</v>
      </c>
      <c r="AS82" s="555">
        <f t="shared" si="54"/>
        <v>0.29899999999999999</v>
      </c>
      <c r="AT82" s="559">
        <f t="shared" si="73"/>
        <v>0</v>
      </c>
      <c r="AU82" s="546">
        <f t="shared" si="79"/>
        <v>0</v>
      </c>
      <c r="AV82" s="546">
        <f t="shared" si="74"/>
        <v>0</v>
      </c>
      <c r="AW82" s="546">
        <f t="shared" si="75"/>
        <v>0</v>
      </c>
      <c r="AX82" s="559">
        <f t="shared" si="63"/>
        <v>0</v>
      </c>
      <c r="AY82" s="559">
        <v>0</v>
      </c>
      <c r="AZ82" s="559">
        <f t="shared" si="20"/>
        <v>0</v>
      </c>
      <c r="BA82" s="559">
        <f t="shared" si="36"/>
        <v>0</v>
      </c>
      <c r="BB82" s="559">
        <f t="shared" si="35"/>
        <v>0</v>
      </c>
      <c r="BC82" s="559"/>
      <c r="BD82" s="559"/>
      <c r="BE82" s="559"/>
      <c r="BF82" s="559"/>
      <c r="BG82" s="559"/>
      <c r="BH82" s="546">
        <f t="shared" si="76"/>
        <v>0</v>
      </c>
      <c r="BI82" s="108">
        <f t="shared" si="85"/>
        <v>0</v>
      </c>
      <c r="BJ82" s="108">
        <f t="shared" si="80"/>
        <v>0</v>
      </c>
      <c r="BK82" s="22">
        <f t="shared" si="81"/>
        <v>47566</v>
      </c>
      <c r="BL82" s="108">
        <f t="shared" si="64"/>
        <v>0</v>
      </c>
      <c r="BM82" s="2" t="e">
        <f>IF(AND(G37&gt;=$X$11,G37&lt;=$X$11+5),0,IF($C$9&gt;$AG$51,ROUND(BH36*IF(#REF!="",0,#REF!)/(DATEVALUE(CONCATENATE("01/01/",YEAR(AR37)+1))-DATEVALUE(CONCATENATE("01/01/",YEAR(AR37))))*(AR37-AR36),2),0))</f>
        <v>#REF!</v>
      </c>
    </row>
    <row r="83" spans="1:65" s="16" customFormat="1" x14ac:dyDescent="0.3">
      <c r="A83" s="183"/>
      <c r="B83" s="178"/>
      <c r="C83" s="184"/>
      <c r="D83" s="178"/>
      <c r="E83" s="178"/>
      <c r="F83" s="178"/>
      <c r="G83" s="244">
        <f t="shared" si="82"/>
        <v>75</v>
      </c>
      <c r="H83" s="245">
        <f t="shared" si="59"/>
        <v>47597</v>
      </c>
      <c r="I83" s="246">
        <f t="shared" si="60"/>
        <v>0.23899999999999999</v>
      </c>
      <c r="J83" s="242">
        <f t="shared" si="65"/>
        <v>0</v>
      </c>
      <c r="K83" s="242">
        <f t="shared" si="66"/>
        <v>0</v>
      </c>
      <c r="L83" s="242">
        <f t="shared" si="67"/>
        <v>0</v>
      </c>
      <c r="M83" s="242">
        <f t="shared" si="77"/>
        <v>0</v>
      </c>
      <c r="N83" s="242">
        <f t="shared" si="61"/>
        <v>0</v>
      </c>
      <c r="O83" s="242">
        <v>0</v>
      </c>
      <c r="P83" s="242">
        <f t="shared" si="24"/>
        <v>0</v>
      </c>
      <c r="Q83" s="242">
        <f t="shared" si="86"/>
        <v>0</v>
      </c>
      <c r="R83" s="242">
        <f t="shared" si="68"/>
        <v>0</v>
      </c>
      <c r="S83" s="242">
        <f t="shared" si="78"/>
        <v>0</v>
      </c>
      <c r="T83" s="467">
        <f t="shared" si="58"/>
        <v>0</v>
      </c>
      <c r="U83" s="36">
        <f t="shared" si="83"/>
        <v>0</v>
      </c>
      <c r="V83" s="36">
        <f t="shared" si="70"/>
        <v>0</v>
      </c>
      <c r="W83" s="36">
        <f t="shared" si="71"/>
        <v>0</v>
      </c>
      <c r="X83" s="2" t="e">
        <f>IF(AND(G48&gt;=$X$11,G48&lt;=$X$11+5),0,IF($C$9&gt;$AG$51,ROUND(S47*#REF!/(DATEVALUE(CONCATENATE("01/01/",YEAR(H48)+1))-DATEVALUE(CONCATENATE("01/01/",YEAR(H48))))*(H48-H47),2),0))</f>
        <v>#REF!</v>
      </c>
      <c r="Y83" s="34">
        <f t="shared" si="53"/>
        <v>2407</v>
      </c>
      <c r="Z83" s="57">
        <f t="shared" si="49"/>
        <v>59915</v>
      </c>
      <c r="AM83" s="2" t="e">
        <f>IF(AND(#REF!&gt;=$X$11,#REF!&lt;=$X$11+5),0,IF($C$9&gt;$AG$51,ROUND(AJ43*#REF!/(DATEVALUE(CONCATENATE("01/01/",YEAR(#REF!)+1))-DATEVALUE(CONCATENATE("01/01/",YEAR(#REF!))))*(#REF!-#REF!),2),0))</f>
        <v>#REF!</v>
      </c>
      <c r="AN83" s="34">
        <f t="shared" si="55"/>
        <v>2344</v>
      </c>
      <c r="AO83" s="57">
        <f t="shared" si="52"/>
        <v>58455</v>
      </c>
      <c r="AP83" s="130">
        <f t="shared" si="72"/>
        <v>0</v>
      </c>
      <c r="AQ83" s="553">
        <f t="shared" si="84"/>
        <v>75</v>
      </c>
      <c r="AR83" s="554">
        <f t="shared" si="62"/>
        <v>47597</v>
      </c>
      <c r="AS83" s="555">
        <f t="shared" si="54"/>
        <v>0.29899999999999999</v>
      </c>
      <c r="AT83" s="559">
        <f t="shared" si="73"/>
        <v>0</v>
      </c>
      <c r="AU83" s="546">
        <f t="shared" si="79"/>
        <v>0</v>
      </c>
      <c r="AV83" s="546">
        <f t="shared" si="74"/>
        <v>0</v>
      </c>
      <c r="AW83" s="546">
        <f t="shared" si="75"/>
        <v>0</v>
      </c>
      <c r="AX83" s="559">
        <f t="shared" si="63"/>
        <v>0</v>
      </c>
      <c r="AY83" s="559">
        <v>0</v>
      </c>
      <c r="AZ83" s="559">
        <f t="shared" si="20"/>
        <v>0</v>
      </c>
      <c r="BA83" s="559">
        <f t="shared" si="36"/>
        <v>0</v>
      </c>
      <c r="BB83" s="559">
        <f t="shared" si="35"/>
        <v>0</v>
      </c>
      <c r="BC83" s="559"/>
      <c r="BD83" s="559"/>
      <c r="BE83" s="559"/>
      <c r="BF83" s="559"/>
      <c r="BG83" s="559"/>
      <c r="BH83" s="546">
        <f t="shared" si="76"/>
        <v>0</v>
      </c>
      <c r="BI83" s="108">
        <f t="shared" si="85"/>
        <v>0</v>
      </c>
      <c r="BJ83" s="108">
        <f t="shared" si="80"/>
        <v>0</v>
      </c>
      <c r="BK83" s="22">
        <f t="shared" si="81"/>
        <v>47597</v>
      </c>
      <c r="BL83" s="108">
        <f t="shared" si="64"/>
        <v>0</v>
      </c>
      <c r="BM83" s="2" t="e">
        <f>IF(AND(G38&gt;=$X$11,G38&lt;=$X$11+5),0,IF($C$9&gt;$AG$51,ROUND(BH37*IF(#REF!="",0,#REF!)/(DATEVALUE(CONCATENATE("01/01/",YEAR(AR38)+1))-DATEVALUE(CONCATENATE("01/01/",YEAR(AR38))))*(AR38-AR37),2),0))</f>
        <v>#REF!</v>
      </c>
    </row>
    <row r="84" spans="1:65" s="16" customFormat="1" x14ac:dyDescent="0.3">
      <c r="A84" s="178"/>
      <c r="B84" s="178"/>
      <c r="C84" s="184"/>
      <c r="D84" s="184"/>
      <c r="E84" s="178"/>
      <c r="F84" s="178"/>
      <c r="G84" s="244">
        <f t="shared" si="82"/>
        <v>76</v>
      </c>
      <c r="H84" s="245">
        <f t="shared" si="59"/>
        <v>47627</v>
      </c>
      <c r="I84" s="246">
        <f t="shared" si="60"/>
        <v>0.23899999999999999</v>
      </c>
      <c r="J84" s="242">
        <f t="shared" si="65"/>
        <v>0</v>
      </c>
      <c r="K84" s="242">
        <f t="shared" si="66"/>
        <v>0</v>
      </c>
      <c r="L84" s="242">
        <f t="shared" si="67"/>
        <v>0</v>
      </c>
      <c r="M84" s="242">
        <f t="shared" si="77"/>
        <v>0</v>
      </c>
      <c r="N84" s="242">
        <f t="shared" si="61"/>
        <v>0</v>
      </c>
      <c r="O84" s="242">
        <v>0</v>
      </c>
      <c r="P84" s="242">
        <f t="shared" si="24"/>
        <v>0</v>
      </c>
      <c r="Q84" s="242">
        <f t="shared" si="86"/>
        <v>0</v>
      </c>
      <c r="R84" s="242">
        <f t="shared" si="68"/>
        <v>0</v>
      </c>
      <c r="S84" s="242">
        <f t="shared" si="78"/>
        <v>0</v>
      </c>
      <c r="T84" s="467">
        <f t="shared" si="58"/>
        <v>0</v>
      </c>
      <c r="U84" s="36">
        <f t="shared" si="83"/>
        <v>0</v>
      </c>
      <c r="V84" s="36">
        <f t="shared" si="70"/>
        <v>0</v>
      </c>
      <c r="W84" s="36">
        <f t="shared" si="71"/>
        <v>0</v>
      </c>
      <c r="X84" s="2" t="e">
        <f>IF(AND(G49&gt;=$X$11,G49&lt;=$X$11+5),0,IF($C$9&gt;$AG$51,ROUND(S48*#REF!/(DATEVALUE(CONCATENATE("01/01/",YEAR(H49)+1))-DATEVALUE(CONCATENATE("01/01/",YEAR(H49))))*(H49-H48),2),0))</f>
        <v>#REF!</v>
      </c>
      <c r="Y84" s="34">
        <f t="shared" si="53"/>
        <v>2407</v>
      </c>
      <c r="Z84" s="57">
        <f t="shared" si="49"/>
        <v>60280</v>
      </c>
      <c r="AM84" s="2" t="e">
        <f>IF(AND(#REF!&gt;=$X$11,#REF!&lt;=$X$11+5),0,IF($C$9&gt;$AG$51,ROUND(AJ44*#REF!/(DATEVALUE(CONCATENATE("01/01/",YEAR(#REF!)+1))-DATEVALUE(CONCATENATE("01/01/",YEAR(#REF!))))*(#REF!-#REF!),2),0))</f>
        <v>#REF!</v>
      </c>
      <c r="AN84" s="34">
        <f t="shared" si="55"/>
        <v>2344</v>
      </c>
      <c r="AO84" s="57">
        <f t="shared" si="52"/>
        <v>58820</v>
      </c>
      <c r="AP84" s="130">
        <f t="shared" si="72"/>
        <v>0</v>
      </c>
      <c r="AQ84" s="553">
        <f t="shared" si="84"/>
        <v>76</v>
      </c>
      <c r="AR84" s="554">
        <f t="shared" si="62"/>
        <v>47627</v>
      </c>
      <c r="AS84" s="555">
        <f t="shared" si="54"/>
        <v>0.29899999999999999</v>
      </c>
      <c r="AT84" s="559">
        <f t="shared" si="73"/>
        <v>0</v>
      </c>
      <c r="AU84" s="546">
        <f t="shared" si="79"/>
        <v>0</v>
      </c>
      <c r="AV84" s="546">
        <f t="shared" si="74"/>
        <v>0</v>
      </c>
      <c r="AW84" s="546">
        <f t="shared" si="75"/>
        <v>0</v>
      </c>
      <c r="AX84" s="559">
        <f t="shared" si="63"/>
        <v>0</v>
      </c>
      <c r="AY84" s="559">
        <v>0</v>
      </c>
      <c r="AZ84" s="559">
        <f t="shared" si="20"/>
        <v>0</v>
      </c>
      <c r="BA84" s="559">
        <f t="shared" si="36"/>
        <v>0</v>
      </c>
      <c r="BB84" s="559">
        <f t="shared" ref="BB84:BB108" si="87">IF(BJ90=0,0,0)</f>
        <v>0</v>
      </c>
      <c r="BC84" s="559"/>
      <c r="BD84" s="559"/>
      <c r="BE84" s="559"/>
      <c r="BF84" s="559"/>
      <c r="BG84" s="559"/>
      <c r="BH84" s="546">
        <f t="shared" si="76"/>
        <v>0</v>
      </c>
      <c r="BI84" s="108">
        <f t="shared" si="85"/>
        <v>0</v>
      </c>
      <c r="BJ84" s="108">
        <f t="shared" si="80"/>
        <v>0</v>
      </c>
      <c r="BK84" s="22">
        <f t="shared" si="81"/>
        <v>47627</v>
      </c>
      <c r="BL84" s="108">
        <f t="shared" si="64"/>
        <v>0</v>
      </c>
      <c r="BM84" s="2" t="e">
        <f>IF(AND(G39&gt;=$X$11,G39&lt;=$X$11+5),0,IF($C$9&gt;$AG$51,ROUND(BH38*IF(#REF!="",0,#REF!)/(DATEVALUE(CONCATENATE("01/01/",YEAR(AR39)+1))-DATEVALUE(CONCATENATE("01/01/",YEAR(AR39))))*(AR39-AR38),2),0))</f>
        <v>#REF!</v>
      </c>
    </row>
    <row r="85" spans="1:65" s="16" customFormat="1" x14ac:dyDescent="0.3">
      <c r="A85" s="178"/>
      <c r="B85" s="178"/>
      <c r="C85" s="184"/>
      <c r="D85" s="184"/>
      <c r="E85" s="178"/>
      <c r="F85" s="178"/>
      <c r="G85" s="244">
        <f t="shared" si="82"/>
        <v>77</v>
      </c>
      <c r="H85" s="245">
        <f t="shared" si="59"/>
        <v>47658</v>
      </c>
      <c r="I85" s="246">
        <f t="shared" si="60"/>
        <v>0.23899999999999999</v>
      </c>
      <c r="J85" s="242">
        <f t="shared" si="65"/>
        <v>0</v>
      </c>
      <c r="K85" s="242">
        <f t="shared" si="66"/>
        <v>0</v>
      </c>
      <c r="L85" s="242">
        <f t="shared" si="67"/>
        <v>0</v>
      </c>
      <c r="M85" s="242">
        <f t="shared" si="77"/>
        <v>0</v>
      </c>
      <c r="N85" s="242">
        <f t="shared" si="61"/>
        <v>0</v>
      </c>
      <c r="O85" s="242">
        <v>0</v>
      </c>
      <c r="P85" s="242">
        <f t="shared" si="24"/>
        <v>0</v>
      </c>
      <c r="Q85" s="242">
        <f t="shared" si="86"/>
        <v>0</v>
      </c>
      <c r="R85" s="242">
        <f t="shared" si="68"/>
        <v>0</v>
      </c>
      <c r="S85" s="242">
        <f t="shared" si="78"/>
        <v>0</v>
      </c>
      <c r="T85" s="467">
        <f t="shared" si="58"/>
        <v>0</v>
      </c>
      <c r="U85" s="36">
        <f t="shared" si="83"/>
        <v>0</v>
      </c>
      <c r="V85" s="36">
        <f t="shared" si="70"/>
        <v>0</v>
      </c>
      <c r="W85" s="36">
        <f t="shared" si="71"/>
        <v>0</v>
      </c>
      <c r="X85" s="2" t="e">
        <f>IF(AND(G50&gt;=$X$11,G50&lt;=$X$11+5),0,IF($C$9&gt;$AG$51,ROUND(S49*#REF!/(DATEVALUE(CONCATENATE("01/01/",YEAR(H50)+1))-DATEVALUE(CONCATENATE("01/01/",YEAR(H50))))*(H50-H49),2),0))</f>
        <v>#REF!</v>
      </c>
      <c r="Y85" s="34">
        <f t="shared" si="53"/>
        <v>2407</v>
      </c>
      <c r="Z85" s="57">
        <f t="shared" si="49"/>
        <v>60645</v>
      </c>
      <c r="AD85" s="890" t="s">
        <v>104</v>
      </c>
      <c r="AE85" s="890"/>
      <c r="AF85" s="890"/>
      <c r="AG85" s="890"/>
      <c r="AH85" s="890"/>
      <c r="AI85" s="890"/>
      <c r="AJ85" s="890"/>
      <c r="AM85" s="2" t="e">
        <f>IF(AND(Z42&gt;=$X$11,Z42&lt;=$X$11+5),0,IF($C$9&gt;$AG$51,ROUND(AJ45*#REF!/(DATEVALUE(CONCATENATE("01/01/",YEAR(AA42)+1))-DATEVALUE(CONCATENATE("01/01/",YEAR(AA42))))*(AA42-#REF!),2),0))</f>
        <v>#REF!</v>
      </c>
      <c r="AN85" s="34">
        <f t="shared" si="55"/>
        <v>2344</v>
      </c>
      <c r="AO85" s="57">
        <f t="shared" si="52"/>
        <v>59185</v>
      </c>
      <c r="AP85" s="130">
        <f t="shared" si="72"/>
        <v>0</v>
      </c>
      <c r="AQ85" s="553">
        <f t="shared" si="84"/>
        <v>77</v>
      </c>
      <c r="AR85" s="554">
        <f t="shared" si="62"/>
        <v>47658</v>
      </c>
      <c r="AS85" s="555">
        <f t="shared" si="54"/>
        <v>0.29899999999999999</v>
      </c>
      <c r="AT85" s="559">
        <f t="shared" si="73"/>
        <v>0</v>
      </c>
      <c r="AU85" s="546">
        <f t="shared" si="79"/>
        <v>0</v>
      </c>
      <c r="AV85" s="546">
        <f t="shared" si="74"/>
        <v>0</v>
      </c>
      <c r="AW85" s="546">
        <f t="shared" si="75"/>
        <v>0</v>
      </c>
      <c r="AX85" s="559">
        <f t="shared" si="63"/>
        <v>0</v>
      </c>
      <c r="AY85" s="559">
        <v>0</v>
      </c>
      <c r="AZ85" s="559">
        <f t="shared" si="20"/>
        <v>0</v>
      </c>
      <c r="BA85" s="559">
        <f t="shared" ref="BA85:BA108" si="88">IF(BJ91=0,0,0)</f>
        <v>0</v>
      </c>
      <c r="BB85" s="559">
        <f t="shared" si="87"/>
        <v>0</v>
      </c>
      <c r="BC85" s="559"/>
      <c r="BD85" s="559"/>
      <c r="BE85" s="559"/>
      <c r="BF85" s="559"/>
      <c r="BG85" s="559"/>
      <c r="BH85" s="546">
        <f t="shared" si="76"/>
        <v>0</v>
      </c>
      <c r="BI85" s="108">
        <f t="shared" si="85"/>
        <v>0</v>
      </c>
      <c r="BJ85" s="108">
        <f t="shared" si="80"/>
        <v>0</v>
      </c>
      <c r="BK85" s="22">
        <f t="shared" si="81"/>
        <v>47658</v>
      </c>
      <c r="BL85" s="108">
        <f t="shared" si="64"/>
        <v>0</v>
      </c>
      <c r="BM85" s="2" t="e">
        <f>IF(AND(G40&gt;=$X$11,G40&lt;=$X$11+5),0,IF($C$9&gt;$AG$51,ROUND(BH39*IF(#REF!="",0,#REF!)/(DATEVALUE(CONCATENATE("01/01/",YEAR(AR40)+1))-DATEVALUE(CONCATENATE("01/01/",YEAR(AR40))))*(AR40-AR39),2),0))</f>
        <v>#REF!</v>
      </c>
    </row>
    <row r="86" spans="1:65" s="16" customFormat="1" ht="14.4" x14ac:dyDescent="0.3">
      <c r="A86" s="178"/>
      <c r="B86" s="178"/>
      <c r="C86" s="184"/>
      <c r="D86" s="184"/>
      <c r="E86" s="178"/>
      <c r="F86" s="178"/>
      <c r="G86" s="244">
        <f t="shared" si="82"/>
        <v>78</v>
      </c>
      <c r="H86" s="245">
        <f t="shared" si="59"/>
        <v>47688</v>
      </c>
      <c r="I86" s="246">
        <f t="shared" si="60"/>
        <v>0.23899999999999999</v>
      </c>
      <c r="J86" s="242">
        <f t="shared" si="65"/>
        <v>0</v>
      </c>
      <c r="K86" s="242">
        <f t="shared" si="66"/>
        <v>0</v>
      </c>
      <c r="L86" s="242">
        <f t="shared" si="67"/>
        <v>0</v>
      </c>
      <c r="M86" s="242">
        <f t="shared" si="77"/>
        <v>0</v>
      </c>
      <c r="N86" s="242">
        <f t="shared" si="61"/>
        <v>0</v>
      </c>
      <c r="O86" s="242">
        <v>0</v>
      </c>
      <c r="P86" s="242">
        <f t="shared" ref="P86:P108" si="89">L86+Q86</f>
        <v>0</v>
      </c>
      <c r="Q86" s="242">
        <f t="shared" si="86"/>
        <v>0</v>
      </c>
      <c r="R86" s="242">
        <f t="shared" si="68"/>
        <v>0</v>
      </c>
      <c r="S86" s="242">
        <f t="shared" si="78"/>
        <v>0</v>
      </c>
      <c r="T86" s="467">
        <f t="shared" si="58"/>
        <v>0</v>
      </c>
      <c r="U86" s="36">
        <f t="shared" si="83"/>
        <v>0</v>
      </c>
      <c r="V86" s="36">
        <f t="shared" si="70"/>
        <v>0</v>
      </c>
      <c r="W86" s="36">
        <f t="shared" si="71"/>
        <v>0</v>
      </c>
      <c r="X86" s="2" t="e">
        <f>IF(AND(G51&gt;=$X$11,G51&lt;=$X$11+5),0,IF($C$9&gt;$AG$51,ROUND(S50*#REF!/(DATEVALUE(CONCATENATE("01/01/",YEAR(H51)+1))-DATEVALUE(CONCATENATE("01/01/",YEAR(H51))))*(H51-H50),2),0))</f>
        <v>#REF!</v>
      </c>
      <c r="Y86" s="34">
        <f t="shared" si="53"/>
        <v>2407</v>
      </c>
      <c r="Z86" s="57">
        <f t="shared" si="49"/>
        <v>61010</v>
      </c>
      <c r="AD86" s="140"/>
      <c r="AE86" s="140"/>
      <c r="AF86" s="140" t="s">
        <v>106</v>
      </c>
      <c r="AG86" s="140" t="s">
        <v>107</v>
      </c>
      <c r="AH86" s="140" t="s">
        <v>108</v>
      </c>
      <c r="AI86" s="140" t="s">
        <v>109</v>
      </c>
      <c r="AJ86" s="140" t="s">
        <v>110</v>
      </c>
      <c r="AM86" s="2" t="e">
        <f>IF(AND(Z43&gt;=$X$11,Z43&lt;=$X$11+5),0,IF($C$9&gt;$AG$51,ROUND(AJ46*#REF!/(DATEVALUE(CONCATENATE("01/01/",YEAR(AA43)+1))-DATEVALUE(CONCATENATE("01/01/",YEAR(AA43))))*(AA43-AA42),2),0))</f>
        <v>#REF!</v>
      </c>
      <c r="AN86" s="34">
        <f t="shared" si="55"/>
        <v>2344</v>
      </c>
      <c r="AO86" s="57">
        <f t="shared" si="52"/>
        <v>59550</v>
      </c>
      <c r="AP86" s="130">
        <f t="shared" si="72"/>
        <v>0</v>
      </c>
      <c r="AQ86" s="553">
        <f t="shared" si="84"/>
        <v>78</v>
      </c>
      <c r="AR86" s="554">
        <f t="shared" si="62"/>
        <v>47688</v>
      </c>
      <c r="AS86" s="555">
        <f t="shared" si="54"/>
        <v>0.29899999999999999</v>
      </c>
      <c r="AT86" s="559">
        <f t="shared" si="73"/>
        <v>0</v>
      </c>
      <c r="AU86" s="546">
        <f t="shared" si="79"/>
        <v>0</v>
      </c>
      <c r="AV86" s="546">
        <f t="shared" si="74"/>
        <v>0</v>
      </c>
      <c r="AW86" s="546">
        <f t="shared" si="75"/>
        <v>0</v>
      </c>
      <c r="AX86" s="559">
        <f t="shared" si="63"/>
        <v>0</v>
      </c>
      <c r="AY86" s="559">
        <v>0</v>
      </c>
      <c r="AZ86" s="559">
        <f t="shared" ref="AZ86:AZ108" si="90">AV86+BA86</f>
        <v>0</v>
      </c>
      <c r="BA86" s="559">
        <f t="shared" si="88"/>
        <v>0</v>
      </c>
      <c r="BB86" s="559">
        <f t="shared" si="87"/>
        <v>0</v>
      </c>
      <c r="BC86" s="559"/>
      <c r="BD86" s="559"/>
      <c r="BE86" s="559"/>
      <c r="BF86" s="559"/>
      <c r="BG86" s="559"/>
      <c r="BH86" s="546">
        <f t="shared" si="76"/>
        <v>0</v>
      </c>
      <c r="BI86" s="108">
        <f t="shared" si="85"/>
        <v>0</v>
      </c>
      <c r="BJ86" s="108">
        <f t="shared" si="80"/>
        <v>0</v>
      </c>
      <c r="BK86" s="22">
        <f t="shared" si="81"/>
        <v>47688</v>
      </c>
      <c r="BL86" s="108">
        <f t="shared" si="64"/>
        <v>0</v>
      </c>
      <c r="BM86" s="2" t="e">
        <f>IF(AND(G41&gt;=$X$11,G41&lt;=$X$11+5),0,IF($C$9&gt;$AG$51,ROUND(BH40*IF(#REF!="",0,#REF!)/(DATEVALUE(CONCATENATE("01/01/",YEAR(AR41)+1))-DATEVALUE(CONCATENATE("01/01/",YEAR(AR41))))*(AR41-AR40),2),0))</f>
        <v>#REF!</v>
      </c>
    </row>
    <row r="87" spans="1:65" s="16" customFormat="1" ht="14.4" x14ac:dyDescent="0.3">
      <c r="A87" s="178"/>
      <c r="B87" s="178"/>
      <c r="C87" s="184"/>
      <c r="D87" s="184"/>
      <c r="E87" s="178"/>
      <c r="F87" s="178"/>
      <c r="G87" s="244">
        <f t="shared" si="82"/>
        <v>79</v>
      </c>
      <c r="H87" s="245">
        <f t="shared" si="59"/>
        <v>47719</v>
      </c>
      <c r="I87" s="246">
        <f t="shared" si="60"/>
        <v>0.23899999999999999</v>
      </c>
      <c r="J87" s="242">
        <f t="shared" si="65"/>
        <v>0</v>
      </c>
      <c r="K87" s="242">
        <f t="shared" si="66"/>
        <v>0</v>
      </c>
      <c r="L87" s="242">
        <f t="shared" si="67"/>
        <v>0</v>
      </c>
      <c r="M87" s="242">
        <f t="shared" si="77"/>
        <v>0</v>
      </c>
      <c r="N87" s="242">
        <f t="shared" si="61"/>
        <v>0</v>
      </c>
      <c r="O87" s="242">
        <v>0</v>
      </c>
      <c r="P87" s="242">
        <f t="shared" si="89"/>
        <v>0</v>
      </c>
      <c r="Q87" s="242">
        <f t="shared" si="86"/>
        <v>0</v>
      </c>
      <c r="R87" s="242">
        <f t="shared" si="68"/>
        <v>0</v>
      </c>
      <c r="S87" s="242">
        <f t="shared" si="78"/>
        <v>0</v>
      </c>
      <c r="T87" s="467">
        <f t="shared" si="58"/>
        <v>0</v>
      </c>
      <c r="U87" s="36">
        <f t="shared" si="83"/>
        <v>0</v>
      </c>
      <c r="V87" s="36">
        <f t="shared" si="70"/>
        <v>0</v>
      </c>
      <c r="W87" s="36">
        <f t="shared" si="71"/>
        <v>0</v>
      </c>
      <c r="X87" s="2" t="e">
        <f>IF(AND(G52&gt;=$X$11,G52&lt;=$X$11+5),0,IF($C$9&gt;$AG$51,ROUND(S51*#REF!/(DATEVALUE(CONCATENATE("01/01/",YEAR(H52)+1))-DATEVALUE(CONCATENATE("01/01/",YEAR(H52))))*(H52-H51),2),0))</f>
        <v>#REF!</v>
      </c>
      <c r="Y87" s="34">
        <f t="shared" si="53"/>
        <v>2407</v>
      </c>
      <c r="Z87" s="57">
        <f t="shared" si="49"/>
        <v>61375</v>
      </c>
      <c r="AD87" s="140"/>
      <c r="AE87" s="140"/>
      <c r="AF87" s="141">
        <v>36</v>
      </c>
      <c r="AG87" s="142">
        <v>37</v>
      </c>
      <c r="AH87" s="142">
        <v>49</v>
      </c>
      <c r="AI87" s="141">
        <v>61</v>
      </c>
      <c r="AJ87" s="141">
        <v>73</v>
      </c>
      <c r="AM87" s="2" t="e">
        <f>IF(AND(Z44&gt;=$X$11,Z44&lt;=$X$11+5),0,IF($C$9&gt;$AG$51,ROUND(AJ47*#REF!/(DATEVALUE(CONCATENATE("01/01/",YEAR(AA44)+1))-DATEVALUE(CONCATENATE("01/01/",YEAR(AA44))))*(AA44-AA43),2),0))</f>
        <v>#REF!</v>
      </c>
      <c r="AN87" s="34">
        <f t="shared" si="55"/>
        <v>2344</v>
      </c>
      <c r="AO87" s="57">
        <f t="shared" si="52"/>
        <v>59915</v>
      </c>
      <c r="AP87" s="130">
        <f t="shared" si="72"/>
        <v>0</v>
      </c>
      <c r="AQ87" s="553">
        <f t="shared" si="84"/>
        <v>79</v>
      </c>
      <c r="AR87" s="554">
        <f t="shared" si="62"/>
        <v>47719</v>
      </c>
      <c r="AS87" s="555">
        <f t="shared" si="54"/>
        <v>0.29899999999999999</v>
      </c>
      <c r="AT87" s="559">
        <f t="shared" si="73"/>
        <v>0</v>
      </c>
      <c r="AU87" s="546">
        <f t="shared" si="79"/>
        <v>0</v>
      </c>
      <c r="AV87" s="546">
        <f t="shared" si="74"/>
        <v>0</v>
      </c>
      <c r="AW87" s="546">
        <f t="shared" si="75"/>
        <v>0</v>
      </c>
      <c r="AX87" s="559">
        <f t="shared" si="63"/>
        <v>0</v>
      </c>
      <c r="AY87" s="559">
        <v>0</v>
      </c>
      <c r="AZ87" s="559">
        <f t="shared" si="90"/>
        <v>0</v>
      </c>
      <c r="BA87" s="559">
        <f t="shared" si="88"/>
        <v>0</v>
      </c>
      <c r="BB87" s="559">
        <f t="shared" si="87"/>
        <v>0</v>
      </c>
      <c r="BC87" s="559"/>
      <c r="BD87" s="559"/>
      <c r="BE87" s="559"/>
      <c r="BF87" s="559"/>
      <c r="BG87" s="559"/>
      <c r="BH87" s="546">
        <f t="shared" si="76"/>
        <v>0</v>
      </c>
      <c r="BI87" s="108">
        <f t="shared" si="85"/>
        <v>0</v>
      </c>
      <c r="BJ87" s="108">
        <f t="shared" si="80"/>
        <v>0</v>
      </c>
      <c r="BK87" s="22">
        <f t="shared" si="81"/>
        <v>47719</v>
      </c>
      <c r="BL87" s="108">
        <f t="shared" si="64"/>
        <v>0</v>
      </c>
      <c r="BM87" s="2" t="e">
        <f>IF(AND(G42&gt;=$X$11,G42&lt;=$X$11+5),0,IF($C$9&gt;$AG$51,ROUND(BH41*IF(#REF!="",0,#REF!)/(DATEVALUE(CONCATENATE("01/01/",YEAR(AR42)+1))-DATEVALUE(CONCATENATE("01/01/",YEAR(AR42))))*(AR42-AR41),2),0))</f>
        <v>#REF!</v>
      </c>
    </row>
    <row r="88" spans="1:65" s="16" customFormat="1" ht="14.4" x14ac:dyDescent="0.3">
      <c r="A88" s="178"/>
      <c r="B88" s="178"/>
      <c r="C88" s="184"/>
      <c r="D88" s="184"/>
      <c r="E88" s="178"/>
      <c r="F88" s="178"/>
      <c r="G88" s="244">
        <f t="shared" si="82"/>
        <v>80</v>
      </c>
      <c r="H88" s="245">
        <f t="shared" si="59"/>
        <v>47750</v>
      </c>
      <c r="I88" s="246">
        <f t="shared" si="60"/>
        <v>0.23899999999999999</v>
      </c>
      <c r="J88" s="242">
        <f t="shared" si="65"/>
        <v>0</v>
      </c>
      <c r="K88" s="242">
        <f t="shared" si="66"/>
        <v>0</v>
      </c>
      <c r="L88" s="242">
        <f t="shared" si="67"/>
        <v>0</v>
      </c>
      <c r="M88" s="242">
        <f t="shared" si="77"/>
        <v>0</v>
      </c>
      <c r="N88" s="242">
        <f t="shared" si="61"/>
        <v>0</v>
      </c>
      <c r="O88" s="242">
        <v>0</v>
      </c>
      <c r="P88" s="242">
        <f t="shared" si="89"/>
        <v>0</v>
      </c>
      <c r="Q88" s="242">
        <f t="shared" si="86"/>
        <v>0</v>
      </c>
      <c r="R88" s="242">
        <f t="shared" si="68"/>
        <v>0</v>
      </c>
      <c r="S88" s="242">
        <f t="shared" si="78"/>
        <v>0</v>
      </c>
      <c r="T88" s="467">
        <f t="shared" si="58"/>
        <v>0</v>
      </c>
      <c r="U88" s="36">
        <f t="shared" si="83"/>
        <v>0</v>
      </c>
      <c r="V88" s="36">
        <f t="shared" si="70"/>
        <v>0</v>
      </c>
      <c r="W88" s="36">
        <f t="shared" si="71"/>
        <v>0</v>
      </c>
      <c r="X88" s="2" t="e">
        <f>IF(AND(G53&gt;=$X$11,G53&lt;=$X$11+5),0,IF($C$9&gt;$AG$51,ROUND(S52*#REF!/(DATEVALUE(CONCATENATE("01/01/",YEAR(H53)+1))-DATEVALUE(CONCATENATE("01/01/",YEAR(H53))))*(H53-H52),2),0))</f>
        <v>#REF!</v>
      </c>
      <c r="Y88" s="34">
        <f t="shared" si="53"/>
        <v>2407</v>
      </c>
      <c r="Z88" s="57">
        <f t="shared" si="49"/>
        <v>61740</v>
      </c>
      <c r="AD88" s="140"/>
      <c r="AE88" s="140"/>
      <c r="AF88" s="142">
        <v>36</v>
      </c>
      <c r="AG88" s="142">
        <v>48</v>
      </c>
      <c r="AH88" s="142">
        <v>60</v>
      </c>
      <c r="AI88" s="142">
        <v>72</v>
      </c>
      <c r="AJ88" s="142">
        <v>84</v>
      </c>
      <c r="AM88" s="2" t="e">
        <f>IF(AND(Z45&gt;=$X$11,Z45&lt;=$X$11+5),0,IF($C$9&gt;$AG$51,ROUND(AJ48*#REF!/(DATEVALUE(CONCATENATE("01/01/",YEAR(AA45)+1))-DATEVALUE(CONCATENATE("01/01/",YEAR(AA45))))*(AA45-AA44),2),0))</f>
        <v>#REF!</v>
      </c>
      <c r="AN88" s="34">
        <f t="shared" si="55"/>
        <v>2344</v>
      </c>
      <c r="AO88" s="57">
        <f t="shared" si="52"/>
        <v>60280</v>
      </c>
      <c r="AP88" s="130">
        <f t="shared" si="72"/>
        <v>0</v>
      </c>
      <c r="AQ88" s="553">
        <f t="shared" si="84"/>
        <v>80</v>
      </c>
      <c r="AR88" s="554">
        <f t="shared" si="62"/>
        <v>47750</v>
      </c>
      <c r="AS88" s="555">
        <f t="shared" si="54"/>
        <v>0.29899999999999999</v>
      </c>
      <c r="AT88" s="559">
        <f t="shared" si="73"/>
        <v>0</v>
      </c>
      <c r="AU88" s="546">
        <f t="shared" si="79"/>
        <v>0</v>
      </c>
      <c r="AV88" s="546">
        <f t="shared" si="74"/>
        <v>0</v>
      </c>
      <c r="AW88" s="546">
        <f t="shared" si="75"/>
        <v>0</v>
      </c>
      <c r="AX88" s="559">
        <f t="shared" si="63"/>
        <v>0</v>
      </c>
      <c r="AY88" s="559">
        <v>0</v>
      </c>
      <c r="AZ88" s="559">
        <f t="shared" si="90"/>
        <v>0</v>
      </c>
      <c r="BA88" s="559">
        <f t="shared" si="88"/>
        <v>0</v>
      </c>
      <c r="BB88" s="559">
        <f t="shared" si="87"/>
        <v>0</v>
      </c>
      <c r="BC88" s="559"/>
      <c r="BD88" s="559"/>
      <c r="BE88" s="559"/>
      <c r="BF88" s="559"/>
      <c r="BG88" s="559"/>
      <c r="BH88" s="546">
        <f t="shared" si="76"/>
        <v>0</v>
      </c>
      <c r="BI88" s="108">
        <f t="shared" si="85"/>
        <v>0</v>
      </c>
      <c r="BJ88" s="108">
        <f t="shared" si="80"/>
        <v>0</v>
      </c>
      <c r="BK88" s="22">
        <f t="shared" si="81"/>
        <v>47750</v>
      </c>
      <c r="BL88" s="108">
        <f t="shared" si="64"/>
        <v>0</v>
      </c>
      <c r="BM88" s="2" t="e">
        <f>IF(AND(G43&gt;=$X$11,G43&lt;=$X$11+5),0,IF($C$9&gt;$AG$51,ROUND(BH42*IF(#REF!="",0,#REF!)/(DATEVALUE(CONCATENATE("01/01/",YEAR(AR43)+1))-DATEVALUE(CONCATENATE("01/01/",YEAR(AR43))))*(AR43-AR42),2),0))</f>
        <v>#REF!</v>
      </c>
    </row>
    <row r="89" spans="1:65" s="16" customFormat="1" ht="13.8" x14ac:dyDescent="0.3">
      <c r="A89" s="178"/>
      <c r="B89" s="178"/>
      <c r="C89" s="184"/>
      <c r="D89" s="184"/>
      <c r="E89" s="178"/>
      <c r="F89" s="178"/>
      <c r="G89" s="244">
        <f t="shared" si="82"/>
        <v>81</v>
      </c>
      <c r="H89" s="245">
        <f t="shared" si="59"/>
        <v>47780</v>
      </c>
      <c r="I89" s="246">
        <f t="shared" si="60"/>
        <v>0.23899999999999999</v>
      </c>
      <c r="J89" s="242">
        <f t="shared" si="65"/>
        <v>0</v>
      </c>
      <c r="K89" s="242">
        <f t="shared" si="66"/>
        <v>0</v>
      </c>
      <c r="L89" s="242">
        <f t="shared" si="67"/>
        <v>0</v>
      </c>
      <c r="M89" s="242">
        <f t="shared" si="77"/>
        <v>0</v>
      </c>
      <c r="N89" s="242">
        <f t="shared" si="61"/>
        <v>0</v>
      </c>
      <c r="O89" s="242">
        <v>0</v>
      </c>
      <c r="P89" s="242">
        <f t="shared" si="89"/>
        <v>0</v>
      </c>
      <c r="Q89" s="242">
        <f t="shared" si="86"/>
        <v>0</v>
      </c>
      <c r="R89" s="242">
        <f t="shared" si="68"/>
        <v>0</v>
      </c>
      <c r="S89" s="242">
        <f t="shared" si="78"/>
        <v>0</v>
      </c>
      <c r="T89" s="467">
        <f t="shared" si="58"/>
        <v>0</v>
      </c>
      <c r="U89" s="36">
        <f t="shared" si="83"/>
        <v>0</v>
      </c>
      <c r="V89" s="36">
        <f t="shared" si="70"/>
        <v>0</v>
      </c>
      <c r="W89" s="36">
        <f t="shared" si="71"/>
        <v>0</v>
      </c>
      <c r="X89" s="2" t="e">
        <f>IF(AND(G54&gt;=$X$11,G54&lt;=$X$11+5),0,IF($C$9&gt;$AG$51,ROUND(S53*#REF!/(DATEVALUE(CONCATENATE("01/01/",YEAR(H54)+1))-DATEVALUE(CONCATENATE("01/01/",YEAR(H54))))*(H54-H53),2),0))</f>
        <v>#REF!</v>
      </c>
      <c r="Y89" s="34">
        <f t="shared" si="53"/>
        <v>2407</v>
      </c>
      <c r="Z89" s="57">
        <f t="shared" si="49"/>
        <v>62105</v>
      </c>
      <c r="AD89" s="142">
        <v>0</v>
      </c>
      <c r="AE89" s="142">
        <v>300000</v>
      </c>
      <c r="AF89" s="580">
        <v>2499</v>
      </c>
      <c r="AG89" s="580">
        <v>3499</v>
      </c>
      <c r="AH89" s="580">
        <v>5499</v>
      </c>
      <c r="AI89" s="580">
        <v>5499</v>
      </c>
      <c r="AJ89" s="580">
        <v>5499</v>
      </c>
      <c r="AM89" s="2" t="e">
        <f>IF(AND(Z46&gt;=$X$11,Z46&lt;=$X$11+5),0,IF($C$9&gt;$AG$51,ROUND(AJ49*#REF!/(DATEVALUE(CONCATENATE("01/01/",YEAR(AA46)+1))-DATEVALUE(CONCATENATE("01/01/",YEAR(AA46))))*(AA46-AA45),2),0))</f>
        <v>#REF!</v>
      </c>
      <c r="AN89" s="34">
        <f t="shared" si="55"/>
        <v>2344</v>
      </c>
      <c r="AO89" s="57">
        <f t="shared" si="52"/>
        <v>60645</v>
      </c>
      <c r="AP89" s="130">
        <f t="shared" si="72"/>
        <v>0</v>
      </c>
      <c r="AQ89" s="553">
        <f t="shared" si="84"/>
        <v>81</v>
      </c>
      <c r="AR89" s="554">
        <f t="shared" si="62"/>
        <v>47780</v>
      </c>
      <c r="AS89" s="555">
        <f t="shared" ref="AS89:AS108" si="91">IF($D$16="Да",$AN$40,$D$13)</f>
        <v>0.29899999999999999</v>
      </c>
      <c r="AT89" s="559">
        <f t="shared" si="73"/>
        <v>0</v>
      </c>
      <c r="AU89" s="546">
        <f t="shared" si="79"/>
        <v>0</v>
      </c>
      <c r="AV89" s="546">
        <f t="shared" si="74"/>
        <v>0</v>
      </c>
      <c r="AW89" s="546">
        <f t="shared" si="75"/>
        <v>0</v>
      </c>
      <c r="AX89" s="559">
        <f t="shared" si="63"/>
        <v>0</v>
      </c>
      <c r="AY89" s="559">
        <v>0</v>
      </c>
      <c r="AZ89" s="559">
        <f t="shared" si="90"/>
        <v>0</v>
      </c>
      <c r="BA89" s="559">
        <f t="shared" si="88"/>
        <v>0</v>
      </c>
      <c r="BB89" s="559">
        <f t="shared" si="87"/>
        <v>0</v>
      </c>
      <c r="BC89" s="559"/>
      <c r="BD89" s="559"/>
      <c r="BE89" s="559"/>
      <c r="BF89" s="559"/>
      <c r="BG89" s="559"/>
      <c r="BH89" s="546">
        <f t="shared" si="76"/>
        <v>0</v>
      </c>
      <c r="BI89" s="108">
        <f t="shared" si="85"/>
        <v>0</v>
      </c>
      <c r="BJ89" s="108">
        <f t="shared" si="80"/>
        <v>0</v>
      </c>
      <c r="BK89" s="22">
        <f t="shared" si="81"/>
        <v>47780</v>
      </c>
      <c r="BL89" s="108">
        <f t="shared" si="64"/>
        <v>0</v>
      </c>
      <c r="BM89" s="2" t="e">
        <f>IF(AND(G44&gt;=$X$11,G44&lt;=$X$11+5),0,IF($C$9&gt;$AG$51,ROUND(BH43*IF(#REF!="",0,#REF!)/(DATEVALUE(CONCATENATE("01/01/",YEAR(AR44)+1))-DATEVALUE(CONCATENATE("01/01/",YEAR(AR44))))*(AR44-AR43),2),0))</f>
        <v>#REF!</v>
      </c>
    </row>
    <row r="90" spans="1:65" s="16" customFormat="1" ht="13.8" x14ac:dyDescent="0.3">
      <c r="A90" s="178"/>
      <c r="B90" s="178"/>
      <c r="C90" s="184"/>
      <c r="D90" s="184"/>
      <c r="E90" s="184"/>
      <c r="F90" s="184"/>
      <c r="G90" s="244">
        <f t="shared" si="82"/>
        <v>82</v>
      </c>
      <c r="H90" s="245">
        <f t="shared" si="59"/>
        <v>47811</v>
      </c>
      <c r="I90" s="246">
        <f t="shared" si="60"/>
        <v>0.23899999999999999</v>
      </c>
      <c r="J90" s="242">
        <f t="shared" si="65"/>
        <v>0</v>
      </c>
      <c r="K90" s="242">
        <f t="shared" si="66"/>
        <v>0</v>
      </c>
      <c r="L90" s="242">
        <f t="shared" si="67"/>
        <v>0</v>
      </c>
      <c r="M90" s="242">
        <f t="shared" si="77"/>
        <v>0</v>
      </c>
      <c r="N90" s="242">
        <f t="shared" si="61"/>
        <v>0</v>
      </c>
      <c r="O90" s="242">
        <v>0</v>
      </c>
      <c r="P90" s="242">
        <f t="shared" si="89"/>
        <v>0</v>
      </c>
      <c r="Q90" s="242">
        <f t="shared" si="86"/>
        <v>0</v>
      </c>
      <c r="R90" s="242">
        <f t="shared" si="68"/>
        <v>0</v>
      </c>
      <c r="S90" s="242">
        <f t="shared" si="78"/>
        <v>0</v>
      </c>
      <c r="T90" s="467">
        <f t="shared" si="58"/>
        <v>0</v>
      </c>
      <c r="U90" s="36">
        <f t="shared" si="83"/>
        <v>0</v>
      </c>
      <c r="V90" s="36">
        <f t="shared" si="70"/>
        <v>0</v>
      </c>
      <c r="W90" s="36">
        <f t="shared" si="71"/>
        <v>0</v>
      </c>
      <c r="X90" s="2" t="e">
        <f>IF(AND(G55&gt;=$X$11,G55&lt;=$X$11+5),0,IF($C$9&gt;$AG$51,ROUND(S54*#REF!/(DATEVALUE(CONCATENATE("01/01/",YEAR(H55)+1))-DATEVALUE(CONCATENATE("01/01/",YEAR(H55))))*(H55-H54),2),0))</f>
        <v>#REF!</v>
      </c>
      <c r="Y90" s="34">
        <f t="shared" si="53"/>
        <v>2407</v>
      </c>
      <c r="Z90" s="57">
        <f t="shared" si="49"/>
        <v>62470</v>
      </c>
      <c r="AD90" s="142">
        <v>300001</v>
      </c>
      <c r="AE90" s="142">
        <v>500000</v>
      </c>
      <c r="AF90" s="580">
        <v>3499</v>
      </c>
      <c r="AG90" s="580">
        <v>4999</v>
      </c>
      <c r="AH90" s="580">
        <v>6999</v>
      </c>
      <c r="AI90" s="580">
        <v>6999</v>
      </c>
      <c r="AJ90" s="580">
        <v>6999</v>
      </c>
      <c r="AM90" s="2" t="e">
        <f>IF(AND(Z47&gt;=$X$11,Z47&lt;=$X$11+5),0,IF($C$9&gt;$AG$51,ROUND(AJ50*#REF!/(DATEVALUE(CONCATENATE("01/01/",YEAR(AA47)+1))-DATEVALUE(CONCATENATE("01/01/",YEAR(AA47))))*(AA47-AA46),2),0))</f>
        <v>#REF!</v>
      </c>
      <c r="AN90" s="34">
        <f t="shared" si="55"/>
        <v>2344</v>
      </c>
      <c r="AO90" s="57">
        <f t="shared" si="52"/>
        <v>61010</v>
      </c>
      <c r="AP90" s="130">
        <f t="shared" si="72"/>
        <v>0</v>
      </c>
      <c r="AQ90" s="553">
        <f t="shared" si="84"/>
        <v>82</v>
      </c>
      <c r="AR90" s="554">
        <f t="shared" si="62"/>
        <v>47811</v>
      </c>
      <c r="AS90" s="555">
        <f t="shared" si="91"/>
        <v>0.29899999999999999</v>
      </c>
      <c r="AT90" s="559">
        <f t="shared" si="73"/>
        <v>0</v>
      </c>
      <c r="AU90" s="546">
        <f t="shared" si="79"/>
        <v>0</v>
      </c>
      <c r="AV90" s="546">
        <f t="shared" si="74"/>
        <v>0</v>
      </c>
      <c r="AW90" s="546">
        <f t="shared" si="75"/>
        <v>0</v>
      </c>
      <c r="AX90" s="559">
        <f t="shared" si="63"/>
        <v>0</v>
      </c>
      <c r="AY90" s="559">
        <v>0</v>
      </c>
      <c r="AZ90" s="559">
        <f t="shared" si="90"/>
        <v>0</v>
      </c>
      <c r="BA90" s="559">
        <f t="shared" si="88"/>
        <v>0</v>
      </c>
      <c r="BB90" s="559">
        <f t="shared" si="87"/>
        <v>0</v>
      </c>
      <c r="BC90" s="559"/>
      <c r="BD90" s="559"/>
      <c r="BE90" s="559"/>
      <c r="BF90" s="559"/>
      <c r="BG90" s="559"/>
      <c r="BH90" s="546">
        <f t="shared" si="76"/>
        <v>0</v>
      </c>
      <c r="BI90" s="108">
        <f t="shared" si="85"/>
        <v>0</v>
      </c>
      <c r="BJ90" s="108">
        <f t="shared" si="80"/>
        <v>0</v>
      </c>
      <c r="BK90" s="22">
        <f t="shared" si="81"/>
        <v>47811</v>
      </c>
      <c r="BL90" s="108">
        <f t="shared" si="64"/>
        <v>0</v>
      </c>
      <c r="BM90" s="2" t="e">
        <f>IF(AND(G45&gt;=$X$11,G45&lt;=$X$11+5),0,IF($C$9&gt;$AG$51,ROUND(BH44*IF(#REF!="",0,#REF!)/(DATEVALUE(CONCATENATE("01/01/",YEAR(AR45)+1))-DATEVALUE(CONCATENATE("01/01/",YEAR(AR45))))*(AR45-AR44),2),0))</f>
        <v>#REF!</v>
      </c>
    </row>
    <row r="91" spans="1:65" s="16" customFormat="1" ht="13.8" x14ac:dyDescent="0.3">
      <c r="A91" s="178"/>
      <c r="B91" s="178"/>
      <c r="C91" s="184"/>
      <c r="D91" s="184"/>
      <c r="E91" s="184"/>
      <c r="F91" s="184"/>
      <c r="G91" s="244">
        <f t="shared" si="82"/>
        <v>83</v>
      </c>
      <c r="H91" s="245">
        <f t="shared" si="59"/>
        <v>47841</v>
      </c>
      <c r="I91" s="246">
        <f t="shared" si="60"/>
        <v>0.23899999999999999</v>
      </c>
      <c r="J91" s="242">
        <f t="shared" si="65"/>
        <v>0</v>
      </c>
      <c r="K91" s="242">
        <f t="shared" si="66"/>
        <v>0</v>
      </c>
      <c r="L91" s="242">
        <f t="shared" si="67"/>
        <v>0</v>
      </c>
      <c r="M91" s="242">
        <f t="shared" si="77"/>
        <v>0</v>
      </c>
      <c r="N91" s="242">
        <f t="shared" si="61"/>
        <v>0</v>
      </c>
      <c r="O91" s="242">
        <v>0</v>
      </c>
      <c r="P91" s="242">
        <f t="shared" si="89"/>
        <v>0</v>
      </c>
      <c r="Q91" s="242">
        <f t="shared" si="86"/>
        <v>0</v>
      </c>
      <c r="R91" s="242">
        <f t="shared" si="68"/>
        <v>0</v>
      </c>
      <c r="S91" s="242">
        <f t="shared" si="78"/>
        <v>0</v>
      </c>
      <c r="T91" s="467">
        <f t="shared" si="58"/>
        <v>0</v>
      </c>
      <c r="U91" s="36">
        <f t="shared" si="83"/>
        <v>0</v>
      </c>
      <c r="V91" s="36">
        <f t="shared" si="70"/>
        <v>0</v>
      </c>
      <c r="W91" s="36">
        <f t="shared" si="71"/>
        <v>0</v>
      </c>
      <c r="X91" s="2" t="e">
        <f>IF(AND(G56&gt;=$X$11,G56&lt;=$X$11+5),0,IF($C$9&gt;$AG$51,ROUND(S55*#REF!/(DATEVALUE(CONCATENATE("01/01/",YEAR(H56)+1))-DATEVALUE(CONCATENATE("01/01/",YEAR(H56))))*(H56-H55),2),0))</f>
        <v>#REF!</v>
      </c>
      <c r="Y91" s="34">
        <f t="shared" si="53"/>
        <v>2407</v>
      </c>
      <c r="Z91" s="57">
        <f t="shared" si="49"/>
        <v>62835</v>
      </c>
      <c r="AD91" s="142">
        <v>500001</v>
      </c>
      <c r="AE91" s="142">
        <v>1000000</v>
      </c>
      <c r="AF91" s="580">
        <v>4999</v>
      </c>
      <c r="AG91" s="580">
        <v>6499</v>
      </c>
      <c r="AH91" s="580">
        <v>8499</v>
      </c>
      <c r="AI91" s="580">
        <v>9499</v>
      </c>
      <c r="AJ91" s="580">
        <v>10999</v>
      </c>
      <c r="AM91" s="2" t="e">
        <f>IF(AND(Z48&gt;=$X$11,Z48&lt;=$X$11+5),0,IF($C$9&gt;$AG$51,ROUND(AJ51*#REF!/(DATEVALUE(CONCATENATE("01/01/",YEAR(AA48)+1))-DATEVALUE(CONCATENATE("01/01/",YEAR(AA48))))*(AA48-AA47),2),0))</f>
        <v>#REF!</v>
      </c>
      <c r="AN91" s="34">
        <f t="shared" si="55"/>
        <v>2344</v>
      </c>
      <c r="AO91" s="57">
        <f t="shared" si="52"/>
        <v>61375</v>
      </c>
      <c r="AP91" s="130">
        <f t="shared" si="72"/>
        <v>0</v>
      </c>
      <c r="AQ91" s="553">
        <f t="shared" si="84"/>
        <v>83</v>
      </c>
      <c r="AR91" s="554">
        <f t="shared" si="62"/>
        <v>47841</v>
      </c>
      <c r="AS91" s="555">
        <f t="shared" si="91"/>
        <v>0.29899999999999999</v>
      </c>
      <c r="AT91" s="559">
        <f t="shared" si="73"/>
        <v>0</v>
      </c>
      <c r="AU91" s="546">
        <f t="shared" si="79"/>
        <v>0</v>
      </c>
      <c r="AV91" s="546">
        <f t="shared" si="74"/>
        <v>0</v>
      </c>
      <c r="AW91" s="546">
        <f t="shared" si="75"/>
        <v>0</v>
      </c>
      <c r="AX91" s="559">
        <f t="shared" si="63"/>
        <v>0</v>
      </c>
      <c r="AY91" s="559">
        <v>0</v>
      </c>
      <c r="AZ91" s="559">
        <f t="shared" si="90"/>
        <v>0</v>
      </c>
      <c r="BA91" s="559">
        <f t="shared" si="88"/>
        <v>0</v>
      </c>
      <c r="BB91" s="559">
        <f t="shared" si="87"/>
        <v>0</v>
      </c>
      <c r="BC91" s="559"/>
      <c r="BD91" s="559"/>
      <c r="BE91" s="559"/>
      <c r="BF91" s="559"/>
      <c r="BG91" s="559"/>
      <c r="BH91" s="546">
        <f t="shared" si="76"/>
        <v>0</v>
      </c>
      <c r="BI91" s="108">
        <f t="shared" si="85"/>
        <v>0</v>
      </c>
      <c r="BJ91" s="108">
        <f t="shared" si="80"/>
        <v>0</v>
      </c>
      <c r="BK91" s="22">
        <f t="shared" si="81"/>
        <v>47841</v>
      </c>
      <c r="BL91" s="108">
        <f t="shared" si="64"/>
        <v>0</v>
      </c>
      <c r="BM91" s="2" t="e">
        <f>IF(AND(G46&gt;=$X$11,G46&lt;=$X$11+5),0,IF($C$9&gt;$AG$51,ROUND(BH45*IF(#REF!="",0,#REF!)/(DATEVALUE(CONCATENATE("01/01/",YEAR(AR46)+1))-DATEVALUE(CONCATENATE("01/01/",YEAR(AR46))))*(AR46-AR45),2),0))</f>
        <v>#REF!</v>
      </c>
    </row>
    <row r="92" spans="1:65" s="16" customFormat="1" ht="13.8" x14ac:dyDescent="0.3">
      <c r="A92" s="178"/>
      <c r="B92" s="178"/>
      <c r="C92" s="184"/>
      <c r="D92" s="184"/>
      <c r="E92" s="184"/>
      <c r="F92" s="184"/>
      <c r="G92" s="244">
        <f t="shared" si="82"/>
        <v>84</v>
      </c>
      <c r="H92" s="245">
        <f t="shared" si="59"/>
        <v>47872</v>
      </c>
      <c r="I92" s="246">
        <f t="shared" si="60"/>
        <v>0.23899999999999999</v>
      </c>
      <c r="J92" s="242">
        <f t="shared" si="65"/>
        <v>0</v>
      </c>
      <c r="K92" s="242">
        <f t="shared" si="66"/>
        <v>0</v>
      </c>
      <c r="L92" s="242">
        <f t="shared" si="67"/>
        <v>0</v>
      </c>
      <c r="M92" s="242">
        <f t="shared" si="77"/>
        <v>0</v>
      </c>
      <c r="N92" s="242">
        <f t="shared" si="61"/>
        <v>0</v>
      </c>
      <c r="O92" s="242">
        <v>0</v>
      </c>
      <c r="P92" s="242">
        <f t="shared" si="89"/>
        <v>0</v>
      </c>
      <c r="Q92" s="242">
        <f t="shared" si="86"/>
        <v>0</v>
      </c>
      <c r="R92" s="242">
        <f t="shared" si="68"/>
        <v>0</v>
      </c>
      <c r="S92" s="242">
        <f t="shared" si="78"/>
        <v>0</v>
      </c>
      <c r="T92" s="467">
        <f t="shared" si="58"/>
        <v>0</v>
      </c>
      <c r="U92" s="36">
        <f t="shared" si="83"/>
        <v>0</v>
      </c>
      <c r="V92" s="36">
        <f t="shared" si="70"/>
        <v>0</v>
      </c>
      <c r="W92" s="36">
        <f>IF(G92=$C$10,T92,0)</f>
        <v>0</v>
      </c>
      <c r="X92" s="2" t="e">
        <f>IF(AND(G57&gt;=$X$11,G57&lt;=$X$11+5),0,IF($C$9&gt;$AG$51,ROUND(S56*#REF!/(DATEVALUE(CONCATENATE("01/01/",YEAR(H57)+1))-DATEVALUE(CONCATENATE("01/01/",YEAR(H57))))*(H57-H56),2),0))</f>
        <v>#REF!</v>
      </c>
      <c r="Y92" s="34">
        <f t="shared" si="53"/>
        <v>0</v>
      </c>
      <c r="Z92" s="57">
        <f t="shared" si="49"/>
        <v>63200</v>
      </c>
      <c r="AD92" s="142">
        <v>1000001</v>
      </c>
      <c r="AE92" s="142">
        <v>10000000</v>
      </c>
      <c r="AF92" s="580">
        <v>6499</v>
      </c>
      <c r="AG92" s="580">
        <v>8499</v>
      </c>
      <c r="AH92" s="580">
        <v>9999</v>
      </c>
      <c r="AI92" s="580">
        <v>10999</v>
      </c>
      <c r="AJ92" s="580">
        <v>11999</v>
      </c>
      <c r="AM92" s="2" t="e">
        <f>IF(AND(Z49&gt;=$X$11,Z49&lt;=$X$11+5),0,IF($C$9&gt;$AG$51,ROUND(AJ52*#REF!/(DATEVALUE(CONCATENATE("01/01/",YEAR(AA49)+1))-DATEVALUE(CONCATENATE("01/01/",YEAR(AA49))))*(AA49-AA48),2),0))</f>
        <v>#REF!</v>
      </c>
      <c r="AN92" s="34">
        <f t="shared" si="55"/>
        <v>2344</v>
      </c>
      <c r="AO92" s="57">
        <f t="shared" si="52"/>
        <v>61740</v>
      </c>
      <c r="AP92" s="130">
        <f t="shared" si="72"/>
        <v>0</v>
      </c>
      <c r="AQ92" s="553">
        <f t="shared" si="84"/>
        <v>84</v>
      </c>
      <c r="AR92" s="554">
        <f t="shared" si="62"/>
        <v>47872</v>
      </c>
      <c r="AS92" s="555">
        <f t="shared" si="91"/>
        <v>0.29899999999999999</v>
      </c>
      <c r="AT92" s="559">
        <f t="shared" si="73"/>
        <v>0</v>
      </c>
      <c r="AU92" s="546">
        <f t="shared" si="79"/>
        <v>0</v>
      </c>
      <c r="AV92" s="546">
        <f t="shared" si="74"/>
        <v>0</v>
      </c>
      <c r="AW92" s="546">
        <f t="shared" si="75"/>
        <v>0</v>
      </c>
      <c r="AX92" s="559">
        <f t="shared" si="63"/>
        <v>0</v>
      </c>
      <c r="AY92" s="559">
        <v>0</v>
      </c>
      <c r="AZ92" s="559">
        <f t="shared" si="90"/>
        <v>0</v>
      </c>
      <c r="BA92" s="559">
        <f t="shared" si="88"/>
        <v>0</v>
      </c>
      <c r="BB92" s="559">
        <f t="shared" si="87"/>
        <v>0</v>
      </c>
      <c r="BC92" s="559"/>
      <c r="BD92" s="559"/>
      <c r="BE92" s="559"/>
      <c r="BF92" s="559"/>
      <c r="BG92" s="559"/>
      <c r="BH92" s="546">
        <f t="shared" si="76"/>
        <v>0</v>
      </c>
      <c r="BI92" s="108">
        <f t="shared" si="85"/>
        <v>0</v>
      </c>
      <c r="BJ92" s="108">
        <f t="shared" si="80"/>
        <v>0</v>
      </c>
      <c r="BK92" s="22">
        <f t="shared" si="81"/>
        <v>47872</v>
      </c>
      <c r="BL92" s="108">
        <f t="shared" si="64"/>
        <v>0</v>
      </c>
      <c r="BM92" s="2" t="e">
        <f>IF(AND(G47&gt;=$X$11,G47&lt;=$X$11+5),0,IF($C$9&gt;$AG$51,ROUND(BH46*IF(#REF!="",0,#REF!)/(DATEVALUE(CONCATENATE("01/01/",YEAR(AR47)+1))-DATEVALUE(CONCATENATE("01/01/",YEAR(AR47))))*(AR47-AR46),2),0))</f>
        <v>#REF!</v>
      </c>
    </row>
    <row r="93" spans="1:65" s="16" customFormat="1" x14ac:dyDescent="0.3">
      <c r="A93" s="178"/>
      <c r="B93" s="178"/>
      <c r="C93" s="184"/>
      <c r="D93" s="184"/>
      <c r="E93" s="184"/>
      <c r="F93" s="184"/>
      <c r="G93" s="114">
        <f t="shared" si="82"/>
        <v>85</v>
      </c>
      <c r="H93" s="245">
        <f t="shared" si="59"/>
        <v>47903</v>
      </c>
      <c r="I93" s="246">
        <f t="shared" si="60"/>
        <v>0.23899999999999999</v>
      </c>
      <c r="J93" s="24">
        <f t="shared" si="65"/>
        <v>0</v>
      </c>
      <c r="K93" s="242">
        <f t="shared" si="66"/>
        <v>0</v>
      </c>
      <c r="L93" s="242">
        <f t="shared" si="67"/>
        <v>0</v>
      </c>
      <c r="M93" s="24">
        <f t="shared" ref="M93:M108" si="92">IF(V93=0,0,IF(V93=1,S92,IF(S92+N93+L93&gt;K92,K93-L93-N93,S92)))</f>
        <v>0</v>
      </c>
      <c r="N93" s="24">
        <f t="shared" si="61"/>
        <v>0</v>
      </c>
      <c r="O93" s="24">
        <v>0</v>
      </c>
      <c r="P93" s="24">
        <f t="shared" si="89"/>
        <v>0</v>
      </c>
      <c r="Q93" s="24">
        <f t="shared" si="86"/>
        <v>0</v>
      </c>
      <c r="R93" s="24">
        <f t="shared" si="68"/>
        <v>0</v>
      </c>
      <c r="S93" s="24">
        <f t="shared" si="78"/>
        <v>0</v>
      </c>
      <c r="T93" s="24">
        <f>IF(G93=C35,'КЭШ, Реф (БВ_ОПТИ_Базовый)'!$C$26-'КЭШ, Реф (БВ_ОПТИ_Базовый)'!$C$27,0)</f>
        <v>0</v>
      </c>
      <c r="U93" s="36">
        <f t="shared" si="83"/>
        <v>0</v>
      </c>
      <c r="V93" s="36">
        <f t="shared" si="70"/>
        <v>0</v>
      </c>
      <c r="W93" s="36">
        <f t="shared" si="71"/>
        <v>0</v>
      </c>
      <c r="X93" s="2" t="e">
        <f>IF(AND(G58&gt;=$X$11,G58&lt;=$X$11+5),0,IF($C$9&gt;$AG$51,ROUND(S57*#REF!/(DATEVALUE(CONCATENATE("01/01/",YEAR(H58)+1))-DATEVALUE(CONCATENATE("01/01/",YEAR(H58))))*(H58-H57),2),0))</f>
        <v>#REF!</v>
      </c>
      <c r="Y93" s="34">
        <f t="shared" si="53"/>
        <v>0</v>
      </c>
      <c r="Z93" s="57">
        <f t="shared" si="49"/>
        <v>63565</v>
      </c>
      <c r="AM93" s="2" t="e">
        <f>IF(AND(Z50&gt;=$X$11,Z50&lt;=$X$11+5),0,IF($C$9&gt;$AG$51,ROUND(AJ53*#REF!/(DATEVALUE(CONCATENATE("01/01/",YEAR(AA50)+1))-DATEVALUE(CONCATENATE("01/01/",YEAR(AA50))))*(AA50-AA49),2),0))</f>
        <v>#REF!</v>
      </c>
      <c r="AN93" s="34">
        <f t="shared" si="55"/>
        <v>2344</v>
      </c>
      <c r="AO93" s="57">
        <f t="shared" si="52"/>
        <v>62105</v>
      </c>
      <c r="AP93" s="130">
        <f t="shared" si="72"/>
        <v>0</v>
      </c>
      <c r="AQ93" s="109">
        <f t="shared" si="84"/>
        <v>85</v>
      </c>
      <c r="AR93" s="681">
        <f t="shared" si="62"/>
        <v>47903</v>
      </c>
      <c r="AS93" s="177">
        <f t="shared" si="91"/>
        <v>0.29899999999999999</v>
      </c>
      <c r="AT93" s="105">
        <f t="shared" si="73"/>
        <v>0</v>
      </c>
      <c r="AU93" s="105">
        <f t="shared" si="79"/>
        <v>0</v>
      </c>
      <c r="AV93" s="559">
        <f t="shared" si="74"/>
        <v>0</v>
      </c>
      <c r="AW93" s="105">
        <f t="shared" si="75"/>
        <v>0</v>
      </c>
      <c r="AX93" s="105">
        <f t="shared" si="63"/>
        <v>0</v>
      </c>
      <c r="AY93" s="105">
        <v>0</v>
      </c>
      <c r="AZ93" s="105">
        <f t="shared" si="90"/>
        <v>0</v>
      </c>
      <c r="BA93" s="105">
        <f t="shared" si="88"/>
        <v>0</v>
      </c>
      <c r="BB93" s="105">
        <f t="shared" si="87"/>
        <v>0</v>
      </c>
      <c r="BC93" s="105"/>
      <c r="BD93" s="105"/>
      <c r="BE93" s="105"/>
      <c r="BF93" s="105"/>
      <c r="BG93" s="105"/>
      <c r="BH93" s="105">
        <f t="shared" si="76"/>
        <v>0</v>
      </c>
      <c r="BI93" s="108">
        <f t="shared" si="85"/>
        <v>0</v>
      </c>
      <c r="BJ93" s="108">
        <f t="shared" si="80"/>
        <v>0</v>
      </c>
      <c r="BK93" s="22">
        <f t="shared" si="81"/>
        <v>47903</v>
      </c>
      <c r="BL93" s="108">
        <f t="shared" si="64"/>
        <v>0</v>
      </c>
      <c r="BM93" s="2" t="e">
        <f>IF(AND(G48&gt;=$X$11,G48&lt;=$X$11+5),0,IF($C$9&gt;$AG$51,ROUND(BH47*IF(#REF!="",0,#REF!)/(DATEVALUE(CONCATENATE("01/01/",YEAR(AR48)+1))-DATEVALUE(CONCATENATE("01/01/",YEAR(AR48))))*(AR48-AR47),2),0))</f>
        <v>#REF!</v>
      </c>
    </row>
    <row r="94" spans="1:65" s="16" customFormat="1" x14ac:dyDescent="0.3">
      <c r="A94" s="178"/>
      <c r="B94" s="178"/>
      <c r="C94" s="184"/>
      <c r="D94" s="184"/>
      <c r="E94" s="184"/>
      <c r="F94" s="184"/>
      <c r="G94" s="114">
        <f t="shared" si="82"/>
        <v>86</v>
      </c>
      <c r="H94" s="245">
        <f t="shared" si="59"/>
        <v>47931</v>
      </c>
      <c r="I94" s="246">
        <f t="shared" si="60"/>
        <v>0.23899999999999999</v>
      </c>
      <c r="J94" s="24">
        <f t="shared" si="65"/>
        <v>0</v>
      </c>
      <c r="K94" s="242">
        <f t="shared" si="66"/>
        <v>0</v>
      </c>
      <c r="L94" s="242">
        <f t="shared" si="67"/>
        <v>0</v>
      </c>
      <c r="M94" s="24">
        <f t="shared" si="92"/>
        <v>0</v>
      </c>
      <c r="N94" s="24">
        <f t="shared" si="61"/>
        <v>0</v>
      </c>
      <c r="O94" s="24">
        <v>0</v>
      </c>
      <c r="P94" s="24">
        <f t="shared" si="89"/>
        <v>0</v>
      </c>
      <c r="Q94" s="24">
        <f t="shared" si="86"/>
        <v>0</v>
      </c>
      <c r="R94" s="24">
        <f t="shared" si="68"/>
        <v>0</v>
      </c>
      <c r="S94" s="24">
        <f t="shared" si="78"/>
        <v>0</v>
      </c>
      <c r="T94" s="24">
        <f>IF(G94=C36,'КЭШ, Реф (БВ_ОПТИ_Базовый)'!$C$26-'КЭШ, Реф (БВ_ОПТИ_Базовый)'!$C$27,0)</f>
        <v>0</v>
      </c>
      <c r="U94" s="36">
        <f t="shared" si="83"/>
        <v>0</v>
      </c>
      <c r="V94" s="36">
        <f t="shared" si="70"/>
        <v>0</v>
      </c>
      <c r="W94" s="36">
        <f t="shared" si="71"/>
        <v>0</v>
      </c>
      <c r="X94" s="2" t="e">
        <f>IF(AND(G59&gt;=$X$11,G59&lt;=$X$11+5),0,IF($C$9&gt;$AG$51,ROUND(S58*#REF!/(DATEVALUE(CONCATENATE("01/01/",YEAR(H59)+1))-DATEVALUE(CONCATENATE("01/01/",YEAR(H59))))*(H59-H58),2),0))</f>
        <v>#REF!</v>
      </c>
      <c r="Y94" s="34">
        <f t="shared" si="53"/>
        <v>0</v>
      </c>
      <c r="Z94" s="57">
        <f t="shared" si="49"/>
        <v>63930</v>
      </c>
      <c r="AM94" s="2" t="e">
        <f>IF(AND(Z51&gt;=$X$11,Z51&lt;=$X$11+5),0,IF($C$9&gt;$AG$51,ROUND(AJ54*#REF!/(DATEVALUE(CONCATENATE("01/01/",YEAR(AA51)+1))-DATEVALUE(CONCATENATE("01/01/",YEAR(AA51))))*(AA51-AA50),2),0))</f>
        <v>#REF!</v>
      </c>
      <c r="AN94" s="34">
        <f t="shared" si="55"/>
        <v>2344</v>
      </c>
      <c r="AO94" s="57">
        <f t="shared" si="52"/>
        <v>62470</v>
      </c>
      <c r="AP94" s="130">
        <f t="shared" si="72"/>
        <v>0</v>
      </c>
      <c r="AQ94" s="109">
        <f t="shared" si="84"/>
        <v>86</v>
      </c>
      <c r="AR94" s="681">
        <f t="shared" si="62"/>
        <v>47931</v>
      </c>
      <c r="AS94" s="177">
        <f t="shared" si="91"/>
        <v>0.29899999999999999</v>
      </c>
      <c r="AT94" s="105">
        <f t="shared" si="73"/>
        <v>0</v>
      </c>
      <c r="AU94" s="105">
        <f t="shared" si="79"/>
        <v>0</v>
      </c>
      <c r="AV94" s="559">
        <f t="shared" si="74"/>
        <v>0</v>
      </c>
      <c r="AW94" s="105">
        <f t="shared" si="75"/>
        <v>0</v>
      </c>
      <c r="AX94" s="105">
        <f t="shared" si="63"/>
        <v>0</v>
      </c>
      <c r="AY94" s="105">
        <v>0</v>
      </c>
      <c r="AZ94" s="105">
        <f t="shared" si="90"/>
        <v>0</v>
      </c>
      <c r="BA94" s="105">
        <f t="shared" si="88"/>
        <v>0</v>
      </c>
      <c r="BB94" s="105">
        <f t="shared" si="87"/>
        <v>0</v>
      </c>
      <c r="BC94" s="105"/>
      <c r="BD94" s="105"/>
      <c r="BE94" s="105"/>
      <c r="BF94" s="105"/>
      <c r="BG94" s="105"/>
      <c r="BH94" s="105">
        <f t="shared" si="76"/>
        <v>0</v>
      </c>
      <c r="BI94" s="108">
        <f t="shared" si="85"/>
        <v>0</v>
      </c>
      <c r="BJ94" s="108">
        <f t="shared" si="80"/>
        <v>0</v>
      </c>
      <c r="BK94" s="22">
        <f t="shared" si="81"/>
        <v>47931</v>
      </c>
      <c r="BL94" s="108">
        <f t="shared" si="64"/>
        <v>0</v>
      </c>
      <c r="BM94" s="2" t="e">
        <f>IF(AND(G49&gt;=$X$11,G49&lt;=$X$11+5),0,IF($C$9&gt;$AG$51,ROUND(BH48*IF(#REF!="",0,#REF!)/(DATEVALUE(CONCATENATE("01/01/",YEAR(AR49)+1))-DATEVALUE(CONCATENATE("01/01/",YEAR(AR49))))*(AR49-AR48),2),0))</f>
        <v>#REF!</v>
      </c>
    </row>
    <row r="95" spans="1:65" s="16" customFormat="1" x14ac:dyDescent="0.3">
      <c r="A95" s="178"/>
      <c r="B95" s="178"/>
      <c r="C95" s="184"/>
      <c r="D95" s="184"/>
      <c r="E95" s="184"/>
      <c r="F95" s="184"/>
      <c r="G95" s="114">
        <f t="shared" si="82"/>
        <v>87</v>
      </c>
      <c r="H95" s="245">
        <f t="shared" si="59"/>
        <v>47962</v>
      </c>
      <c r="I95" s="246">
        <f t="shared" si="60"/>
        <v>0.23899999999999999</v>
      </c>
      <c r="J95" s="24">
        <f t="shared" si="65"/>
        <v>0</v>
      </c>
      <c r="K95" s="242">
        <f t="shared" si="66"/>
        <v>0</v>
      </c>
      <c r="L95" s="242">
        <f t="shared" si="67"/>
        <v>0</v>
      </c>
      <c r="M95" s="24">
        <f t="shared" si="92"/>
        <v>0</v>
      </c>
      <c r="N95" s="24">
        <f t="shared" si="61"/>
        <v>0</v>
      </c>
      <c r="O95" s="24">
        <v>0</v>
      </c>
      <c r="P95" s="24">
        <f t="shared" si="89"/>
        <v>0</v>
      </c>
      <c r="Q95" s="24">
        <f t="shared" si="86"/>
        <v>0</v>
      </c>
      <c r="R95" s="24">
        <f t="shared" si="68"/>
        <v>0</v>
      </c>
      <c r="S95" s="24">
        <f t="shared" si="78"/>
        <v>0</v>
      </c>
      <c r="T95" s="24">
        <f>IF(G95=C37,'КЭШ, Реф (БВ_ОПТИ_Базовый)'!$C$26-'КЭШ, Реф (БВ_ОПТИ_Базовый)'!$C$27,0)</f>
        <v>0</v>
      </c>
      <c r="U95" s="36">
        <f t="shared" si="83"/>
        <v>0</v>
      </c>
      <c r="V95" s="36">
        <f t="shared" si="70"/>
        <v>0</v>
      </c>
      <c r="W95" s="36">
        <f t="shared" si="71"/>
        <v>0</v>
      </c>
      <c r="X95" s="2" t="e">
        <f>IF(AND(G60&gt;=$X$11,G60&lt;=$X$11+5),0,IF($C$9&gt;$AG$51,ROUND(S59*#REF!/(DATEVALUE(CONCATENATE("01/01/",YEAR(H60)+1))-DATEVALUE(CONCATENATE("01/01/",YEAR(H60))))*(H60-H59),2),0))</f>
        <v>#REF!</v>
      </c>
      <c r="Y95" s="34">
        <f t="shared" si="53"/>
        <v>0</v>
      </c>
      <c r="Z95" s="57">
        <f t="shared" si="49"/>
        <v>64295</v>
      </c>
      <c r="AM95" s="2" t="e">
        <f>IF(AND(Z52&gt;=$X$11,Z52&lt;=$X$11+5),0,IF($C$9&gt;$AG$51,ROUND(AJ55*#REF!/(DATEVALUE(CONCATENATE("01/01/",YEAR(AA52)+1))-DATEVALUE(CONCATENATE("01/01/",YEAR(AA52))))*(AA52-AA51),2),0))</f>
        <v>#REF!</v>
      </c>
      <c r="AN95" s="34">
        <f t="shared" si="55"/>
        <v>2344</v>
      </c>
      <c r="AO95" s="57">
        <f t="shared" si="52"/>
        <v>62835</v>
      </c>
      <c r="AP95" s="130">
        <f t="shared" si="72"/>
        <v>0</v>
      </c>
      <c r="AQ95" s="109">
        <f t="shared" si="84"/>
        <v>87</v>
      </c>
      <c r="AR95" s="681">
        <f t="shared" si="62"/>
        <v>47962</v>
      </c>
      <c r="AS95" s="177">
        <f t="shared" si="91"/>
        <v>0.29899999999999999</v>
      </c>
      <c r="AT95" s="105">
        <f t="shared" si="73"/>
        <v>0</v>
      </c>
      <c r="AU95" s="105">
        <f t="shared" si="79"/>
        <v>0</v>
      </c>
      <c r="AV95" s="559">
        <f t="shared" si="74"/>
        <v>0</v>
      </c>
      <c r="AW95" s="105">
        <f t="shared" si="75"/>
        <v>0</v>
      </c>
      <c r="AX95" s="105">
        <f t="shared" si="63"/>
        <v>0</v>
      </c>
      <c r="AY95" s="105">
        <v>0</v>
      </c>
      <c r="AZ95" s="105">
        <f t="shared" si="90"/>
        <v>0</v>
      </c>
      <c r="BA95" s="105">
        <f t="shared" si="88"/>
        <v>0</v>
      </c>
      <c r="BB95" s="105">
        <f t="shared" si="87"/>
        <v>0</v>
      </c>
      <c r="BC95" s="105"/>
      <c r="BD95" s="105"/>
      <c r="BE95" s="105"/>
      <c r="BF95" s="105"/>
      <c r="BG95" s="105"/>
      <c r="BH95" s="105">
        <f t="shared" si="76"/>
        <v>0</v>
      </c>
      <c r="BI95" s="108">
        <f t="shared" si="85"/>
        <v>0</v>
      </c>
      <c r="BJ95" s="108">
        <f t="shared" si="80"/>
        <v>0</v>
      </c>
      <c r="BK95" s="22">
        <f t="shared" si="81"/>
        <v>47962</v>
      </c>
      <c r="BL95" s="108">
        <f t="shared" si="64"/>
        <v>0</v>
      </c>
      <c r="BM95" s="2" t="e">
        <f>IF(AND(G50&gt;=$X$11,G50&lt;=$X$11+5),0,IF($C$9&gt;$AG$51,ROUND(BH49*IF(#REF!="",0,#REF!)/(DATEVALUE(CONCATENATE("01/01/",YEAR(AR50)+1))-DATEVALUE(CONCATENATE("01/01/",YEAR(AR50))))*(AR50-AR49),2),0))</f>
        <v>#REF!</v>
      </c>
    </row>
    <row r="96" spans="1:65" s="16" customFormat="1" x14ac:dyDescent="0.3">
      <c r="A96" s="178"/>
      <c r="B96" s="178"/>
      <c r="C96" s="184"/>
      <c r="D96" s="184"/>
      <c r="E96" s="184"/>
      <c r="F96" s="184"/>
      <c r="G96" s="114">
        <f t="shared" si="82"/>
        <v>88</v>
      </c>
      <c r="H96" s="245">
        <f t="shared" si="59"/>
        <v>47992</v>
      </c>
      <c r="I96" s="246">
        <f t="shared" si="60"/>
        <v>0.23899999999999999</v>
      </c>
      <c r="J96" s="24">
        <f t="shared" si="65"/>
        <v>0</v>
      </c>
      <c r="K96" s="242">
        <f t="shared" si="66"/>
        <v>0</v>
      </c>
      <c r="L96" s="242">
        <f t="shared" si="67"/>
        <v>0</v>
      </c>
      <c r="M96" s="24">
        <f t="shared" si="92"/>
        <v>0</v>
      </c>
      <c r="N96" s="24">
        <f t="shared" si="61"/>
        <v>0</v>
      </c>
      <c r="O96" s="24">
        <v>0</v>
      </c>
      <c r="P96" s="24">
        <f t="shared" si="89"/>
        <v>0</v>
      </c>
      <c r="Q96" s="24">
        <f t="shared" si="86"/>
        <v>0</v>
      </c>
      <c r="R96" s="24">
        <f t="shared" si="68"/>
        <v>0</v>
      </c>
      <c r="S96" s="24">
        <f t="shared" si="78"/>
        <v>0</v>
      </c>
      <c r="T96" s="24">
        <f>IF(G96=C38,'КЭШ, Реф (БВ_ОПТИ_Базовый)'!$C$26-'КЭШ, Реф (БВ_ОПТИ_Базовый)'!$C$27,0)</f>
        <v>0</v>
      </c>
      <c r="U96" s="36">
        <f t="shared" si="83"/>
        <v>0</v>
      </c>
      <c r="V96" s="36">
        <f t="shared" si="70"/>
        <v>0</v>
      </c>
      <c r="W96" s="36">
        <f t="shared" si="71"/>
        <v>0</v>
      </c>
      <c r="X96" s="2" t="e">
        <f>IF(AND(G61&gt;=$X$11,G61&lt;=$X$11+5),0,IF($C$9&gt;$AG$51,ROUND(S60*#REF!/(DATEVALUE(CONCATENATE("01/01/",YEAR(H61)+1))-DATEVALUE(CONCATENATE("01/01/",YEAR(H61))))*(H61-H60),2),0))</f>
        <v>#REF!</v>
      </c>
      <c r="Y96" s="34">
        <f t="shared" si="53"/>
        <v>0</v>
      </c>
      <c r="Z96" s="57">
        <f t="shared" si="49"/>
        <v>64660</v>
      </c>
      <c r="AM96" s="2" t="e">
        <f>IF(AND(Z53&gt;=$X$11,Z53&lt;=$X$11+5),0,IF($C$9&gt;$AG$51,ROUND(AJ56*#REF!/(DATEVALUE(CONCATENATE("01/01/",YEAR(AA53)+1))-DATEVALUE(CONCATENATE("01/01/",YEAR(AA53))))*(AA53-AA52),2),0))</f>
        <v>#REF!</v>
      </c>
      <c r="AN96" s="34">
        <f t="shared" si="55"/>
        <v>0</v>
      </c>
      <c r="AO96" s="57">
        <f t="shared" si="52"/>
        <v>63200</v>
      </c>
      <c r="AP96" s="130">
        <f t="shared" si="72"/>
        <v>0</v>
      </c>
      <c r="AQ96" s="109">
        <f t="shared" si="84"/>
        <v>88</v>
      </c>
      <c r="AR96" s="681">
        <f t="shared" si="62"/>
        <v>47992</v>
      </c>
      <c r="AS96" s="177">
        <f t="shared" si="91"/>
        <v>0.29899999999999999</v>
      </c>
      <c r="AT96" s="105">
        <f t="shared" si="73"/>
        <v>0</v>
      </c>
      <c r="AU96" s="105">
        <f t="shared" si="79"/>
        <v>0</v>
      </c>
      <c r="AV96" s="559">
        <f t="shared" si="74"/>
        <v>0</v>
      </c>
      <c r="AW96" s="105">
        <f t="shared" si="75"/>
        <v>0</v>
      </c>
      <c r="AX96" s="105">
        <f t="shared" si="63"/>
        <v>0</v>
      </c>
      <c r="AY96" s="105">
        <v>0</v>
      </c>
      <c r="AZ96" s="105">
        <f t="shared" si="90"/>
        <v>0</v>
      </c>
      <c r="BA96" s="105">
        <f t="shared" si="88"/>
        <v>0</v>
      </c>
      <c r="BB96" s="105">
        <f t="shared" si="87"/>
        <v>0</v>
      </c>
      <c r="BC96" s="105"/>
      <c r="BD96" s="105"/>
      <c r="BE96" s="105"/>
      <c r="BF96" s="105"/>
      <c r="BG96" s="105"/>
      <c r="BH96" s="105">
        <f t="shared" si="76"/>
        <v>0</v>
      </c>
      <c r="BI96" s="108">
        <f t="shared" si="85"/>
        <v>0</v>
      </c>
      <c r="BJ96" s="108">
        <f t="shared" si="80"/>
        <v>0</v>
      </c>
      <c r="BK96" s="22">
        <f t="shared" si="81"/>
        <v>47992</v>
      </c>
      <c r="BL96" s="108">
        <f t="shared" si="64"/>
        <v>0</v>
      </c>
      <c r="BM96" s="2" t="e">
        <f>IF(AND(G51&gt;=$X$11,G51&lt;=$X$11+5),0,IF($C$9&gt;$AG$51,ROUND(BH50*IF(#REF!="",0,#REF!)/(DATEVALUE(CONCATENATE("01/01/",YEAR(AR51)+1))-DATEVALUE(CONCATENATE("01/01/",YEAR(AR51))))*(AR51-AR50),2),0))</f>
        <v>#REF!</v>
      </c>
    </row>
    <row r="97" spans="1:1218" s="16" customFormat="1" x14ac:dyDescent="0.3">
      <c r="A97" s="178"/>
      <c r="B97" s="178"/>
      <c r="C97" s="184"/>
      <c r="D97" s="184"/>
      <c r="E97" s="184"/>
      <c r="F97" s="184"/>
      <c r="G97" s="114">
        <f t="shared" si="82"/>
        <v>89</v>
      </c>
      <c r="H97" s="245">
        <f t="shared" si="59"/>
        <v>48023</v>
      </c>
      <c r="I97" s="246">
        <f t="shared" si="60"/>
        <v>0.23899999999999999</v>
      </c>
      <c r="J97" s="24">
        <f t="shared" si="65"/>
        <v>0</v>
      </c>
      <c r="K97" s="242">
        <f t="shared" si="66"/>
        <v>0</v>
      </c>
      <c r="L97" s="242">
        <f t="shared" si="67"/>
        <v>0</v>
      </c>
      <c r="M97" s="24">
        <f t="shared" si="92"/>
        <v>0</v>
      </c>
      <c r="N97" s="24">
        <f t="shared" si="61"/>
        <v>0</v>
      </c>
      <c r="O97" s="24">
        <v>0</v>
      </c>
      <c r="P97" s="24">
        <f t="shared" si="89"/>
        <v>0</v>
      </c>
      <c r="Q97" s="24">
        <f t="shared" si="86"/>
        <v>0</v>
      </c>
      <c r="R97" s="24">
        <f t="shared" si="68"/>
        <v>0</v>
      </c>
      <c r="S97" s="24">
        <f t="shared" si="78"/>
        <v>0</v>
      </c>
      <c r="T97" s="24">
        <f>IF(G97=C39,'КЭШ, Реф (БВ_ОПТИ_Базовый)'!$C$26-'КЭШ, Реф (БВ_ОПТИ_Базовый)'!$C$27,0)</f>
        <v>0</v>
      </c>
      <c r="U97" s="36">
        <f t="shared" si="83"/>
        <v>0</v>
      </c>
      <c r="V97" s="36">
        <f t="shared" si="70"/>
        <v>0</v>
      </c>
      <c r="W97" s="36">
        <f t="shared" si="71"/>
        <v>0</v>
      </c>
      <c r="X97" s="2" t="e">
        <f>IF(AND(G62&gt;=$X$11,G62&lt;=$X$11+5),0,IF($C$9&gt;$AG$51,ROUND(S61*#REF!/(DATEVALUE(CONCATENATE("01/01/",YEAR(H62)+1))-DATEVALUE(CONCATENATE("01/01/",YEAR(H62))))*(H62-H61),2),0))</f>
        <v>#REF!</v>
      </c>
      <c r="Y97" s="34">
        <f t="shared" si="53"/>
        <v>0</v>
      </c>
      <c r="Z97" s="57">
        <f t="shared" si="49"/>
        <v>65025</v>
      </c>
      <c r="AM97" s="2" t="e">
        <f>IF(AND(Z54&gt;=$X$11,Z54&lt;=$X$11+5),0,IF($C$9&gt;$AG$51,ROUND(AJ57*#REF!/(DATEVALUE(CONCATENATE("01/01/",YEAR(AA54)+1))-DATEVALUE(CONCATENATE("01/01/",YEAR(AA54))))*(AA54-AA53),2),0))</f>
        <v>#REF!</v>
      </c>
      <c r="AN97" s="34">
        <f t="shared" si="55"/>
        <v>0</v>
      </c>
      <c r="AO97" s="57">
        <f t="shared" si="52"/>
        <v>63565</v>
      </c>
      <c r="AP97" s="130">
        <f t="shared" si="72"/>
        <v>0</v>
      </c>
      <c r="AQ97" s="109">
        <f t="shared" si="84"/>
        <v>89</v>
      </c>
      <c r="AR97" s="681">
        <f t="shared" si="62"/>
        <v>48023</v>
      </c>
      <c r="AS97" s="177">
        <f t="shared" si="91"/>
        <v>0.29899999999999999</v>
      </c>
      <c r="AT97" s="105">
        <f t="shared" si="73"/>
        <v>0</v>
      </c>
      <c r="AU97" s="105">
        <f t="shared" si="79"/>
        <v>0</v>
      </c>
      <c r="AV97" s="559">
        <f t="shared" si="74"/>
        <v>0</v>
      </c>
      <c r="AW97" s="105">
        <f t="shared" si="75"/>
        <v>0</v>
      </c>
      <c r="AX97" s="105">
        <f t="shared" si="63"/>
        <v>0</v>
      </c>
      <c r="AY97" s="105">
        <v>0</v>
      </c>
      <c r="AZ97" s="105">
        <f t="shared" si="90"/>
        <v>0</v>
      </c>
      <c r="BA97" s="105">
        <f t="shared" si="88"/>
        <v>0</v>
      </c>
      <c r="BB97" s="105">
        <f t="shared" si="87"/>
        <v>0</v>
      </c>
      <c r="BC97" s="105"/>
      <c r="BD97" s="105"/>
      <c r="BE97" s="105"/>
      <c r="BF97" s="105"/>
      <c r="BG97" s="105"/>
      <c r="BH97" s="105">
        <f t="shared" si="76"/>
        <v>0</v>
      </c>
      <c r="BI97" s="108">
        <f t="shared" si="85"/>
        <v>0</v>
      </c>
      <c r="BJ97" s="108">
        <f t="shared" si="80"/>
        <v>0</v>
      </c>
      <c r="BK97" s="22">
        <f t="shared" si="81"/>
        <v>48023</v>
      </c>
      <c r="BL97" s="108">
        <f t="shared" si="64"/>
        <v>0</v>
      </c>
      <c r="BM97" s="2" t="e">
        <f>IF(AND(G52&gt;=$X$11,G52&lt;=$X$11+5),0,IF($C$9&gt;$AG$51,ROUND(BH51*IF(#REF!="",0,#REF!)/(DATEVALUE(CONCATENATE("01/01/",YEAR(AR52)+1))-DATEVALUE(CONCATENATE("01/01/",YEAR(AR52))))*(AR52-AR51),2),0))</f>
        <v>#REF!</v>
      </c>
    </row>
    <row r="98" spans="1:1218" s="16" customFormat="1" x14ac:dyDescent="0.3">
      <c r="A98" s="178"/>
      <c r="B98" s="178"/>
      <c r="C98" s="184"/>
      <c r="D98" s="184"/>
      <c r="E98" s="184"/>
      <c r="F98" s="184"/>
      <c r="G98" s="114">
        <f t="shared" si="82"/>
        <v>90</v>
      </c>
      <c r="H98" s="245">
        <f t="shared" si="59"/>
        <v>48053</v>
      </c>
      <c r="I98" s="246">
        <f t="shared" si="60"/>
        <v>0.23899999999999999</v>
      </c>
      <c r="J98" s="24">
        <f t="shared" si="65"/>
        <v>0</v>
      </c>
      <c r="K98" s="242">
        <f t="shared" si="66"/>
        <v>0</v>
      </c>
      <c r="L98" s="242">
        <f t="shared" si="67"/>
        <v>0</v>
      </c>
      <c r="M98" s="24">
        <f t="shared" si="92"/>
        <v>0</v>
      </c>
      <c r="N98" s="24">
        <f t="shared" si="61"/>
        <v>0</v>
      </c>
      <c r="O98" s="24">
        <v>0</v>
      </c>
      <c r="P98" s="24">
        <f t="shared" si="89"/>
        <v>0</v>
      </c>
      <c r="Q98" s="24">
        <f t="shared" si="86"/>
        <v>0</v>
      </c>
      <c r="R98" s="24">
        <f t="shared" si="68"/>
        <v>0</v>
      </c>
      <c r="S98" s="24">
        <f t="shared" si="78"/>
        <v>0</v>
      </c>
      <c r="T98" s="24">
        <f>IF(G98=C40,'КЭШ, Реф (БВ_ОПТИ_Базовый)'!$C$26-'КЭШ, Реф (БВ_ОПТИ_Базовый)'!$C$27,0)</f>
        <v>0</v>
      </c>
      <c r="U98" s="36">
        <f t="shared" si="83"/>
        <v>0</v>
      </c>
      <c r="V98" s="36">
        <f t="shared" si="70"/>
        <v>0</v>
      </c>
      <c r="W98" s="36">
        <f t="shared" si="71"/>
        <v>0</v>
      </c>
      <c r="X98" s="2" t="e">
        <f>IF(AND(G63&gt;=$X$11,G63&lt;=$X$11+5),0,IF($C$9&gt;$AG$51,ROUND(S62*#REF!/(DATEVALUE(CONCATENATE("01/01/",YEAR(H63)+1))-DATEVALUE(CONCATENATE("01/01/",YEAR(H63))))*(H63-H62),2),0))</f>
        <v>#REF!</v>
      </c>
      <c r="Y98" s="34">
        <f t="shared" si="53"/>
        <v>0</v>
      </c>
      <c r="Z98" s="57">
        <f t="shared" si="49"/>
        <v>65390</v>
      </c>
      <c r="AM98" s="2" t="e">
        <f>IF(AND(Z55&gt;=$X$11,Z55&lt;=$X$11+5),0,IF($C$9&gt;$AG$51,ROUND(AJ58*#REF!/(DATEVALUE(CONCATENATE("01/01/",YEAR(AA55)+1))-DATEVALUE(CONCATENATE("01/01/",YEAR(AA55))))*(AA55-AA54),2),0))</f>
        <v>#REF!</v>
      </c>
      <c r="AN98" s="34">
        <f t="shared" si="55"/>
        <v>0</v>
      </c>
      <c r="AO98" s="57">
        <f t="shared" si="52"/>
        <v>63930</v>
      </c>
      <c r="AP98" s="130">
        <f t="shared" si="72"/>
        <v>0</v>
      </c>
      <c r="AQ98" s="109">
        <f t="shared" si="84"/>
        <v>90</v>
      </c>
      <c r="AR98" s="681">
        <f t="shared" si="62"/>
        <v>48053</v>
      </c>
      <c r="AS98" s="177">
        <f t="shared" si="91"/>
        <v>0.29899999999999999</v>
      </c>
      <c r="AT98" s="105">
        <f t="shared" si="73"/>
        <v>0</v>
      </c>
      <c r="AU98" s="105">
        <f t="shared" si="79"/>
        <v>0</v>
      </c>
      <c r="AV98" s="559">
        <f t="shared" si="74"/>
        <v>0</v>
      </c>
      <c r="AW98" s="105">
        <f t="shared" si="75"/>
        <v>0</v>
      </c>
      <c r="AX98" s="105">
        <f t="shared" si="63"/>
        <v>0</v>
      </c>
      <c r="AY98" s="105">
        <v>0</v>
      </c>
      <c r="AZ98" s="105">
        <f t="shared" si="90"/>
        <v>0</v>
      </c>
      <c r="BA98" s="105">
        <f t="shared" si="88"/>
        <v>0</v>
      </c>
      <c r="BB98" s="105">
        <f t="shared" si="87"/>
        <v>0</v>
      </c>
      <c r="BC98" s="105"/>
      <c r="BD98" s="105"/>
      <c r="BE98" s="105"/>
      <c r="BF98" s="105"/>
      <c r="BG98" s="105"/>
      <c r="BH98" s="105">
        <f t="shared" si="76"/>
        <v>0</v>
      </c>
      <c r="BI98" s="108">
        <f t="shared" si="85"/>
        <v>0</v>
      </c>
      <c r="BJ98" s="108">
        <f t="shared" si="80"/>
        <v>0</v>
      </c>
      <c r="BK98" s="22">
        <f t="shared" si="81"/>
        <v>48053</v>
      </c>
      <c r="BL98" s="108">
        <f t="shared" si="64"/>
        <v>0</v>
      </c>
      <c r="BM98" s="2" t="e">
        <f>IF(AND(G53&gt;=$X$11,G53&lt;=$X$11+5),0,IF($C$9&gt;$AG$51,ROUND(BH52*IF(#REF!="",0,#REF!)/(DATEVALUE(CONCATENATE("01/01/",YEAR(AR53)+1))-DATEVALUE(CONCATENATE("01/01/",YEAR(AR53))))*(AR53-AR52),2),0))</f>
        <v>#REF!</v>
      </c>
    </row>
    <row r="99" spans="1:1218" s="16" customFormat="1" x14ac:dyDescent="0.3">
      <c r="A99" s="178"/>
      <c r="B99" s="178"/>
      <c r="C99" s="184"/>
      <c r="D99" s="184"/>
      <c r="E99" s="184"/>
      <c r="F99" s="184"/>
      <c r="G99" s="114">
        <f t="shared" si="82"/>
        <v>91</v>
      </c>
      <c r="H99" s="245">
        <f t="shared" si="59"/>
        <v>48084</v>
      </c>
      <c r="I99" s="246">
        <f t="shared" si="60"/>
        <v>0.23899999999999999</v>
      </c>
      <c r="J99" s="24">
        <f t="shared" si="65"/>
        <v>0</v>
      </c>
      <c r="K99" s="242">
        <f t="shared" si="66"/>
        <v>0</v>
      </c>
      <c r="L99" s="242">
        <f t="shared" si="67"/>
        <v>0</v>
      </c>
      <c r="M99" s="24">
        <f t="shared" si="92"/>
        <v>0</v>
      </c>
      <c r="N99" s="24">
        <f t="shared" si="61"/>
        <v>0</v>
      </c>
      <c r="O99" s="24">
        <v>0</v>
      </c>
      <c r="P99" s="24">
        <f t="shared" si="89"/>
        <v>0</v>
      </c>
      <c r="Q99" s="24">
        <f t="shared" si="86"/>
        <v>0</v>
      </c>
      <c r="R99" s="24">
        <f t="shared" si="68"/>
        <v>0</v>
      </c>
      <c r="S99" s="24">
        <f t="shared" si="78"/>
        <v>0</v>
      </c>
      <c r="T99" s="24">
        <f>IF(G99=C41,'КЭШ, Реф (БВ_ОПТИ_Базовый)'!$C$26-'КЭШ, Реф (БВ_ОПТИ_Базовый)'!$C$27,0)</f>
        <v>0</v>
      </c>
      <c r="U99" s="36">
        <f t="shared" si="83"/>
        <v>0</v>
      </c>
      <c r="V99" s="36">
        <f t="shared" si="70"/>
        <v>0</v>
      </c>
      <c r="W99" s="36">
        <f t="shared" si="71"/>
        <v>0</v>
      </c>
      <c r="X99" s="2" t="e">
        <f>IF(AND(G64&gt;=$X$11,G64&lt;=$X$11+5),0,IF($C$9&gt;$AG$51,ROUND(S63*#REF!/(DATEVALUE(CONCATENATE("01/01/",YEAR(H64)+1))-DATEVALUE(CONCATENATE("01/01/",YEAR(H64))))*(H64-H63),2),0))</f>
        <v>#REF!</v>
      </c>
      <c r="Y99" s="34">
        <f t="shared" si="53"/>
        <v>0</v>
      </c>
      <c r="Z99" s="57">
        <f t="shared" si="49"/>
        <v>65755</v>
      </c>
      <c r="AM99" s="2" t="e">
        <f>IF(AND(Z56&gt;=$X$11,Z56&lt;=$X$11+5),0,IF($C$9&gt;$AG$51,ROUND(AJ59*#REF!/(DATEVALUE(CONCATENATE("01/01/",YEAR(AA56)+1))-DATEVALUE(CONCATENATE("01/01/",YEAR(AA56))))*(AA56-AA55),2),0))</f>
        <v>#VALUE!</v>
      </c>
      <c r="AN99" s="34">
        <f t="shared" si="55"/>
        <v>0</v>
      </c>
      <c r="AO99" s="57">
        <f t="shared" si="52"/>
        <v>64295</v>
      </c>
      <c r="AP99" s="130">
        <f t="shared" si="72"/>
        <v>0</v>
      </c>
      <c r="AQ99" s="109">
        <f t="shared" si="84"/>
        <v>91</v>
      </c>
      <c r="AR99" s="681">
        <f t="shared" si="62"/>
        <v>48084</v>
      </c>
      <c r="AS99" s="177">
        <f t="shared" si="91"/>
        <v>0.29899999999999999</v>
      </c>
      <c r="AT99" s="105">
        <f t="shared" si="73"/>
        <v>0</v>
      </c>
      <c r="AU99" s="105">
        <f t="shared" si="79"/>
        <v>0</v>
      </c>
      <c r="AV99" s="559">
        <f t="shared" si="74"/>
        <v>0</v>
      </c>
      <c r="AW99" s="105">
        <f t="shared" si="75"/>
        <v>0</v>
      </c>
      <c r="AX99" s="105">
        <f t="shared" si="63"/>
        <v>0</v>
      </c>
      <c r="AY99" s="105">
        <v>0</v>
      </c>
      <c r="AZ99" s="105">
        <f t="shared" si="90"/>
        <v>0</v>
      </c>
      <c r="BA99" s="105">
        <f t="shared" si="88"/>
        <v>0</v>
      </c>
      <c r="BB99" s="105">
        <f t="shared" si="87"/>
        <v>0</v>
      </c>
      <c r="BC99" s="105"/>
      <c r="BD99" s="105"/>
      <c r="BE99" s="105"/>
      <c r="BF99" s="105"/>
      <c r="BG99" s="105"/>
      <c r="BH99" s="105">
        <f t="shared" si="76"/>
        <v>0</v>
      </c>
      <c r="BI99" s="108">
        <f t="shared" si="85"/>
        <v>0</v>
      </c>
      <c r="BJ99" s="108">
        <f t="shared" si="80"/>
        <v>0</v>
      </c>
      <c r="BK99" s="22">
        <f t="shared" si="81"/>
        <v>48084</v>
      </c>
      <c r="BL99" s="108">
        <f t="shared" si="64"/>
        <v>0</v>
      </c>
      <c r="BM99" s="2" t="e">
        <f>IF(AND(G54&gt;=$X$11,G54&lt;=$X$11+5),0,IF($C$9&gt;$AG$51,ROUND(BH53*IF(#REF!="",0,#REF!)/(DATEVALUE(CONCATENATE("01/01/",YEAR(AR54)+1))-DATEVALUE(CONCATENATE("01/01/",YEAR(AR54))))*(AR54-AR53),2),0))</f>
        <v>#REF!</v>
      </c>
    </row>
    <row r="100" spans="1:1218" s="16" customFormat="1" x14ac:dyDescent="0.3">
      <c r="A100" s="178"/>
      <c r="B100" s="178"/>
      <c r="C100" s="184"/>
      <c r="D100" s="184"/>
      <c r="E100" s="184"/>
      <c r="F100" s="184"/>
      <c r="G100" s="114">
        <f t="shared" si="82"/>
        <v>92</v>
      </c>
      <c r="H100" s="245">
        <f t="shared" si="59"/>
        <v>48115</v>
      </c>
      <c r="I100" s="246">
        <f t="shared" si="60"/>
        <v>0.23899999999999999</v>
      </c>
      <c r="J100" s="24">
        <f t="shared" si="65"/>
        <v>0</v>
      </c>
      <c r="K100" s="242">
        <f t="shared" si="66"/>
        <v>0</v>
      </c>
      <c r="L100" s="242">
        <f t="shared" si="67"/>
        <v>0</v>
      </c>
      <c r="M100" s="24">
        <f t="shared" si="92"/>
        <v>0</v>
      </c>
      <c r="N100" s="24">
        <f t="shared" si="61"/>
        <v>0</v>
      </c>
      <c r="O100" s="24">
        <v>0</v>
      </c>
      <c r="P100" s="24">
        <f t="shared" si="89"/>
        <v>0</v>
      </c>
      <c r="Q100" s="24">
        <f t="shared" si="86"/>
        <v>0</v>
      </c>
      <c r="R100" s="24">
        <f t="shared" si="68"/>
        <v>0</v>
      </c>
      <c r="S100" s="24">
        <f t="shared" si="78"/>
        <v>0</v>
      </c>
      <c r="T100" s="24">
        <f>IF(G100=C42,'КЭШ, Реф (БВ_ОПТИ_Базовый)'!$C$26-'КЭШ, Реф (БВ_ОПТИ_Базовый)'!$C$27,0)</f>
        <v>0</v>
      </c>
      <c r="U100" s="36">
        <f t="shared" si="83"/>
        <v>0</v>
      </c>
      <c r="V100" s="36">
        <f t="shared" si="70"/>
        <v>0</v>
      </c>
      <c r="W100" s="36">
        <f t="shared" si="71"/>
        <v>0</v>
      </c>
      <c r="X100" s="2" t="e">
        <f>IF(AND(G65&gt;=$X$11,G65&lt;=$X$11+5),0,IF($C$9&gt;$AG$51,ROUND(S64*#REF!/(DATEVALUE(CONCATENATE("01/01/",YEAR(H65)+1))-DATEVALUE(CONCATENATE("01/01/",YEAR(H65))))*(H65-H64),2),0))</f>
        <v>#REF!</v>
      </c>
      <c r="Y100" s="34">
        <f t="shared" si="53"/>
        <v>0</v>
      </c>
      <c r="Z100" s="57">
        <f t="shared" si="49"/>
        <v>66120</v>
      </c>
      <c r="AM100" s="2" t="e">
        <f>IF(AND(Z57&gt;=$X$11,Z57&lt;=$X$11+5),0,IF($C$9&gt;$AG$51,ROUND(AJ60*#REF!/(DATEVALUE(CONCATENATE("01/01/",YEAR(AA57)+1))-DATEVALUE(CONCATENATE("01/01/",YEAR(AA57))))*(AA57-AA56),2),0))</f>
        <v>#REF!</v>
      </c>
      <c r="AN100" s="34">
        <f t="shared" si="55"/>
        <v>0</v>
      </c>
      <c r="AO100" s="57">
        <f t="shared" si="52"/>
        <v>64660</v>
      </c>
      <c r="AP100" s="130">
        <f t="shared" si="72"/>
        <v>0</v>
      </c>
      <c r="AQ100" s="109">
        <f t="shared" si="84"/>
        <v>92</v>
      </c>
      <c r="AR100" s="681">
        <f t="shared" si="62"/>
        <v>48115</v>
      </c>
      <c r="AS100" s="177">
        <f t="shared" si="91"/>
        <v>0.29899999999999999</v>
      </c>
      <c r="AT100" s="105">
        <f t="shared" si="73"/>
        <v>0</v>
      </c>
      <c r="AU100" s="105">
        <f t="shared" si="79"/>
        <v>0</v>
      </c>
      <c r="AV100" s="559">
        <f t="shared" si="74"/>
        <v>0</v>
      </c>
      <c r="AW100" s="105">
        <f t="shared" si="75"/>
        <v>0</v>
      </c>
      <c r="AX100" s="105">
        <f t="shared" si="63"/>
        <v>0</v>
      </c>
      <c r="AY100" s="105">
        <v>0</v>
      </c>
      <c r="AZ100" s="105">
        <f t="shared" si="90"/>
        <v>0</v>
      </c>
      <c r="BA100" s="105">
        <f t="shared" si="88"/>
        <v>0</v>
      </c>
      <c r="BB100" s="105">
        <f t="shared" si="87"/>
        <v>0</v>
      </c>
      <c r="BC100" s="105"/>
      <c r="BD100" s="105"/>
      <c r="BE100" s="105"/>
      <c r="BF100" s="105"/>
      <c r="BG100" s="105"/>
      <c r="BH100" s="105">
        <f t="shared" si="76"/>
        <v>0</v>
      </c>
      <c r="BI100" s="108">
        <f t="shared" si="85"/>
        <v>0</v>
      </c>
      <c r="BJ100" s="108">
        <f t="shared" si="80"/>
        <v>0</v>
      </c>
      <c r="BK100" s="22">
        <f t="shared" si="81"/>
        <v>48115</v>
      </c>
      <c r="BL100" s="108">
        <f t="shared" si="64"/>
        <v>0</v>
      </c>
      <c r="BM100" s="2" t="e">
        <f>IF(AND(G55&gt;=$X$11,G55&lt;=$X$11+5),0,IF($C$9&gt;$AG$51,ROUND(BH54*IF(#REF!="",0,#REF!)/(DATEVALUE(CONCATENATE("01/01/",YEAR(AR55)+1))-DATEVALUE(CONCATENATE("01/01/",YEAR(AR55))))*(AR55-AR54),2),0))</f>
        <v>#REF!</v>
      </c>
    </row>
    <row r="101" spans="1:1218" s="16" customFormat="1" x14ac:dyDescent="0.3">
      <c r="A101" s="178"/>
      <c r="B101" s="178"/>
      <c r="C101" s="184"/>
      <c r="D101" s="184"/>
      <c r="E101" s="184"/>
      <c r="F101" s="184"/>
      <c r="G101" s="114">
        <f t="shared" si="82"/>
        <v>93</v>
      </c>
      <c r="H101" s="245">
        <f t="shared" si="59"/>
        <v>48145</v>
      </c>
      <c r="I101" s="246">
        <f t="shared" si="60"/>
        <v>0.23899999999999999</v>
      </c>
      <c r="J101" s="24">
        <f t="shared" si="65"/>
        <v>0</v>
      </c>
      <c r="K101" s="242">
        <f t="shared" si="66"/>
        <v>0</v>
      </c>
      <c r="L101" s="242">
        <f t="shared" si="67"/>
        <v>0</v>
      </c>
      <c r="M101" s="24">
        <f t="shared" si="92"/>
        <v>0</v>
      </c>
      <c r="N101" s="24">
        <f t="shared" si="61"/>
        <v>0</v>
      </c>
      <c r="O101" s="24">
        <v>0</v>
      </c>
      <c r="P101" s="24">
        <f t="shared" si="89"/>
        <v>0</v>
      </c>
      <c r="Q101" s="24">
        <f t="shared" si="86"/>
        <v>0</v>
      </c>
      <c r="R101" s="24">
        <f t="shared" si="68"/>
        <v>0</v>
      </c>
      <c r="S101" s="24">
        <f t="shared" si="78"/>
        <v>0</v>
      </c>
      <c r="T101" s="24">
        <f>IF(G101=C43,'КЭШ, Реф (БВ_ОПТИ_Базовый)'!$C$26-'КЭШ, Реф (БВ_ОПТИ_Базовый)'!$C$27,0)</f>
        <v>0</v>
      </c>
      <c r="U101" s="36">
        <f t="shared" si="83"/>
        <v>0</v>
      </c>
      <c r="V101" s="36">
        <f t="shared" si="70"/>
        <v>0</v>
      </c>
      <c r="W101" s="36">
        <f t="shared" si="71"/>
        <v>0</v>
      </c>
      <c r="X101" s="2" t="e">
        <f>IF(AND(G66&gt;=$X$11,G66&lt;=$X$11+5),0,IF($C$9&gt;$AG$51,ROUND(S65*#REF!/(DATEVALUE(CONCATENATE("01/01/",YEAR(H66)+1))-DATEVALUE(CONCATENATE("01/01/",YEAR(H66))))*(H66-H65),2),0))</f>
        <v>#REF!</v>
      </c>
      <c r="Y101" s="34">
        <f t="shared" si="53"/>
        <v>0</v>
      </c>
      <c r="Z101" s="57">
        <f t="shared" si="49"/>
        <v>66485</v>
      </c>
      <c r="AM101" s="2" t="e">
        <f>IF(AND(Z58&gt;=$X$11,Z58&lt;=$X$11+5),0,IF($C$9&gt;$AG$51,ROUND(AJ61*#REF!/(DATEVALUE(CONCATENATE("01/01/",YEAR(AA58)+1))-DATEVALUE(CONCATENATE("01/01/",YEAR(AA58))))*(AA58-AA57),2),0))</f>
        <v>#REF!</v>
      </c>
      <c r="AN101" s="34">
        <f t="shared" si="55"/>
        <v>0</v>
      </c>
      <c r="AO101" s="57">
        <f t="shared" si="52"/>
        <v>65025</v>
      </c>
      <c r="AP101" s="130">
        <f t="shared" si="72"/>
        <v>0</v>
      </c>
      <c r="AQ101" s="109">
        <f t="shared" si="84"/>
        <v>93</v>
      </c>
      <c r="AR101" s="681">
        <f t="shared" si="62"/>
        <v>48145</v>
      </c>
      <c r="AS101" s="177">
        <f t="shared" si="91"/>
        <v>0.29899999999999999</v>
      </c>
      <c r="AT101" s="105">
        <f t="shared" si="73"/>
        <v>0</v>
      </c>
      <c r="AU101" s="105">
        <f t="shared" si="79"/>
        <v>0</v>
      </c>
      <c r="AV101" s="559">
        <f t="shared" si="74"/>
        <v>0</v>
      </c>
      <c r="AW101" s="105">
        <f t="shared" si="75"/>
        <v>0</v>
      </c>
      <c r="AX101" s="105">
        <f t="shared" si="63"/>
        <v>0</v>
      </c>
      <c r="AY101" s="105">
        <v>0</v>
      </c>
      <c r="AZ101" s="105">
        <f t="shared" si="90"/>
        <v>0</v>
      </c>
      <c r="BA101" s="105">
        <f t="shared" si="88"/>
        <v>0</v>
      </c>
      <c r="BB101" s="105">
        <f t="shared" si="87"/>
        <v>0</v>
      </c>
      <c r="BC101" s="105"/>
      <c r="BD101" s="105"/>
      <c r="BE101" s="105"/>
      <c r="BF101" s="105"/>
      <c r="BG101" s="105"/>
      <c r="BH101" s="105">
        <f t="shared" si="76"/>
        <v>0</v>
      </c>
      <c r="BI101" s="108">
        <f t="shared" si="85"/>
        <v>0</v>
      </c>
      <c r="BJ101" s="108">
        <f t="shared" si="80"/>
        <v>0</v>
      </c>
      <c r="BK101" s="22">
        <f t="shared" si="81"/>
        <v>48145</v>
      </c>
      <c r="BL101" s="108">
        <f t="shared" si="64"/>
        <v>0</v>
      </c>
      <c r="BM101" s="2" t="e">
        <f>IF(AND(G56&gt;=$X$11,G56&lt;=$X$11+5),0,IF($C$9&gt;$AG$51,ROUND(BH55*IF(#REF!="",0,#REF!)/(DATEVALUE(CONCATENATE("01/01/",YEAR(AR56)+1))-DATEVALUE(CONCATENATE("01/01/",YEAR(AR56))))*(AR56-AR55),2),0))</f>
        <v>#REF!</v>
      </c>
      <c r="BZ101" s="2"/>
      <c r="CA101" s="2"/>
    </row>
    <row r="102" spans="1:1218" s="16" customFormat="1" x14ac:dyDescent="0.3">
      <c r="A102" s="178"/>
      <c r="B102" s="178"/>
      <c r="C102" s="184"/>
      <c r="D102" s="184"/>
      <c r="E102" s="184"/>
      <c r="F102" s="184"/>
      <c r="G102" s="114">
        <f t="shared" si="82"/>
        <v>94</v>
      </c>
      <c r="H102" s="245">
        <f t="shared" si="59"/>
        <v>48176</v>
      </c>
      <c r="I102" s="246">
        <f t="shared" si="60"/>
        <v>0.23899999999999999</v>
      </c>
      <c r="J102" s="24">
        <f t="shared" si="65"/>
        <v>0</v>
      </c>
      <c r="K102" s="242">
        <f t="shared" si="66"/>
        <v>0</v>
      </c>
      <c r="L102" s="242">
        <f t="shared" si="67"/>
        <v>0</v>
      </c>
      <c r="M102" s="24">
        <f t="shared" si="92"/>
        <v>0</v>
      </c>
      <c r="N102" s="24">
        <f t="shared" si="61"/>
        <v>0</v>
      </c>
      <c r="O102" s="24">
        <v>0</v>
      </c>
      <c r="P102" s="24">
        <f t="shared" si="89"/>
        <v>0</v>
      </c>
      <c r="Q102" s="24">
        <f t="shared" si="86"/>
        <v>0</v>
      </c>
      <c r="R102" s="24">
        <f t="shared" si="68"/>
        <v>0</v>
      </c>
      <c r="S102" s="24">
        <f t="shared" si="78"/>
        <v>0</v>
      </c>
      <c r="T102" s="24">
        <f>IF(G102=C44,'КЭШ, Реф (БВ_ОПТИ_Базовый)'!$C$26-'КЭШ, Реф (БВ_ОПТИ_Базовый)'!$C$27,0)</f>
        <v>0</v>
      </c>
      <c r="U102" s="36">
        <f t="shared" si="83"/>
        <v>0</v>
      </c>
      <c r="V102" s="36">
        <f t="shared" si="70"/>
        <v>0</v>
      </c>
      <c r="W102" s="36">
        <f t="shared" si="71"/>
        <v>0</v>
      </c>
      <c r="X102" s="2" t="e">
        <f>IF(AND(G67&gt;=$X$11,G67&lt;=$X$11+5),0,IF($C$9&gt;$AG$51,ROUND(S66*#REF!/(DATEVALUE(CONCATENATE("01/01/",YEAR(H67)+1))-DATEVALUE(CONCATENATE("01/01/",YEAR(H67))))*(H67-H66),2),0))</f>
        <v>#REF!</v>
      </c>
      <c r="Y102" s="34">
        <f t="shared" si="53"/>
        <v>0</v>
      </c>
      <c r="Z102" s="57">
        <f t="shared" si="49"/>
        <v>66850</v>
      </c>
      <c r="AM102" s="2" t="e">
        <f>IF(AND(Z59&gt;=$X$11,Z59&lt;=$X$11+5),0,IF($C$9&gt;$AG$51,ROUND(AJ62*#REF!/(DATEVALUE(CONCATENATE("01/01/",YEAR(AA59)+1))-DATEVALUE(CONCATENATE("01/01/",YEAR(AA59))))*(AA59-AA58),2),0))</f>
        <v>#REF!</v>
      </c>
      <c r="AN102" s="34">
        <f t="shared" si="55"/>
        <v>0</v>
      </c>
      <c r="AO102" s="57">
        <f t="shared" si="52"/>
        <v>65390</v>
      </c>
      <c r="AP102" s="130">
        <f t="shared" si="72"/>
        <v>0</v>
      </c>
      <c r="AQ102" s="109">
        <f t="shared" si="84"/>
        <v>94</v>
      </c>
      <c r="AR102" s="681">
        <f t="shared" si="62"/>
        <v>48176</v>
      </c>
      <c r="AS102" s="177">
        <f t="shared" si="91"/>
        <v>0.29899999999999999</v>
      </c>
      <c r="AT102" s="105">
        <f t="shared" si="73"/>
        <v>0</v>
      </c>
      <c r="AU102" s="105">
        <f t="shared" si="79"/>
        <v>0</v>
      </c>
      <c r="AV102" s="559">
        <f t="shared" si="74"/>
        <v>0</v>
      </c>
      <c r="AW102" s="105">
        <f t="shared" si="75"/>
        <v>0</v>
      </c>
      <c r="AX102" s="105">
        <f t="shared" si="63"/>
        <v>0</v>
      </c>
      <c r="AY102" s="105">
        <v>0</v>
      </c>
      <c r="AZ102" s="105">
        <f t="shared" si="90"/>
        <v>0</v>
      </c>
      <c r="BA102" s="105">
        <f t="shared" si="88"/>
        <v>0</v>
      </c>
      <c r="BB102" s="105">
        <f t="shared" si="87"/>
        <v>0</v>
      </c>
      <c r="BC102" s="105"/>
      <c r="BD102" s="105"/>
      <c r="BE102" s="105"/>
      <c r="BF102" s="105"/>
      <c r="BG102" s="105"/>
      <c r="BH102" s="105">
        <f t="shared" si="76"/>
        <v>0</v>
      </c>
      <c r="BI102" s="108">
        <f t="shared" si="85"/>
        <v>0</v>
      </c>
      <c r="BJ102" s="108">
        <f t="shared" si="80"/>
        <v>0</v>
      </c>
      <c r="BK102" s="22">
        <f t="shared" si="81"/>
        <v>48176</v>
      </c>
      <c r="BL102" s="108">
        <f t="shared" si="64"/>
        <v>0</v>
      </c>
      <c r="BM102" s="2" t="e">
        <f>IF(AND(G57&gt;=$X$11,G57&lt;=$X$11+5),0,IF($C$9&gt;$AG$51,ROUND(BH56*IF(#REF!="",0,#REF!)/(DATEVALUE(CONCATENATE("01/01/",YEAR(AR57)+1))-DATEVALUE(CONCATENATE("01/01/",YEAR(AR57))))*(AR57-AR56),2),0))</f>
        <v>#REF!</v>
      </c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  <c r="AAB102" s="2"/>
      <c r="AAC102" s="2"/>
      <c r="AAD102" s="2"/>
      <c r="AAE102" s="2"/>
      <c r="AAF102" s="2"/>
      <c r="AAG102" s="2"/>
      <c r="AAH102" s="2"/>
      <c r="AAI102" s="2"/>
      <c r="AAJ102" s="2"/>
      <c r="AAK102" s="2"/>
      <c r="AAL102" s="2"/>
      <c r="AAM102" s="2"/>
      <c r="AAN102" s="2"/>
      <c r="AAO102" s="2"/>
      <c r="AAP102" s="2"/>
      <c r="AAQ102" s="2"/>
      <c r="AAR102" s="2"/>
      <c r="AAS102" s="2"/>
      <c r="AAT102" s="2"/>
      <c r="AAU102" s="2"/>
      <c r="AAV102" s="2"/>
      <c r="AAW102" s="2"/>
      <c r="AAX102" s="2"/>
      <c r="AAY102" s="2"/>
      <c r="AAZ102" s="2"/>
      <c r="ABA102" s="2"/>
      <c r="ABB102" s="2"/>
      <c r="ABC102" s="2"/>
      <c r="ABD102" s="2"/>
      <c r="ABE102" s="2"/>
      <c r="ABF102" s="2"/>
      <c r="ABG102" s="2"/>
      <c r="ABH102" s="2"/>
      <c r="ABI102" s="2"/>
      <c r="ABJ102" s="2"/>
      <c r="ABK102" s="2"/>
      <c r="ABL102" s="2"/>
      <c r="ABM102" s="2"/>
      <c r="ABN102" s="2"/>
      <c r="ABO102" s="2"/>
      <c r="ABP102" s="2"/>
      <c r="ABQ102" s="2"/>
      <c r="ABR102" s="2"/>
      <c r="ABS102" s="2"/>
      <c r="ABT102" s="2"/>
      <c r="ABU102" s="2"/>
      <c r="ABV102" s="2"/>
      <c r="ABW102" s="2"/>
      <c r="ABX102" s="2"/>
      <c r="ABY102" s="2"/>
      <c r="ABZ102" s="2"/>
      <c r="ACA102" s="2"/>
      <c r="ACB102" s="2"/>
      <c r="ACC102" s="2"/>
      <c r="ACD102" s="2"/>
      <c r="ACE102" s="2"/>
      <c r="ACF102" s="2"/>
      <c r="ACG102" s="2"/>
      <c r="ACH102" s="2"/>
      <c r="ACI102" s="2"/>
      <c r="ACJ102" s="2"/>
      <c r="ACK102" s="2"/>
      <c r="ACL102" s="2"/>
      <c r="ACM102" s="2"/>
      <c r="ACN102" s="2"/>
      <c r="ACO102" s="2"/>
      <c r="ACP102" s="2"/>
      <c r="ACQ102" s="2"/>
      <c r="ACR102" s="2"/>
      <c r="ACS102" s="2"/>
      <c r="ACT102" s="2"/>
      <c r="ACU102" s="2"/>
      <c r="ACV102" s="2"/>
      <c r="ACW102" s="2"/>
      <c r="ACX102" s="2"/>
      <c r="ACY102" s="2"/>
      <c r="ACZ102" s="2"/>
      <c r="ADA102" s="2"/>
      <c r="ADB102" s="2"/>
      <c r="ADC102" s="2"/>
      <c r="ADD102" s="2"/>
      <c r="ADE102" s="2"/>
      <c r="ADF102" s="2"/>
      <c r="ADG102" s="2"/>
      <c r="ADH102" s="2"/>
      <c r="ADI102" s="2"/>
      <c r="ADJ102" s="2"/>
      <c r="ADK102" s="2"/>
      <c r="ADL102" s="2"/>
      <c r="ADM102" s="2"/>
      <c r="ADN102" s="2"/>
      <c r="ADO102" s="2"/>
      <c r="ADP102" s="2"/>
      <c r="ADQ102" s="2"/>
      <c r="ADR102" s="2"/>
      <c r="ADS102" s="2"/>
      <c r="ADT102" s="2"/>
      <c r="ADU102" s="2"/>
      <c r="ADV102" s="2"/>
      <c r="ADW102" s="2"/>
      <c r="ADX102" s="2"/>
      <c r="ADY102" s="2"/>
      <c r="ADZ102" s="2"/>
      <c r="AEA102" s="2"/>
      <c r="AEB102" s="2"/>
      <c r="AEC102" s="2"/>
      <c r="AED102" s="2"/>
      <c r="AEE102" s="2"/>
      <c r="AEF102" s="2"/>
      <c r="AEG102" s="2"/>
      <c r="AEH102" s="2"/>
      <c r="AEI102" s="2"/>
      <c r="AEJ102" s="2"/>
      <c r="AEK102" s="2"/>
      <c r="AEL102" s="2"/>
      <c r="AEM102" s="2"/>
      <c r="AEN102" s="2"/>
      <c r="AEO102" s="2"/>
      <c r="AEP102" s="2"/>
      <c r="AEQ102" s="2"/>
      <c r="AER102" s="2"/>
      <c r="AES102" s="2"/>
      <c r="AET102" s="2"/>
      <c r="AEU102" s="2"/>
      <c r="AEV102" s="2"/>
      <c r="AEW102" s="2"/>
      <c r="AEX102" s="2"/>
      <c r="AEY102" s="2"/>
      <c r="AEZ102" s="2"/>
      <c r="AFA102" s="2"/>
      <c r="AFB102" s="2"/>
      <c r="AFC102" s="2"/>
      <c r="AFD102" s="2"/>
      <c r="AFE102" s="2"/>
      <c r="AFF102" s="2"/>
      <c r="AFG102" s="2"/>
      <c r="AFH102" s="2"/>
      <c r="AFI102" s="2"/>
      <c r="AFJ102" s="2"/>
      <c r="AFK102" s="2"/>
      <c r="AFL102" s="2"/>
      <c r="AFM102" s="2"/>
      <c r="AFN102" s="2"/>
      <c r="AFO102" s="2"/>
      <c r="AFP102" s="2"/>
      <c r="AFQ102" s="2"/>
      <c r="AFR102" s="2"/>
      <c r="AFS102" s="2"/>
      <c r="AFT102" s="2"/>
      <c r="AFU102" s="2"/>
      <c r="AFV102" s="2"/>
      <c r="AFW102" s="2"/>
      <c r="AFX102" s="2"/>
      <c r="AFY102" s="2"/>
      <c r="AFZ102" s="2"/>
      <c r="AGA102" s="2"/>
      <c r="AGB102" s="2"/>
      <c r="AGC102" s="2"/>
      <c r="AGD102" s="2"/>
      <c r="AGE102" s="2"/>
      <c r="AGF102" s="2"/>
      <c r="AGG102" s="2"/>
      <c r="AGH102" s="2"/>
      <c r="AGI102" s="2"/>
      <c r="AGJ102" s="2"/>
      <c r="AGK102" s="2"/>
      <c r="AGL102" s="2"/>
      <c r="AGM102" s="2"/>
      <c r="AGN102" s="2"/>
      <c r="AGO102" s="2"/>
      <c r="AGP102" s="2"/>
      <c r="AGQ102" s="2"/>
      <c r="AGR102" s="2"/>
      <c r="AGS102" s="2"/>
      <c r="AGT102" s="2"/>
      <c r="AGU102" s="2"/>
      <c r="AGV102" s="2"/>
      <c r="AGW102" s="2"/>
      <c r="AGX102" s="2"/>
      <c r="AGY102" s="2"/>
      <c r="AGZ102" s="2"/>
      <c r="AHA102" s="2"/>
      <c r="AHB102" s="2"/>
      <c r="AHC102" s="2"/>
      <c r="AHD102" s="2"/>
      <c r="AHE102" s="2"/>
      <c r="AHF102" s="2"/>
      <c r="AHG102" s="2"/>
      <c r="AHH102" s="2"/>
      <c r="AHI102" s="2"/>
      <c r="AHJ102" s="2"/>
      <c r="AHK102" s="2"/>
      <c r="AHL102" s="2"/>
      <c r="AHM102" s="2"/>
      <c r="AHN102" s="2"/>
      <c r="AHO102" s="2"/>
      <c r="AHP102" s="2"/>
      <c r="AHQ102" s="2"/>
      <c r="AHR102" s="2"/>
      <c r="AHS102" s="2"/>
      <c r="AHT102" s="2"/>
      <c r="AHU102" s="2"/>
      <c r="AHV102" s="2"/>
      <c r="AHW102" s="2"/>
      <c r="AHX102" s="2"/>
      <c r="AHY102" s="2"/>
      <c r="AHZ102" s="2"/>
      <c r="AIA102" s="2"/>
      <c r="AIB102" s="2"/>
      <c r="AIC102" s="2"/>
      <c r="AID102" s="2"/>
      <c r="AIE102" s="2"/>
      <c r="AIF102" s="2"/>
      <c r="AIG102" s="2"/>
      <c r="AIH102" s="2"/>
      <c r="AII102" s="2"/>
      <c r="AIJ102" s="2"/>
      <c r="AIK102" s="2"/>
      <c r="AIL102" s="2"/>
      <c r="AIM102" s="2"/>
      <c r="AIN102" s="2"/>
      <c r="AIO102" s="2"/>
      <c r="AIP102" s="2"/>
      <c r="AIQ102" s="2"/>
      <c r="AIR102" s="2"/>
      <c r="AIS102" s="2"/>
      <c r="AIT102" s="2"/>
      <c r="AIU102" s="2"/>
      <c r="AIV102" s="2"/>
      <c r="AIW102" s="2"/>
      <c r="AIX102" s="2"/>
      <c r="AIY102" s="2"/>
      <c r="AIZ102" s="2"/>
      <c r="AJA102" s="2"/>
      <c r="AJB102" s="2"/>
      <c r="AJC102" s="2"/>
      <c r="AJD102" s="2"/>
      <c r="AJE102" s="2"/>
      <c r="AJF102" s="2"/>
      <c r="AJG102" s="2"/>
      <c r="AJH102" s="2"/>
      <c r="AJI102" s="2"/>
      <c r="AJJ102" s="2"/>
      <c r="AJK102" s="2"/>
      <c r="AJL102" s="2"/>
      <c r="AJM102" s="2"/>
      <c r="AJN102" s="2"/>
      <c r="AJO102" s="2"/>
      <c r="AJP102" s="2"/>
      <c r="AJQ102" s="2"/>
      <c r="AJR102" s="2"/>
      <c r="AJS102" s="2"/>
      <c r="AJT102" s="2"/>
      <c r="AJU102" s="2"/>
      <c r="AJV102" s="2"/>
      <c r="AJW102" s="2"/>
      <c r="AJX102" s="2"/>
      <c r="AJY102" s="2"/>
      <c r="AJZ102" s="2"/>
      <c r="AKA102" s="2"/>
      <c r="AKB102" s="2"/>
      <c r="AKC102" s="2"/>
      <c r="AKD102" s="2"/>
      <c r="AKE102" s="2"/>
      <c r="AKF102" s="2"/>
      <c r="AKG102" s="2"/>
      <c r="AKH102" s="2"/>
      <c r="AKI102" s="2"/>
      <c r="AKJ102" s="2"/>
      <c r="AKK102" s="2"/>
      <c r="AKL102" s="2"/>
      <c r="AKM102" s="2"/>
      <c r="AKN102" s="2"/>
      <c r="AKO102" s="2"/>
      <c r="AKP102" s="2"/>
      <c r="AKQ102" s="2"/>
      <c r="AKR102" s="2"/>
      <c r="AKS102" s="2"/>
      <c r="AKT102" s="2"/>
      <c r="AKU102" s="2"/>
      <c r="AKV102" s="2"/>
      <c r="AKW102" s="2"/>
      <c r="AKX102" s="2"/>
      <c r="AKY102" s="2"/>
      <c r="AKZ102" s="2"/>
      <c r="ALA102" s="2"/>
      <c r="ALB102" s="2"/>
      <c r="ALC102" s="2"/>
      <c r="ALD102" s="2"/>
      <c r="ALE102" s="2"/>
      <c r="ALF102" s="2"/>
      <c r="ALG102" s="2"/>
      <c r="ALH102" s="2"/>
      <c r="ALI102" s="2"/>
      <c r="ALJ102" s="2"/>
      <c r="ALK102" s="2"/>
      <c r="ALL102" s="2"/>
      <c r="ALM102" s="2"/>
      <c r="ALN102" s="2"/>
      <c r="ALO102" s="2"/>
      <c r="ALP102" s="2"/>
      <c r="ALQ102" s="2"/>
      <c r="ALR102" s="2"/>
      <c r="ALS102" s="2"/>
      <c r="ALT102" s="2"/>
      <c r="ALU102" s="2"/>
      <c r="ALV102" s="2"/>
      <c r="ALW102" s="2"/>
      <c r="ALX102" s="2"/>
      <c r="ALY102" s="2"/>
      <c r="ALZ102" s="2"/>
      <c r="AMA102" s="2"/>
      <c r="AMB102" s="2"/>
      <c r="AMC102" s="2"/>
      <c r="AMD102" s="2"/>
      <c r="AME102" s="2"/>
      <c r="AMF102" s="2"/>
      <c r="AMG102" s="2"/>
      <c r="AMH102" s="2"/>
      <c r="AMI102" s="2"/>
      <c r="AMJ102" s="2"/>
      <c r="AMK102" s="2"/>
      <c r="AML102" s="2"/>
      <c r="AMM102" s="2"/>
      <c r="AMN102" s="2"/>
      <c r="AMO102" s="2"/>
      <c r="AMP102" s="2"/>
      <c r="AMQ102" s="2"/>
      <c r="AMR102" s="2"/>
      <c r="AMS102" s="2"/>
      <c r="AMT102" s="2"/>
      <c r="AMU102" s="2"/>
      <c r="AMV102" s="2"/>
      <c r="AMW102" s="2"/>
      <c r="AMX102" s="2"/>
      <c r="AMY102" s="2"/>
      <c r="AMZ102" s="2"/>
      <c r="ANA102" s="2"/>
      <c r="ANB102" s="2"/>
      <c r="ANC102" s="2"/>
      <c r="AND102" s="2"/>
      <c r="ANE102" s="2"/>
      <c r="ANF102" s="2"/>
      <c r="ANG102" s="2"/>
      <c r="ANH102" s="2"/>
      <c r="ANI102" s="2"/>
      <c r="ANJ102" s="2"/>
      <c r="ANK102" s="2"/>
      <c r="ANL102" s="2"/>
      <c r="ANM102" s="2"/>
      <c r="ANN102" s="2"/>
      <c r="ANO102" s="2"/>
      <c r="ANP102" s="2"/>
      <c r="ANQ102" s="2"/>
      <c r="ANR102" s="2"/>
      <c r="ANS102" s="2"/>
      <c r="ANT102" s="2"/>
      <c r="ANU102" s="2"/>
      <c r="ANV102" s="2"/>
      <c r="ANW102" s="2"/>
      <c r="ANX102" s="2"/>
      <c r="ANY102" s="2"/>
      <c r="ANZ102" s="2"/>
      <c r="AOA102" s="2"/>
      <c r="AOB102" s="2"/>
      <c r="AOC102" s="2"/>
      <c r="AOD102" s="2"/>
      <c r="AOE102" s="2"/>
      <c r="AOF102" s="2"/>
      <c r="AOG102" s="2"/>
      <c r="AOH102" s="2"/>
      <c r="AOI102" s="2"/>
      <c r="AOJ102" s="2"/>
      <c r="AOK102" s="2"/>
      <c r="AOL102" s="2"/>
      <c r="AOM102" s="2"/>
      <c r="AON102" s="2"/>
      <c r="AOO102" s="2"/>
      <c r="AOP102" s="2"/>
      <c r="AOQ102" s="2"/>
      <c r="AOR102" s="2"/>
      <c r="AOS102" s="2"/>
      <c r="AOT102" s="2"/>
      <c r="AOU102" s="2"/>
      <c r="AOV102" s="2"/>
      <c r="AOW102" s="2"/>
      <c r="AOX102" s="2"/>
      <c r="AOY102" s="2"/>
      <c r="AOZ102" s="2"/>
      <c r="APA102" s="2"/>
      <c r="APB102" s="2"/>
      <c r="APC102" s="2"/>
      <c r="APD102" s="2"/>
      <c r="APE102" s="2"/>
      <c r="APF102" s="2"/>
      <c r="APG102" s="2"/>
      <c r="APH102" s="2"/>
      <c r="API102" s="2"/>
      <c r="APJ102" s="2"/>
      <c r="APK102" s="2"/>
      <c r="APL102" s="2"/>
      <c r="APM102" s="2"/>
      <c r="APN102" s="2"/>
      <c r="APO102" s="2"/>
      <c r="APP102" s="2"/>
      <c r="APQ102" s="2"/>
      <c r="APR102" s="2"/>
      <c r="APS102" s="2"/>
      <c r="APT102" s="2"/>
      <c r="APU102" s="2"/>
      <c r="APV102" s="2"/>
      <c r="APW102" s="2"/>
      <c r="APX102" s="2"/>
      <c r="APY102" s="2"/>
      <c r="APZ102" s="2"/>
      <c r="AQA102" s="2"/>
      <c r="AQB102" s="2"/>
      <c r="AQC102" s="2"/>
      <c r="AQD102" s="2"/>
      <c r="AQE102" s="2"/>
      <c r="AQF102" s="2"/>
      <c r="AQG102" s="2"/>
      <c r="AQH102" s="2"/>
      <c r="AQI102" s="2"/>
      <c r="AQJ102" s="2"/>
      <c r="AQK102" s="2"/>
      <c r="AQL102" s="2"/>
      <c r="AQM102" s="2"/>
      <c r="AQN102" s="2"/>
      <c r="AQO102" s="2"/>
      <c r="AQP102" s="2"/>
      <c r="AQQ102" s="2"/>
      <c r="AQR102" s="2"/>
      <c r="AQS102" s="2"/>
      <c r="AQT102" s="2"/>
      <c r="AQU102" s="2"/>
      <c r="AQV102" s="2"/>
      <c r="AQW102" s="2"/>
      <c r="AQX102" s="2"/>
      <c r="AQY102" s="2"/>
      <c r="AQZ102" s="2"/>
      <c r="ARA102" s="2"/>
      <c r="ARB102" s="2"/>
      <c r="ARC102" s="2"/>
      <c r="ARD102" s="2"/>
      <c r="ARE102" s="2"/>
      <c r="ARF102" s="2"/>
      <c r="ARG102" s="2"/>
      <c r="ARH102" s="2"/>
      <c r="ARI102" s="2"/>
      <c r="ARJ102" s="2"/>
      <c r="ARK102" s="2"/>
      <c r="ARL102" s="2"/>
      <c r="ARM102" s="2"/>
      <c r="ARN102" s="2"/>
      <c r="ARO102" s="2"/>
      <c r="ARP102" s="2"/>
      <c r="ARQ102" s="2"/>
      <c r="ARR102" s="2"/>
      <c r="ARS102" s="2"/>
      <c r="ART102" s="2"/>
      <c r="ARU102" s="2"/>
      <c r="ARV102" s="2"/>
      <c r="ARW102" s="2"/>
      <c r="ARX102" s="2"/>
      <c r="ARY102" s="2"/>
      <c r="ARZ102" s="2"/>
      <c r="ASA102" s="2"/>
      <c r="ASB102" s="2"/>
      <c r="ASC102" s="2"/>
      <c r="ASD102" s="2"/>
      <c r="ASE102" s="2"/>
      <c r="ASF102" s="2"/>
      <c r="ASG102" s="2"/>
      <c r="ASH102" s="2"/>
      <c r="ASI102" s="2"/>
      <c r="ASJ102" s="2"/>
      <c r="ASK102" s="2"/>
      <c r="ASL102" s="2"/>
      <c r="ASM102" s="2"/>
      <c r="ASN102" s="2"/>
      <c r="ASO102" s="2"/>
      <c r="ASP102" s="2"/>
      <c r="ASQ102" s="2"/>
      <c r="ASR102" s="2"/>
      <c r="ASS102" s="2"/>
      <c r="AST102" s="2"/>
      <c r="ASU102" s="2"/>
      <c r="ASV102" s="2"/>
      <c r="ASW102" s="2"/>
      <c r="ASX102" s="2"/>
      <c r="ASY102" s="2"/>
      <c r="ASZ102" s="2"/>
      <c r="ATA102" s="2"/>
      <c r="ATB102" s="2"/>
      <c r="ATC102" s="2"/>
      <c r="ATD102" s="2"/>
      <c r="ATE102" s="2"/>
      <c r="ATF102" s="2"/>
      <c r="ATG102" s="2"/>
      <c r="ATH102" s="2"/>
      <c r="ATI102" s="2"/>
      <c r="ATJ102" s="2"/>
      <c r="ATK102" s="2"/>
      <c r="ATL102" s="2"/>
      <c r="ATM102" s="2"/>
      <c r="ATN102" s="2"/>
      <c r="ATO102" s="2"/>
      <c r="ATP102" s="2"/>
      <c r="ATQ102" s="2"/>
      <c r="ATR102" s="2"/>
      <c r="ATS102" s="2"/>
      <c r="ATT102" s="2"/>
      <c r="ATU102" s="2"/>
      <c r="ATV102" s="2"/>
    </row>
    <row r="103" spans="1:1218" x14ac:dyDescent="0.3">
      <c r="A103" s="178"/>
      <c r="B103" s="178"/>
      <c r="C103" s="184"/>
      <c r="D103" s="184"/>
      <c r="E103" s="184"/>
      <c r="F103" s="184"/>
      <c r="G103" s="114">
        <f t="shared" si="82"/>
        <v>95</v>
      </c>
      <c r="H103" s="245">
        <f t="shared" si="59"/>
        <v>48206</v>
      </c>
      <c r="I103" s="246">
        <f t="shared" si="60"/>
        <v>0.23899999999999999</v>
      </c>
      <c r="J103" s="24">
        <f t="shared" si="65"/>
        <v>0</v>
      </c>
      <c r="K103" s="242">
        <f t="shared" si="66"/>
        <v>0</v>
      </c>
      <c r="L103" s="242">
        <f t="shared" si="67"/>
        <v>0</v>
      </c>
      <c r="M103" s="24">
        <f t="shared" si="92"/>
        <v>0</v>
      </c>
      <c r="N103" s="24">
        <f t="shared" si="61"/>
        <v>0</v>
      </c>
      <c r="O103" s="24">
        <v>0</v>
      </c>
      <c r="P103" s="24">
        <f t="shared" si="89"/>
        <v>0</v>
      </c>
      <c r="Q103" s="24">
        <f t="shared" si="86"/>
        <v>0</v>
      </c>
      <c r="R103" s="24">
        <f t="shared" si="68"/>
        <v>0</v>
      </c>
      <c r="S103" s="24">
        <f t="shared" si="78"/>
        <v>0</v>
      </c>
      <c r="T103" s="24">
        <f>IF(G103=C45,'КЭШ, Реф (БВ_ОПТИ_Базовый)'!$C$26-'КЭШ, Реф (БВ_ОПТИ_Базовый)'!$C$27,0)</f>
        <v>0</v>
      </c>
      <c r="U103" s="36">
        <f t="shared" si="83"/>
        <v>0</v>
      </c>
      <c r="V103" s="36">
        <f t="shared" si="70"/>
        <v>0</v>
      </c>
      <c r="W103" s="36">
        <f t="shared" si="71"/>
        <v>0</v>
      </c>
      <c r="X103" s="2" t="e">
        <f>IF(AND(G68&gt;=$X$11,G68&lt;=$X$11+5),0,IF($C$9&gt;$AG$51,ROUND(S67*#REF!/(DATEVALUE(CONCATENATE("01/01/",YEAR(H68)+1))-DATEVALUE(CONCATENATE("01/01/",YEAR(H68))))*(H68-H67),2),0))</f>
        <v>#REF!</v>
      </c>
      <c r="Y103" s="34">
        <f t="shared" si="53"/>
        <v>0</v>
      </c>
      <c r="Z103" s="57">
        <f t="shared" si="49"/>
        <v>67215</v>
      </c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2" t="e">
        <f>IF(AND(Z60&gt;=$X$11,Z60&lt;=$X$11+5),0,IF($C$9&gt;$AG$51,ROUND(AJ63*#REF!/(DATEVALUE(CONCATENATE("01/01/",YEAR(AA60)+1))-DATEVALUE(CONCATENATE("01/01/",YEAR(AA60))))*(AA60-AA59),2),0))</f>
        <v>#REF!</v>
      </c>
      <c r="AN103" s="34">
        <f t="shared" si="55"/>
        <v>0</v>
      </c>
      <c r="AO103" s="57">
        <f t="shared" si="52"/>
        <v>65755</v>
      </c>
      <c r="AP103" s="130">
        <f t="shared" si="72"/>
        <v>0</v>
      </c>
      <c r="AQ103" s="109">
        <f t="shared" si="84"/>
        <v>95</v>
      </c>
      <c r="AR103" s="681">
        <f t="shared" si="62"/>
        <v>48206</v>
      </c>
      <c r="AS103" s="177">
        <f t="shared" si="91"/>
        <v>0.29899999999999999</v>
      </c>
      <c r="AT103" s="105">
        <f t="shared" si="73"/>
        <v>0</v>
      </c>
      <c r="AU103" s="105">
        <f t="shared" si="79"/>
        <v>0</v>
      </c>
      <c r="AV103" s="559">
        <f t="shared" si="74"/>
        <v>0</v>
      </c>
      <c r="AW103" s="105">
        <f t="shared" si="75"/>
        <v>0</v>
      </c>
      <c r="AX103" s="105">
        <f t="shared" si="63"/>
        <v>0</v>
      </c>
      <c r="AY103" s="105">
        <v>0</v>
      </c>
      <c r="AZ103" s="105">
        <f t="shared" si="90"/>
        <v>0</v>
      </c>
      <c r="BA103" s="105">
        <f t="shared" si="88"/>
        <v>0</v>
      </c>
      <c r="BB103" s="105">
        <f t="shared" si="87"/>
        <v>0</v>
      </c>
      <c r="BC103" s="105"/>
      <c r="BD103" s="105"/>
      <c r="BE103" s="105"/>
      <c r="BF103" s="105"/>
      <c r="BG103" s="105"/>
      <c r="BH103" s="105">
        <f t="shared" si="76"/>
        <v>0</v>
      </c>
      <c r="BI103" s="108">
        <f t="shared" si="85"/>
        <v>0</v>
      </c>
      <c r="BJ103" s="108">
        <f t="shared" si="80"/>
        <v>0</v>
      </c>
      <c r="BK103" s="22">
        <f t="shared" si="81"/>
        <v>48206</v>
      </c>
      <c r="BL103" s="108">
        <f t="shared" si="64"/>
        <v>0</v>
      </c>
      <c r="BM103" s="2" t="e">
        <f>IF(AND(G58&gt;=$X$11,G58&lt;=$X$11+5),0,IF($C$9&gt;$AG$51,ROUND(BH57*IF(#REF!="",0,#REF!)/(DATEVALUE(CONCATENATE("01/01/",YEAR(AR58)+1))-DATEVALUE(CONCATENATE("01/01/",YEAR(AR58))))*(AR58-AR57),2),0))</f>
        <v>#REF!</v>
      </c>
    </row>
    <row r="104" spans="1:1218" x14ac:dyDescent="0.3">
      <c r="A104" s="178"/>
      <c r="B104" s="178"/>
      <c r="C104" s="184"/>
      <c r="D104" s="184"/>
      <c r="E104" s="184"/>
      <c r="F104" s="184"/>
      <c r="G104" s="114">
        <f t="shared" si="82"/>
        <v>96</v>
      </c>
      <c r="H104" s="245">
        <f t="shared" si="59"/>
        <v>48237</v>
      </c>
      <c r="I104" s="246">
        <f t="shared" si="60"/>
        <v>0.23899999999999999</v>
      </c>
      <c r="J104" s="24">
        <f t="shared" si="65"/>
        <v>0</v>
      </c>
      <c r="K104" s="242">
        <f t="shared" si="66"/>
        <v>0</v>
      </c>
      <c r="L104" s="242">
        <f t="shared" si="67"/>
        <v>0</v>
      </c>
      <c r="M104" s="24">
        <f t="shared" si="92"/>
        <v>0</v>
      </c>
      <c r="N104" s="24">
        <f t="shared" si="61"/>
        <v>0</v>
      </c>
      <c r="O104" s="24">
        <v>0</v>
      </c>
      <c r="P104" s="24">
        <f t="shared" si="89"/>
        <v>0</v>
      </c>
      <c r="Q104" s="24">
        <f t="shared" si="86"/>
        <v>0</v>
      </c>
      <c r="R104" s="24">
        <f t="shared" si="68"/>
        <v>0</v>
      </c>
      <c r="S104" s="24">
        <f t="shared" si="78"/>
        <v>0</v>
      </c>
      <c r="T104" s="24">
        <f>IF(G104=C46,'КЭШ, Реф (БВ_ОПТИ_Базовый)'!$C$26-'КЭШ, Реф (БВ_ОПТИ_Базовый)'!$C$27,0)</f>
        <v>0</v>
      </c>
      <c r="U104" s="36">
        <f t="shared" si="83"/>
        <v>0</v>
      </c>
      <c r="V104" s="36">
        <f t="shared" si="70"/>
        <v>0</v>
      </c>
      <c r="W104" s="36">
        <f t="shared" si="71"/>
        <v>0</v>
      </c>
      <c r="X104" s="2" t="e">
        <f>IF(AND(G69&gt;=$X$11,G69&lt;=$X$11+5),0,IF($C$9&gt;$AG$51,ROUND(S68*#REF!/(DATEVALUE(CONCATENATE("01/01/",YEAR(H69)+1))-DATEVALUE(CONCATENATE("01/01/",YEAR(H69))))*(H69-H68),2),0))</f>
        <v>#REF!</v>
      </c>
      <c r="Y104" s="34">
        <f t="shared" si="53"/>
        <v>0</v>
      </c>
      <c r="Z104" s="57">
        <f t="shared" si="49"/>
        <v>67580</v>
      </c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2" t="e">
        <f>IF(AND(Z61&gt;=$X$11,Z61&lt;=$X$11+5),0,IF($C$9&gt;$AG$51,ROUND(AJ64*#REF!/(DATEVALUE(CONCATENATE("01/01/",YEAR(AA61)+1))-DATEVALUE(CONCATENATE("01/01/",YEAR(AA61))))*(AA61-AA60),2),0))</f>
        <v>#REF!</v>
      </c>
      <c r="AN104" s="34">
        <f t="shared" si="55"/>
        <v>0</v>
      </c>
      <c r="AO104" s="57">
        <f t="shared" si="52"/>
        <v>66120</v>
      </c>
      <c r="AP104" s="130">
        <f t="shared" si="72"/>
        <v>0</v>
      </c>
      <c r="AQ104" s="109">
        <f t="shared" si="84"/>
        <v>96</v>
      </c>
      <c r="AR104" s="681">
        <f t="shared" si="62"/>
        <v>48237</v>
      </c>
      <c r="AS104" s="177">
        <f t="shared" si="91"/>
        <v>0.29899999999999999</v>
      </c>
      <c r="AT104" s="105">
        <f t="shared" si="73"/>
        <v>0</v>
      </c>
      <c r="AU104" s="105">
        <f t="shared" si="79"/>
        <v>0</v>
      </c>
      <c r="AV104" s="559">
        <f t="shared" si="74"/>
        <v>0</v>
      </c>
      <c r="AW104" s="105">
        <f t="shared" si="75"/>
        <v>0</v>
      </c>
      <c r="AX104" s="105">
        <f t="shared" si="63"/>
        <v>0</v>
      </c>
      <c r="AY104" s="105">
        <v>0</v>
      </c>
      <c r="AZ104" s="105">
        <f t="shared" si="90"/>
        <v>0</v>
      </c>
      <c r="BA104" s="105">
        <f t="shared" si="88"/>
        <v>0</v>
      </c>
      <c r="BB104" s="105">
        <f t="shared" si="87"/>
        <v>0</v>
      </c>
      <c r="BC104" s="105"/>
      <c r="BD104" s="105"/>
      <c r="BE104" s="105"/>
      <c r="BF104" s="105"/>
      <c r="BG104" s="105"/>
      <c r="BH104" s="105">
        <f t="shared" si="76"/>
        <v>0</v>
      </c>
      <c r="BI104" s="108">
        <f t="shared" si="85"/>
        <v>0</v>
      </c>
      <c r="BJ104" s="108">
        <f t="shared" si="80"/>
        <v>0</v>
      </c>
      <c r="BK104" s="22">
        <f t="shared" si="81"/>
        <v>48237</v>
      </c>
      <c r="BL104" s="108">
        <f t="shared" si="64"/>
        <v>0</v>
      </c>
      <c r="BM104" s="2" t="e">
        <f>IF(AND(G59&gt;=$X$11,G59&lt;=$X$11+5),0,IF($C$9&gt;$AG$51,ROUND(BH58*IF(#REF!="",0,#REF!)/(DATEVALUE(CONCATENATE("01/01/",YEAR(AR59)+1))-DATEVALUE(CONCATENATE("01/01/",YEAR(AR59))))*(AR59-AR58),2),0))</f>
        <v>#REF!</v>
      </c>
    </row>
    <row r="105" spans="1:1218" x14ac:dyDescent="0.3">
      <c r="A105" s="178"/>
      <c r="B105" s="178"/>
      <c r="C105" s="184"/>
      <c r="D105" s="184"/>
      <c r="E105" s="184"/>
      <c r="F105" s="184"/>
      <c r="G105" s="114">
        <f t="shared" si="82"/>
        <v>97</v>
      </c>
      <c r="H105" s="245">
        <f t="shared" ref="H105:H108" si="93">IF((OR(DAY($AE$54)=29,DAY($AE$54)=30,DAY($AE$54)=31)),(EDATE($C$9-3,G105)),EDATE($C$9,G105))</f>
        <v>48268</v>
      </c>
      <c r="I105" s="246">
        <f t="shared" si="60"/>
        <v>0.23899999999999999</v>
      </c>
      <c r="J105" s="24">
        <f t="shared" si="65"/>
        <v>0</v>
      </c>
      <c r="K105" s="242">
        <f t="shared" si="66"/>
        <v>0</v>
      </c>
      <c r="L105" s="242">
        <f t="shared" si="67"/>
        <v>0</v>
      </c>
      <c r="M105" s="24">
        <f t="shared" si="92"/>
        <v>0</v>
      </c>
      <c r="N105" s="24">
        <f t="shared" si="61"/>
        <v>0</v>
      </c>
      <c r="O105" s="24">
        <v>0</v>
      </c>
      <c r="P105" s="24">
        <f t="shared" si="89"/>
        <v>0</v>
      </c>
      <c r="Q105" s="24">
        <f t="shared" si="86"/>
        <v>0</v>
      </c>
      <c r="R105" s="24">
        <f t="shared" si="68"/>
        <v>0</v>
      </c>
      <c r="S105" s="24">
        <f t="shared" si="78"/>
        <v>0</v>
      </c>
      <c r="T105" s="24">
        <f>IF(G105=C47,'КЭШ, Реф (БВ_ОПТИ_Базовый)'!$C$26-'КЭШ, Реф (БВ_ОПТИ_Базовый)'!$C$27,0)</f>
        <v>0</v>
      </c>
      <c r="U105" s="36">
        <f t="shared" si="83"/>
        <v>0</v>
      </c>
      <c r="V105" s="36">
        <f t="shared" si="70"/>
        <v>0</v>
      </c>
      <c r="W105" s="36">
        <f t="shared" si="71"/>
        <v>0</v>
      </c>
      <c r="X105" s="2" t="e">
        <f>IF(AND(G70&gt;=$X$11,G70&lt;=$X$11+5),0,IF($C$9&gt;$AG$51,ROUND(S69*#REF!/(DATEVALUE(CONCATENATE("01/01/",YEAR(H70)+1))-DATEVALUE(CONCATENATE("01/01/",YEAR(H70))))*(H70-H69),2),0))</f>
        <v>#REF!</v>
      </c>
      <c r="Y105" s="34">
        <f t="shared" si="53"/>
        <v>0</v>
      </c>
      <c r="Z105" s="57">
        <f t="shared" si="49"/>
        <v>67945</v>
      </c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2" t="e">
        <f>IF(AND(Z62&gt;=$X$11,Z62&lt;=$X$11+5),0,IF($C$9&gt;$AG$51,ROUND(AJ65*#REF!/(DATEVALUE(CONCATENATE("01/01/",YEAR(AA62)+1))-DATEVALUE(CONCATENATE("01/01/",YEAR(AA62))))*(AA62-AA61),2),0))</f>
        <v>#REF!</v>
      </c>
      <c r="AN105" s="34">
        <f t="shared" si="55"/>
        <v>0</v>
      </c>
      <c r="AO105" s="57">
        <f t="shared" si="52"/>
        <v>66485</v>
      </c>
      <c r="AP105" s="130">
        <f t="shared" si="72"/>
        <v>0</v>
      </c>
      <c r="AQ105" s="109">
        <f t="shared" si="84"/>
        <v>97</v>
      </c>
      <c r="AR105" s="681">
        <f t="shared" ref="AR105:AR108" si="94">IF((OR(DAY($AE$54)=29,DAY($AE$54)=30,DAY($AE$54)=31)),(EDATE($C$9-3,AQ105)),EDATE($C$9,AQ105))</f>
        <v>48268</v>
      </c>
      <c r="AS105" s="177">
        <f t="shared" si="91"/>
        <v>0.29899999999999999</v>
      </c>
      <c r="AT105" s="105">
        <f t="shared" si="73"/>
        <v>0</v>
      </c>
      <c r="AU105" s="105">
        <f t="shared" si="79"/>
        <v>0</v>
      </c>
      <c r="AV105" s="559">
        <f t="shared" si="74"/>
        <v>0</v>
      </c>
      <c r="AW105" s="105">
        <f t="shared" si="75"/>
        <v>0</v>
      </c>
      <c r="AX105" s="105">
        <f t="shared" ref="AX105:AX108" si="95">IF(AZ105-BA105&gt;$D$24,$D$24-AV105,IF(BJ105=0,0,BB105)+BY153)</f>
        <v>0</v>
      </c>
      <c r="AY105" s="105">
        <v>0</v>
      </c>
      <c r="AZ105" s="105">
        <f t="shared" si="90"/>
        <v>0</v>
      </c>
      <c r="BA105" s="105">
        <f t="shared" si="88"/>
        <v>0</v>
      </c>
      <c r="BB105" s="105">
        <f t="shared" si="87"/>
        <v>0</v>
      </c>
      <c r="BC105" s="105"/>
      <c r="BD105" s="105"/>
      <c r="BE105" s="105"/>
      <c r="BF105" s="105"/>
      <c r="BG105" s="105"/>
      <c r="BH105" s="105">
        <f t="shared" si="76"/>
        <v>0</v>
      </c>
      <c r="BI105" s="108">
        <f t="shared" si="85"/>
        <v>0</v>
      </c>
      <c r="BJ105" s="108">
        <f t="shared" si="80"/>
        <v>0</v>
      </c>
      <c r="BK105" s="22">
        <f t="shared" si="81"/>
        <v>48268</v>
      </c>
      <c r="BL105" s="108">
        <f t="shared" si="64"/>
        <v>0</v>
      </c>
      <c r="BM105" s="2" t="e">
        <f>IF(AND(G60&gt;=$X$11,G60&lt;=$X$11+5),0,IF($C$9&gt;$AG$51,ROUND(BH59*IF(#REF!="",0,#REF!)/(DATEVALUE(CONCATENATE("01/01/",YEAR(AR60)+1))-DATEVALUE(CONCATENATE("01/01/",YEAR(AR60))))*(AR60-AR59),2),0))</f>
        <v>#REF!</v>
      </c>
    </row>
    <row r="106" spans="1:1218" x14ac:dyDescent="0.3">
      <c r="A106" s="178"/>
      <c r="B106" s="178"/>
      <c r="C106" s="184"/>
      <c r="D106" s="184"/>
      <c r="E106" s="184"/>
      <c r="F106" s="184"/>
      <c r="G106" s="114">
        <f t="shared" si="82"/>
        <v>98</v>
      </c>
      <c r="H106" s="245">
        <f t="shared" si="93"/>
        <v>48297</v>
      </c>
      <c r="I106" s="246">
        <f t="shared" si="60"/>
        <v>0.23899999999999999</v>
      </c>
      <c r="J106" s="24">
        <f t="shared" si="65"/>
        <v>0</v>
      </c>
      <c r="K106" s="242">
        <f t="shared" ref="K106:K108" si="96">IF(G106&gt;$C$10,0,IF((S105+L106)&lt;K105,(S105+L106),IF(T105=0,K105,MIN(K105,ROUNDUP(S105*$C$13/12/((1-(1+$C$13/12)^(0-($C$10-G106)))),0)))))</f>
        <v>0</v>
      </c>
      <c r="L106" s="242">
        <f t="shared" si="67"/>
        <v>0</v>
      </c>
      <c r="M106" s="24">
        <f t="shared" si="92"/>
        <v>0</v>
      </c>
      <c r="N106" s="24">
        <f t="shared" si="61"/>
        <v>0</v>
      </c>
      <c r="O106" s="24">
        <v>0</v>
      </c>
      <c r="P106" s="24">
        <f t="shared" si="89"/>
        <v>0</v>
      </c>
      <c r="Q106" s="24">
        <f t="shared" si="86"/>
        <v>0</v>
      </c>
      <c r="R106" s="24">
        <f t="shared" si="68"/>
        <v>0</v>
      </c>
      <c r="S106" s="24">
        <f t="shared" si="78"/>
        <v>0</v>
      </c>
      <c r="T106" s="24">
        <f>IF(G106=C48,'КЭШ, Реф (БВ_ОПТИ_Базовый)'!$C$26-'КЭШ, Реф (БВ_ОПТИ_Базовый)'!$C$27,0)</f>
        <v>0</v>
      </c>
      <c r="U106" s="36">
        <f t="shared" si="83"/>
        <v>0</v>
      </c>
      <c r="V106" s="36">
        <f t="shared" si="70"/>
        <v>0</v>
      </c>
      <c r="W106" s="36">
        <f t="shared" si="71"/>
        <v>0</v>
      </c>
      <c r="X106" s="2" t="e">
        <f>IF(AND(G71&gt;=$X$11,G71&lt;=$X$11+5),0,IF($C$9&gt;$AG$51,ROUND(S70*#REF!/(DATEVALUE(CONCATENATE("01/01/",YEAR(H71)+1))-DATEVALUE(CONCATENATE("01/01/",YEAR(H71))))*(H71-H70),2),0))</f>
        <v>#REF!</v>
      </c>
      <c r="Y106" s="34">
        <f t="shared" si="53"/>
        <v>0</v>
      </c>
      <c r="Z106" s="57">
        <f t="shared" si="49"/>
        <v>68310</v>
      </c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2" t="e">
        <f>IF(AND(Z63&gt;=$X$11,Z63&lt;=$X$11+5),0,IF($C$9&gt;$AG$51,ROUND(AJ66*#REF!/(DATEVALUE(CONCATENATE("01/01/",YEAR(AA63)+1))-DATEVALUE(CONCATENATE("01/01/",YEAR(AA63))))*(AA63-AA62),2),0))</f>
        <v>#REF!</v>
      </c>
      <c r="AN106" s="34">
        <f t="shared" si="55"/>
        <v>0</v>
      </c>
      <c r="AO106" s="57">
        <f t="shared" si="52"/>
        <v>66850</v>
      </c>
      <c r="AP106" s="130">
        <f t="shared" si="72"/>
        <v>0</v>
      </c>
      <c r="AQ106" s="109">
        <f t="shared" si="84"/>
        <v>98</v>
      </c>
      <c r="AR106" s="681">
        <f t="shared" si="94"/>
        <v>48297</v>
      </c>
      <c r="AS106" s="177">
        <f t="shared" si="91"/>
        <v>0.29899999999999999</v>
      </c>
      <c r="AT106" s="105">
        <f t="shared" si="73"/>
        <v>0</v>
      </c>
      <c r="AU106" s="105">
        <f t="shared" si="79"/>
        <v>0</v>
      </c>
      <c r="AV106" s="559">
        <f t="shared" si="74"/>
        <v>0</v>
      </c>
      <c r="AW106" s="105">
        <f t="shared" si="75"/>
        <v>0</v>
      </c>
      <c r="AX106" s="105">
        <f t="shared" si="95"/>
        <v>0</v>
      </c>
      <c r="AY106" s="105">
        <v>0</v>
      </c>
      <c r="AZ106" s="105">
        <f t="shared" si="90"/>
        <v>0</v>
      </c>
      <c r="BA106" s="105">
        <f t="shared" si="88"/>
        <v>0</v>
      </c>
      <c r="BB106" s="105">
        <f t="shared" si="87"/>
        <v>0</v>
      </c>
      <c r="BC106" s="105"/>
      <c r="BD106" s="105"/>
      <c r="BE106" s="105"/>
      <c r="BF106" s="105"/>
      <c r="BG106" s="105"/>
      <c r="BH106" s="105">
        <f t="shared" si="76"/>
        <v>0</v>
      </c>
      <c r="BI106" s="108">
        <f t="shared" si="85"/>
        <v>0</v>
      </c>
      <c r="BJ106" s="108">
        <f t="shared" si="80"/>
        <v>0</v>
      </c>
      <c r="BK106" s="22">
        <f t="shared" si="81"/>
        <v>48297</v>
      </c>
      <c r="BL106" s="108">
        <f t="shared" si="64"/>
        <v>0</v>
      </c>
      <c r="BM106" s="2" t="e">
        <f>IF(AND(G61&gt;=$X$11,G61&lt;=$X$11+5),0,IF($C$9&gt;$AG$51,ROUND(BH60*IF(#REF!="",0,#REF!)/(DATEVALUE(CONCATENATE("01/01/",YEAR(AR61)+1))-DATEVALUE(CONCATENATE("01/01/",YEAR(AR61))))*(AR61-AR60),2),0))</f>
        <v>#REF!</v>
      </c>
    </row>
    <row r="107" spans="1:1218" x14ac:dyDescent="0.3">
      <c r="A107" s="178"/>
      <c r="B107" s="178"/>
      <c r="C107" s="184"/>
      <c r="D107" s="184"/>
      <c r="E107" s="184"/>
      <c r="F107" s="184"/>
      <c r="G107" s="114">
        <f t="shared" si="82"/>
        <v>99</v>
      </c>
      <c r="H107" s="245">
        <f t="shared" si="93"/>
        <v>48328</v>
      </c>
      <c r="I107" s="246">
        <f t="shared" si="60"/>
        <v>0.23899999999999999</v>
      </c>
      <c r="J107" s="24">
        <f t="shared" si="65"/>
        <v>0</v>
      </c>
      <c r="K107" s="242">
        <f t="shared" si="96"/>
        <v>0</v>
      </c>
      <c r="L107" s="242">
        <f t="shared" si="67"/>
        <v>0</v>
      </c>
      <c r="M107" s="24">
        <f t="shared" si="92"/>
        <v>0</v>
      </c>
      <c r="N107" s="24">
        <f t="shared" si="61"/>
        <v>0</v>
      </c>
      <c r="O107" s="24">
        <v>0</v>
      </c>
      <c r="P107" s="24">
        <f t="shared" si="89"/>
        <v>0</v>
      </c>
      <c r="Q107" s="24">
        <f t="shared" si="86"/>
        <v>0</v>
      </c>
      <c r="R107" s="24">
        <f t="shared" si="68"/>
        <v>0</v>
      </c>
      <c r="S107" s="24">
        <f t="shared" si="78"/>
        <v>0</v>
      </c>
      <c r="T107" s="24">
        <f>IF(G107=C49,'КЭШ, Реф (БВ_ОПТИ_Базовый)'!$C$26-'КЭШ, Реф (БВ_ОПТИ_Базовый)'!$C$27,0)</f>
        <v>0</v>
      </c>
      <c r="U107" s="36">
        <f t="shared" si="83"/>
        <v>0</v>
      </c>
      <c r="V107" s="36">
        <f t="shared" si="70"/>
        <v>0</v>
      </c>
      <c r="W107" s="36">
        <f t="shared" si="71"/>
        <v>0</v>
      </c>
      <c r="X107" s="2" t="e">
        <f>IF(AND(G72&gt;=$X$11,G72&lt;=$X$11+5),0,IF($C$9&gt;$AG$51,ROUND(S71*#REF!/(DATEVALUE(CONCATENATE("01/01/",YEAR(H72)+1))-DATEVALUE(CONCATENATE("01/01/",YEAR(H72))))*(H72-H71),2),0))</f>
        <v>#REF!</v>
      </c>
      <c r="Y107" s="34">
        <f t="shared" si="53"/>
        <v>0</v>
      </c>
      <c r="Z107" s="57">
        <f t="shared" si="49"/>
        <v>68675</v>
      </c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2" t="e">
        <f>IF(AND(Z64&gt;=$X$11,Z64&lt;=$X$11+5),0,IF($C$9&gt;$AG$51,ROUND(AJ67*#REF!/(DATEVALUE(CONCATENATE("01/01/",YEAR(AA64)+1))-DATEVALUE(CONCATENATE("01/01/",YEAR(AA64))))*(AA64-AA63),2),0))</f>
        <v>#REF!</v>
      </c>
      <c r="AN107" s="34">
        <f t="shared" si="55"/>
        <v>0</v>
      </c>
      <c r="AO107" s="57">
        <f t="shared" si="52"/>
        <v>67215</v>
      </c>
      <c r="AP107" s="130">
        <f t="shared" si="72"/>
        <v>0</v>
      </c>
      <c r="AQ107" s="109">
        <f t="shared" si="84"/>
        <v>99</v>
      </c>
      <c r="AR107" s="681">
        <f t="shared" si="94"/>
        <v>48328</v>
      </c>
      <c r="AS107" s="177">
        <f t="shared" si="91"/>
        <v>0.29899999999999999</v>
      </c>
      <c r="AT107" s="105">
        <f t="shared" si="73"/>
        <v>0</v>
      </c>
      <c r="AU107" s="105">
        <f t="shared" si="79"/>
        <v>0</v>
      </c>
      <c r="AV107" s="559">
        <f t="shared" si="74"/>
        <v>0</v>
      </c>
      <c r="AW107" s="105">
        <f t="shared" si="75"/>
        <v>0</v>
      </c>
      <c r="AX107" s="105">
        <f t="shared" si="95"/>
        <v>0</v>
      </c>
      <c r="AY107" s="105">
        <v>0</v>
      </c>
      <c r="AZ107" s="105">
        <f t="shared" si="90"/>
        <v>0</v>
      </c>
      <c r="BA107" s="105">
        <f t="shared" si="88"/>
        <v>0</v>
      </c>
      <c r="BB107" s="105">
        <f t="shared" si="87"/>
        <v>0</v>
      </c>
      <c r="BC107" s="105"/>
      <c r="BD107" s="105"/>
      <c r="BE107" s="105"/>
      <c r="BF107" s="105"/>
      <c r="BG107" s="105"/>
      <c r="BH107" s="105">
        <f t="shared" si="76"/>
        <v>0</v>
      </c>
      <c r="BI107" s="108">
        <f t="shared" si="85"/>
        <v>0</v>
      </c>
      <c r="BJ107" s="108">
        <f t="shared" si="80"/>
        <v>0</v>
      </c>
      <c r="BK107" s="22">
        <f t="shared" si="81"/>
        <v>48328</v>
      </c>
      <c r="BL107" s="108">
        <f t="shared" si="64"/>
        <v>0</v>
      </c>
      <c r="BM107" s="2" t="e">
        <f>IF(AND(G62&gt;=$X$11,G62&lt;=$X$11+5),0,IF($C$9&gt;$AG$51,ROUND(BH61*IF(#REF!="",0,#REF!)/(DATEVALUE(CONCATENATE("01/01/",YEAR(AR62)+1))-DATEVALUE(CONCATENATE("01/01/",YEAR(AR62))))*(AR62-AR61),2),0))</f>
        <v>#REF!</v>
      </c>
    </row>
    <row r="108" spans="1:1218" x14ac:dyDescent="0.3">
      <c r="A108" s="178"/>
      <c r="B108" s="178"/>
      <c r="C108" s="184"/>
      <c r="D108" s="184"/>
      <c r="E108" s="184"/>
      <c r="F108" s="184"/>
      <c r="G108" s="114">
        <f t="shared" si="82"/>
        <v>100</v>
      </c>
      <c r="H108" s="245">
        <f t="shared" si="93"/>
        <v>48358</v>
      </c>
      <c r="I108" s="246">
        <f t="shared" si="60"/>
        <v>0.23899999999999999</v>
      </c>
      <c r="J108" s="24">
        <f t="shared" si="65"/>
        <v>0</v>
      </c>
      <c r="K108" s="242">
        <f t="shared" si="96"/>
        <v>0</v>
      </c>
      <c r="L108" s="242">
        <f t="shared" si="67"/>
        <v>0</v>
      </c>
      <c r="M108" s="24">
        <f t="shared" si="92"/>
        <v>0</v>
      </c>
      <c r="N108" s="24">
        <f t="shared" si="61"/>
        <v>0</v>
      </c>
      <c r="O108" s="24">
        <v>0</v>
      </c>
      <c r="P108" s="24">
        <f t="shared" si="89"/>
        <v>0</v>
      </c>
      <c r="Q108" s="24">
        <f t="shared" si="86"/>
        <v>0</v>
      </c>
      <c r="R108" s="24">
        <f t="shared" si="68"/>
        <v>0</v>
      </c>
      <c r="S108" s="24">
        <f t="shared" si="78"/>
        <v>0</v>
      </c>
      <c r="T108" s="24">
        <f>IF(G108=C50,'КЭШ, Реф (БВ_ОПТИ_Базовый)'!$C$26-'КЭШ, Реф (БВ_ОПТИ_Базовый)'!$C$27,0)</f>
        <v>0</v>
      </c>
      <c r="U108" s="36">
        <f t="shared" si="83"/>
        <v>0</v>
      </c>
      <c r="V108" s="36">
        <f>IF(ISERR(CEILING(FLOOR(NPER($C$11/12,-$AE$55,S107),0.1),1))=TRUE,0,CEILING(FLOOR(NPER($C$11/12,-$AE$55,S107),0.1),1))</f>
        <v>0</v>
      </c>
      <c r="W108" s="36">
        <f t="shared" si="71"/>
        <v>0</v>
      </c>
      <c r="X108" s="2" t="e">
        <f>IF(AND(G73&gt;=$X$11,G73&lt;=$X$11+5),0,IF($C$9&gt;$AG$51,ROUND(S72*#REF!/(DATEVALUE(CONCATENATE("01/01/",YEAR(H73)+1))-DATEVALUE(CONCATENATE("01/01/",YEAR(H73))))*(H73-H72),2),0))</f>
        <v>#REF!</v>
      </c>
      <c r="Y108" s="34">
        <f t="shared" si="53"/>
        <v>0</v>
      </c>
      <c r="Z108" s="57">
        <f t="shared" si="49"/>
        <v>69040</v>
      </c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2" t="e">
        <f>IF(AND(Z65&gt;=$X$11,Z65&lt;=$X$11+5),0,IF($C$9&gt;$AG$51,ROUND(AJ68*#REF!/(DATEVALUE(CONCATENATE("01/01/",YEAR(AA65)+1))-DATEVALUE(CONCATENATE("01/01/",YEAR(AA65))))*(AA65-AA64),2),0))</f>
        <v>#REF!</v>
      </c>
      <c r="AN108" s="34">
        <f t="shared" si="55"/>
        <v>0</v>
      </c>
      <c r="AO108" s="57">
        <f t="shared" si="52"/>
        <v>67580</v>
      </c>
      <c r="AP108" s="130">
        <f t="shared" si="72"/>
        <v>0</v>
      </c>
      <c r="AQ108" s="109">
        <f t="shared" si="84"/>
        <v>100</v>
      </c>
      <c r="AR108" s="681">
        <f t="shared" si="94"/>
        <v>48358</v>
      </c>
      <c r="AS108" s="177">
        <f t="shared" si="91"/>
        <v>0.29899999999999999</v>
      </c>
      <c r="AT108" s="105">
        <f t="shared" si="73"/>
        <v>0</v>
      </c>
      <c r="AU108" s="105">
        <f t="shared" si="79"/>
        <v>0</v>
      </c>
      <c r="AV108" s="559">
        <f t="shared" si="74"/>
        <v>0</v>
      </c>
      <c r="AW108" s="105">
        <f t="shared" si="75"/>
        <v>0</v>
      </c>
      <c r="AX108" s="105">
        <f t="shared" si="95"/>
        <v>0</v>
      </c>
      <c r="AY108" s="105">
        <v>0</v>
      </c>
      <c r="AZ108" s="105">
        <f t="shared" si="90"/>
        <v>0</v>
      </c>
      <c r="BA108" s="105">
        <f t="shared" si="88"/>
        <v>0</v>
      </c>
      <c r="BB108" s="105">
        <f t="shared" si="87"/>
        <v>0</v>
      </c>
      <c r="BC108" s="105"/>
      <c r="BD108" s="105"/>
      <c r="BE108" s="105"/>
      <c r="BF108" s="105"/>
      <c r="BG108" s="105"/>
      <c r="BH108" s="105">
        <f t="shared" si="76"/>
        <v>0</v>
      </c>
      <c r="BI108" s="108">
        <f t="shared" si="85"/>
        <v>0</v>
      </c>
      <c r="BJ108" s="108">
        <f t="shared" si="80"/>
        <v>0</v>
      </c>
      <c r="BK108" s="22">
        <f t="shared" si="81"/>
        <v>48358</v>
      </c>
      <c r="BL108" s="108">
        <f t="shared" si="64"/>
        <v>0</v>
      </c>
      <c r="BM108" s="2" t="e">
        <f>IF(AND(G63&gt;=$X$11,G63&lt;=$X$11+5),0,IF($C$9&gt;$AG$51,ROUND(BH62*IF(#REF!="",0,#REF!)/(DATEVALUE(CONCATENATE("01/01/",YEAR(AR63)+1))-DATEVALUE(CONCATENATE("01/01/",YEAR(AR63))))*(AR63-AR62),2),0))</f>
        <v>#REF!</v>
      </c>
    </row>
    <row r="109" spans="1:1218" x14ac:dyDescent="0.3">
      <c r="A109" s="178"/>
      <c r="B109" s="178"/>
      <c r="C109" s="184"/>
      <c r="D109" s="184"/>
      <c r="E109" s="184"/>
      <c r="F109" s="184"/>
      <c r="G109" s="28"/>
      <c r="H109" s="29" t="s">
        <v>7</v>
      </c>
      <c r="I109" s="29"/>
      <c r="J109" s="30">
        <f>(SUM(J9:J108))</f>
        <v>115536</v>
      </c>
      <c r="K109" s="30">
        <f>(SUM(K9:K108)-IF(CODE(C12)=209,AJ51,0))</f>
        <v>115536</v>
      </c>
      <c r="L109" s="30">
        <f>(SUM(L9:L108)-IF(CODE(D12)=209,AK51,0))</f>
        <v>44139.450349373459</v>
      </c>
      <c r="M109" s="30">
        <f t="shared" ref="M109:R109" si="97">SUM(M9:M108)</f>
        <v>71396.549650626534</v>
      </c>
      <c r="N109" s="31">
        <f t="shared" si="97"/>
        <v>0</v>
      </c>
      <c r="O109" s="31">
        <f t="shared" si="97"/>
        <v>0</v>
      </c>
      <c r="P109" s="31">
        <f t="shared" si="97"/>
        <v>44139.450349373459</v>
      </c>
      <c r="Q109" s="31">
        <f t="shared" si="97"/>
        <v>0</v>
      </c>
      <c r="R109" s="31">
        <f t="shared" si="97"/>
        <v>0</v>
      </c>
      <c r="S109" s="31"/>
      <c r="T109" s="31"/>
      <c r="U109" s="31"/>
      <c r="V109" s="31"/>
      <c r="W109" s="31">
        <f>SUM(W9:W108)</f>
        <v>4234.4503493734628</v>
      </c>
      <c r="X109" s="2" t="e">
        <f>IF(AND(G74&gt;=$X$11,G74&lt;=$X$11+5),0,IF($C$9&gt;$AG$51,ROUND(S73*#REF!/(DATEVALUE(CONCATENATE("01/01/",YEAR(H74)+1))-DATEVALUE(CONCATENATE("01/01/",YEAR(H74))))*(H74-H73),2),0))</f>
        <v>#REF!</v>
      </c>
      <c r="Y109" s="34">
        <f t="shared" si="53"/>
        <v>0</v>
      </c>
      <c r="Z109" s="57">
        <f t="shared" ref="Z109:Z143" si="98">Z108+365</f>
        <v>69405</v>
      </c>
      <c r="AA109" s="16"/>
      <c r="AB109" s="16"/>
      <c r="AC109" s="16"/>
      <c r="AD109" s="16"/>
      <c r="AE109" s="16"/>
      <c r="AF109" s="16">
        <f>IF($C$7&lt;=$AF$89,AE89,IF($C$7&lt;=$AE$90,AF90,IF($C$7&lt;=$AE$91,AF91,AF92)))</f>
        <v>3499</v>
      </c>
      <c r="AG109" s="16">
        <f>IF($C$7&lt;=$AF$89,AF89,IF($C$7&lt;=$AE$90,AG90,IF($C$7&lt;=$AE$91,AG91,AG92)))</f>
        <v>4999</v>
      </c>
      <c r="AH109" s="16">
        <f>IF($C$7&lt;=$AF$89,AG89,IF($C$7&lt;=$AE$90,AH90,IF($C$7&lt;=$AE$91,AH91,AH92)))</f>
        <v>6999</v>
      </c>
      <c r="AI109" s="16">
        <f>IF($C$7&lt;=$AF$89,AH89,IF($C$7&lt;=$AE$90,AI90,IF($C$7&lt;=$AE$91,AI91,AI92)))</f>
        <v>6999</v>
      </c>
      <c r="AJ109" s="16">
        <f>IF($C$7&lt;=$AF$89,AI89,IF($C$7&lt;=$AE$90,AJ90,IF($C$7&lt;=$AE$91,AJ91,AJ92)))</f>
        <v>6999</v>
      </c>
      <c r="AK109" s="16">
        <f>IF($C$10&lt;=AF88,AF109,IF($C$10&lt;=AG88,AG109,IF($C$10&lt;=AH88,AH109,IF($C$10&lt;=AI88,AI109,AJ109))))</f>
        <v>4999</v>
      </c>
      <c r="AL109" s="16"/>
      <c r="AM109" s="2" t="e">
        <f>IF(AND(Z66&gt;=$X$11,Z66&lt;=$X$11+5),0,IF($C$9&gt;$AG$51,ROUND(AJ69*#REF!/(DATEVALUE(CONCATENATE("01/01/",YEAR(AA66)+1))-DATEVALUE(CONCATENATE("01/01/",YEAR(AA66))))*(AA66-AA65),2),0))</f>
        <v>#REF!</v>
      </c>
      <c r="AN109" s="34">
        <f t="shared" si="55"/>
        <v>0</v>
      </c>
      <c r="AO109" s="57">
        <f t="shared" si="52"/>
        <v>67945</v>
      </c>
      <c r="AP109" s="130"/>
      <c r="AQ109" s="28"/>
      <c r="AR109" s="29" t="s">
        <v>7</v>
      </c>
      <c r="AS109" s="29"/>
      <c r="AT109" s="30">
        <f>SUM(AT9:AT108)</f>
        <v>112512</v>
      </c>
      <c r="AU109" s="30">
        <f>SUM(AU9:AU108)</f>
        <v>112512</v>
      </c>
      <c r="AV109" s="30">
        <f>SUM(AV9:AV108)</f>
        <v>46864.610771412328</v>
      </c>
      <c r="AW109" s="30">
        <f>SUM(AW9:AW108)</f>
        <v>64998.999999999971</v>
      </c>
      <c r="AX109" s="30">
        <f>SUM(AX9:AX108)</f>
        <v>0</v>
      </c>
      <c r="AY109" s="31"/>
      <c r="AZ109" s="31"/>
      <c r="BA109" s="30">
        <f>SUM(BA9:BA108)</f>
        <v>0</v>
      </c>
      <c r="BB109" s="31"/>
      <c r="BC109" s="31"/>
      <c r="BD109" s="31"/>
      <c r="BE109" s="31"/>
      <c r="BF109" s="31"/>
      <c r="BG109" s="31"/>
      <c r="BH109" s="31"/>
      <c r="BI109" s="108">
        <f t="shared" si="85"/>
        <v>0</v>
      </c>
      <c r="BJ109" s="108">
        <f t="shared" si="80"/>
        <v>0</v>
      </c>
      <c r="BK109" s="22" t="str">
        <f t="shared" si="81"/>
        <v>Итого</v>
      </c>
      <c r="BL109" s="108">
        <f t="shared" si="64"/>
        <v>115536</v>
      </c>
      <c r="BM109" s="2" t="e">
        <f>IF(AND(G64&gt;=$X$11,G64&lt;=$X$11+5),0,IF($C$9&gt;$AG$51,ROUND(BH63*IF(#REF!="",0,#REF!)/(DATEVALUE(CONCATENATE("01/01/",YEAR(AR64)+1))-DATEVALUE(CONCATENATE("01/01/",YEAR(AR64))))*(AR64-AR63),2),0))</f>
        <v>#REF!</v>
      </c>
    </row>
    <row r="110" spans="1:1218" x14ac:dyDescent="0.25">
      <c r="X110" s="2" t="e">
        <f>IF(AND(G75&gt;=$X$11,G75&lt;=$X$11+5),0,IF($C$9&gt;$AG$51,ROUND(S74*#REF!/(DATEVALUE(CONCATENATE("01/01/",YEAR(H75)+1))-DATEVALUE(CONCATENATE("01/01/",YEAR(H75))))*(H75-H74),2),0))</f>
        <v>#REF!</v>
      </c>
      <c r="Y110" s="34">
        <f t="shared" ref="Y110:Y142" si="99">IF(K75 &gt; 0, K75, 0)</f>
        <v>0</v>
      </c>
      <c r="Z110" s="57">
        <f t="shared" si="98"/>
        <v>69770</v>
      </c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2" t="e">
        <f>IF(AND(Z67&gt;=$X$11,Z67&lt;=$X$11+5),0,IF($C$9&gt;$AG$51,ROUND(AJ70*#REF!/(DATEVALUE(CONCATENATE("01/01/",YEAR(AA67)+1))-DATEVALUE(CONCATENATE("01/01/",YEAR(AA67))))*(AA67-AA66),2),0))</f>
        <v>#VALUE!</v>
      </c>
      <c r="AN110" s="34">
        <f t="shared" si="55"/>
        <v>0</v>
      </c>
      <c r="AO110" s="57">
        <f t="shared" si="52"/>
        <v>68310</v>
      </c>
      <c r="AP110" s="130"/>
      <c r="BI110" s="108">
        <f t="shared" si="85"/>
        <v>0</v>
      </c>
      <c r="BJ110" s="108">
        <f t="shared" si="80"/>
        <v>0</v>
      </c>
      <c r="BK110" s="22">
        <f t="shared" si="81"/>
        <v>0</v>
      </c>
      <c r="BL110" s="108">
        <f t="shared" si="64"/>
        <v>0</v>
      </c>
      <c r="BM110" s="2" t="e">
        <f>IF(AND(G65&gt;=$X$11,G65&lt;=$X$11+5),0,IF($C$9&gt;$AG$51,ROUND(BH64*IF(#REF!="",0,#REF!)/(DATEVALUE(CONCATENATE("01/01/",YEAR(AR65)+1))-DATEVALUE(CONCATENATE("01/01/",YEAR(AR65))))*(AR65-AR64),2),0))</f>
        <v>#REF!</v>
      </c>
    </row>
    <row r="111" spans="1:1218" x14ac:dyDescent="0.25">
      <c r="X111" s="2" t="e">
        <f>IF(AND(G76&gt;=$X$11,G76&lt;=$X$11+5),0,IF($C$9&gt;$AG$51,ROUND(S75*#REF!/(DATEVALUE(CONCATENATE("01/01/",YEAR(H76)+1))-DATEVALUE(CONCATENATE("01/01/",YEAR(H76))))*(H76-H75),2),0))</f>
        <v>#REF!</v>
      </c>
      <c r="Y111" s="34">
        <f t="shared" si="99"/>
        <v>0</v>
      </c>
      <c r="Z111" s="57">
        <f t="shared" si="98"/>
        <v>70135</v>
      </c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2" t="e">
        <f>IF(AND(Z68&gt;=$X$11,Z68&lt;=$X$11+5),0,IF($C$9&gt;$AG$51,ROUND(AJ71*#REF!/(DATEVALUE(CONCATENATE("01/01/",YEAR(AA68)+1))-DATEVALUE(CONCATENATE("01/01/",YEAR(AA68))))*(AA68-AA67),2),0))</f>
        <v>#REF!</v>
      </c>
      <c r="AN111" s="34">
        <f t="shared" si="55"/>
        <v>0</v>
      </c>
      <c r="AO111" s="57">
        <f t="shared" si="52"/>
        <v>68675</v>
      </c>
      <c r="AP111" s="130"/>
      <c r="BI111" s="108">
        <f t="shared" si="85"/>
        <v>0</v>
      </c>
      <c r="BJ111" s="108">
        <f t="shared" si="80"/>
        <v>0</v>
      </c>
      <c r="BK111" s="22">
        <f t="shared" si="81"/>
        <v>0</v>
      </c>
      <c r="BL111" s="108">
        <f t="shared" si="64"/>
        <v>0</v>
      </c>
      <c r="BM111" s="2" t="e">
        <f>IF(AND(G66&gt;=$X$11,G66&lt;=$X$11+5),0,IF($C$9&gt;$AG$51,ROUND(BH65*IF(#REF!="",0,#REF!)/(DATEVALUE(CONCATENATE("01/01/",YEAR(AR66)+1))-DATEVALUE(CONCATENATE("01/01/",YEAR(AR66))))*(AR66-AR65),2),0))</f>
        <v>#REF!</v>
      </c>
    </row>
    <row r="112" spans="1:1218" x14ac:dyDescent="0.25">
      <c r="X112" s="2" t="e">
        <f>IF(AND(G77&gt;=$X$11,G77&lt;=$X$11+5),0,IF($C$9&gt;$AG$51,ROUND(S76*#REF!/(DATEVALUE(CONCATENATE("01/01/",YEAR(H77)+1))-DATEVALUE(CONCATENATE("01/01/",YEAR(H77))))*(H77-H76),2),0))</f>
        <v>#REF!</v>
      </c>
      <c r="Y112" s="34">
        <f t="shared" si="99"/>
        <v>0</v>
      </c>
      <c r="Z112" s="57">
        <f t="shared" si="98"/>
        <v>70500</v>
      </c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2" t="e">
        <f>IF(AND(Z69&gt;=$X$11,Z69&lt;=$X$11+5),0,IF($C$9&gt;$AG$51,ROUND(AJ72*#REF!/(DATEVALUE(CONCATENATE("01/01/",YEAR(AA69)+1))-DATEVALUE(CONCATENATE("01/01/",YEAR(AA69))))*(AA69-AA68),2),0))</f>
        <v>#REF!</v>
      </c>
      <c r="AN112" s="34">
        <f t="shared" si="55"/>
        <v>0</v>
      </c>
      <c r="AO112" s="57">
        <f t="shared" si="52"/>
        <v>69040</v>
      </c>
      <c r="AP112" s="130"/>
      <c r="BI112" s="108">
        <f t="shared" si="85"/>
        <v>0</v>
      </c>
      <c r="BJ112" s="108">
        <f t="shared" si="80"/>
        <v>0</v>
      </c>
      <c r="BK112" s="22">
        <f t="shared" si="81"/>
        <v>0</v>
      </c>
      <c r="BL112" s="108">
        <f t="shared" si="64"/>
        <v>0</v>
      </c>
      <c r="BM112" s="2" t="e">
        <f>IF(AND(G67&gt;=$X$11,G67&lt;=$X$11+5),0,IF($C$9&gt;$AG$51,ROUND(BH66*IF(#REF!="",0,#REF!)/(DATEVALUE(CONCATENATE("01/01/",YEAR(AR67)+1))-DATEVALUE(CONCATENATE("01/01/",YEAR(AR67))))*(AR67-AR66),2),0))</f>
        <v>#REF!</v>
      </c>
    </row>
    <row r="113" spans="24:65" x14ac:dyDescent="0.25">
      <c r="X113" s="2" t="e">
        <f>IF(AND(G78&gt;=$X$11,G78&lt;=$X$11+5),0,IF($C$9&gt;$AG$51,ROUND(S77*#REF!/(DATEVALUE(CONCATENATE("01/01/",YEAR(H78)+1))-DATEVALUE(CONCATENATE("01/01/",YEAR(H78))))*(H78-H77),2),0))</f>
        <v>#REF!</v>
      </c>
      <c r="Y113" s="34">
        <f t="shared" si="99"/>
        <v>0</v>
      </c>
      <c r="Z113" s="57">
        <f t="shared" si="98"/>
        <v>70865</v>
      </c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2" t="e">
        <f>IF(AND(Z70&gt;=$X$11,Z70&lt;=$X$11+5),0,IF($C$9&gt;$AG$51,ROUND(AJ73*#REF!/(DATEVALUE(CONCATENATE("01/01/",YEAR(AA70)+1))-DATEVALUE(CONCATENATE("01/01/",YEAR(AA70))))*(AA70-AA69),2),0))</f>
        <v>#REF!</v>
      </c>
      <c r="AN113" s="34">
        <f t="shared" si="55"/>
        <v>0</v>
      </c>
      <c r="AO113" s="57">
        <f t="shared" ref="AO113:AO147" si="100">AO112+365</f>
        <v>69405</v>
      </c>
      <c r="AP113" s="130"/>
      <c r="BI113" s="108">
        <f t="shared" si="85"/>
        <v>0</v>
      </c>
      <c r="BJ113" s="108">
        <f t="shared" si="80"/>
        <v>0</v>
      </c>
      <c r="BK113" s="22">
        <f t="shared" si="81"/>
        <v>0</v>
      </c>
      <c r="BL113" s="108">
        <f t="shared" si="64"/>
        <v>0</v>
      </c>
      <c r="BM113" s="2" t="e">
        <f>IF(AND(G68&gt;=$X$11,G68&lt;=$X$11+5),0,IF($C$9&gt;$AG$51,ROUND(BH67*IF(#REF!="",0,#REF!)/(DATEVALUE(CONCATENATE("01/01/",YEAR(AR68)+1))-DATEVALUE(CONCATENATE("01/01/",YEAR(AR68))))*(AR68-AR67),2),0))</f>
        <v>#REF!</v>
      </c>
    </row>
    <row r="114" spans="24:65" x14ac:dyDescent="0.25">
      <c r="X114" s="2" t="e">
        <f>IF(AND(G79&gt;=$X$11,G79&lt;=$X$11+5),0,IF($C$9&gt;$AG$51,ROUND(S78*#REF!/(DATEVALUE(CONCATENATE("01/01/",YEAR(H79)+1))-DATEVALUE(CONCATENATE("01/01/",YEAR(H79))))*(H79-H78),2),0))</f>
        <v>#REF!</v>
      </c>
      <c r="Y114" s="34">
        <f t="shared" si="99"/>
        <v>0</v>
      </c>
      <c r="Z114" s="57">
        <f>Z83+365</f>
        <v>60280</v>
      </c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2" t="e">
        <f>IF(AND(Z71&gt;=$X$11,Z71&lt;=$X$11+5),0,IF($C$9&gt;$AG$51,ROUND(AJ74*#REF!/(DATEVALUE(CONCATENATE("01/01/",YEAR(AA71)+1))-DATEVALUE(CONCATENATE("01/01/",YEAR(AA71))))*(AA71-AA70),2),0))</f>
        <v>#REF!</v>
      </c>
      <c r="AN114" s="34">
        <f t="shared" ref="AN114:AN147" si="101">AU75</f>
        <v>0</v>
      </c>
      <c r="AO114" s="57">
        <f t="shared" si="100"/>
        <v>69770</v>
      </c>
      <c r="AP114" s="130"/>
      <c r="BI114" s="108">
        <f t="shared" si="85"/>
        <v>0</v>
      </c>
      <c r="BJ114" s="108">
        <f t="shared" si="80"/>
        <v>0</v>
      </c>
      <c r="BK114" s="22">
        <f t="shared" si="81"/>
        <v>0</v>
      </c>
      <c r="BL114" s="108">
        <f t="shared" si="64"/>
        <v>0</v>
      </c>
      <c r="BM114" s="2" t="e">
        <f>IF(AND(G69&gt;=$X$11,G69&lt;=$X$11+5),0,IF($C$9&gt;$AG$51,ROUND(BH68*IF(#REF!="",0,#REF!)/(DATEVALUE(CONCATENATE("01/01/",YEAR(AR69)+1))-DATEVALUE(CONCATENATE("01/01/",YEAR(AR69))))*(AR69-AR68),2),0))</f>
        <v>#REF!</v>
      </c>
    </row>
    <row r="115" spans="24:65" x14ac:dyDescent="0.25">
      <c r="X115" s="2" t="e">
        <f>IF(AND(G80&gt;=$X$11,G80&lt;=$X$11+5),0,IF($C$9&gt;$AG$51,ROUND(S79*#REF!/(DATEVALUE(CONCATENATE("01/01/",YEAR(H80)+1))-DATEVALUE(CONCATENATE("01/01/",YEAR(H80))))*(H80-H79),2),0))</f>
        <v>#REF!</v>
      </c>
      <c r="Y115" s="34">
        <f t="shared" si="99"/>
        <v>0</v>
      </c>
      <c r="Z115" s="57">
        <f t="shared" si="98"/>
        <v>60645</v>
      </c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2" t="e">
        <f>IF(AND(Z72&gt;=$X$11,Z72&lt;=$X$11+5),0,IF($C$9&gt;$AG$51,ROUND(AJ75*#REF!/(DATEVALUE(CONCATENATE("01/01/",YEAR(AA72)+1))-DATEVALUE(CONCATENATE("01/01/",YEAR(AA72))))*(AA72-AA71),2),0))</f>
        <v>#REF!</v>
      </c>
      <c r="AN115" s="34">
        <f t="shared" si="101"/>
        <v>0</v>
      </c>
      <c r="AO115" s="57">
        <f t="shared" si="100"/>
        <v>70135</v>
      </c>
      <c r="AP115" s="130"/>
      <c r="BI115" s="31"/>
      <c r="BJ115" s="51"/>
      <c r="BK115" s="29" t="s">
        <v>67</v>
      </c>
      <c r="BL115" s="152" t="e">
        <f>XIRR(BL7:BL114,BK7:BK114)</f>
        <v>#VALUE!</v>
      </c>
      <c r="BM115" s="2" t="e">
        <f>IF(AND(G70&gt;=$X$11,G70&lt;=$X$11+5),0,IF($C$9&gt;$AG$51,ROUND(BH69*IF(#REF!="",0,#REF!)/(DATEVALUE(CONCATENATE("01/01/",YEAR(AR70)+1))-DATEVALUE(CONCATENATE("01/01/",YEAR(AR70))))*(AR70-AR69),2),0))</f>
        <v>#REF!</v>
      </c>
    </row>
    <row r="116" spans="24:65" x14ac:dyDescent="0.25">
      <c r="X116" s="2" t="e">
        <f>IF(AND(G81&gt;=$X$11,G81&lt;=$X$11+5),0,IF($C$9&gt;$AG$51,ROUND(S80*#REF!/(DATEVALUE(CONCATENATE("01/01/",YEAR(H81)+1))-DATEVALUE(CONCATENATE("01/01/",YEAR(H81))))*(H81-H80),2),0))</f>
        <v>#REF!</v>
      </c>
      <c r="Y116" s="34">
        <f t="shared" si="99"/>
        <v>0</v>
      </c>
      <c r="Z116" s="57">
        <f t="shared" si="98"/>
        <v>61010</v>
      </c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2" t="e">
        <f>IF(AND(Z73&gt;=$X$11,Z73&lt;=$X$11+5),0,IF($C$9&gt;$AG$51,ROUND(AJ76*#REF!/(DATEVALUE(CONCATENATE("01/01/",YEAR(AA73)+1))-DATEVALUE(CONCATENATE("01/01/",YEAR(AA73))))*(AA73-AA72),2),0))</f>
        <v>#REF!</v>
      </c>
      <c r="AN116" s="34">
        <f t="shared" si="101"/>
        <v>0</v>
      </c>
      <c r="AO116" s="57">
        <f t="shared" si="100"/>
        <v>70500</v>
      </c>
      <c r="AP116" s="130"/>
      <c r="BM116" s="2" t="e">
        <f>IF(AND(G71&gt;=$X$11,G71&lt;=$X$11+5),0,IF($C$9&gt;$AG$51,ROUND(BH70*IF(#REF!="",0,#REF!)/(DATEVALUE(CONCATENATE("01/01/",YEAR(AR71)+1))-DATEVALUE(CONCATENATE("01/01/",YEAR(AR71))))*(AR71-AR70),2),0))</f>
        <v>#REF!</v>
      </c>
    </row>
    <row r="117" spans="24:65" x14ac:dyDescent="0.25">
      <c r="X117" s="2" t="e">
        <f>IF(AND(G82&gt;=$X$11,G82&lt;=$X$11+5),0,IF($C$9&gt;$AG$51,ROUND(S81*#REF!/(DATEVALUE(CONCATENATE("01/01/",YEAR(H82)+1))-DATEVALUE(CONCATENATE("01/01/",YEAR(H82))))*(H82-H81),2),0))</f>
        <v>#REF!</v>
      </c>
      <c r="Y117" s="34">
        <f t="shared" si="99"/>
        <v>0</v>
      </c>
      <c r="Z117" s="57">
        <f t="shared" si="98"/>
        <v>61375</v>
      </c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2" t="e">
        <f>IF(AND(Z74&gt;=$X$11,Z74&lt;=$X$11+5),0,IF($C$9&gt;$AG$51,ROUND(AJ77*#REF!/(DATEVALUE(CONCATENATE("01/01/",YEAR(AA74)+1))-DATEVALUE(CONCATENATE("01/01/",YEAR(AA74))))*(AA74-AA73),2),0))</f>
        <v>#REF!</v>
      </c>
      <c r="AN117" s="34">
        <f t="shared" si="101"/>
        <v>0</v>
      </c>
      <c r="AO117" s="57">
        <f t="shared" si="100"/>
        <v>70865</v>
      </c>
      <c r="AP117" s="130"/>
      <c r="BM117" s="2" t="e">
        <f>IF(AND(G72&gt;=$X$11,G72&lt;=$X$11+5),0,IF($C$9&gt;$AG$51,ROUND(BH71*IF(#REF!="",0,#REF!)/(DATEVALUE(CONCATENATE("01/01/",YEAR(AR72)+1))-DATEVALUE(CONCATENATE("01/01/",YEAR(AR72))))*(AR72-AR71),2),0))</f>
        <v>#REF!</v>
      </c>
    </row>
    <row r="118" spans="24:65" x14ac:dyDescent="0.25">
      <c r="X118" s="2" t="e">
        <f>IF(AND(G83&gt;=$X$11,G83&lt;=$X$11+5),0,IF($C$9&gt;$AG$51,ROUND(S82*#REF!/(DATEVALUE(CONCATENATE("01/01/",YEAR(H83)+1))-DATEVALUE(CONCATENATE("01/01/",YEAR(H83))))*(H83-H82),2),0))</f>
        <v>#REF!</v>
      </c>
      <c r="Y118" s="34">
        <f t="shared" si="99"/>
        <v>0</v>
      </c>
      <c r="Z118" s="57">
        <f t="shared" si="98"/>
        <v>61740</v>
      </c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2" t="e">
        <f>IF(AND(Z75&gt;=$X$11,Z75&lt;=$X$11+5),0,IF($C$9&gt;$AG$51,ROUND(AJ78*#REF!/(DATEVALUE(CONCATENATE("01/01/",YEAR(AA75)+1))-DATEVALUE(CONCATENATE("01/01/",YEAR(AA75))))*(AA75-AA74),2),0))</f>
        <v>#VALUE!</v>
      </c>
      <c r="AN118" s="34">
        <f t="shared" si="101"/>
        <v>0</v>
      </c>
      <c r="AO118" s="57">
        <f>AO87+365</f>
        <v>60280</v>
      </c>
      <c r="AP118" s="130"/>
      <c r="BM118" s="2" t="e">
        <f>IF(AND(G73&gt;=$X$11,G73&lt;=$X$11+5),0,IF($C$9&gt;$AG$51,ROUND(BH72*IF(#REF!="",0,#REF!)/(DATEVALUE(CONCATENATE("01/01/",YEAR(AR73)+1))-DATEVALUE(CONCATENATE("01/01/",YEAR(AR73))))*(AR73-AR72),2),0))</f>
        <v>#REF!</v>
      </c>
    </row>
    <row r="119" spans="24:65" x14ac:dyDescent="0.25">
      <c r="X119" s="2" t="e">
        <f>IF(AND(G84&gt;=$X$11,G84&lt;=$X$11+5),0,IF($C$9&gt;$AG$51,ROUND(S83*#REF!/(DATEVALUE(CONCATENATE("01/01/",YEAR(H84)+1))-DATEVALUE(CONCATENATE("01/01/",YEAR(H84))))*(H84-H83),2),0))</f>
        <v>#REF!</v>
      </c>
      <c r="Y119" s="34">
        <f t="shared" si="99"/>
        <v>0</v>
      </c>
      <c r="Z119" s="57">
        <f t="shared" si="98"/>
        <v>62105</v>
      </c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2" t="e">
        <f>IF(AND(Z76&gt;=$X$11,Z76&lt;=$X$11+5),0,IF($C$9&gt;$AG$51,ROUND(AJ79*#REF!/(DATEVALUE(CONCATENATE("01/01/",YEAR(AA76)+1))-DATEVALUE(CONCATENATE("01/01/",YEAR(AA76))))*(AA76-AA75),2),0))</f>
        <v>#REF!</v>
      </c>
      <c r="AN119" s="34">
        <f t="shared" si="101"/>
        <v>0</v>
      </c>
      <c r="AO119" s="57">
        <f t="shared" si="100"/>
        <v>60645</v>
      </c>
      <c r="AP119" s="130"/>
      <c r="BM119" s="2" t="e">
        <f>IF(AND(G74&gt;=$X$11,G74&lt;=$X$11+5),0,IF($C$9&gt;$AG$51,ROUND(BH73*IF(#REF!="",0,#REF!)/(DATEVALUE(CONCATENATE("01/01/",YEAR(AR74)+1))-DATEVALUE(CONCATENATE("01/01/",YEAR(AR74))))*(AR74-AR73),2),0))</f>
        <v>#REF!</v>
      </c>
    </row>
    <row r="120" spans="24:65" x14ac:dyDescent="0.25">
      <c r="X120" s="2" t="e">
        <f>IF(AND(G85&gt;=$X$11,G85&lt;=$X$11+5),0,IF($C$9&gt;$AG$51,ROUND(S84*#REF!/(DATEVALUE(CONCATENATE("01/01/",YEAR(H85)+1))-DATEVALUE(CONCATENATE("01/01/",YEAR(H85))))*(H85-H84),2),0))</f>
        <v>#REF!</v>
      </c>
      <c r="Y120" s="34">
        <f t="shared" si="99"/>
        <v>0</v>
      </c>
      <c r="Z120" s="57">
        <f t="shared" si="98"/>
        <v>62470</v>
      </c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2" t="e">
        <f>IF(AND(Z77&gt;=$X$11,Z77&lt;=$X$11+5),0,IF($C$9&gt;$AG$51,ROUND(AJ80*#REF!/(DATEVALUE(CONCATENATE("01/01/",YEAR(AA77)+1))-DATEVALUE(CONCATENATE("01/01/",YEAR(AA77))))*(AA77-AA76),2),0))</f>
        <v>#REF!</v>
      </c>
      <c r="AN120" s="34">
        <f t="shared" si="101"/>
        <v>0</v>
      </c>
      <c r="AO120" s="57">
        <f t="shared" si="100"/>
        <v>61010</v>
      </c>
      <c r="AP120" s="130"/>
      <c r="BM120" s="2" t="e">
        <f>IF(AND(G75&gt;=$X$11,G75&lt;=$X$11+5),0,IF($C$9&gt;$AG$51,ROUND(BH74*IF(#REF!="",0,#REF!)/(DATEVALUE(CONCATENATE("01/01/",YEAR(AR75)+1))-DATEVALUE(CONCATENATE("01/01/",YEAR(AR75))))*(AR75-AR74),2),0))</f>
        <v>#REF!</v>
      </c>
    </row>
    <row r="121" spans="24:65" x14ac:dyDescent="0.25">
      <c r="X121" s="2" t="e">
        <f>IF(AND(G86&gt;=$X$11,G86&lt;=$X$11+5),0,IF($C$9&gt;$AG$51,ROUND(S85*#REF!/(DATEVALUE(CONCATENATE("01/01/",YEAR(H86)+1))-DATEVALUE(CONCATENATE("01/01/",YEAR(H86))))*(H86-H85),2),0))</f>
        <v>#REF!</v>
      </c>
      <c r="Y121" s="34">
        <f t="shared" si="99"/>
        <v>0</v>
      </c>
      <c r="Z121" s="57">
        <f t="shared" si="98"/>
        <v>62835</v>
      </c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2" t="e">
        <f>IF(AND(Z78&gt;=$X$11,Z78&lt;=$X$11+5),0,IF($C$9&gt;$AG$51,ROUND(AJ81*#REF!/(DATEVALUE(CONCATENATE("01/01/",YEAR(AA78)+1))-DATEVALUE(CONCATENATE("01/01/",YEAR(AA78))))*(AA78-AA77),2),0))</f>
        <v>#REF!</v>
      </c>
      <c r="AN121" s="34">
        <f t="shared" si="101"/>
        <v>0</v>
      </c>
      <c r="AO121" s="57">
        <f t="shared" si="100"/>
        <v>61375</v>
      </c>
      <c r="AP121" s="130"/>
      <c r="BM121" s="2" t="e">
        <f>IF(AND(G76&gt;=$X$11,G76&lt;=$X$11+5),0,IF($C$9&gt;$AG$51,ROUND(BH75*IF(#REF!="",0,#REF!)/(DATEVALUE(CONCATENATE("01/01/",YEAR(AR76)+1))-DATEVALUE(CONCATENATE("01/01/",YEAR(AR76))))*(AR76-AR75),2),0))</f>
        <v>#REF!</v>
      </c>
    </row>
    <row r="122" spans="24:65" x14ac:dyDescent="0.25">
      <c r="X122" s="2" t="e">
        <f>IF(AND(G87&gt;=$X$11,G87&lt;=$X$11+5),0,IF($C$9&gt;$AG$51,ROUND(S86*#REF!/(DATEVALUE(CONCATENATE("01/01/",YEAR(H87)+1))-DATEVALUE(CONCATENATE("01/01/",YEAR(H87))))*(H87-H86),2),0))</f>
        <v>#REF!</v>
      </c>
      <c r="Y122" s="34">
        <f t="shared" si="99"/>
        <v>0</v>
      </c>
      <c r="Z122" s="57">
        <f t="shared" si="98"/>
        <v>63200</v>
      </c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2" t="e">
        <f>IF(AND(Z79&gt;=$X$11,Z79&lt;=$X$11+5),0,IF($C$9&gt;$AG$51,ROUND(AJ82*#REF!/(DATEVALUE(CONCATENATE("01/01/",YEAR(AA79)+1))-DATEVALUE(CONCATENATE("01/01/",YEAR(AA79))))*(AA79-AA78),2),0))</f>
        <v>#REF!</v>
      </c>
      <c r="AN122" s="34">
        <f t="shared" si="101"/>
        <v>0</v>
      </c>
      <c r="AO122" s="57">
        <f t="shared" si="100"/>
        <v>61740</v>
      </c>
      <c r="AP122" s="130"/>
      <c r="BM122" s="2" t="e">
        <f>IF(AND(G77&gt;=$X$11,G77&lt;=$X$11+5),0,IF($C$9&gt;$AG$51,ROUND(BH76*IF(#REF!="",0,#REF!)/(DATEVALUE(CONCATENATE("01/01/",YEAR(AR77)+1))-DATEVALUE(CONCATENATE("01/01/",YEAR(AR77))))*(AR77-AR76),2),0))</f>
        <v>#REF!</v>
      </c>
    </row>
    <row r="123" spans="24:65" x14ac:dyDescent="0.25">
      <c r="X123" s="2" t="e">
        <f>IF(AND(G88&gt;=$X$11,G88&lt;=$X$11+5),0,IF($C$9&gt;$AG$51,ROUND(S87*#REF!/(DATEVALUE(CONCATENATE("01/01/",YEAR(H88)+1))-DATEVALUE(CONCATENATE("01/01/",YEAR(H88))))*(H88-H87),2),0))</f>
        <v>#REF!</v>
      </c>
      <c r="Y123" s="34">
        <f t="shared" si="99"/>
        <v>0</v>
      </c>
      <c r="Z123" s="57">
        <f t="shared" si="98"/>
        <v>63565</v>
      </c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2" t="e">
        <f>IF(AND(Z80&gt;=$X$11,Z80&lt;=$X$11+5),0,IF($C$9&gt;$AG$51,ROUND(AJ83*#REF!/(DATEVALUE(CONCATENATE("01/01/",YEAR(AA80)+1))-DATEVALUE(CONCATENATE("01/01/",YEAR(AA80))))*(AA80-AA79),2),0))</f>
        <v>#REF!</v>
      </c>
      <c r="AN123" s="34">
        <f t="shared" si="101"/>
        <v>0</v>
      </c>
      <c r="AO123" s="57">
        <f t="shared" si="100"/>
        <v>62105</v>
      </c>
      <c r="AP123" s="130"/>
      <c r="BM123" s="2" t="e">
        <f>IF(AND(G78&gt;=$X$11,G78&lt;=$X$11+5),0,IF($C$9&gt;$AG$51,ROUND(BH77*IF(#REF!="",0,#REF!)/(DATEVALUE(CONCATENATE("01/01/",YEAR(AR78)+1))-DATEVALUE(CONCATENATE("01/01/",YEAR(AR78))))*(AR78-AR77),2),0))</f>
        <v>#REF!</v>
      </c>
    </row>
    <row r="124" spans="24:65" x14ac:dyDescent="0.25">
      <c r="X124" s="2" t="e">
        <f>IF(AND(G89&gt;=$X$11,G89&lt;=$X$11+5),0,IF($C$9&gt;$AG$51,ROUND(S88*#REF!/(DATEVALUE(CONCATENATE("01/01/",YEAR(H89)+1))-DATEVALUE(CONCATENATE("01/01/",YEAR(H89))))*(H89-H88),2),0))</f>
        <v>#REF!</v>
      </c>
      <c r="Y124" s="34">
        <f t="shared" si="99"/>
        <v>0</v>
      </c>
      <c r="Z124" s="57">
        <f t="shared" si="98"/>
        <v>63930</v>
      </c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2" t="e">
        <f>IF(AND(Z81&gt;=$X$11,Z81&lt;=$X$11+5),0,IF($C$9&gt;$AG$51,ROUND(AJ84*#REF!/(DATEVALUE(CONCATENATE("01/01/",YEAR(AA81)+1))-DATEVALUE(CONCATENATE("01/01/",YEAR(AA81))))*(AA81-AA80),2),0))</f>
        <v>#REF!</v>
      </c>
      <c r="AN124" s="34">
        <f t="shared" si="101"/>
        <v>0</v>
      </c>
      <c r="AO124" s="57">
        <f t="shared" si="100"/>
        <v>62470</v>
      </c>
      <c r="AP124" s="130"/>
      <c r="BM124" s="2" t="e">
        <f>IF(AND(G79&gt;=$X$11,G79&lt;=$X$11+5),0,IF($C$9&gt;$AG$51,ROUND(BH78*IF(#REF!="",0,#REF!)/(DATEVALUE(CONCATENATE("01/01/",YEAR(AR79)+1))-DATEVALUE(CONCATENATE("01/01/",YEAR(AR79))))*(AR79-AR78),2),0))</f>
        <v>#REF!</v>
      </c>
    </row>
    <row r="125" spans="24:65" x14ac:dyDescent="0.25">
      <c r="X125" s="2" t="e">
        <f>IF(AND(G90&gt;=$X$11,G90&lt;=$X$11+5),0,IF($C$9&gt;$AG$51,ROUND(S89*#REF!/(DATEVALUE(CONCATENATE("01/01/",YEAR(H90)+1))-DATEVALUE(CONCATENATE("01/01/",YEAR(H90))))*(H90-H89),2),0))</f>
        <v>#REF!</v>
      </c>
      <c r="Y125" s="34">
        <f t="shared" si="99"/>
        <v>0</v>
      </c>
      <c r="Z125" s="57">
        <f t="shared" si="98"/>
        <v>64295</v>
      </c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2" t="e">
        <f>IF(AND(Z82&gt;=$X$11,Z82&lt;=$X$11+5),0,IF($C$9&gt;$AG$51,ROUND(#REF!*#REF!/(DATEVALUE(CONCATENATE("01/01/",YEAR(AA82)+1))-DATEVALUE(CONCATENATE("01/01/",YEAR(AA82))))*(AA82-AA81),2),0))</f>
        <v>#REF!</v>
      </c>
      <c r="AN125" s="34">
        <f t="shared" si="101"/>
        <v>0</v>
      </c>
      <c r="AO125" s="57">
        <f t="shared" si="100"/>
        <v>62835</v>
      </c>
      <c r="AP125" s="130"/>
      <c r="BM125" s="2" t="e">
        <f>IF(AND(G80&gt;=$X$11,G80&lt;=$X$11+5),0,IF($C$9&gt;$AG$51,ROUND(BH79*IF(#REF!="",0,#REF!)/(DATEVALUE(CONCATENATE("01/01/",YEAR(AR80)+1))-DATEVALUE(CONCATENATE("01/01/",YEAR(AR80))))*(AR80-AR79),2),0))</f>
        <v>#REF!</v>
      </c>
    </row>
    <row r="126" spans="24:65" x14ac:dyDescent="0.25">
      <c r="X126" s="2" t="e">
        <f>IF(AND(G91&gt;=$X$11,G91&lt;=$X$11+5),0,IF($C$9&gt;$AG$51,ROUND(S90*#REF!/(DATEVALUE(CONCATENATE("01/01/",YEAR(H91)+1))-DATEVALUE(CONCATENATE("01/01/",YEAR(H91))))*(H91-H90),2),0))</f>
        <v>#REF!</v>
      </c>
      <c r="Y126" s="34">
        <f t="shared" si="99"/>
        <v>0</v>
      </c>
      <c r="Z126" s="57">
        <f t="shared" si="98"/>
        <v>64660</v>
      </c>
      <c r="AD126" s="16"/>
      <c r="AE126" s="16"/>
      <c r="AF126" s="16"/>
      <c r="AG126" s="16"/>
      <c r="AH126" s="16"/>
      <c r="AI126" s="16"/>
      <c r="AJ126" s="16"/>
      <c r="AK126" s="16"/>
      <c r="AL126" s="16"/>
      <c r="AM126" s="2" t="e">
        <f>IF(AND(Z83&gt;=$X$11,Z83&lt;=$X$11+5),0,IF($C$9&gt;$AG$51,ROUND(#REF!*#REF!/(DATEVALUE(CONCATENATE("01/01/",YEAR(AA83)+1))-DATEVALUE(CONCATENATE("01/01/",YEAR(AA83))))*(AA83-AA82),2),0))</f>
        <v>#REF!</v>
      </c>
      <c r="AN126" s="34">
        <f t="shared" si="101"/>
        <v>0</v>
      </c>
      <c r="AO126" s="57">
        <f t="shared" si="100"/>
        <v>63200</v>
      </c>
      <c r="AP126" s="130"/>
      <c r="BM126" s="2" t="e">
        <f>IF(AND(G81&gt;=$X$11,G81&lt;=$X$11+5),0,IF($C$9&gt;$AG$51,ROUND(BH80*IF(#REF!="",0,#REF!)/(DATEVALUE(CONCATENATE("01/01/",YEAR(AR81)+1))-DATEVALUE(CONCATENATE("01/01/",YEAR(AR81))))*(AR81-AR80),2),0))</f>
        <v>#REF!</v>
      </c>
    </row>
    <row r="127" spans="24:65" x14ac:dyDescent="0.25">
      <c r="X127" s="2" t="e">
        <f>IF(AND(G92&gt;=$X$11,G92&lt;=$X$11+5),0,IF($C$9&gt;$AG$51,ROUND(S91*#REF!/(DATEVALUE(CONCATENATE("01/01/",YEAR(H92)+1))-DATEVALUE(CONCATENATE("01/01/",YEAR(H92))))*(H92-H91),2),0))</f>
        <v>#REF!</v>
      </c>
      <c r="Y127" s="34">
        <f t="shared" si="99"/>
        <v>0</v>
      </c>
      <c r="Z127" s="57">
        <f t="shared" si="98"/>
        <v>65025</v>
      </c>
      <c r="AD127" s="16"/>
      <c r="AE127" s="16"/>
      <c r="AF127" s="16"/>
      <c r="AG127" s="16"/>
      <c r="AH127" s="16"/>
      <c r="AI127" s="16"/>
      <c r="AJ127" s="16"/>
      <c r="AK127" s="16"/>
      <c r="AL127" s="16"/>
      <c r="AM127" s="2" t="e">
        <f>IF(AND(Z84&gt;=$X$11,Z84&lt;=$X$11+5),0,IF($C$9&gt;$AG$51,ROUND(#REF!*#REF!/(DATEVALUE(CONCATENATE("01/01/",YEAR(AA84)+1))-DATEVALUE(CONCATENATE("01/01/",YEAR(AA84))))*(AA84-AA83),2),0))</f>
        <v>#REF!</v>
      </c>
      <c r="AN127" s="34">
        <f t="shared" si="101"/>
        <v>0</v>
      </c>
      <c r="AO127" s="57">
        <f t="shared" si="100"/>
        <v>63565</v>
      </c>
      <c r="BM127" s="2" t="e">
        <f>IF(AND(G82&gt;=$X$11,G82&lt;=$X$11+5),0,IF($C$9&gt;$AG$51,ROUND(BH81*IF(#REF!="",0,#REF!)/(DATEVALUE(CONCATENATE("01/01/",YEAR(AR82)+1))-DATEVALUE(CONCATENATE("01/01/",YEAR(AR82))))*(AR82-AR81),2),0))</f>
        <v>#REF!</v>
      </c>
    </row>
    <row r="128" spans="24:65" x14ac:dyDescent="0.25">
      <c r="X128" s="2" t="e">
        <f>IF(AND(G93&gt;=$X$11,G93&lt;=$X$11+5),0,IF($C$9&gt;$AG$51,ROUND(S92*#REF!/(DATEVALUE(CONCATENATE("01/01/",YEAR(H93)+1))-DATEVALUE(CONCATENATE("01/01/",YEAR(H93))))*(H93-H92),2),0))</f>
        <v>#REF!</v>
      </c>
      <c r="Y128" s="34">
        <f t="shared" si="99"/>
        <v>0</v>
      </c>
      <c r="Z128" s="57">
        <f t="shared" si="98"/>
        <v>65390</v>
      </c>
      <c r="AD128" s="16"/>
      <c r="AE128" s="16"/>
      <c r="AF128" s="16"/>
      <c r="AG128" s="16"/>
      <c r="AH128" s="16"/>
      <c r="AI128" s="16"/>
      <c r="AJ128" s="16"/>
      <c r="AK128" s="16"/>
      <c r="AL128" s="60"/>
      <c r="AM128" s="2" t="e">
        <f>IF(AND(Z85&gt;=$X$11,Z85&lt;=$X$11+5),0,IF($C$9&gt;$AG$51,ROUND(#REF!*#REF!/(DATEVALUE(CONCATENATE("01/01/",YEAR(AA85)+1))-DATEVALUE(CONCATENATE("01/01/",YEAR(AA85))))*(AA85-AA84),2),0))</f>
        <v>#REF!</v>
      </c>
      <c r="AN128" s="34">
        <f t="shared" si="101"/>
        <v>0</v>
      </c>
      <c r="AO128" s="57">
        <f t="shared" si="100"/>
        <v>63930</v>
      </c>
      <c r="BM128" s="2" t="e">
        <f>IF(AND(G83&gt;=$X$11,G83&lt;=$X$11+5),0,IF($C$9&gt;$AG$51,ROUND(BH82*IF(#REF!="",0,#REF!)/(DATEVALUE(CONCATENATE("01/01/",YEAR(AR83)+1))-DATEVALUE(CONCATENATE("01/01/",YEAR(AR83))))*(AR83-AR82),2),0))</f>
        <v>#REF!</v>
      </c>
    </row>
    <row r="129" spans="24:65" x14ac:dyDescent="0.25">
      <c r="X129" s="2" t="e">
        <f>IF(AND(G94&gt;=$X$11,G94&lt;=$X$11+5),0,IF($C$9&gt;$AG$51,ROUND(S93*#REF!/(DATEVALUE(CONCATENATE("01/01/",YEAR(H94)+1))-DATEVALUE(CONCATENATE("01/01/",YEAR(H94))))*(H94-H93),2),0))</f>
        <v>#REF!</v>
      </c>
      <c r="Y129" s="34">
        <f t="shared" si="99"/>
        <v>0</v>
      </c>
      <c r="Z129" s="57">
        <f t="shared" si="98"/>
        <v>65755</v>
      </c>
      <c r="AD129" s="16"/>
      <c r="AE129" s="16"/>
      <c r="AF129" s="33"/>
      <c r="AG129" s="33"/>
      <c r="AH129" s="33"/>
      <c r="AI129" s="33"/>
      <c r="AJ129" s="16"/>
      <c r="AM129" s="2" t="e">
        <f>IF(AND(Z86&gt;=$X$11,Z86&lt;=$X$11+5),0,IF($C$9&gt;$AG$51,ROUND(#REF!*#REF!/(DATEVALUE(CONCATENATE("01/01/",YEAR(AA86)+1))-DATEVALUE(CONCATENATE("01/01/",YEAR(AA86))))*(AA86-AA85),2),0))</f>
        <v>#REF!</v>
      </c>
      <c r="AN129" s="34">
        <f t="shared" si="101"/>
        <v>0</v>
      </c>
      <c r="AO129" s="57">
        <f t="shared" si="100"/>
        <v>64295</v>
      </c>
      <c r="BM129" s="2" t="e">
        <f>IF(AND(G84&gt;=$X$11,G84&lt;=$X$11+5),0,IF($C$9&gt;$AG$51,ROUND(BH83*IF(#REF!="",0,#REF!)/(DATEVALUE(CONCATENATE("01/01/",YEAR(AR84)+1))-DATEVALUE(CONCATENATE("01/01/",YEAR(AR84))))*(AR84-AR83),2),0))</f>
        <v>#REF!</v>
      </c>
    </row>
    <row r="130" spans="24:65" x14ac:dyDescent="0.25">
      <c r="X130" s="2" t="e">
        <f>IF(AND(G95&gt;=$X$11,G95&lt;=$X$11+5),0,IF($C$9&gt;$AG$51,ROUND(S94*#REF!/(DATEVALUE(CONCATENATE("01/01/",YEAR(H95)+1))-DATEVALUE(CONCATENATE("01/01/",YEAR(H95))))*(H95-H94),2),0))</f>
        <v>#REF!</v>
      </c>
      <c r="Y130" s="34">
        <f t="shared" si="99"/>
        <v>0</v>
      </c>
      <c r="Z130" s="57">
        <f t="shared" si="98"/>
        <v>66120</v>
      </c>
      <c r="AM130" s="2" t="e">
        <f>IF(AND(Z87&gt;=$X$11,Z87&lt;=$X$11+5),0,IF($C$9&gt;$AG$51,ROUND(#REF!*#REF!/(DATEVALUE(CONCATENATE("01/01/",YEAR(AA87)+1))-DATEVALUE(CONCATENATE("01/01/",YEAR(AA87))))*(AA87-AA86),2),0))</f>
        <v>#REF!</v>
      </c>
      <c r="AN130" s="34">
        <f t="shared" si="101"/>
        <v>0</v>
      </c>
      <c r="AO130" s="57">
        <f t="shared" si="100"/>
        <v>64660</v>
      </c>
      <c r="BM130" s="2" t="e">
        <f>IF(AND(G85&gt;=$X$11,G85&lt;=$X$11+5),0,IF($C$9&gt;$AG$51,ROUND(BH84*IF(#REF!="",0,#REF!)/(DATEVALUE(CONCATENATE("01/01/",YEAR(AR85)+1))-DATEVALUE(CONCATENATE("01/01/",YEAR(AR85))))*(AR85-AR84),2),0))</f>
        <v>#REF!</v>
      </c>
    </row>
    <row r="131" spans="24:65" x14ac:dyDescent="0.25">
      <c r="X131" s="2" t="e">
        <f>IF(AND(G96&gt;=$X$11,G96&lt;=$X$11+5),0,IF($C$9&gt;$AG$51,ROUND(S95*#REF!/(DATEVALUE(CONCATENATE("01/01/",YEAR(H96)+1))-DATEVALUE(CONCATENATE("01/01/",YEAR(H96))))*(H96-H95),2),0))</f>
        <v>#REF!</v>
      </c>
      <c r="Y131" s="34">
        <f t="shared" si="99"/>
        <v>0</v>
      </c>
      <c r="Z131" s="57">
        <f t="shared" si="98"/>
        <v>66485</v>
      </c>
      <c r="AM131" s="2" t="e">
        <f>IF(AND(Z88&gt;=$X$11,Z88&lt;=$X$11+5),0,IF($C$9&gt;$AG$51,ROUND(#REF!*#REF!/(DATEVALUE(CONCATENATE("01/01/",YEAR(AA88)+1))-DATEVALUE(CONCATENATE("01/01/",YEAR(AA88))))*(AA88-AA87),2),0))</f>
        <v>#REF!</v>
      </c>
      <c r="AN131" s="34">
        <f t="shared" si="101"/>
        <v>0</v>
      </c>
      <c r="AO131" s="57">
        <f t="shared" si="100"/>
        <v>65025</v>
      </c>
      <c r="BM131" s="2" t="e">
        <f>IF(AND(G86&gt;=$X$11,G86&lt;=$X$11+5),0,IF($C$9&gt;$AG$51,ROUND(BH85*IF(#REF!="",0,#REF!)/(DATEVALUE(CONCATENATE("01/01/",YEAR(AR86)+1))-DATEVALUE(CONCATENATE("01/01/",YEAR(AR86))))*(AR86-AR85),2),0))</f>
        <v>#REF!</v>
      </c>
    </row>
    <row r="132" spans="24:65" x14ac:dyDescent="0.25">
      <c r="X132" s="2" t="e">
        <f>IF(AND(G97&gt;=$X$11,G97&lt;=$X$11+5),0,IF($C$9&gt;$AG$51,ROUND(S96*#REF!/(DATEVALUE(CONCATENATE("01/01/",YEAR(H97)+1))-DATEVALUE(CONCATENATE("01/01/",YEAR(H97))))*(H97-H96),2),0))</f>
        <v>#REF!</v>
      </c>
      <c r="Y132" s="34">
        <f t="shared" si="99"/>
        <v>0</v>
      </c>
      <c r="Z132" s="57">
        <f t="shared" si="98"/>
        <v>66850</v>
      </c>
      <c r="AM132" s="2" t="e">
        <f>IF(AND(Z89&gt;=$X$11,Z89&lt;=$X$11+5),0,IF($C$9&gt;$AG$51,ROUND(AJ92*#REF!/(DATEVALUE(CONCATENATE("01/01/",YEAR(AA89)+1))-DATEVALUE(CONCATENATE("01/01/",YEAR(AA89))))*(AA89-AA88),2),0))</f>
        <v>#REF!</v>
      </c>
      <c r="AN132" s="34">
        <f t="shared" si="101"/>
        <v>0</v>
      </c>
      <c r="AO132" s="57">
        <f t="shared" si="100"/>
        <v>65390</v>
      </c>
      <c r="BM132" s="2" t="e">
        <f>IF(AND(G87&gt;=$X$11,G87&lt;=$X$11+5),0,IF($C$9&gt;$AG$51,ROUND(BH86*IF(#REF!="",0,#REF!)/(DATEVALUE(CONCATENATE("01/01/",YEAR(AR87)+1))-DATEVALUE(CONCATENATE("01/01/",YEAR(AR87))))*(AR87-AR86),2),0))</f>
        <v>#REF!</v>
      </c>
    </row>
    <row r="133" spans="24:65" x14ac:dyDescent="0.25">
      <c r="X133" s="2" t="e">
        <f>IF(AND(G98&gt;=$X$11,G98&lt;=$X$11+5),0,IF($C$9&gt;$AG$51,ROUND(S97*#REF!/(DATEVALUE(CONCATENATE("01/01/",YEAR(H98)+1))-DATEVALUE(CONCATENATE("01/01/",YEAR(H98))))*(H98-H97),2),0))</f>
        <v>#REF!</v>
      </c>
      <c r="Y133" s="34">
        <f t="shared" si="99"/>
        <v>0</v>
      </c>
      <c r="Z133" s="57">
        <f t="shared" si="98"/>
        <v>67215</v>
      </c>
      <c r="AM133" s="2" t="e">
        <f>IF(AND(Z90&gt;=$X$11,Z90&lt;=$X$11+5),0,IF($C$9&gt;$AG$51,ROUND(AJ93*#REF!/(DATEVALUE(CONCATENATE("01/01/",YEAR(AA90)+1))-DATEVALUE(CONCATENATE("01/01/",YEAR(AA90))))*(AA90-AA89),2),0))</f>
        <v>#REF!</v>
      </c>
      <c r="AN133" s="34">
        <f t="shared" si="101"/>
        <v>0</v>
      </c>
      <c r="AO133" s="57">
        <f t="shared" si="100"/>
        <v>65755</v>
      </c>
      <c r="BM133" s="2" t="e">
        <f>IF(AND(G88&gt;=$X$11,G88&lt;=$X$11+5),0,IF($C$9&gt;$AG$51,ROUND(BH87*IF(#REF!="",0,#REF!)/(DATEVALUE(CONCATENATE("01/01/",YEAR(AR88)+1))-DATEVALUE(CONCATENATE("01/01/",YEAR(AR88))))*(AR88-AR87),2),0))</f>
        <v>#REF!</v>
      </c>
    </row>
    <row r="134" spans="24:65" x14ac:dyDescent="0.25">
      <c r="X134" s="2" t="e">
        <f>IF(AND(G99&gt;=$X$11,G99&lt;=$X$11+5),0,IF($C$9&gt;$AG$51,ROUND(S98*#REF!/(DATEVALUE(CONCATENATE("01/01/",YEAR(H99)+1))-DATEVALUE(CONCATENATE("01/01/",YEAR(H99))))*(H99-H98),2),0))</f>
        <v>#REF!</v>
      </c>
      <c r="Y134" s="34">
        <f t="shared" si="99"/>
        <v>0</v>
      </c>
      <c r="Z134" s="57">
        <f t="shared" si="98"/>
        <v>67580</v>
      </c>
      <c r="AM134" s="2" t="e">
        <f>IF(AND(Z91&gt;=$X$11,Z91&lt;=$X$11+5),0,IF($C$9&gt;$AG$51,ROUND(AJ94*#REF!/(DATEVALUE(CONCATENATE("01/01/",YEAR(AA91)+1))-DATEVALUE(CONCATENATE("01/01/",YEAR(AA91))))*(AA91-AA90),2),0))</f>
        <v>#REF!</v>
      </c>
      <c r="AN134" s="34">
        <f t="shared" si="101"/>
        <v>0</v>
      </c>
      <c r="AO134" s="57">
        <f t="shared" si="100"/>
        <v>66120</v>
      </c>
      <c r="BM134" s="2" t="e">
        <f>IF(AND(G89&gt;=$X$11,G89&lt;=$X$11+5),0,IF($C$9&gt;$AG$51,ROUND(BH88*IF(#REF!="",0,#REF!)/(DATEVALUE(CONCATENATE("01/01/",YEAR(AR89)+1))-DATEVALUE(CONCATENATE("01/01/",YEAR(AR89))))*(AR89-AR88),2),0))</f>
        <v>#REF!</v>
      </c>
    </row>
    <row r="135" spans="24:65" x14ac:dyDescent="0.25">
      <c r="X135" s="2" t="e">
        <f>IF(AND(G100&gt;=$X$11,G100&lt;=$X$11+5),0,IF($C$9&gt;$AG$51,ROUND(S99*#REF!/(DATEVALUE(CONCATENATE("01/01/",YEAR(H100)+1))-DATEVALUE(CONCATENATE("01/01/",YEAR(H100))))*(H100-H99),2),0))</f>
        <v>#REF!</v>
      </c>
      <c r="Y135" s="34">
        <f t="shared" si="99"/>
        <v>0</v>
      </c>
      <c r="Z135" s="57">
        <f t="shared" si="98"/>
        <v>67945</v>
      </c>
      <c r="AM135" s="2" t="e">
        <f>IF(AND(Z92&gt;=$X$11,Z92&lt;=$X$11+5),0,IF($C$9&gt;$AG$51,ROUND(AJ95*#REF!/(DATEVALUE(CONCATENATE("01/01/",YEAR(AA92)+1))-DATEVALUE(CONCATENATE("01/01/",YEAR(AA92))))*(AA92-AA91),2),0))</f>
        <v>#REF!</v>
      </c>
      <c r="AN135" s="34">
        <f t="shared" si="101"/>
        <v>0</v>
      </c>
      <c r="AO135" s="57">
        <f t="shared" si="100"/>
        <v>66485</v>
      </c>
      <c r="BM135" s="2" t="e">
        <f>IF(AND(G90&gt;=$X$11,G90&lt;=$X$11+5),0,IF($C$9&gt;$AG$51,ROUND(BH89*IF(#REF!="",0,#REF!)/(DATEVALUE(CONCATENATE("01/01/",YEAR(AR90)+1))-DATEVALUE(CONCATENATE("01/01/",YEAR(AR90))))*(AR90-AR89),2),0))</f>
        <v>#REF!</v>
      </c>
    </row>
    <row r="136" spans="24:65" x14ac:dyDescent="0.25">
      <c r="X136" s="2" t="e">
        <f>IF(AND(G101&gt;=$X$11,G101&lt;=$X$11+5),0,IF($C$9&gt;$AG$51,ROUND(S100*#REF!/(DATEVALUE(CONCATENATE("01/01/",YEAR(H101)+1))-DATEVALUE(CONCATENATE("01/01/",YEAR(H101))))*(H101-H100),2),0))</f>
        <v>#REF!</v>
      </c>
      <c r="Y136" s="34">
        <f t="shared" si="99"/>
        <v>0</v>
      </c>
      <c r="Z136" s="57">
        <f t="shared" si="98"/>
        <v>68310</v>
      </c>
      <c r="AM136" s="2" t="e">
        <f>IF(AND(Z93&gt;=$X$11,Z93&lt;=$X$11+5),0,IF($C$9&gt;$AG$51,ROUND(AJ96*#REF!/(DATEVALUE(CONCATENATE("01/01/",YEAR(AA93)+1))-DATEVALUE(CONCATENATE("01/01/",YEAR(AA93))))*(AA93-AA92),2),0))</f>
        <v>#REF!</v>
      </c>
      <c r="AN136" s="34">
        <f t="shared" si="101"/>
        <v>0</v>
      </c>
      <c r="AO136" s="57">
        <f t="shared" si="100"/>
        <v>66850</v>
      </c>
      <c r="BM136" s="2" t="e">
        <f>IF(AND(G91&gt;=$X$11,G91&lt;=$X$11+5),0,IF($C$9&gt;$AG$51,ROUND(BH90*IF(#REF!="",0,#REF!)/(DATEVALUE(CONCATENATE("01/01/",YEAR(AR91)+1))-DATEVALUE(CONCATENATE("01/01/",YEAR(AR91))))*(AR91-AR90),2),0))</f>
        <v>#REF!</v>
      </c>
    </row>
    <row r="137" spans="24:65" x14ac:dyDescent="0.25">
      <c r="X137" s="2" t="e">
        <f>IF(AND(G102&gt;=$X$11,G102&lt;=$X$11+5),0,IF($C$9&gt;$AG$51,ROUND(S101*#REF!/(DATEVALUE(CONCATENATE("01/01/",YEAR(H102)+1))-DATEVALUE(CONCATENATE("01/01/",YEAR(H102))))*(H102-H101),2),0))</f>
        <v>#REF!</v>
      </c>
      <c r="Y137" s="34">
        <f t="shared" si="99"/>
        <v>0</v>
      </c>
      <c r="Z137" s="57">
        <f t="shared" si="98"/>
        <v>68675</v>
      </c>
      <c r="AM137" s="2" t="e">
        <f>IF(AND(Z94&gt;=$X$11,Z94&lt;=$X$11+5),0,IF($C$9&gt;$AG$51,ROUND(AJ97*#REF!/(DATEVALUE(CONCATENATE("01/01/",YEAR(AA94)+1))-DATEVALUE(CONCATENATE("01/01/",YEAR(AA94))))*(AA94-AA93),2),0))</f>
        <v>#REF!</v>
      </c>
      <c r="AN137" s="34">
        <f t="shared" si="101"/>
        <v>0</v>
      </c>
      <c r="AO137" s="57">
        <f t="shared" si="100"/>
        <v>67215</v>
      </c>
      <c r="BM137" s="2" t="e">
        <f>IF(AND(G92&gt;=$X$11,G92&lt;=$X$11+5),0,IF($C$9&gt;$AG$51,ROUND(BH91*IF(#REF!="",0,#REF!)/(DATEVALUE(CONCATENATE("01/01/",YEAR(AR92)+1))-DATEVALUE(CONCATENATE("01/01/",YEAR(AR92))))*(AR92-AR91),2),0))</f>
        <v>#REF!</v>
      </c>
    </row>
    <row r="138" spans="24:65" x14ac:dyDescent="0.25">
      <c r="X138" s="2" t="e">
        <f>IF(AND(G103&gt;=$X$11,G103&lt;=$X$11+5),0,IF($C$9&gt;$AG$51,ROUND(S102*#REF!/(DATEVALUE(CONCATENATE("01/01/",YEAR(H103)+1))-DATEVALUE(CONCATENATE("01/01/",YEAR(H103))))*(H103-H102),2),0))</f>
        <v>#REF!</v>
      </c>
      <c r="Y138" s="34">
        <f t="shared" si="99"/>
        <v>0</v>
      </c>
      <c r="Z138" s="57">
        <f t="shared" si="98"/>
        <v>69040</v>
      </c>
      <c r="AM138" s="2" t="e">
        <f>IF(AND(Z95&gt;=$X$11,Z95&lt;=$X$11+5),0,IF($C$9&gt;$AG$51,ROUND(AJ98*#REF!/(DATEVALUE(CONCATENATE("01/01/",YEAR(AA95)+1))-DATEVALUE(CONCATENATE("01/01/",YEAR(AA95))))*(AA95-AA94),2),0))</f>
        <v>#REF!</v>
      </c>
      <c r="AN138" s="34">
        <f t="shared" si="101"/>
        <v>0</v>
      </c>
      <c r="AO138" s="57">
        <f t="shared" si="100"/>
        <v>67580</v>
      </c>
      <c r="BM138" s="2" t="e">
        <f>IF(AND(G93&gt;=$X$11,G93&lt;=$X$11+5),0,IF($C$9&gt;$AG$51,ROUND(BH92*IF(#REF!="",0,#REF!)/(DATEVALUE(CONCATENATE("01/01/",YEAR(AR93)+1))-DATEVALUE(CONCATENATE("01/01/",YEAR(AR93))))*(AR93-AR92),2),0))</f>
        <v>#REF!</v>
      </c>
    </row>
    <row r="139" spans="24:65" x14ac:dyDescent="0.25">
      <c r="X139" s="2" t="e">
        <f>IF(AND(G104&gt;=$X$11,G104&lt;=$X$11+5),0,IF($C$9&gt;$AG$51,ROUND(S103*#REF!/(DATEVALUE(CONCATENATE("01/01/",YEAR(H104)+1))-DATEVALUE(CONCATENATE("01/01/",YEAR(H104))))*(H104-H103),2),0))</f>
        <v>#REF!</v>
      </c>
      <c r="Y139" s="34">
        <f t="shared" si="99"/>
        <v>0</v>
      </c>
      <c r="Z139" s="57">
        <f t="shared" si="98"/>
        <v>69405</v>
      </c>
      <c r="AM139" s="2" t="e">
        <f>IF(AND(Z96&gt;=$X$11,Z96&lt;=$X$11+5),0,IF($C$9&gt;$AG$51,ROUND(AJ99*#REF!/(DATEVALUE(CONCATENATE("01/01/",YEAR(AA96)+1))-DATEVALUE(CONCATENATE("01/01/",YEAR(AA96))))*(AA96-AA95),2),0))</f>
        <v>#REF!</v>
      </c>
      <c r="AN139" s="34">
        <f t="shared" si="101"/>
        <v>0</v>
      </c>
      <c r="AO139" s="57">
        <f t="shared" si="100"/>
        <v>67945</v>
      </c>
      <c r="BM139" s="2" t="e">
        <f>IF(AND(G94&gt;=$X$11,G94&lt;=$X$11+5),0,IF($C$9&gt;$AG$51,ROUND(BH93*IF(#REF!="",0,#REF!)/(DATEVALUE(CONCATENATE("01/01/",YEAR(AR94)+1))-DATEVALUE(CONCATENATE("01/01/",YEAR(AR94))))*(AR94-AR93),2),0))</f>
        <v>#REF!</v>
      </c>
    </row>
    <row r="140" spans="24:65" x14ac:dyDescent="0.25">
      <c r="X140" s="2" t="e">
        <f>IF(AND(G105&gt;=$X$11,G105&lt;=$X$11+5),0,IF($C$9&gt;$AG$51,ROUND(S104*#REF!/(DATEVALUE(CONCATENATE("01/01/",YEAR(H105)+1))-DATEVALUE(CONCATENATE("01/01/",YEAR(H105))))*(H105-H104),2),0))</f>
        <v>#REF!</v>
      </c>
      <c r="Y140" s="34">
        <f t="shared" si="99"/>
        <v>0</v>
      </c>
      <c r="Z140" s="57">
        <f t="shared" si="98"/>
        <v>69770</v>
      </c>
      <c r="AM140" s="2" t="e">
        <f>IF(AND(Z97&gt;=$X$11,Z97&lt;=$X$11+5),0,IF($C$9&gt;$AG$51,ROUND(AJ100*#REF!/(DATEVALUE(CONCATENATE("01/01/",YEAR(AA97)+1))-DATEVALUE(CONCATENATE("01/01/",YEAR(AA97))))*(AA97-AA96),2),0))</f>
        <v>#REF!</v>
      </c>
      <c r="AN140" s="34">
        <f t="shared" si="101"/>
        <v>0</v>
      </c>
      <c r="AO140" s="57">
        <f t="shared" si="100"/>
        <v>68310</v>
      </c>
      <c r="BM140" s="2" t="e">
        <f>IF(AND(G95&gt;=$X$11,G95&lt;=$X$11+5),0,IF($C$9&gt;$AG$51,ROUND(BH94*IF(#REF!="",0,#REF!)/(DATEVALUE(CONCATENATE("01/01/",YEAR(AR95)+1))-DATEVALUE(CONCATENATE("01/01/",YEAR(AR95))))*(AR95-AR94),2),0))</f>
        <v>#REF!</v>
      </c>
    </row>
    <row r="141" spans="24:65" x14ac:dyDescent="0.25">
      <c r="X141" s="2" t="e">
        <f>IF(AND(G106&gt;=$X$11,G106&lt;=$X$11+5),0,IF($C$9&gt;$AG$51,ROUND(S105*#REF!/(DATEVALUE(CONCATENATE("01/01/",YEAR(H106)+1))-DATEVALUE(CONCATENATE("01/01/",YEAR(H106))))*(H106-H105),2),0))</f>
        <v>#REF!</v>
      </c>
      <c r="Y141" s="34">
        <f t="shared" si="99"/>
        <v>0</v>
      </c>
      <c r="Z141" s="57">
        <f t="shared" si="98"/>
        <v>70135</v>
      </c>
      <c r="AM141" s="2" t="e">
        <f>IF(AND(Z98&gt;=$X$11,Z98&lt;=$X$11+5),0,IF($C$9&gt;$AG$51,ROUND(AJ101*#REF!/(DATEVALUE(CONCATENATE("01/01/",YEAR(AA98)+1))-DATEVALUE(CONCATENATE("01/01/",YEAR(AA98))))*(AA98-AA97),2),0))</f>
        <v>#REF!</v>
      </c>
      <c r="AN141" s="34">
        <f t="shared" si="101"/>
        <v>0</v>
      </c>
      <c r="AO141" s="57">
        <f t="shared" si="100"/>
        <v>68675</v>
      </c>
      <c r="BM141" s="2" t="e">
        <f>IF(AND(G96&gt;=$X$11,G96&lt;=$X$11+5),0,IF($C$9&gt;$AG$51,ROUND(BH95*IF(#REF!="",0,#REF!)/(DATEVALUE(CONCATENATE("01/01/",YEAR(AR96)+1))-DATEVALUE(CONCATENATE("01/01/",YEAR(AR96))))*(AR96-AR95),2),0))</f>
        <v>#REF!</v>
      </c>
    </row>
    <row r="142" spans="24:65" x14ac:dyDescent="0.25">
      <c r="X142" s="2" t="e">
        <f>IF(AND(G107&gt;=$X$11,G107&lt;=$X$11+5),0,IF($C$9&gt;$AG$51,ROUND(S106*#REF!/(DATEVALUE(CONCATENATE("01/01/",YEAR(H107)+1))-DATEVALUE(CONCATENATE("01/01/",YEAR(H107))))*(H107-H106),2),0))</f>
        <v>#REF!</v>
      </c>
      <c r="Y142" s="34">
        <f t="shared" si="99"/>
        <v>0</v>
      </c>
      <c r="Z142" s="57">
        <f t="shared" si="98"/>
        <v>70500</v>
      </c>
      <c r="AM142" s="2" t="e">
        <f>IF(AND(Z99&gt;=$X$11,Z99&lt;=$X$11+5),0,IF($C$9&gt;$AG$51,ROUND(AJ102*#REF!/(DATEVALUE(CONCATENATE("01/01/",YEAR(AA99)+1))-DATEVALUE(CONCATENATE("01/01/",YEAR(AA99))))*(AA99-AA98),2),0))</f>
        <v>#REF!</v>
      </c>
      <c r="AN142" s="34">
        <f t="shared" si="101"/>
        <v>0</v>
      </c>
      <c r="AO142" s="57">
        <f t="shared" si="100"/>
        <v>69040</v>
      </c>
      <c r="BM142" s="2" t="e">
        <f>IF(AND(G97&gt;=$X$11,G97&lt;=$X$11+5),0,IF($C$9&gt;$AG$51,ROUND(BH96*IF(#REF!="",0,#REF!)/(DATEVALUE(CONCATENATE("01/01/",YEAR(AR97)+1))-DATEVALUE(CONCATENATE("01/01/",YEAR(AR97))))*(AR97-AR96),2),0))</f>
        <v>#REF!</v>
      </c>
    </row>
    <row r="143" spans="24:65" x14ac:dyDescent="0.25">
      <c r="X143" s="2" t="e">
        <f>IF(AND(G108&gt;=$X$11,G108&lt;=$X$11+5),0,IF($C$9&gt;$AG$51,ROUND(S107*#REF!/(DATEVALUE(CONCATENATE("01/01/",YEAR(H108)+1))-DATEVALUE(CONCATENATE("01/01/",YEAR(H108))))*(H108-H107),2),0))</f>
        <v>#REF!</v>
      </c>
      <c r="Y143" s="34">
        <f>IF(K108 &gt; 0, $K$9, 0)</f>
        <v>0</v>
      </c>
      <c r="Z143" s="57">
        <f t="shared" si="98"/>
        <v>70865</v>
      </c>
      <c r="AM143" s="2" t="e">
        <f>IF(AND(Z100&gt;=$X$11,Z100&lt;=$X$11+5),0,IF($C$9&gt;$AG$51,ROUND(AJ103*#REF!/(DATEVALUE(CONCATENATE("01/01/",YEAR(AA100)+1))-DATEVALUE(CONCATENATE("01/01/",YEAR(AA100))))*(AA100-AA99),2),0))</f>
        <v>#REF!</v>
      </c>
      <c r="AN143" s="34">
        <f t="shared" si="101"/>
        <v>0</v>
      </c>
      <c r="AO143" s="57">
        <f t="shared" si="100"/>
        <v>69405</v>
      </c>
      <c r="BM143" s="2" t="e">
        <f>IF(AND(G98&gt;=$X$11,G98&lt;=$X$11+5),0,IF($C$9&gt;$AG$51,ROUND(BH97*IF(#REF!="",0,#REF!)/(DATEVALUE(CONCATENATE("01/01/",YEAR(AR98)+1))-DATEVALUE(CONCATENATE("01/01/",YEAR(AR98))))*(AR98-AR97),2),0))</f>
        <v>#REF!</v>
      </c>
    </row>
    <row r="144" spans="24:65" x14ac:dyDescent="0.25">
      <c r="X144" s="35" t="e">
        <f>SUM(X44:X143)</f>
        <v>#REF!</v>
      </c>
      <c r="Y144" s="35">
        <f>SUM(Y44:Y143)</f>
        <v>115536</v>
      </c>
      <c r="Z144" s="154">
        <f>XIRR(Y42:Y143,Z42:Z143)*12</f>
        <v>0.22586914300918587</v>
      </c>
      <c r="AM144" s="2" t="e">
        <f>IF(AND(Z101&gt;=$X$11,Z101&lt;=$X$11+5),0,IF($C$9&gt;$AG$51,ROUND(AJ104*#REF!/(DATEVALUE(CONCATENATE("01/01/",YEAR(AA101)+1))-DATEVALUE(CONCATENATE("01/01/",YEAR(AA101))))*(AA101-AA100),2),0))</f>
        <v>#REF!</v>
      </c>
      <c r="AN144" s="34">
        <f t="shared" si="101"/>
        <v>0</v>
      </c>
      <c r="AO144" s="57">
        <f t="shared" si="100"/>
        <v>69770</v>
      </c>
      <c r="BM144" s="2" t="e">
        <f>IF(AND(G99&gt;=$X$11,G99&lt;=$X$11+5),0,IF($C$9&gt;$AG$51,ROUND(BH98*IF(#REF!="",0,#REF!)/(DATEVALUE(CONCATENATE("01/01/",YEAR(AR99)+1))-DATEVALUE(CONCATENATE("01/01/",YEAR(AR99))))*(AR99-AR98),2),0))</f>
        <v>#REF!</v>
      </c>
    </row>
    <row r="145" spans="25:65" x14ac:dyDescent="0.25">
      <c r="Y145" s="34"/>
      <c r="Z145" s="57"/>
      <c r="AM145" s="2" t="e">
        <f>IF(AND(Z102&gt;=$X$11,Z102&lt;=$X$11+5),0,IF($C$9&gt;$AG$51,ROUND(AJ105*#REF!/(DATEVALUE(CONCATENATE("01/01/",YEAR(AA102)+1))-DATEVALUE(CONCATENATE("01/01/",YEAR(AA102))))*(AA102-AA101),2),0))</f>
        <v>#REF!</v>
      </c>
      <c r="AN145" s="34">
        <f t="shared" si="101"/>
        <v>0</v>
      </c>
      <c r="AO145" s="57">
        <f t="shared" si="100"/>
        <v>70135</v>
      </c>
      <c r="BM145" s="2" t="e">
        <f>IF(AND(G100&gt;=$X$11,G100&lt;=$X$11+5),0,IF($C$9&gt;$AG$51,ROUND(BH99*IF(#REF!="",0,#REF!)/(DATEVALUE(CONCATENATE("01/01/",YEAR(AR100)+1))-DATEVALUE(CONCATENATE("01/01/",YEAR(AR100))))*(AR100-AR99),2),0))</f>
        <v>#REF!</v>
      </c>
    </row>
    <row r="146" spans="25:65" x14ac:dyDescent="0.25">
      <c r="Y146" s="34"/>
      <c r="Z146" s="57"/>
      <c r="AM146" s="2" t="e">
        <f>IF(AND(Z103&gt;=$X$11,Z103&lt;=$X$11+5),0,IF($C$9&gt;$AG$51,ROUND(AJ106*#REF!/(DATEVALUE(CONCATENATE("01/01/",YEAR(AA103)+1))-DATEVALUE(CONCATENATE("01/01/",YEAR(AA103))))*(AA103-AA102),2),0))</f>
        <v>#REF!</v>
      </c>
      <c r="AN146" s="34">
        <f t="shared" si="101"/>
        <v>0</v>
      </c>
      <c r="AO146" s="57">
        <f t="shared" si="100"/>
        <v>70500</v>
      </c>
      <c r="BM146" s="2" t="e">
        <f>IF(AND(G101&gt;=$X$11,G101&lt;=$X$11+5),0,IF($C$9&gt;$AG$51,ROUND(BH100*IF(#REF!="",0,#REF!)/(DATEVALUE(CONCATENATE("01/01/",YEAR(AR101)+1))-DATEVALUE(CONCATENATE("01/01/",YEAR(AR101))))*(AR101-AR100),2),0))</f>
        <v>#REF!</v>
      </c>
    </row>
    <row r="147" spans="25:65" x14ac:dyDescent="0.25">
      <c r="Y147" s="34"/>
      <c r="Z147" s="57"/>
      <c r="AM147" s="2" t="e">
        <f>IF(AND(Z104&gt;=$X$11,Z104&lt;=$X$11+5),0,IF($C$9&gt;$AG$51,ROUND(AJ107*#REF!/(DATEVALUE(CONCATENATE("01/01/",YEAR(AA104)+1))-DATEVALUE(CONCATENATE("01/01/",YEAR(AA104))))*(AA104-AA103),2),0))</f>
        <v>#REF!</v>
      </c>
      <c r="AN147" s="34">
        <f t="shared" si="101"/>
        <v>0</v>
      </c>
      <c r="AO147" s="57">
        <f t="shared" si="100"/>
        <v>70865</v>
      </c>
      <c r="BM147" s="2" t="e">
        <f>IF(AND(G102&gt;=$X$11,G102&lt;=$X$11+5),0,IF($C$9&gt;$AG$51,ROUND(BH101*IF(#REF!="",0,#REF!)/(DATEVALUE(CONCATENATE("01/01/",YEAR(AR102)+1))-DATEVALUE(CONCATENATE("01/01/",YEAR(AR102))))*(AR102-AR101),2),0))</f>
        <v>#REF!</v>
      </c>
    </row>
    <row r="148" spans="25:65" x14ac:dyDescent="0.25">
      <c r="Y148" s="34"/>
      <c r="Z148" s="57"/>
      <c r="AM148" s="35" t="e">
        <f>SUM(AM48:AM147)</f>
        <v>#REF!</v>
      </c>
      <c r="AN148" s="35">
        <f>SUM(AN48:AN147)</f>
        <v>112512</v>
      </c>
      <c r="AO148" s="154">
        <f>XIRR(AN46:AN147,AO46:AO147)*12</f>
        <v>0.30096420049667361</v>
      </c>
      <c r="BM148" s="2" t="e">
        <f>IF(AND(G103&gt;=$X$11,G103&lt;=$X$11+5),0,IF($C$9&gt;$AG$51,ROUND(BH102*IF(#REF!="",0,#REF!)/(DATEVALUE(CONCATENATE("01/01/",YEAR(AR103)+1))-DATEVALUE(CONCATENATE("01/01/",YEAR(AR103))))*(AR103-AR102),2),0))</f>
        <v>#REF!</v>
      </c>
    </row>
    <row r="149" spans="25:65" x14ac:dyDescent="0.25">
      <c r="BM149" s="2" t="e">
        <f>IF(AND(G104&gt;=$X$11,G104&lt;=$X$11+5),0,IF($C$9&gt;$AG$51,ROUND(BH103*IF(#REF!="",0,#REF!)/(DATEVALUE(CONCATENATE("01/01/",YEAR(AR104)+1))-DATEVALUE(CONCATENATE("01/01/",YEAR(AR104))))*(AR104-AR103),2),0))</f>
        <v>#REF!</v>
      </c>
    </row>
    <row r="150" spans="25:65" x14ac:dyDescent="0.25">
      <c r="BM150" s="2" t="e">
        <f>IF(AND(G105&gt;=$X$11,G105&lt;=$X$11+5),0,IF($C$9&gt;$AG$51,ROUND(BH104*IF(#REF!="",0,#REF!)/(DATEVALUE(CONCATENATE("01/01/",YEAR(AR105)+1))-DATEVALUE(CONCATENATE("01/01/",YEAR(AR105))))*(AR105-AR104),2),0))</f>
        <v>#REF!</v>
      </c>
    </row>
    <row r="151" spans="25:65" x14ac:dyDescent="0.25">
      <c r="BM151" s="2" t="e">
        <f>IF(AND(G106&gt;=$X$11,G106&lt;=$X$11+5),0,IF($C$9&gt;$AG$51,ROUND(BH105*IF(#REF!="",0,#REF!)/(DATEVALUE(CONCATENATE("01/01/",YEAR(AR106)+1))-DATEVALUE(CONCATENATE("01/01/",YEAR(AR106))))*(AR106-AR105),2),0))</f>
        <v>#REF!</v>
      </c>
    </row>
    <row r="152" spans="25:65" x14ac:dyDescent="0.25">
      <c r="BM152" s="2" t="e">
        <f>IF(AND(G107&gt;=$X$11,G107&lt;=$X$11+5),0,IF($C$9&gt;$AG$51,ROUND(BH106*IF(#REF!="",0,#REF!)/(DATEVALUE(CONCATENATE("01/01/",YEAR(AR107)+1))-DATEVALUE(CONCATENATE("01/01/",YEAR(AR107))))*(AR107-AR106),2),0))</f>
        <v>#REF!</v>
      </c>
    </row>
    <row r="153" spans="25:65" x14ac:dyDescent="0.25">
      <c r="BM153" s="2" t="e">
        <f>IF(AND(G108&gt;=$X$11,G108&lt;=$X$11+5),0,IF($C$9&gt;$AG$51,ROUND(BH107*IF(#REF!="",0,#REF!)/(DATEVALUE(CONCATENATE("01/01/",YEAR(AR108)+1))-DATEVALUE(CONCATENATE("01/01/",YEAR(AR108))))*(AR108-AR107),2),0))</f>
        <v>#REF!</v>
      </c>
    </row>
    <row r="154" spans="25:65" x14ac:dyDescent="0.25">
      <c r="BM154" s="35" t="e">
        <f>SUM(BM54:BM153)</f>
        <v>#REF!</v>
      </c>
    </row>
  </sheetData>
  <sheetProtection sheet="1" selectLockedCells="1"/>
  <dataConsolidate/>
  <mergeCells count="64">
    <mergeCell ref="AD85:AJ85"/>
    <mergeCell ref="A26:B26"/>
    <mergeCell ref="A13:B13"/>
    <mergeCell ref="A9:B9"/>
    <mergeCell ref="A20:E20"/>
    <mergeCell ref="A22:C22"/>
    <mergeCell ref="A23:B23"/>
    <mergeCell ref="A24:B24"/>
    <mergeCell ref="A25:B25"/>
    <mergeCell ref="A12:B12"/>
    <mergeCell ref="BO13:BO14"/>
    <mergeCell ref="A36:B36"/>
    <mergeCell ref="A32:E32"/>
    <mergeCell ref="A33:A34"/>
    <mergeCell ref="A35:B35"/>
    <mergeCell ref="A31:B31"/>
    <mergeCell ref="BO33:BO35"/>
    <mergeCell ref="A27:B27"/>
    <mergeCell ref="A28:B28"/>
    <mergeCell ref="A29:B29"/>
    <mergeCell ref="A30:B30"/>
    <mergeCell ref="A21:B21"/>
    <mergeCell ref="C21:E21"/>
    <mergeCell ref="BP13:BP14"/>
    <mergeCell ref="A14:A15"/>
    <mergeCell ref="A16:A18"/>
    <mergeCell ref="K6:K7"/>
    <mergeCell ref="A10:B10"/>
    <mergeCell ref="BO10:BO11"/>
    <mergeCell ref="BP10:BP11"/>
    <mergeCell ref="A11:B11"/>
    <mergeCell ref="C7:D7"/>
    <mergeCell ref="C9:D9"/>
    <mergeCell ref="C10:D10"/>
    <mergeCell ref="T6:T7"/>
    <mergeCell ref="BH6:BH7"/>
    <mergeCell ref="BO6:BU6"/>
    <mergeCell ref="A7:B7"/>
    <mergeCell ref="BO7:BO8"/>
    <mergeCell ref="A1:E2"/>
    <mergeCell ref="A3:E3"/>
    <mergeCell ref="G3:U4"/>
    <mergeCell ref="AQ3:BI4"/>
    <mergeCell ref="BP7:BP8"/>
    <mergeCell ref="A8:B8"/>
    <mergeCell ref="AQ6:AQ7"/>
    <mergeCell ref="AR6:AR7"/>
    <mergeCell ref="AS6:AS7"/>
    <mergeCell ref="AU6:AU7"/>
    <mergeCell ref="AV6:AV7"/>
    <mergeCell ref="AW6:AW7"/>
    <mergeCell ref="A6:B6"/>
    <mergeCell ref="C6:D6"/>
    <mergeCell ref="G6:G7"/>
    <mergeCell ref="H6:H7"/>
    <mergeCell ref="L6:L7"/>
    <mergeCell ref="M6:M7"/>
    <mergeCell ref="S6:S7"/>
    <mergeCell ref="BO3:BU3"/>
    <mergeCell ref="A5:E5"/>
    <mergeCell ref="BS7:BS8"/>
    <mergeCell ref="BT7:BT8"/>
    <mergeCell ref="BU7:BU8"/>
    <mergeCell ref="I6:I7"/>
  </mergeCells>
  <phoneticPr fontId="139" type="noConversion"/>
  <conditionalFormatting sqref="D17">
    <cfRule type="cellIs" dxfId="12" priority="1" operator="notEqual">
      <formula>""</formula>
    </cfRule>
  </conditionalFormatting>
  <dataValidations count="5">
    <dataValidation type="list" allowBlank="1" showInputMessage="1" showErrorMessage="1" sqref="C14" xr:uid="{00000000-0002-0000-0200-000000000000}">
      <formula1>$Z$28:$AA$28</formula1>
    </dataValidation>
    <dataValidation type="list" allowBlank="1" showInputMessage="1" showErrorMessage="1" sqref="C10:D10" xr:uid="{00000000-0002-0000-0200-000001000000}">
      <formula1>$G$44:$G$92</formula1>
    </dataValidation>
    <dataValidation type="list" allowBlank="1" showInputMessage="1" showErrorMessage="1" sqref="C16" xr:uid="{00000000-0002-0000-0200-000002000000}">
      <formula1>$AD$30:$AE$30</formula1>
    </dataValidation>
    <dataValidation type="list" allowBlank="1" showInputMessage="1" showErrorMessage="1" sqref="C11" xr:uid="{00000000-0002-0000-0200-000003000000}">
      <formula1>$CA$11:$CA$15</formula1>
    </dataValidation>
    <dataValidation type="list" allowBlank="1" showInputMessage="1" showErrorMessage="1" sqref="C8" xr:uid="{00000000-0002-0000-0200-000004000000}">
      <formula1>$CA$8:$CA$10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1" fitToWidth="2" orientation="portrait" r:id="rId1"/>
  <colBreaks count="1" manualBreakCount="1">
    <brk id="5" max="108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K185"/>
  <sheetViews>
    <sheetView workbookViewId="0">
      <selection activeCell="C8" sqref="C8"/>
    </sheetView>
  </sheetViews>
  <sheetFormatPr defaultColWidth="8.88671875" defaultRowHeight="13.2" x14ac:dyDescent="0.25"/>
  <cols>
    <col min="1" max="1" width="24.6640625" style="2" customWidth="1"/>
    <col min="2" max="2" width="46.109375" style="2" bestFit="1" customWidth="1"/>
    <col min="3" max="3" width="36.5546875" style="1" bestFit="1" customWidth="1"/>
    <col min="4" max="4" width="31.44140625" style="1" customWidth="1"/>
    <col min="5" max="5" width="7.109375" style="1" customWidth="1"/>
    <col min="6" max="6" width="10.6640625" style="1" customWidth="1"/>
    <col min="7" max="7" width="15.5546875" style="1" customWidth="1"/>
    <col min="8" max="8" width="15.5546875" style="2" customWidth="1"/>
    <col min="9" max="10" width="15.5546875" style="2" hidden="1" customWidth="1"/>
    <col min="11" max="11" width="15.5546875" style="1" customWidth="1"/>
    <col min="12" max="16" width="15" style="3" hidden="1" customWidth="1"/>
    <col min="17" max="17" width="14" style="2" customWidth="1"/>
    <col min="18" max="18" width="11.109375" style="2" customWidth="1"/>
    <col min="19" max="19" width="11.44140625" style="44" customWidth="1"/>
    <col min="20" max="20" width="17.6640625" style="2" customWidth="1"/>
    <col min="21" max="21" width="18.33203125" style="2" customWidth="1"/>
    <col min="22" max="22" width="13.109375" style="2" customWidth="1"/>
    <col min="23" max="23" width="20" style="2" customWidth="1"/>
    <col min="24" max="24" width="19.88671875" style="2" customWidth="1"/>
    <col min="25" max="25" width="17.5546875" style="2" customWidth="1"/>
    <col min="26" max="26" width="33.88671875" style="2" customWidth="1"/>
    <col min="27" max="27" width="19" style="2" customWidth="1"/>
    <col min="28" max="30" width="22.5546875" style="3" customWidth="1"/>
    <col min="31" max="31" width="20.5546875" style="3" customWidth="1"/>
    <col min="32" max="32" width="21" style="2" customWidth="1"/>
    <col min="33" max="33" width="20.6640625" style="2" customWidth="1"/>
    <col min="34" max="34" width="14.44140625" style="57" customWidth="1"/>
    <col min="35" max="37" width="14.44140625" style="2" customWidth="1"/>
    <col min="38" max="38" width="14.44140625" style="2" hidden="1" customWidth="1"/>
    <col min="39" max="39" width="6.33203125" style="2" hidden="1" customWidth="1"/>
    <col min="40" max="40" width="11.5546875" style="2" hidden="1" customWidth="1"/>
    <col min="41" max="41" width="14.44140625" style="2" hidden="1" customWidth="1"/>
    <col min="42" max="42" width="13.109375" style="2" hidden="1" customWidth="1"/>
    <col min="43" max="43" width="13.88671875" style="2" hidden="1" customWidth="1"/>
    <col min="44" max="44" width="12" style="2" hidden="1" customWidth="1"/>
    <col min="45" max="46" width="13.6640625" style="2" hidden="1" customWidth="1"/>
    <col min="47" max="48" width="8.88671875" style="2" hidden="1" customWidth="1"/>
    <col min="49" max="49" width="14" style="2" hidden="1" customWidth="1"/>
    <col min="50" max="51" width="8.88671875" style="2" hidden="1" customWidth="1"/>
    <col min="52" max="52" width="9.88671875" style="1" hidden="1" customWidth="1"/>
    <col min="53" max="53" width="11.44140625" style="2" hidden="1" customWidth="1"/>
    <col min="54" max="54" width="10.33203125" style="2" hidden="1" customWidth="1"/>
    <col min="55" max="55" width="12.44140625" style="2" hidden="1" customWidth="1"/>
    <col min="56" max="56" width="24.109375" style="2" hidden="1" customWidth="1"/>
    <col min="57" max="57" width="34.33203125" style="2" hidden="1" customWidth="1"/>
    <col min="58" max="58" width="41.5546875" style="2" hidden="1" customWidth="1"/>
    <col min="59" max="59" width="4.5546875" style="2" hidden="1" customWidth="1"/>
    <col min="60" max="60" width="18" style="2" hidden="1" customWidth="1"/>
    <col min="61" max="61" width="11.33203125" style="2" hidden="1" customWidth="1"/>
    <col min="62" max="62" width="7.88671875" style="2" hidden="1" customWidth="1"/>
    <col min="63" max="63" width="8.88671875" style="2" hidden="1" customWidth="1"/>
    <col min="64" max="64" width="11.33203125" style="2" hidden="1" customWidth="1"/>
    <col min="65" max="67" width="8.88671875" style="2" hidden="1" customWidth="1"/>
    <col min="68" max="16384" width="8.88671875" style="2"/>
  </cols>
  <sheetData>
    <row r="1" spans="1:67" ht="12.75" customHeight="1" x14ac:dyDescent="0.2">
      <c r="A1" s="933" t="s">
        <v>41</v>
      </c>
      <c r="B1" s="933"/>
      <c r="C1" s="933"/>
      <c r="D1" s="933"/>
      <c r="E1" s="2"/>
      <c r="F1" s="2"/>
      <c r="G1" s="2"/>
      <c r="K1" s="2"/>
      <c r="L1" s="2"/>
      <c r="M1" s="2"/>
      <c r="N1" s="2"/>
      <c r="O1" s="2"/>
      <c r="P1" s="2"/>
      <c r="S1" s="2"/>
      <c r="AB1" s="2"/>
      <c r="AC1" s="2"/>
      <c r="AD1" s="2"/>
      <c r="AE1" s="2"/>
      <c r="AH1" s="62" t="s">
        <v>52</v>
      </c>
      <c r="AI1" s="86" t="str">
        <f>IF($C$18=$AD$3,$AD$4,IF($C$18=$AE$3,$AE$4,IF($C$18=$AF$3,$AF$4,IF($C$18=$AG$3,$AG$4,IF($C$18=$AH$3,$AH$4,IF($C$18=$AI$3,$AI$4,""))))))</f>
        <v/>
      </c>
      <c r="AK1" s="65"/>
      <c r="AZ1" s="2"/>
    </row>
    <row r="2" spans="1:67" ht="16.5" customHeight="1" x14ac:dyDescent="0.2">
      <c r="A2" s="933"/>
      <c r="B2" s="933"/>
      <c r="C2" s="933"/>
      <c r="D2" s="933"/>
      <c r="E2" s="2"/>
      <c r="F2" s="607">
        <f>AB81</f>
        <v>60000</v>
      </c>
      <c r="G2" s="607">
        <f>AD81</f>
        <v>60000</v>
      </c>
      <c r="H2" s="57">
        <f>DATE(YEAR($F$8),MONTH($F$8),1)</f>
        <v>45292</v>
      </c>
      <c r="I2" s="57"/>
      <c r="J2" s="57"/>
      <c r="K2" s="2"/>
      <c r="L2" s="2"/>
      <c r="M2" s="2"/>
      <c r="N2" s="2"/>
      <c r="O2" s="2"/>
      <c r="P2" s="2"/>
      <c r="S2" s="2"/>
      <c r="T2" s="742"/>
      <c r="U2" s="742"/>
      <c r="AB2" s="2"/>
      <c r="AC2" s="2"/>
      <c r="AD2" s="2"/>
      <c r="AE2" s="2"/>
      <c r="AZ2" s="2"/>
    </row>
    <row r="3" spans="1:67" ht="17.25" customHeight="1" x14ac:dyDescent="0.3">
      <c r="A3" s="934" t="s">
        <v>412</v>
      </c>
      <c r="B3" s="934"/>
      <c r="C3" s="934"/>
      <c r="D3" s="934"/>
      <c r="E3" s="928" t="str">
        <f>"График платежей - Максимум + ГС "</f>
        <v xml:space="preserve">График платежей - Максимум + ГС </v>
      </c>
      <c r="F3" s="928"/>
      <c r="G3" s="928"/>
      <c r="H3" s="928"/>
      <c r="I3" s="928"/>
      <c r="J3" s="928"/>
      <c r="K3" s="928"/>
      <c r="L3" s="928"/>
      <c r="M3" s="928"/>
      <c r="N3" s="928"/>
      <c r="O3" s="928"/>
      <c r="P3" s="928"/>
      <c r="Q3" s="928"/>
      <c r="R3" s="928"/>
      <c r="S3" s="146"/>
      <c r="T3" s="63" t="s">
        <v>33</v>
      </c>
      <c r="U3" s="63" t="s">
        <v>484</v>
      </c>
      <c r="V3" s="63" t="s">
        <v>485</v>
      </c>
      <c r="W3" s="63" t="s">
        <v>73</v>
      </c>
      <c r="X3" s="63" t="s">
        <v>74</v>
      </c>
      <c r="Y3" s="63" t="s">
        <v>129</v>
      </c>
      <c r="Z3" s="63" t="s">
        <v>71</v>
      </c>
      <c r="AA3" s="63"/>
      <c r="AB3" s="63"/>
      <c r="AC3" s="743"/>
      <c r="AD3" s="87"/>
      <c r="AE3" s="87"/>
      <c r="AF3" s="87"/>
      <c r="AG3" s="87"/>
      <c r="AH3" s="87"/>
      <c r="AI3" s="87"/>
      <c r="AJ3" s="63"/>
      <c r="AK3" s="63"/>
      <c r="AL3" s="63"/>
      <c r="AM3" s="902" t="str">
        <f>"График платежей - Оптимум"</f>
        <v>График платежей - Оптимум</v>
      </c>
      <c r="AN3" s="902"/>
      <c r="AO3" s="902"/>
      <c r="AP3" s="902"/>
      <c r="AQ3" s="902"/>
      <c r="AR3" s="902"/>
      <c r="AS3" s="902"/>
      <c r="AT3" s="902"/>
      <c r="AU3" s="902"/>
      <c r="AV3" s="902"/>
      <c r="AW3" s="902"/>
      <c r="AX3" s="902"/>
      <c r="AY3" s="102"/>
      <c r="AZ3" s="102"/>
      <c r="BA3" s="102"/>
      <c r="BD3" s="826" t="s">
        <v>94</v>
      </c>
      <c r="BE3" s="826"/>
      <c r="BF3" s="826"/>
      <c r="BG3" s="826"/>
      <c r="BH3" s="826"/>
      <c r="BI3" s="826"/>
      <c r="BJ3" s="826"/>
    </row>
    <row r="4" spans="1:67" ht="13.5" customHeight="1" x14ac:dyDescent="0.2">
      <c r="A4" s="311"/>
      <c r="B4" s="311"/>
      <c r="C4" s="311"/>
      <c r="D4" s="311"/>
      <c r="E4" s="928"/>
      <c r="F4" s="928"/>
      <c r="G4" s="928"/>
      <c r="H4" s="928"/>
      <c r="I4" s="928"/>
      <c r="J4" s="928"/>
      <c r="K4" s="928"/>
      <c r="L4" s="928"/>
      <c r="M4" s="928"/>
      <c r="N4" s="928"/>
      <c r="O4" s="928"/>
      <c r="P4" s="928"/>
      <c r="Q4" s="928"/>
      <c r="R4" s="928"/>
      <c r="S4" s="146"/>
      <c r="T4" s="147">
        <v>0.08</v>
      </c>
      <c r="U4" s="147">
        <v>9.9000000000000005E-2</v>
      </c>
      <c r="V4" s="147">
        <v>9.9000000000000005E-2</v>
      </c>
      <c r="W4" s="147">
        <v>9.9000000000000005E-2</v>
      </c>
      <c r="X4" s="147">
        <v>9.9000000000000005E-2</v>
      </c>
      <c r="Y4" s="147"/>
      <c r="Z4" s="63" t="s">
        <v>72</v>
      </c>
      <c r="AA4" s="147">
        <f>IF(OR(C$8="Гарантия стандарт",C$8="Гарантия пакет"),$Y$4,$T$4)</f>
        <v>0.08</v>
      </c>
      <c r="AB4" s="147">
        <f t="shared" ref="AB4:AB12" si="0">IF(OR($D$8="Гарантия стандарт",$D$8="Гарантия пакет"),Y4,T4)</f>
        <v>0.08</v>
      </c>
      <c r="AC4" s="744"/>
      <c r="AD4" s="148"/>
      <c r="AE4" s="148"/>
      <c r="AF4" s="148"/>
      <c r="AG4" s="148"/>
      <c r="AH4" s="148"/>
      <c r="AI4" s="148"/>
      <c r="AJ4" s="147"/>
      <c r="AK4" s="147"/>
      <c r="AL4" s="147"/>
      <c r="AM4" s="902"/>
      <c r="AN4" s="902"/>
      <c r="AO4" s="902"/>
      <c r="AP4" s="902"/>
      <c r="AQ4" s="902"/>
      <c r="AR4" s="902"/>
      <c r="AS4" s="902"/>
      <c r="AT4" s="902"/>
      <c r="AU4" s="902"/>
      <c r="AV4" s="902"/>
      <c r="AW4" s="902"/>
      <c r="AX4" s="902"/>
      <c r="AY4" s="102"/>
      <c r="AZ4" s="102"/>
      <c r="BA4" s="102"/>
      <c r="BB4" s="57"/>
    </row>
    <row r="5" spans="1:67" ht="11.25" customHeight="1" thickBot="1" x14ac:dyDescent="0.25">
      <c r="A5" s="931"/>
      <c r="B5" s="931"/>
      <c r="C5" s="932"/>
      <c r="D5" s="932"/>
      <c r="E5" s="736"/>
      <c r="F5" s="736"/>
      <c r="G5" s="736"/>
      <c r="H5" s="736"/>
      <c r="I5" s="736"/>
      <c r="J5" s="736"/>
      <c r="K5" s="736"/>
      <c r="L5" s="736"/>
      <c r="M5" s="736"/>
      <c r="N5" s="736"/>
      <c r="O5" s="736"/>
      <c r="P5" s="736"/>
      <c r="Q5" s="736"/>
      <c r="R5" s="736"/>
      <c r="S5" s="49"/>
      <c r="T5" s="15">
        <v>9.9000000000000005E-2</v>
      </c>
      <c r="U5" s="15">
        <f>$T5-2%</f>
        <v>7.9000000000000001E-2</v>
      </c>
      <c r="V5" s="15">
        <f t="shared" ref="V5:X11" si="1">$T5-2%</f>
        <v>7.9000000000000001E-2</v>
      </c>
      <c r="W5" s="15">
        <f t="shared" si="1"/>
        <v>7.9000000000000001E-2</v>
      </c>
      <c r="X5" s="15">
        <f t="shared" si="1"/>
        <v>7.9000000000000001E-2</v>
      </c>
      <c r="Y5" s="15">
        <v>5.8999999999999997E-2</v>
      </c>
      <c r="Z5" s="63" t="s">
        <v>73</v>
      </c>
      <c r="AA5" s="147">
        <f>IF(OR($C$8="Гарантия стандарт",$C$8="Гарантия пакет"),Y5,T5)</f>
        <v>9.9000000000000005E-2</v>
      </c>
      <c r="AB5" s="147">
        <f t="shared" si="0"/>
        <v>9.9000000000000005E-2</v>
      </c>
      <c r="AC5" s="745"/>
      <c r="AD5" s="15"/>
      <c r="AE5" s="15"/>
      <c r="AF5" s="15"/>
      <c r="AG5" s="15"/>
      <c r="AH5" s="15"/>
      <c r="AI5" s="15"/>
      <c r="AJ5" s="15"/>
      <c r="AK5" s="15"/>
      <c r="AL5" s="15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2"/>
      <c r="AZ5" s="736"/>
      <c r="BA5" s="102"/>
      <c r="BB5" s="57"/>
    </row>
    <row r="6" spans="1:67" ht="16.5" customHeight="1" thickBot="1" x14ac:dyDescent="0.3">
      <c r="A6" s="922" t="s">
        <v>413</v>
      </c>
      <c r="B6" s="923"/>
      <c r="C6" s="608" t="s">
        <v>414</v>
      </c>
      <c r="D6" s="608" t="s">
        <v>415</v>
      </c>
      <c r="E6" s="736"/>
      <c r="F6" s="736"/>
      <c r="G6" s="736"/>
      <c r="H6" s="736"/>
      <c r="I6" s="736"/>
      <c r="J6" s="736"/>
      <c r="K6" s="736"/>
      <c r="L6" s="736"/>
      <c r="M6" s="736"/>
      <c r="N6" s="736"/>
      <c r="O6" s="736"/>
      <c r="P6" s="736"/>
      <c r="Q6" s="736"/>
      <c r="R6" s="736"/>
      <c r="S6" s="49"/>
      <c r="T6" s="15">
        <v>0.129</v>
      </c>
      <c r="U6" s="15">
        <f>$T6-2%</f>
        <v>0.109</v>
      </c>
      <c r="V6" s="15">
        <f t="shared" si="1"/>
        <v>0.109</v>
      </c>
      <c r="W6" s="15">
        <f t="shared" si="1"/>
        <v>0.109</v>
      </c>
      <c r="X6" s="15">
        <f t="shared" si="1"/>
        <v>0.109</v>
      </c>
      <c r="Y6" s="15"/>
      <c r="Z6" s="63" t="s">
        <v>74</v>
      </c>
      <c r="AA6" s="147">
        <f t="shared" ref="AA6:AA11" si="2">IF(OR($C$8="Гарантия стандарт",$C$8="Гарантия пакет"),Y6,T6)</f>
        <v>0.129</v>
      </c>
      <c r="AB6" s="147">
        <f t="shared" si="0"/>
        <v>0.129</v>
      </c>
      <c r="AC6" s="745"/>
      <c r="AD6" s="15"/>
      <c r="AE6" s="15"/>
      <c r="AF6" s="15"/>
      <c r="AG6" s="15"/>
      <c r="AH6" s="15"/>
      <c r="AI6" s="15"/>
      <c r="AJ6" s="15"/>
      <c r="AK6" s="15"/>
      <c r="AL6" s="15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2"/>
      <c r="AZ6" s="736"/>
      <c r="BA6" s="102"/>
      <c r="BB6" s="57"/>
      <c r="BD6" s="827" t="s">
        <v>95</v>
      </c>
      <c r="BE6" s="827"/>
      <c r="BF6" s="827"/>
      <c r="BG6" s="827"/>
      <c r="BH6" s="827"/>
      <c r="BI6" s="827"/>
      <c r="BJ6" s="827"/>
      <c r="BM6" s="924" t="s">
        <v>416</v>
      </c>
      <c r="BN6" s="925"/>
      <c r="BO6" s="926"/>
    </row>
    <row r="7" spans="1:67" ht="37.5" customHeight="1" thickBot="1" x14ac:dyDescent="0.65">
      <c r="A7" s="909" t="s">
        <v>417</v>
      </c>
      <c r="B7" s="911"/>
      <c r="C7" s="610">
        <f>Оптимистичный!C7</f>
        <v>60000</v>
      </c>
      <c r="D7" s="610">
        <f>C7</f>
        <v>60000</v>
      </c>
      <c r="E7" s="746" t="s">
        <v>3</v>
      </c>
      <c r="F7" s="747" t="s">
        <v>4</v>
      </c>
      <c r="G7" s="747" t="s">
        <v>5</v>
      </c>
      <c r="H7" s="748" t="s">
        <v>12</v>
      </c>
      <c r="I7" s="748"/>
      <c r="J7" s="748"/>
      <c r="K7" s="748" t="s">
        <v>26</v>
      </c>
      <c r="L7" s="748" t="s">
        <v>36</v>
      </c>
      <c r="M7" s="748" t="s">
        <v>39</v>
      </c>
      <c r="N7" s="748" t="s">
        <v>38</v>
      </c>
      <c r="O7" s="748" t="s">
        <v>37</v>
      </c>
      <c r="P7" s="748" t="s">
        <v>40</v>
      </c>
      <c r="Q7" s="747" t="s">
        <v>6</v>
      </c>
      <c r="R7" s="749" t="s">
        <v>32</v>
      </c>
      <c r="S7" s="150" t="s">
        <v>31</v>
      </c>
      <c r="T7" s="15">
        <v>0.13900000000000001</v>
      </c>
      <c r="U7" s="101">
        <f>$T7-2%</f>
        <v>0.11900000000000001</v>
      </c>
      <c r="V7" s="101">
        <f t="shared" si="1"/>
        <v>0.11900000000000001</v>
      </c>
      <c r="W7" s="101">
        <f t="shared" si="1"/>
        <v>0.11900000000000001</v>
      </c>
      <c r="X7" s="101">
        <f t="shared" si="1"/>
        <v>0.11900000000000001</v>
      </c>
      <c r="Y7" s="101">
        <v>7.9000000000000001E-2</v>
      </c>
      <c r="Z7" s="101"/>
      <c r="AA7" s="147">
        <f t="shared" si="2"/>
        <v>0.13900000000000001</v>
      </c>
      <c r="AB7" s="147">
        <f t="shared" si="0"/>
        <v>0.13900000000000001</v>
      </c>
      <c r="AC7" s="101"/>
      <c r="AD7" s="101"/>
      <c r="AE7" s="101"/>
      <c r="AF7" s="101"/>
      <c r="AG7" s="101"/>
      <c r="AH7" s="101"/>
      <c r="AI7" s="101"/>
      <c r="AJ7" s="101"/>
      <c r="AK7" s="101"/>
      <c r="AL7" s="151">
        <f>SUM(AL9:AL109)</f>
        <v>48</v>
      </c>
      <c r="AM7" s="750" t="s">
        <v>3</v>
      </c>
      <c r="AN7" s="751" t="s">
        <v>4</v>
      </c>
      <c r="AO7" s="751" t="s">
        <v>5</v>
      </c>
      <c r="AP7" s="752" t="s">
        <v>12</v>
      </c>
      <c r="AQ7" s="752" t="s">
        <v>26</v>
      </c>
      <c r="AR7" s="752" t="s">
        <v>36</v>
      </c>
      <c r="AS7" s="752" t="s">
        <v>39</v>
      </c>
      <c r="AT7" s="752" t="s">
        <v>38</v>
      </c>
      <c r="AU7" s="752" t="s">
        <v>37</v>
      </c>
      <c r="AV7" s="752" t="s">
        <v>40</v>
      </c>
      <c r="AW7" s="751" t="s">
        <v>6</v>
      </c>
      <c r="AX7" s="753" t="s">
        <v>32</v>
      </c>
      <c r="AY7" s="104" t="s">
        <v>31</v>
      </c>
      <c r="AZ7" s="754">
        <f>AZ8</f>
        <v>45315</v>
      </c>
      <c r="BA7" s="108">
        <f>G8</f>
        <v>-75631</v>
      </c>
      <c r="BB7" s="755"/>
      <c r="BD7" s="830" t="s">
        <v>84</v>
      </c>
      <c r="BE7" s="828" t="s">
        <v>85</v>
      </c>
      <c r="BF7" s="127" t="s">
        <v>86</v>
      </c>
      <c r="BG7" s="124" t="s">
        <v>88</v>
      </c>
      <c r="BH7" s="834" t="s">
        <v>9</v>
      </c>
      <c r="BI7" s="836" t="s">
        <v>89</v>
      </c>
      <c r="BJ7" s="832">
        <v>1</v>
      </c>
      <c r="BM7" s="756" t="s">
        <v>418</v>
      </c>
      <c r="BN7" s="757" t="s">
        <v>419</v>
      </c>
      <c r="BO7" s="757" t="s">
        <v>420</v>
      </c>
    </row>
    <row r="8" spans="1:67" ht="16.5" customHeight="1" thickBot="1" x14ac:dyDescent="0.65">
      <c r="A8" s="909" t="s">
        <v>421</v>
      </c>
      <c r="B8" s="911"/>
      <c r="C8" s="619" t="str">
        <f>Оптимистичный!C8</f>
        <v>ОПТИ_ПакетБВ+ГС_36</v>
      </c>
      <c r="D8" s="617" t="str">
        <f>IF(C10&lt;48,Z60,AA60)</f>
        <v>ОПТИ_ПакетБВ_48</v>
      </c>
      <c r="E8" s="758"/>
      <c r="F8" s="759">
        <f>C9</f>
        <v>45315</v>
      </c>
      <c r="G8" s="760">
        <f>-C28</f>
        <v>-75631</v>
      </c>
      <c r="H8" s="24"/>
      <c r="I8" s="24"/>
      <c r="J8" s="24"/>
      <c r="K8" s="761"/>
      <c r="L8" s="761"/>
      <c r="M8" s="761"/>
      <c r="N8" s="761"/>
      <c r="O8" s="761"/>
      <c r="P8" s="761"/>
      <c r="Q8" s="56">
        <f>C28</f>
        <v>75631</v>
      </c>
      <c r="R8" s="761"/>
      <c r="S8" s="36"/>
      <c r="T8" s="15">
        <v>0.22900000000000001</v>
      </c>
      <c r="U8" s="15">
        <v>0.17899999999999999</v>
      </c>
      <c r="V8" s="15">
        <v>0.11899999999999999</v>
      </c>
      <c r="W8" s="15">
        <f t="shared" si="1"/>
        <v>0.20900000000000002</v>
      </c>
      <c r="X8" s="15">
        <f t="shared" si="1"/>
        <v>0.20900000000000002</v>
      </c>
      <c r="Y8" s="15">
        <v>8.8999999999999996E-2</v>
      </c>
      <c r="Z8" s="15"/>
      <c r="AA8" s="147">
        <f t="shared" si="2"/>
        <v>0.22900000000000001</v>
      </c>
      <c r="AB8" s="147">
        <f t="shared" si="0"/>
        <v>0.22900000000000001</v>
      </c>
      <c r="AC8" s="745"/>
      <c r="AD8" s="15"/>
      <c r="AE8" s="15"/>
      <c r="AF8" s="15"/>
      <c r="AG8" s="15"/>
      <c r="AH8" s="15"/>
      <c r="AI8" s="15"/>
      <c r="AJ8" s="15"/>
      <c r="AK8" s="15"/>
      <c r="AL8" s="15"/>
      <c r="AM8" s="762"/>
      <c r="AN8" s="763">
        <f>C9</f>
        <v>45315</v>
      </c>
      <c r="AO8" s="760">
        <f>-D28</f>
        <v>-72631</v>
      </c>
      <c r="AP8" s="105"/>
      <c r="AQ8" s="764"/>
      <c r="AR8" s="764"/>
      <c r="AS8" s="764"/>
      <c r="AT8" s="764"/>
      <c r="AU8" s="764"/>
      <c r="AV8" s="764"/>
      <c r="AW8" s="107">
        <f>D28</f>
        <v>72631</v>
      </c>
      <c r="AX8" s="764"/>
      <c r="AY8" s="108"/>
      <c r="AZ8" s="759">
        <f t="shared" ref="AZ8:AZ39" si="3">F8</f>
        <v>45315</v>
      </c>
      <c r="BA8" s="104">
        <f>$C$32</f>
        <v>7632</v>
      </c>
      <c r="BC8" s="118" t="e">
        <f t="shared" ref="BC8:BC20" si="4">AW7+AR8+AP8</f>
        <v>#VALUE!</v>
      </c>
      <c r="BD8" s="831"/>
      <c r="BE8" s="829"/>
      <c r="BF8" s="738" t="s">
        <v>87</v>
      </c>
      <c r="BG8" s="126" t="s">
        <v>88</v>
      </c>
      <c r="BH8" s="835"/>
      <c r="BI8" s="837"/>
      <c r="BJ8" s="927"/>
      <c r="BM8" s="765" t="s">
        <v>360</v>
      </c>
      <c r="BN8" s="766" t="s">
        <v>422</v>
      </c>
      <c r="BO8" s="766" t="s">
        <v>423</v>
      </c>
    </row>
    <row r="9" spans="1:67" ht="16.5" customHeight="1" thickBot="1" x14ac:dyDescent="0.3">
      <c r="A9" s="909" t="s">
        <v>25</v>
      </c>
      <c r="B9" s="911"/>
      <c r="C9" s="617">
        <f>Оптимистичный!C9</f>
        <v>45315</v>
      </c>
      <c r="D9" s="617">
        <f>C9</f>
        <v>45315</v>
      </c>
      <c r="E9" s="767">
        <f>1</f>
        <v>1</v>
      </c>
      <c r="F9" s="768">
        <f t="shared" ref="F9:F72" si="5">IF(DAY($AA$55)=29,DATE(YEAR($F$8),MONTH($F$8)+E9+1,1),IF(DAY($AA$55)=30,DATE(YEAR($F$8),MONTH($F$8)+E9+1,2),IF(DAY($AA$55)=31,DATE(YEAR($F$8),MONTH($F$8)+E9+1,3),DATE(YEAR($F$8),MONTH($F$8)+E9,DAY($F$8)))))</f>
        <v>45346</v>
      </c>
      <c r="G9" s="24">
        <f t="shared" ref="G9:G40" si="6">IF(AND(E9&gt;=$T$14,E9&lt;=$T$14+5),$T$15,IF(AND(Q8+L9+H9&gt;G8,G8&lt;&gt;0),$C$29,IF(Q8=0,0,Q8+L9+H9+H10)))+IF(AND(E9=$C$10,$C$22&lt;&gt;"Нет"),MIN((I9-I9/$C$19*$C$23),Q8+H9-G8),0)</f>
        <v>2407</v>
      </c>
      <c r="H9" s="24">
        <f t="shared" ref="H9:H40" si="7">IF(AND(E9&gt;=$T$14,E9&lt;=$T$14+5),0,IF($C$9&gt;$AC$52,ROUND(Q8*$C$19*((F9-DATE(YEAR(F9),MONTH(F9),1)+1)/(DATE(YEAR(F9)+1,1,1)-DATE(YEAR(F9),1,1))+(EOMONTH(F8,0)-F8)/(DATE(YEAR(F8)+1,1,1)-DATE(YEAR(F8),1,1))),2),0))</f>
        <v>1531.01</v>
      </c>
      <c r="I9" s="24">
        <f>H9</f>
        <v>1531.01</v>
      </c>
      <c r="J9" s="24"/>
      <c r="K9" s="24">
        <f t="shared" ref="K9:K72" si="8">IF(S9=0,0,IF(S9=1,Q8,IF(Q8+L9+H9&gt;G8,G9-H9-L9,Q8)))</f>
        <v>875.99</v>
      </c>
      <c r="L9" s="24">
        <f>IF(N9&gt;$C$29,$C$29-H9,IF(S9=0,0,P9)+AF52)</f>
        <v>0</v>
      </c>
      <c r="M9" s="24">
        <f>O8-L8</f>
        <v>0</v>
      </c>
      <c r="N9" s="24">
        <f>H9+O9</f>
        <v>1531.01</v>
      </c>
      <c r="O9" s="24">
        <f>IF(S9=0,0,0)</f>
        <v>0</v>
      </c>
      <c r="P9" s="24">
        <f>IF(S9=0,0,0)</f>
        <v>0</v>
      </c>
      <c r="Q9" s="24">
        <f t="shared" ref="Q9:Q72" si="9">IF(OR(S9=1,Q8=0),0,Q8-K9)</f>
        <v>74755.009999999995</v>
      </c>
      <c r="R9" s="36">
        <f>C10</f>
        <v>48</v>
      </c>
      <c r="S9" s="36">
        <f t="shared" ref="S9:S40" si="10">IF(ISERR(CEILING(FLOOR(NPER($C$19/12,-$AA$56,Q8),0.1),1))=TRUE,0,CEILING(FLOOR(NPER($C$19/12,-$AA$56,Q8),0.1),1))</f>
        <v>48</v>
      </c>
      <c r="T9" s="15">
        <v>0.23899999999999999</v>
      </c>
      <c r="U9" s="15">
        <v>0.189</v>
      </c>
      <c r="V9" s="15">
        <v>0.129</v>
      </c>
      <c r="W9" s="15">
        <f t="shared" si="1"/>
        <v>0.219</v>
      </c>
      <c r="X9" s="15">
        <f t="shared" si="1"/>
        <v>0.219</v>
      </c>
      <c r="Y9" s="15">
        <v>9.9000000000000005E-2</v>
      </c>
      <c r="Z9" s="132"/>
      <c r="AA9" s="147">
        <f t="shared" si="2"/>
        <v>0.23899999999999999</v>
      </c>
      <c r="AB9" s="147">
        <f t="shared" si="0"/>
        <v>0.23899999999999999</v>
      </c>
      <c r="AC9" s="745"/>
      <c r="AD9" s="15"/>
      <c r="AE9" s="15"/>
      <c r="AF9" s="15"/>
      <c r="AG9" s="15"/>
      <c r="AH9" s="15"/>
      <c r="AI9" s="15"/>
      <c r="AJ9" s="15"/>
      <c r="AK9" s="15"/>
      <c r="AL9" s="130">
        <f>IF(OR(AO9="",AO9=0),0,1)</f>
        <v>1</v>
      </c>
      <c r="AM9" s="769">
        <f>1</f>
        <v>1</v>
      </c>
      <c r="AN9" s="770">
        <f t="shared" ref="AN9:AN40" si="11">IF((OR(DAY($AA$55)=29,DAY($AA$55)=30,DAY($AA$55)=31)),(EDATE($C$9-3,AM9)),(IF((OR(DAY($AA$55)=1,DAY($AA$55)=2,DAY($AA$55)=3)),(EDATE($C$9,AM9)+3),EDATE($C$9,AM9))))</f>
        <v>45346</v>
      </c>
      <c r="AO9" s="105">
        <f>IF(AND(E9&gt;=$T$14,E9&lt;=$T$14+5),$T$15,IF(AND(AW8+AR9+AP9&gt;AO8,AO8&lt;&gt;0),$D$29,IF(AW8=0,0,AW8+AR9+AP9+AP10)))</f>
        <v>2407</v>
      </c>
      <c r="AP9" s="105">
        <f t="shared" ref="AP9:AP40" si="12">IF(AND(E9&gt;=$T$14,E9&lt;=$T$14+5),0,IF($C$9&gt;$AC$52,ROUND(AW8*$D$19*((AN9-DATE(YEAR(AN9),MONTH(AN9),1)+1)/(DATE(YEAR(AN9)+1,1,1)-DATE(YEAR(AN9),1,1))+(EOMONTH(AN8,0)-AN8)/(DATE(YEAR(AN8)+1,1,1)-DATE(YEAR(AN8),1,1))),2),0))</f>
        <v>1531.8</v>
      </c>
      <c r="AQ9" s="105">
        <f t="shared" ref="AQ9:AQ46" si="13">IF(AY9=0,0,IF(AY9=1,AW8,IF(AW8+AR9+AP9&gt;AO8,AO9-AP9-AR9,AW8)))</f>
        <v>875.2</v>
      </c>
      <c r="AR9" s="105">
        <f t="shared" ref="AR9:AR40" si="14">IF(AT9&gt;$D$29,$D$29-AP9,IF(AY9=0,0,AV9)+BN58)</f>
        <v>0</v>
      </c>
      <c r="AS9" s="105"/>
      <c r="AT9" s="105">
        <f>AP9+AU9</f>
        <v>1531.8</v>
      </c>
      <c r="AU9" s="105">
        <f>IF(AY9=0,0,0)</f>
        <v>0</v>
      </c>
      <c r="AV9" s="105">
        <f>IF(AY9=0,0,0)</f>
        <v>0</v>
      </c>
      <c r="AW9" s="105">
        <f t="shared" ref="AW9:AW46" si="15">IF(OR(AY9=1,AW8=0),0,AW8-AQ9)</f>
        <v>71755.8</v>
      </c>
      <c r="AX9" s="108">
        <f>C10</f>
        <v>48</v>
      </c>
      <c r="AY9" s="108">
        <f t="shared" ref="AY9:AY40" si="16">IF(ISERR(CEILING(FLOOR(NPER($D$19/12,-$AC$56,AW8),0.1),1))=TRUE,0,CEILING(FLOOR(NPER($D$19/12,-$AC$56,AW8),0.1),1))</f>
        <v>48</v>
      </c>
      <c r="AZ9" s="759">
        <f t="shared" si="3"/>
        <v>45346</v>
      </c>
      <c r="BA9" s="108">
        <f t="shared" ref="BA9:BA40" si="17">G9</f>
        <v>2407</v>
      </c>
      <c r="BC9" s="118">
        <f t="shared" si="4"/>
        <v>74162.8</v>
      </c>
      <c r="BM9" s="765" t="s">
        <v>424</v>
      </c>
      <c r="BN9" s="771" t="s">
        <v>425</v>
      </c>
      <c r="BO9" s="771" t="s">
        <v>426</v>
      </c>
    </row>
    <row r="10" spans="1:67" ht="16.5" customHeight="1" thickBot="1" x14ac:dyDescent="0.3">
      <c r="A10" s="929" t="s">
        <v>1</v>
      </c>
      <c r="B10" s="930"/>
      <c r="C10" s="619">
        <f>Оптимистичный!C10</f>
        <v>48</v>
      </c>
      <c r="D10" s="619">
        <f>C10</f>
        <v>48</v>
      </c>
      <c r="E10" s="767">
        <f>E9+1</f>
        <v>2</v>
      </c>
      <c r="F10" s="768">
        <f t="shared" si="5"/>
        <v>45375</v>
      </c>
      <c r="G10" s="24">
        <f t="shared" si="6"/>
        <v>2407</v>
      </c>
      <c r="H10" s="24">
        <f t="shared" si="7"/>
        <v>1415.65</v>
      </c>
      <c r="I10" s="24">
        <f>H10+I9</f>
        <v>2946.66</v>
      </c>
      <c r="J10" s="24">
        <f t="shared" ref="J10:J41" si="18">IF(E10=$C$10,MIN((I10-I10/$C$19*$C$23),Q9+H10-G9),0)</f>
        <v>0</v>
      </c>
      <c r="K10" s="24">
        <f t="shared" si="8"/>
        <v>991.34999999999991</v>
      </c>
      <c r="L10" s="24">
        <f t="shared" ref="L10:L41" si="19">IF(N10&gt;$C$29,$C$29-H10,IF(S10=0,0,O10))</f>
        <v>0</v>
      </c>
      <c r="M10" s="24">
        <f>O9-L9</f>
        <v>0</v>
      </c>
      <c r="N10" s="24">
        <f t="shared" ref="N10:N86" si="20">H10+O10</f>
        <v>1415.65</v>
      </c>
      <c r="O10" s="24">
        <f t="shared" ref="O10:O73" si="21">IF(S10=0,0,0)</f>
        <v>0</v>
      </c>
      <c r="P10" s="24">
        <f t="shared" ref="P10:P73" si="22">IF(S10=0,0,0)</f>
        <v>0</v>
      </c>
      <c r="Q10" s="24">
        <f t="shared" si="9"/>
        <v>73763.659999999989</v>
      </c>
      <c r="R10" s="36">
        <f>IF((R9-1)&lt;0,0,R9-1)</f>
        <v>47</v>
      </c>
      <c r="S10" s="36">
        <f t="shared" si="10"/>
        <v>47</v>
      </c>
      <c r="T10" s="15">
        <v>0.25900000000000001</v>
      </c>
      <c r="U10" s="15">
        <v>0.20899999999999999</v>
      </c>
      <c r="V10" s="15">
        <v>0.14899999999999999</v>
      </c>
      <c r="W10" s="15">
        <f t="shared" si="1"/>
        <v>0.23900000000000002</v>
      </c>
      <c r="X10" s="15">
        <f t="shared" si="1"/>
        <v>0.23900000000000002</v>
      </c>
      <c r="Y10" s="15"/>
      <c r="Z10" s="15"/>
      <c r="AA10" s="147">
        <f t="shared" si="2"/>
        <v>0.25900000000000001</v>
      </c>
      <c r="AB10" s="147">
        <f t="shared" si="0"/>
        <v>0.25900000000000001</v>
      </c>
      <c r="AC10" s="745"/>
      <c r="AD10" s="15"/>
      <c r="AE10" s="15"/>
      <c r="AF10" s="15"/>
      <c r="AG10" s="15"/>
      <c r="AH10" s="15"/>
      <c r="AI10" s="15"/>
      <c r="AJ10" s="15"/>
      <c r="AK10" s="15"/>
      <c r="AL10" s="130">
        <f t="shared" ref="AL10:AL74" si="23">IF(OR(AO10="",AO10=0),0,1)</f>
        <v>1</v>
      </c>
      <c r="AM10" s="769">
        <f>AM9+1</f>
        <v>2</v>
      </c>
      <c r="AN10" s="770">
        <f t="shared" si="11"/>
        <v>45375</v>
      </c>
      <c r="AO10" s="105">
        <f>IF(AND(E10&gt;=$T$14,E10&lt;=$T$14+5),$T$15,IF(AND(AW9+AR10+AP10&gt;AO9,AO9&lt;&gt;0),$D$29,IF(AW9=0,0,AW9+AR10+AP10+AP11)))</f>
        <v>2407</v>
      </c>
      <c r="AP10" s="105">
        <f t="shared" si="12"/>
        <v>1415.71</v>
      </c>
      <c r="AQ10" s="105">
        <f t="shared" si="13"/>
        <v>991.29</v>
      </c>
      <c r="AR10" s="105">
        <f t="shared" si="14"/>
        <v>0</v>
      </c>
      <c r="AS10" s="105">
        <f t="shared" ref="AS10:AS46" si="24">AU9-AR9</f>
        <v>0</v>
      </c>
      <c r="AT10" s="105">
        <f t="shared" ref="AT10:AT46" si="25">AP10+AU10</f>
        <v>1415.71</v>
      </c>
      <c r="AU10" s="105">
        <f t="shared" ref="AU10:AU46" si="26">IF(AY10=0,0,0)</f>
        <v>0</v>
      </c>
      <c r="AV10" s="105">
        <f t="shared" ref="AV10:AV46" si="27">IF(AY10=0,0,0)</f>
        <v>0</v>
      </c>
      <c r="AW10" s="105">
        <f t="shared" si="15"/>
        <v>70764.510000000009</v>
      </c>
      <c r="AX10" s="108">
        <f>IF((AX9-1)&lt;0,0,AX9-1)</f>
        <v>47</v>
      </c>
      <c r="AY10" s="108">
        <f t="shared" si="16"/>
        <v>47</v>
      </c>
      <c r="AZ10" s="759">
        <f t="shared" si="3"/>
        <v>45375</v>
      </c>
      <c r="BA10" s="108">
        <f t="shared" si="17"/>
        <v>2407</v>
      </c>
      <c r="BC10" s="118">
        <f t="shared" si="4"/>
        <v>73171.510000000009</v>
      </c>
      <c r="BD10" s="830" t="s">
        <v>90</v>
      </c>
      <c r="BE10" s="828" t="s">
        <v>85</v>
      </c>
      <c r="BF10" s="129" t="s">
        <v>84</v>
      </c>
      <c r="BM10" s="620"/>
      <c r="BN10" s="620"/>
      <c r="BO10" s="620"/>
    </row>
    <row r="11" spans="1:67" ht="16.5" customHeight="1" thickBot="1" x14ac:dyDescent="0.3">
      <c r="A11" s="935" t="s">
        <v>427</v>
      </c>
      <c r="B11" s="621" t="s">
        <v>102</v>
      </c>
      <c r="C11" s="619" t="str">
        <f>Оптимистичный!C14</f>
        <v>Да</v>
      </c>
      <c r="D11" s="619" t="str">
        <f>C11</f>
        <v>Да</v>
      </c>
      <c r="E11" s="767">
        <f>E10+1</f>
        <v>3</v>
      </c>
      <c r="F11" s="768">
        <f t="shared" si="5"/>
        <v>45406</v>
      </c>
      <c r="G11" s="24">
        <f t="shared" si="6"/>
        <v>2407</v>
      </c>
      <c r="H11" s="24">
        <f t="shared" si="7"/>
        <v>1493.21</v>
      </c>
      <c r="I11" s="24">
        <f t="shared" ref="I11:I74" si="28">H11+I10</f>
        <v>4439.87</v>
      </c>
      <c r="J11" s="24">
        <f t="shared" si="18"/>
        <v>0</v>
      </c>
      <c r="K11" s="24">
        <f t="shared" si="8"/>
        <v>913.79</v>
      </c>
      <c r="L11" s="24">
        <f t="shared" si="19"/>
        <v>0</v>
      </c>
      <c r="M11" s="24">
        <f>O10-L10</f>
        <v>0</v>
      </c>
      <c r="N11" s="24">
        <f t="shared" si="20"/>
        <v>1493.21</v>
      </c>
      <c r="O11" s="24">
        <f t="shared" si="21"/>
        <v>0</v>
      </c>
      <c r="P11" s="24">
        <f t="shared" si="22"/>
        <v>0</v>
      </c>
      <c r="Q11" s="24">
        <f t="shared" si="9"/>
        <v>72849.87</v>
      </c>
      <c r="R11" s="36">
        <f>IF((R10-1)&lt;0,0,R10-1)</f>
        <v>46</v>
      </c>
      <c r="S11" s="36">
        <f t="shared" si="10"/>
        <v>46</v>
      </c>
      <c r="T11" s="15">
        <v>0.26900000000000002</v>
      </c>
      <c r="U11" s="15">
        <v>0.219</v>
      </c>
      <c r="V11" s="15">
        <v>0.159</v>
      </c>
      <c r="W11" s="15">
        <f t="shared" si="1"/>
        <v>0.24900000000000003</v>
      </c>
      <c r="X11" s="15">
        <f t="shared" si="1"/>
        <v>0.24900000000000003</v>
      </c>
      <c r="Y11" s="15">
        <v>0.11899999999999999</v>
      </c>
      <c r="Z11" s="15"/>
      <c r="AA11" s="147">
        <f t="shared" si="2"/>
        <v>0.26900000000000002</v>
      </c>
      <c r="AB11" s="147">
        <f t="shared" si="0"/>
        <v>0.26900000000000002</v>
      </c>
      <c r="AC11" s="745"/>
      <c r="AD11" s="15"/>
      <c r="AE11" s="15"/>
      <c r="AF11" s="15"/>
      <c r="AG11" s="15"/>
      <c r="AH11" s="15"/>
      <c r="AI11" s="15"/>
      <c r="AJ11" s="3"/>
      <c r="AK11" s="3"/>
      <c r="AL11" s="130">
        <f t="shared" si="23"/>
        <v>1</v>
      </c>
      <c r="AM11" s="769">
        <f>AM10+1</f>
        <v>3</v>
      </c>
      <c r="AN11" s="770">
        <f t="shared" si="11"/>
        <v>45406</v>
      </c>
      <c r="AO11" s="105">
        <f>IF(AX10=1,AR11+AP11+AQ11,IF(AW10+AR11+AP11&gt;AO10,$D$29,IF(AW10=0,0,AW10+AR11+AP11+AP42)))</f>
        <v>2407</v>
      </c>
      <c r="AP11" s="105">
        <f t="shared" si="12"/>
        <v>1492.44</v>
      </c>
      <c r="AQ11" s="105">
        <f t="shared" si="13"/>
        <v>914.56</v>
      </c>
      <c r="AR11" s="105">
        <f t="shared" si="14"/>
        <v>0</v>
      </c>
      <c r="AS11" s="105">
        <f t="shared" si="24"/>
        <v>0</v>
      </c>
      <c r="AT11" s="105">
        <f t="shared" si="25"/>
        <v>1492.44</v>
      </c>
      <c r="AU11" s="105">
        <f t="shared" si="26"/>
        <v>0</v>
      </c>
      <c r="AV11" s="105">
        <f t="shared" si="27"/>
        <v>0</v>
      </c>
      <c r="AW11" s="105">
        <f t="shared" si="15"/>
        <v>69849.950000000012</v>
      </c>
      <c r="AX11" s="108">
        <f>IF((AX10-1)&lt;0,0,AX10-1)</f>
        <v>46</v>
      </c>
      <c r="AY11" s="108">
        <f t="shared" si="16"/>
        <v>46</v>
      </c>
      <c r="AZ11" s="759">
        <f t="shared" si="3"/>
        <v>45406</v>
      </c>
      <c r="BA11" s="108">
        <f t="shared" si="17"/>
        <v>2407</v>
      </c>
      <c r="BC11" s="118">
        <f t="shared" si="4"/>
        <v>72256.950000000012</v>
      </c>
      <c r="BD11" s="831"/>
      <c r="BE11" s="829"/>
      <c r="BF11" s="737" t="s">
        <v>91</v>
      </c>
      <c r="BM11" s="899" t="s">
        <v>428</v>
      </c>
      <c r="BN11" s="900"/>
      <c r="BO11" s="901"/>
    </row>
    <row r="12" spans="1:67" ht="16.5" customHeight="1" thickBot="1" x14ac:dyDescent="0.3">
      <c r="A12" s="936"/>
      <c r="B12" s="621" t="s">
        <v>105</v>
      </c>
      <c r="C12" s="623">
        <f>Оптимистичный!C15</f>
        <v>4999</v>
      </c>
      <c r="D12" s="623">
        <f>C12</f>
        <v>4999</v>
      </c>
      <c r="E12" s="767">
        <f t="shared" ref="E12:E75" si="29">E11+1</f>
        <v>4</v>
      </c>
      <c r="F12" s="768">
        <f t="shared" si="5"/>
        <v>45436</v>
      </c>
      <c r="G12" s="24">
        <f t="shared" si="6"/>
        <v>2407</v>
      </c>
      <c r="H12" s="24">
        <f t="shared" si="7"/>
        <v>1427.14</v>
      </c>
      <c r="I12" s="24">
        <f t="shared" si="28"/>
        <v>5867.01</v>
      </c>
      <c r="J12" s="24">
        <f t="shared" si="18"/>
        <v>0</v>
      </c>
      <c r="K12" s="24">
        <f t="shared" si="8"/>
        <v>979.8599999999999</v>
      </c>
      <c r="L12" s="24">
        <f t="shared" si="19"/>
        <v>0</v>
      </c>
      <c r="M12" s="24">
        <f t="shared" ref="M12:M86" si="30">O11-L11</f>
        <v>0</v>
      </c>
      <c r="N12" s="24">
        <f t="shared" si="20"/>
        <v>1427.14</v>
      </c>
      <c r="O12" s="24">
        <f t="shared" si="21"/>
        <v>0</v>
      </c>
      <c r="P12" s="24">
        <f t="shared" si="22"/>
        <v>0</v>
      </c>
      <c r="Q12" s="24">
        <f t="shared" si="9"/>
        <v>71870.009999999995</v>
      </c>
      <c r="R12" s="36">
        <f t="shared" ref="R12:R75" si="31">IF((R11-1)&lt;0,0,R11-1)</f>
        <v>45</v>
      </c>
      <c r="S12" s="36">
        <f t="shared" si="10"/>
        <v>45</v>
      </c>
      <c r="T12" s="15">
        <v>0.29899999999999999</v>
      </c>
      <c r="U12" s="15">
        <v>0.22900000000000001</v>
      </c>
      <c r="V12" s="15">
        <v>0.16900000000000001</v>
      </c>
      <c r="W12" s="15">
        <v>0.29899999999999999</v>
      </c>
      <c r="X12" s="15">
        <v>0.29899999999999999</v>
      </c>
      <c r="Y12" s="15"/>
      <c r="Z12" s="15"/>
      <c r="AA12" s="147">
        <f>IF(OR($C$8="Гарантия стандарт",$C$8="Гарантия пакет"),Y12,T12)</f>
        <v>0.29899999999999999</v>
      </c>
      <c r="AB12" s="147">
        <f t="shared" si="0"/>
        <v>0.29899999999999999</v>
      </c>
      <c r="AC12" s="745"/>
      <c r="AD12" s="15"/>
      <c r="AE12" s="15"/>
      <c r="AF12" s="15"/>
      <c r="AG12" s="15"/>
      <c r="AH12" s="15"/>
      <c r="AI12" s="15"/>
      <c r="AK12" s="57"/>
      <c r="AL12" s="130">
        <f t="shared" si="23"/>
        <v>1</v>
      </c>
      <c r="AM12" s="769">
        <f t="shared" ref="AM12:AM75" si="32">AM11+1</f>
        <v>4</v>
      </c>
      <c r="AN12" s="770">
        <f t="shared" si="11"/>
        <v>45436</v>
      </c>
      <c r="AO12" s="105">
        <f>IF(AX11=1,AR12+AP12+AQ12,IF(AW11+AR12+AP12&gt;AO11,$D$29,IF(AW11=0,0,AW11+AR12+AP12+AP43)))</f>
        <v>2407</v>
      </c>
      <c r="AP12" s="105">
        <f t="shared" si="12"/>
        <v>1425.63</v>
      </c>
      <c r="AQ12" s="105">
        <f t="shared" si="13"/>
        <v>981.36999999999989</v>
      </c>
      <c r="AR12" s="105">
        <f t="shared" si="14"/>
        <v>0</v>
      </c>
      <c r="AS12" s="105">
        <f t="shared" si="24"/>
        <v>0</v>
      </c>
      <c r="AT12" s="105">
        <f t="shared" si="25"/>
        <v>1425.63</v>
      </c>
      <c r="AU12" s="105">
        <f t="shared" si="26"/>
        <v>0</v>
      </c>
      <c r="AV12" s="105">
        <f t="shared" si="27"/>
        <v>0</v>
      </c>
      <c r="AW12" s="105">
        <f t="shared" si="15"/>
        <v>68868.580000000016</v>
      </c>
      <c r="AX12" s="108">
        <f t="shared" ref="AX12:AX75" si="33">IF((AX11-1)&lt;0,0,AX11-1)</f>
        <v>45</v>
      </c>
      <c r="AY12" s="108">
        <f t="shared" si="16"/>
        <v>45</v>
      </c>
      <c r="AZ12" s="759">
        <f t="shared" si="3"/>
        <v>45436</v>
      </c>
      <c r="BA12" s="108">
        <f t="shared" si="17"/>
        <v>2407</v>
      </c>
      <c r="BC12" s="118">
        <f t="shared" si="4"/>
        <v>71275.580000000016</v>
      </c>
      <c r="BM12" s="756" t="s">
        <v>418</v>
      </c>
      <c r="BN12" s="757" t="s">
        <v>419</v>
      </c>
      <c r="BO12" s="757" t="s">
        <v>420</v>
      </c>
    </row>
    <row r="13" spans="1:67" ht="16.5" customHeight="1" thickBot="1" x14ac:dyDescent="0.3">
      <c r="A13" s="904" t="str">
        <f>IF(AND(C8=AD60,C10&gt;47),"Ошибка: при указанном сроке нужна страховка ОПТИ_ПакетБВ+ГС_48",IF(AND(C8=AE60,C10&lt;48),"Ошибка: при указанном сроке нужна страховка ОПТИ_ПакетБВ+ГС_36",""))</f>
        <v>Ошибка: при указанном сроке нужна страховка ОПТИ_ПакетБВ+ГС_48</v>
      </c>
      <c r="B13" s="904"/>
      <c r="C13" s="904"/>
      <c r="D13" s="904"/>
      <c r="E13" s="767">
        <f>E12+1</f>
        <v>5</v>
      </c>
      <c r="F13" s="768">
        <f t="shared" si="5"/>
        <v>45467</v>
      </c>
      <c r="G13" s="24">
        <f t="shared" si="6"/>
        <v>2407</v>
      </c>
      <c r="H13" s="24">
        <f t="shared" si="7"/>
        <v>1454.88</v>
      </c>
      <c r="I13" s="24">
        <f t="shared" si="28"/>
        <v>7321.89</v>
      </c>
      <c r="J13" s="24">
        <f t="shared" si="18"/>
        <v>0</v>
      </c>
      <c r="K13" s="24">
        <f t="shared" si="8"/>
        <v>952.11999999999989</v>
      </c>
      <c r="L13" s="24">
        <f t="shared" si="19"/>
        <v>0</v>
      </c>
      <c r="M13" s="24">
        <f t="shared" si="30"/>
        <v>0</v>
      </c>
      <c r="N13" s="24">
        <f t="shared" si="20"/>
        <v>1454.88</v>
      </c>
      <c r="O13" s="24">
        <f t="shared" si="21"/>
        <v>0</v>
      </c>
      <c r="P13" s="24">
        <f t="shared" si="22"/>
        <v>0</v>
      </c>
      <c r="Q13" s="24">
        <f t="shared" si="9"/>
        <v>70917.89</v>
      </c>
      <c r="R13" s="36">
        <f>IF((R12-1)&lt;0,0,R12-1)</f>
        <v>44</v>
      </c>
      <c r="S13" s="36">
        <f t="shared" si="10"/>
        <v>44</v>
      </c>
      <c r="T13" s="15"/>
      <c r="U13" s="15">
        <f>IF($C$17=$T$8,U8,IF($C$17=$T$9,U9,IF($C$17=$T$10,U10,IF($C$17=$T$11,U11,U12))))</f>
        <v>0.22900000000000001</v>
      </c>
      <c r="V13" s="15">
        <f>IF($C$17=$T$8,V8,IF($C$17=$T$9,V9,IF($C$17=$T$10,V10,IF($C$17=$T$11,V11,V12))))</f>
        <v>0.16900000000000001</v>
      </c>
      <c r="W13" s="15"/>
      <c r="X13" s="15"/>
      <c r="Y13" s="15"/>
      <c r="Z13" s="15"/>
      <c r="AA13" s="62">
        <f>INDEX(AA4:AA12,MATCH(C17,$T$4:$T$12,0))</f>
        <v>0.29899999999999999</v>
      </c>
      <c r="AB13" s="62">
        <f>INDEX(AB4:AB12,MATCH(D17,$T$4:$T$12,0))</f>
        <v>0.29899999999999999</v>
      </c>
      <c r="AC13" s="745"/>
      <c r="AD13" s="15"/>
      <c r="AE13" s="15"/>
      <c r="AF13" s="15"/>
      <c r="AG13" s="15"/>
      <c r="AH13" s="15"/>
      <c r="AI13" s="15"/>
      <c r="AL13" s="130">
        <f t="shared" si="23"/>
        <v>1</v>
      </c>
      <c r="AM13" s="773">
        <f>AM12+1</f>
        <v>5</v>
      </c>
      <c r="AN13" s="774">
        <f t="shared" si="11"/>
        <v>45467</v>
      </c>
      <c r="AO13" s="105">
        <f>IF(AX12=1,AR13+AP13+AQ13,IF(AW12+AR13+AP13&gt;AO12,$D$29,IF(AW12=0,0,AW12+AR13+AP13+AP44)))</f>
        <v>2407</v>
      </c>
      <c r="AP13" s="105">
        <f t="shared" si="12"/>
        <v>1452.45</v>
      </c>
      <c r="AQ13" s="105">
        <f t="shared" si="13"/>
        <v>954.55</v>
      </c>
      <c r="AR13" s="105">
        <f t="shared" si="14"/>
        <v>0</v>
      </c>
      <c r="AS13" s="105">
        <f t="shared" si="24"/>
        <v>0</v>
      </c>
      <c r="AT13" s="105">
        <f t="shared" si="25"/>
        <v>1452.45</v>
      </c>
      <c r="AU13" s="105">
        <f t="shared" si="26"/>
        <v>0</v>
      </c>
      <c r="AV13" s="105">
        <f t="shared" si="27"/>
        <v>0</v>
      </c>
      <c r="AW13" s="105">
        <f t="shared" si="15"/>
        <v>67914.030000000013</v>
      </c>
      <c r="AX13" s="108">
        <f>IF((AX12-1)&lt;0,0,AX12-1)</f>
        <v>44</v>
      </c>
      <c r="AY13" s="108">
        <f t="shared" si="16"/>
        <v>44</v>
      </c>
      <c r="AZ13" s="759">
        <f t="shared" si="3"/>
        <v>45467</v>
      </c>
      <c r="BA13" s="108">
        <f t="shared" si="17"/>
        <v>2407</v>
      </c>
      <c r="BC13" s="118">
        <f t="shared" si="4"/>
        <v>70321.030000000013</v>
      </c>
      <c r="BD13" s="830" t="s">
        <v>92</v>
      </c>
      <c r="BE13" s="828" t="s">
        <v>85</v>
      </c>
      <c r="BF13" s="129" t="s">
        <v>90</v>
      </c>
      <c r="BM13" s="765" t="s">
        <v>360</v>
      </c>
      <c r="BN13" s="766" t="s">
        <v>423</v>
      </c>
      <c r="BO13" s="766" t="s">
        <v>429</v>
      </c>
    </row>
    <row r="14" spans="1:67" ht="19.5" customHeight="1" thickBot="1" x14ac:dyDescent="0.3">
      <c r="A14" s="905"/>
      <c r="B14" s="905"/>
      <c r="C14" s="905"/>
      <c r="D14" s="905"/>
      <c r="E14" s="767">
        <f>E13+1</f>
        <v>6</v>
      </c>
      <c r="F14" s="768">
        <f t="shared" si="5"/>
        <v>45497</v>
      </c>
      <c r="G14" s="24">
        <f t="shared" si="6"/>
        <v>2407</v>
      </c>
      <c r="H14" s="24">
        <f t="shared" si="7"/>
        <v>1389.29</v>
      </c>
      <c r="I14" s="24">
        <f t="shared" si="28"/>
        <v>8711.18</v>
      </c>
      <c r="J14" s="24">
        <f t="shared" si="18"/>
        <v>0</v>
      </c>
      <c r="K14" s="24">
        <f t="shared" si="8"/>
        <v>1017.71</v>
      </c>
      <c r="L14" s="24">
        <f t="shared" si="19"/>
        <v>0</v>
      </c>
      <c r="M14" s="24">
        <f>O13-L13</f>
        <v>0</v>
      </c>
      <c r="N14" s="24">
        <f t="shared" si="20"/>
        <v>1389.29</v>
      </c>
      <c r="O14" s="24">
        <f t="shared" si="21"/>
        <v>0</v>
      </c>
      <c r="P14" s="24">
        <f t="shared" si="22"/>
        <v>0</v>
      </c>
      <c r="Q14" s="24">
        <f t="shared" si="9"/>
        <v>69900.179999999993</v>
      </c>
      <c r="R14" s="36">
        <f>IF((R13-1)&lt;0,0,R13-1)</f>
        <v>43</v>
      </c>
      <c r="S14" s="36">
        <f t="shared" si="10"/>
        <v>43</v>
      </c>
      <c r="T14" s="130">
        <f>IF(OR($C$8="Нет",$D$14&lt;1),100000,D14)</f>
        <v>100000</v>
      </c>
      <c r="U14" s="15"/>
      <c r="V14" s="15"/>
      <c r="W14" s="15"/>
      <c r="X14" s="15"/>
      <c r="Y14" s="15"/>
      <c r="Z14" s="15"/>
      <c r="AA14" s="15">
        <f>IF(OR(C$8="Гарантия стандарт",C$8="Гарантия пакет"),AA13,C19)</f>
        <v>0.23899999999999999</v>
      </c>
      <c r="AB14" s="15">
        <f>D19</f>
        <v>0.249</v>
      </c>
      <c r="AC14" s="745"/>
      <c r="AD14" s="15"/>
      <c r="AE14" s="15"/>
      <c r="AF14" s="15"/>
      <c r="AG14" s="15"/>
      <c r="AH14" s="15"/>
      <c r="AI14" s="15"/>
      <c r="AK14" s="57"/>
      <c r="AL14" s="130">
        <f t="shared" si="23"/>
        <v>1</v>
      </c>
      <c r="AM14" s="769">
        <f>AM13+1</f>
        <v>6</v>
      </c>
      <c r="AN14" s="770">
        <f t="shared" si="11"/>
        <v>45497</v>
      </c>
      <c r="AO14" s="105">
        <f>IF(AX13=1,AR14+AP14+AQ14,IF(AW13+AR14+AP14&gt;AO13,$D$29,IF(AW13=0,0,AW13+AR14+AP14+AP45)))</f>
        <v>2407</v>
      </c>
      <c r="AP14" s="105">
        <f t="shared" si="12"/>
        <v>1386.11</v>
      </c>
      <c r="AQ14" s="105">
        <f t="shared" si="13"/>
        <v>1020.8900000000001</v>
      </c>
      <c r="AR14" s="105">
        <f t="shared" si="14"/>
        <v>0</v>
      </c>
      <c r="AS14" s="105">
        <f t="shared" si="24"/>
        <v>0</v>
      </c>
      <c r="AT14" s="105">
        <f t="shared" si="25"/>
        <v>1386.11</v>
      </c>
      <c r="AU14" s="105">
        <f t="shared" si="26"/>
        <v>0</v>
      </c>
      <c r="AV14" s="105">
        <f t="shared" si="27"/>
        <v>0</v>
      </c>
      <c r="AW14" s="105">
        <f t="shared" si="15"/>
        <v>66893.140000000014</v>
      </c>
      <c r="AX14" s="108">
        <f>IF((AX13-1)&lt;0,0,AX13-1)</f>
        <v>43</v>
      </c>
      <c r="AY14" s="108">
        <f t="shared" si="16"/>
        <v>43</v>
      </c>
      <c r="AZ14" s="759">
        <f t="shared" si="3"/>
        <v>45497</v>
      </c>
      <c r="BA14" s="108">
        <f t="shared" si="17"/>
        <v>2407</v>
      </c>
      <c r="BC14" s="118">
        <f t="shared" si="4"/>
        <v>69300.140000000014</v>
      </c>
      <c r="BD14" s="831"/>
      <c r="BE14" s="829"/>
      <c r="BF14" s="737" t="s">
        <v>93</v>
      </c>
      <c r="BM14" s="765" t="s">
        <v>424</v>
      </c>
      <c r="BN14" s="771" t="s">
        <v>426</v>
      </c>
      <c r="BO14" s="771" t="s">
        <v>431</v>
      </c>
    </row>
    <row r="15" spans="1:67" ht="33" customHeight="1" thickBot="1" x14ac:dyDescent="0.3">
      <c r="A15" s="905"/>
      <c r="B15" s="905"/>
      <c r="C15" s="905"/>
      <c r="D15" s="905"/>
      <c r="E15" s="767">
        <f t="shared" si="29"/>
        <v>7</v>
      </c>
      <c r="F15" s="768">
        <f t="shared" si="5"/>
        <v>45528</v>
      </c>
      <c r="G15" s="24">
        <f t="shared" si="6"/>
        <v>2407</v>
      </c>
      <c r="H15" s="24">
        <f t="shared" si="7"/>
        <v>1415</v>
      </c>
      <c r="I15" s="24">
        <f t="shared" si="28"/>
        <v>10126.18</v>
      </c>
      <c r="J15" s="24">
        <f t="shared" si="18"/>
        <v>0</v>
      </c>
      <c r="K15" s="24">
        <f t="shared" si="8"/>
        <v>992</v>
      </c>
      <c r="L15" s="24">
        <f t="shared" si="19"/>
        <v>0</v>
      </c>
      <c r="M15" s="24">
        <f t="shared" si="30"/>
        <v>0</v>
      </c>
      <c r="N15" s="24">
        <f t="shared" si="20"/>
        <v>1415</v>
      </c>
      <c r="O15" s="24">
        <f t="shared" si="21"/>
        <v>0</v>
      </c>
      <c r="P15" s="24">
        <f t="shared" si="22"/>
        <v>0</v>
      </c>
      <c r="Q15" s="24">
        <f t="shared" si="9"/>
        <v>68908.179999999993</v>
      </c>
      <c r="R15" s="36">
        <f t="shared" si="31"/>
        <v>42</v>
      </c>
      <c r="S15" s="36">
        <f t="shared" si="10"/>
        <v>43</v>
      </c>
      <c r="T15" s="54">
        <f>ROUND(Q8*0.5%,-2)</f>
        <v>400</v>
      </c>
      <c r="U15" s="54">
        <f>ROUND(Q8*0.5%,0)</f>
        <v>378</v>
      </c>
      <c r="V15" s="15"/>
      <c r="W15" s="585">
        <v>219120</v>
      </c>
      <c r="X15" s="15"/>
      <c r="Y15" s="15"/>
      <c r="Z15" s="15"/>
      <c r="AA15" s="15" t="str">
        <f>IF(OR(C8="Гарантия стандарт",C8="Гарантия плюс",C8="Гарантия пакет"),AA13,"")</f>
        <v/>
      </c>
      <c r="AB15" s="15" t="str">
        <f>IF(OR(D8="Гарантия стандарт",D8="Гарантия плюс",D8="Гарантия пакет"),AB13,"")</f>
        <v/>
      </c>
      <c r="AC15" s="745"/>
      <c r="AD15" s="15"/>
      <c r="AE15" s="15"/>
      <c r="AF15" s="15"/>
      <c r="AG15" s="15"/>
      <c r="AH15" s="15"/>
      <c r="AI15" s="15"/>
      <c r="AL15" s="130">
        <f t="shared" si="23"/>
        <v>1</v>
      </c>
      <c r="AM15" s="769">
        <f t="shared" si="32"/>
        <v>7</v>
      </c>
      <c r="AN15" s="770">
        <f t="shared" si="11"/>
        <v>45528</v>
      </c>
      <c r="AO15" s="105">
        <f>IF(AX14=1,AR15+AP15+AQ15,IF(AW14+AR15+AP15&gt;AO14,$D$29,IF(AW14=0,0,AW14+AR15+AP15+AP46)))</f>
        <v>2407</v>
      </c>
      <c r="AP15" s="105">
        <f t="shared" si="12"/>
        <v>1410.79</v>
      </c>
      <c r="AQ15" s="105">
        <f t="shared" si="13"/>
        <v>996.21</v>
      </c>
      <c r="AR15" s="105">
        <f t="shared" si="14"/>
        <v>0</v>
      </c>
      <c r="AS15" s="105">
        <f t="shared" si="24"/>
        <v>0</v>
      </c>
      <c r="AT15" s="105">
        <f t="shared" si="25"/>
        <v>1410.79</v>
      </c>
      <c r="AU15" s="105">
        <f t="shared" si="26"/>
        <v>0</v>
      </c>
      <c r="AV15" s="105">
        <f t="shared" si="27"/>
        <v>0</v>
      </c>
      <c r="AW15" s="105">
        <f t="shared" si="15"/>
        <v>65896.930000000008</v>
      </c>
      <c r="AX15" s="108">
        <f t="shared" si="33"/>
        <v>42</v>
      </c>
      <c r="AY15" s="108">
        <f t="shared" si="16"/>
        <v>42</v>
      </c>
      <c r="AZ15" s="759">
        <f t="shared" si="3"/>
        <v>45528</v>
      </c>
      <c r="BA15" s="108">
        <f t="shared" si="17"/>
        <v>2407</v>
      </c>
      <c r="BC15" s="118">
        <f t="shared" si="4"/>
        <v>68303.930000000008</v>
      </c>
      <c r="BM15" s="620"/>
      <c r="BN15" s="620"/>
      <c r="BO15" s="620"/>
    </row>
    <row r="16" spans="1:67" ht="16.5" customHeight="1" thickBot="1" x14ac:dyDescent="0.3">
      <c r="A16" s="906"/>
      <c r="B16" s="906"/>
      <c r="C16" s="906"/>
      <c r="D16" s="906"/>
      <c r="E16" s="767">
        <f t="shared" si="29"/>
        <v>8</v>
      </c>
      <c r="F16" s="768">
        <f t="shared" si="5"/>
        <v>45559</v>
      </c>
      <c r="G16" s="24">
        <f t="shared" si="6"/>
        <v>2407</v>
      </c>
      <c r="H16" s="24">
        <f t="shared" si="7"/>
        <v>1394.92</v>
      </c>
      <c r="I16" s="24">
        <f t="shared" si="28"/>
        <v>11521.1</v>
      </c>
      <c r="J16" s="24">
        <f t="shared" si="18"/>
        <v>0</v>
      </c>
      <c r="K16" s="24">
        <f t="shared" si="8"/>
        <v>1012.0799999999999</v>
      </c>
      <c r="L16" s="24">
        <f t="shared" si="19"/>
        <v>0</v>
      </c>
      <c r="M16" s="24">
        <f t="shared" si="30"/>
        <v>0</v>
      </c>
      <c r="N16" s="24">
        <f t="shared" si="20"/>
        <v>1394.92</v>
      </c>
      <c r="O16" s="24">
        <f t="shared" si="21"/>
        <v>0</v>
      </c>
      <c r="P16" s="24">
        <f t="shared" si="22"/>
        <v>0</v>
      </c>
      <c r="Q16" s="24">
        <f t="shared" si="9"/>
        <v>67896.099999999991</v>
      </c>
      <c r="R16" s="36">
        <f t="shared" si="31"/>
        <v>41</v>
      </c>
      <c r="S16" s="36">
        <f t="shared" si="10"/>
        <v>42</v>
      </c>
      <c r="T16" s="15">
        <v>0.04</v>
      </c>
      <c r="U16" s="15"/>
      <c r="V16" s="15"/>
      <c r="W16" s="15"/>
      <c r="X16" s="15"/>
      <c r="Y16" s="15"/>
      <c r="Z16" s="15"/>
      <c r="AA16" s="15"/>
      <c r="AB16" s="15"/>
      <c r="AC16" s="745"/>
      <c r="AD16" s="15"/>
      <c r="AE16" s="15"/>
      <c r="AF16" s="15"/>
      <c r="AG16" s="15"/>
      <c r="AH16" s="15"/>
      <c r="AI16" s="15"/>
      <c r="AL16" s="130">
        <f t="shared" si="23"/>
        <v>1</v>
      </c>
      <c r="AM16" s="769">
        <f t="shared" si="32"/>
        <v>8</v>
      </c>
      <c r="AN16" s="770">
        <f t="shared" si="11"/>
        <v>45559</v>
      </c>
      <c r="AO16" s="105">
        <f t="shared" ref="AO16:AO47" si="34">IF(AX15=1,AR16+AP16+AQ16,IF(AW15+AR16+AP16&gt;AO15,$D$29,IF(AW15=0,0,AW15+AR16+AP16+AP48)))</f>
        <v>2407</v>
      </c>
      <c r="AP16" s="105">
        <f t="shared" si="12"/>
        <v>1389.78</v>
      </c>
      <c r="AQ16" s="105">
        <f t="shared" si="13"/>
        <v>1017.22</v>
      </c>
      <c r="AR16" s="105">
        <f t="shared" si="14"/>
        <v>0</v>
      </c>
      <c r="AS16" s="105">
        <f t="shared" si="24"/>
        <v>0</v>
      </c>
      <c r="AT16" s="105">
        <f t="shared" si="25"/>
        <v>1389.78</v>
      </c>
      <c r="AU16" s="105">
        <f t="shared" si="26"/>
        <v>0</v>
      </c>
      <c r="AV16" s="105">
        <f t="shared" si="27"/>
        <v>0</v>
      </c>
      <c r="AW16" s="105">
        <f t="shared" si="15"/>
        <v>64879.710000000006</v>
      </c>
      <c r="AX16" s="108">
        <f t="shared" si="33"/>
        <v>41</v>
      </c>
      <c r="AY16" s="108">
        <f t="shared" si="16"/>
        <v>41</v>
      </c>
      <c r="AZ16" s="759">
        <f t="shared" si="3"/>
        <v>45559</v>
      </c>
      <c r="BA16" s="108">
        <f t="shared" si="17"/>
        <v>2407</v>
      </c>
      <c r="BC16" s="118">
        <f t="shared" si="4"/>
        <v>67286.710000000006</v>
      </c>
      <c r="BD16" s="575" t="s">
        <v>368</v>
      </c>
      <c r="BE16" s="571" t="s">
        <v>369</v>
      </c>
      <c r="BF16" s="576" t="s">
        <v>370</v>
      </c>
      <c r="BM16" s="899" t="s">
        <v>432</v>
      </c>
      <c r="BN16" s="900"/>
      <c r="BO16" s="901"/>
    </row>
    <row r="17" spans="1:383" ht="16.5" customHeight="1" thickBot="1" x14ac:dyDescent="0.3">
      <c r="A17" s="920" t="s">
        <v>433</v>
      </c>
      <c r="B17" s="921"/>
      <c r="C17" s="630">
        <f>Оптимистичный!D11</f>
        <v>0.29899999999999999</v>
      </c>
      <c r="D17" s="630">
        <f>C17</f>
        <v>0.29899999999999999</v>
      </c>
      <c r="E17" s="767">
        <f t="shared" si="29"/>
        <v>9</v>
      </c>
      <c r="F17" s="768">
        <f t="shared" si="5"/>
        <v>45589</v>
      </c>
      <c r="G17" s="24">
        <f t="shared" si="6"/>
        <v>2407</v>
      </c>
      <c r="H17" s="24">
        <f t="shared" si="7"/>
        <v>1330.1</v>
      </c>
      <c r="I17" s="24">
        <f t="shared" si="28"/>
        <v>12851.2</v>
      </c>
      <c r="J17" s="24">
        <f t="shared" si="18"/>
        <v>0</v>
      </c>
      <c r="K17" s="24">
        <f t="shared" si="8"/>
        <v>1076.9000000000001</v>
      </c>
      <c r="L17" s="24">
        <f t="shared" si="19"/>
        <v>0</v>
      </c>
      <c r="M17" s="24">
        <f t="shared" si="30"/>
        <v>0</v>
      </c>
      <c r="N17" s="24">
        <f t="shared" si="20"/>
        <v>1330.1</v>
      </c>
      <c r="O17" s="24">
        <f t="shared" si="21"/>
        <v>0</v>
      </c>
      <c r="P17" s="24">
        <f t="shared" si="22"/>
        <v>0</v>
      </c>
      <c r="Q17" s="24">
        <f t="shared" si="9"/>
        <v>66819.199999999997</v>
      </c>
      <c r="R17" s="36">
        <f t="shared" si="31"/>
        <v>40</v>
      </c>
      <c r="S17" s="36">
        <f t="shared" si="10"/>
        <v>41</v>
      </c>
      <c r="T17" s="64">
        <f>Z81/100</f>
        <v>600</v>
      </c>
      <c r="U17" s="15"/>
      <c r="V17" s="15"/>
      <c r="W17" s="15"/>
      <c r="X17" s="15"/>
      <c r="Y17" s="15"/>
      <c r="Z17" s="15"/>
      <c r="AA17" s="15"/>
      <c r="AB17" s="15"/>
      <c r="AC17" s="745"/>
      <c r="AD17" s="15"/>
      <c r="AE17" s="15"/>
      <c r="AF17" s="15"/>
      <c r="AG17" s="15"/>
      <c r="AH17" s="15"/>
      <c r="AI17" s="15"/>
      <c r="AL17" s="130">
        <f t="shared" si="23"/>
        <v>1</v>
      </c>
      <c r="AM17" s="769">
        <f t="shared" si="32"/>
        <v>9</v>
      </c>
      <c r="AN17" s="770">
        <f t="shared" si="11"/>
        <v>45589</v>
      </c>
      <c r="AO17" s="105">
        <f t="shared" si="34"/>
        <v>2407</v>
      </c>
      <c r="AP17" s="105">
        <f t="shared" si="12"/>
        <v>1324.18</v>
      </c>
      <c r="AQ17" s="105">
        <f t="shared" si="13"/>
        <v>1082.82</v>
      </c>
      <c r="AR17" s="105">
        <f t="shared" si="14"/>
        <v>0</v>
      </c>
      <c r="AS17" s="105">
        <f t="shared" si="24"/>
        <v>0</v>
      </c>
      <c r="AT17" s="105">
        <f t="shared" si="25"/>
        <v>1324.18</v>
      </c>
      <c r="AU17" s="105">
        <f t="shared" si="26"/>
        <v>0</v>
      </c>
      <c r="AV17" s="105">
        <f t="shared" si="27"/>
        <v>0</v>
      </c>
      <c r="AW17" s="105">
        <f t="shared" si="15"/>
        <v>63796.890000000007</v>
      </c>
      <c r="AX17" s="108">
        <f t="shared" si="33"/>
        <v>40</v>
      </c>
      <c r="AY17" s="108">
        <f t="shared" si="16"/>
        <v>40</v>
      </c>
      <c r="AZ17" s="759">
        <f t="shared" si="3"/>
        <v>45589</v>
      </c>
      <c r="BA17" s="108">
        <f t="shared" si="17"/>
        <v>2407</v>
      </c>
      <c r="BC17" s="118">
        <f t="shared" si="4"/>
        <v>66203.89</v>
      </c>
      <c r="BD17" s="583" t="s">
        <v>434</v>
      </c>
      <c r="BE17" s="572" t="s">
        <v>371</v>
      </c>
      <c r="BF17" s="573">
        <v>1.2E-2</v>
      </c>
      <c r="BM17" s="756" t="s">
        <v>418</v>
      </c>
      <c r="BN17" s="757" t="s">
        <v>419</v>
      </c>
      <c r="BO17" s="757" t="s">
        <v>435</v>
      </c>
    </row>
    <row r="18" spans="1:383" ht="16.5" customHeight="1" thickBot="1" x14ac:dyDescent="0.3">
      <c r="A18" s="912" t="s">
        <v>436</v>
      </c>
      <c r="B18" s="913"/>
      <c r="C18" s="632" t="s">
        <v>33</v>
      </c>
      <c r="D18" s="632" t="str">
        <f>C18</f>
        <v>Базовый</v>
      </c>
      <c r="E18" s="767">
        <f t="shared" si="29"/>
        <v>10</v>
      </c>
      <c r="F18" s="768">
        <f t="shared" si="5"/>
        <v>45620</v>
      </c>
      <c r="G18" s="24">
        <f t="shared" si="6"/>
        <v>2407</v>
      </c>
      <c r="H18" s="24">
        <f t="shared" si="7"/>
        <v>1352.63</v>
      </c>
      <c r="I18" s="24">
        <f t="shared" si="28"/>
        <v>14203.830000000002</v>
      </c>
      <c r="J18" s="24">
        <f t="shared" si="18"/>
        <v>0</v>
      </c>
      <c r="K18" s="24">
        <f t="shared" si="8"/>
        <v>1054.3699999999999</v>
      </c>
      <c r="L18" s="24">
        <f t="shared" si="19"/>
        <v>0</v>
      </c>
      <c r="M18" s="24">
        <f t="shared" si="30"/>
        <v>0</v>
      </c>
      <c r="N18" s="24">
        <f t="shared" si="20"/>
        <v>1352.63</v>
      </c>
      <c r="O18" s="24">
        <f t="shared" si="21"/>
        <v>0</v>
      </c>
      <c r="P18" s="24">
        <f t="shared" si="22"/>
        <v>0</v>
      </c>
      <c r="Q18" s="24">
        <f t="shared" si="9"/>
        <v>65764.83</v>
      </c>
      <c r="R18" s="36">
        <f t="shared" si="31"/>
        <v>39</v>
      </c>
      <c r="S18" s="36">
        <f t="shared" si="10"/>
        <v>40</v>
      </c>
      <c r="T18" s="15"/>
      <c r="U18" s="15"/>
      <c r="V18" s="15"/>
      <c r="W18" s="15"/>
      <c r="X18" s="15"/>
      <c r="Y18" s="15"/>
      <c r="Z18" s="15"/>
      <c r="AA18" s="15"/>
      <c r="AB18" s="15"/>
      <c r="AC18" s="745"/>
      <c r="AD18" s="15"/>
      <c r="AE18" s="15"/>
      <c r="AF18" s="15"/>
      <c r="AG18" s="15"/>
      <c r="AH18" s="15"/>
      <c r="AI18" s="15"/>
      <c r="AL18" s="130">
        <f t="shared" si="23"/>
        <v>1</v>
      </c>
      <c r="AM18" s="769">
        <f t="shared" si="32"/>
        <v>10</v>
      </c>
      <c r="AN18" s="770">
        <f t="shared" si="11"/>
        <v>45620</v>
      </c>
      <c r="AO18" s="105">
        <f t="shared" si="34"/>
        <v>2407</v>
      </c>
      <c r="AP18" s="105">
        <f t="shared" si="12"/>
        <v>1345.49</v>
      </c>
      <c r="AQ18" s="105">
        <f t="shared" si="13"/>
        <v>1061.51</v>
      </c>
      <c r="AR18" s="105">
        <f t="shared" si="14"/>
        <v>0</v>
      </c>
      <c r="AS18" s="105">
        <f t="shared" si="24"/>
        <v>0</v>
      </c>
      <c r="AT18" s="105">
        <f t="shared" si="25"/>
        <v>1345.49</v>
      </c>
      <c r="AU18" s="105">
        <f t="shared" si="26"/>
        <v>0</v>
      </c>
      <c r="AV18" s="105">
        <f t="shared" si="27"/>
        <v>0</v>
      </c>
      <c r="AW18" s="105">
        <f t="shared" si="15"/>
        <v>62735.380000000005</v>
      </c>
      <c r="AX18" s="108">
        <f t="shared" si="33"/>
        <v>39</v>
      </c>
      <c r="AY18" s="108">
        <f t="shared" si="16"/>
        <v>39</v>
      </c>
      <c r="AZ18" s="759">
        <f t="shared" si="3"/>
        <v>45620</v>
      </c>
      <c r="BA18" s="108">
        <f t="shared" si="17"/>
        <v>2407</v>
      </c>
      <c r="BC18" s="118">
        <f t="shared" si="4"/>
        <v>65142.380000000005</v>
      </c>
      <c r="BD18" s="574" t="s">
        <v>114</v>
      </c>
      <c r="BE18" s="572" t="s">
        <v>372</v>
      </c>
      <c r="BF18" s="573">
        <v>1.2E-2</v>
      </c>
      <c r="BM18" s="765" t="s">
        <v>360</v>
      </c>
      <c r="BN18" s="766" t="s">
        <v>423</v>
      </c>
      <c r="BO18" s="766" t="s">
        <v>429</v>
      </c>
    </row>
    <row r="19" spans="1:383" ht="12.75" customHeight="1" thickBot="1" x14ac:dyDescent="0.3">
      <c r="A19" s="914" t="s">
        <v>437</v>
      </c>
      <c r="B19" s="915"/>
      <c r="C19" s="630">
        <f>IF(C8&lt;&gt;"Нет",C17-6%,C17)</f>
        <v>0.23899999999999999</v>
      </c>
      <c r="D19" s="630">
        <f>D17-5%</f>
        <v>0.249</v>
      </c>
      <c r="E19" s="767">
        <f>E18+1</f>
        <v>11</v>
      </c>
      <c r="F19" s="768">
        <f t="shared" si="5"/>
        <v>45650</v>
      </c>
      <c r="G19" s="24">
        <f t="shared" si="6"/>
        <v>2407</v>
      </c>
      <c r="H19" s="24">
        <f t="shared" si="7"/>
        <v>1288.3399999999999</v>
      </c>
      <c r="I19" s="24">
        <f t="shared" si="28"/>
        <v>15492.170000000002</v>
      </c>
      <c r="J19" s="24">
        <f t="shared" si="18"/>
        <v>0</v>
      </c>
      <c r="K19" s="24">
        <f t="shared" si="8"/>
        <v>1118.6600000000001</v>
      </c>
      <c r="L19" s="24">
        <f t="shared" si="19"/>
        <v>0</v>
      </c>
      <c r="M19" s="24">
        <f>O18-L18</f>
        <v>0</v>
      </c>
      <c r="N19" s="24">
        <f t="shared" si="20"/>
        <v>1288.3399999999999</v>
      </c>
      <c r="O19" s="24">
        <f t="shared" si="21"/>
        <v>0</v>
      </c>
      <c r="P19" s="24">
        <f t="shared" si="22"/>
        <v>0</v>
      </c>
      <c r="Q19" s="24">
        <f t="shared" si="9"/>
        <v>64646.17</v>
      </c>
      <c r="R19" s="36">
        <f>IF((R18-1)&lt;0,0,R18-1)</f>
        <v>38</v>
      </c>
      <c r="S19" s="36">
        <f t="shared" si="10"/>
        <v>39</v>
      </c>
      <c r="T19" s="84">
        <v>9.9000000000000005E-2</v>
      </c>
      <c r="U19" s="84">
        <v>7.9000000000000001E-2</v>
      </c>
      <c r="V19" s="84">
        <v>7.9000000000000001E-2</v>
      </c>
      <c r="W19" s="84">
        <v>7.9000000000000001E-2</v>
      </c>
      <c r="X19" s="84">
        <v>7.9000000000000001E-2</v>
      </c>
      <c r="Y19" s="15"/>
      <c r="Z19" s="15"/>
      <c r="AA19" s="15"/>
      <c r="AB19" s="15"/>
      <c r="AC19" s="745"/>
      <c r="AD19" s="15"/>
      <c r="AE19" s="15"/>
      <c r="AF19" s="15"/>
      <c r="AG19" s="15"/>
      <c r="AH19" s="15"/>
      <c r="AI19" s="15"/>
      <c r="AL19" s="130">
        <f t="shared" si="23"/>
        <v>1</v>
      </c>
      <c r="AM19" s="769">
        <f>AM18+1</f>
        <v>11</v>
      </c>
      <c r="AN19" s="770">
        <f t="shared" si="11"/>
        <v>45650</v>
      </c>
      <c r="AO19" s="105">
        <f t="shared" si="34"/>
        <v>2407</v>
      </c>
      <c r="AP19" s="105">
        <f t="shared" si="12"/>
        <v>1280.42</v>
      </c>
      <c r="AQ19" s="105">
        <f t="shared" si="13"/>
        <v>1126.58</v>
      </c>
      <c r="AR19" s="105">
        <f t="shared" si="14"/>
        <v>0</v>
      </c>
      <c r="AS19" s="105">
        <f t="shared" si="24"/>
        <v>0</v>
      </c>
      <c r="AT19" s="105">
        <f t="shared" si="25"/>
        <v>1280.42</v>
      </c>
      <c r="AU19" s="105">
        <f t="shared" si="26"/>
        <v>0</v>
      </c>
      <c r="AV19" s="105">
        <f t="shared" si="27"/>
        <v>0</v>
      </c>
      <c r="AW19" s="105">
        <f t="shared" si="15"/>
        <v>61608.800000000003</v>
      </c>
      <c r="AX19" s="108">
        <f t="shared" si="33"/>
        <v>38</v>
      </c>
      <c r="AY19" s="108">
        <f t="shared" si="16"/>
        <v>38</v>
      </c>
      <c r="AZ19" s="759">
        <f t="shared" si="3"/>
        <v>45650</v>
      </c>
      <c r="BA19" s="108">
        <f t="shared" si="17"/>
        <v>2407</v>
      </c>
      <c r="BC19" s="118">
        <f t="shared" si="4"/>
        <v>64015.8</v>
      </c>
      <c r="BD19" s="574" t="s">
        <v>360</v>
      </c>
      <c r="BE19" s="572" t="s">
        <v>372</v>
      </c>
      <c r="BF19" s="573">
        <v>1.14E-2</v>
      </c>
      <c r="BM19" s="765" t="s">
        <v>424</v>
      </c>
      <c r="BN19" s="771" t="s">
        <v>426</v>
      </c>
      <c r="BO19" s="771" t="s">
        <v>431</v>
      </c>
    </row>
    <row r="20" spans="1:383" ht="21.75" customHeight="1" thickBot="1" x14ac:dyDescent="0.3">
      <c r="A20" s="916" t="s">
        <v>421</v>
      </c>
      <c r="B20" s="917"/>
      <c r="C20" s="630" t="str">
        <f>C8</f>
        <v>ОПТИ_ПакетБВ+ГС_36</v>
      </c>
      <c r="D20" s="630" t="str">
        <f>D8</f>
        <v>ОПТИ_ПакетБВ_48</v>
      </c>
      <c r="E20" s="767">
        <f>E19+1</f>
        <v>12</v>
      </c>
      <c r="F20" s="768">
        <f t="shared" si="5"/>
        <v>45681</v>
      </c>
      <c r="G20" s="24">
        <f t="shared" si="6"/>
        <v>2407</v>
      </c>
      <c r="H20" s="24">
        <f t="shared" si="7"/>
        <v>1311.42</v>
      </c>
      <c r="I20" s="24">
        <f t="shared" si="28"/>
        <v>16803.590000000004</v>
      </c>
      <c r="J20" s="24">
        <f t="shared" si="18"/>
        <v>0</v>
      </c>
      <c r="K20" s="24">
        <f t="shared" si="8"/>
        <v>1095.58</v>
      </c>
      <c r="L20" s="24">
        <f t="shared" si="19"/>
        <v>0</v>
      </c>
      <c r="M20" s="24">
        <f>O19-L19</f>
        <v>0</v>
      </c>
      <c r="N20" s="24">
        <f t="shared" si="20"/>
        <v>1311.42</v>
      </c>
      <c r="O20" s="24">
        <f t="shared" si="21"/>
        <v>0</v>
      </c>
      <c r="P20" s="24">
        <f t="shared" si="22"/>
        <v>0</v>
      </c>
      <c r="Q20" s="24">
        <f t="shared" si="9"/>
        <v>63550.59</v>
      </c>
      <c r="R20" s="36">
        <f>IF((R19-1)&lt;0,0,R19-1)</f>
        <v>37</v>
      </c>
      <c r="S20" s="36">
        <f t="shared" si="10"/>
        <v>38</v>
      </c>
      <c r="T20" s="112">
        <v>0</v>
      </c>
      <c r="U20" s="112">
        <v>7.9000000000000001E-2</v>
      </c>
      <c r="V20" s="112">
        <v>7.9000000000000001E-2</v>
      </c>
      <c r="W20" s="112">
        <v>7.9000000000000001E-2</v>
      </c>
      <c r="X20" s="112">
        <v>7.9000000000000001E-2</v>
      </c>
      <c r="Y20" s="112"/>
      <c r="Z20" s="112"/>
      <c r="AA20" s="112"/>
      <c r="AB20" s="112"/>
      <c r="AC20" s="775"/>
      <c r="AD20" s="112"/>
      <c r="AE20" s="112"/>
      <c r="AF20" s="112"/>
      <c r="AG20" s="112"/>
      <c r="AH20" s="112"/>
      <c r="AI20" s="112"/>
      <c r="AJ20" s="113"/>
      <c r="AK20" s="113"/>
      <c r="AL20" s="130">
        <f t="shared" si="23"/>
        <v>1</v>
      </c>
      <c r="AM20" s="773">
        <f>AM19+1</f>
        <v>12</v>
      </c>
      <c r="AN20" s="774">
        <f t="shared" si="11"/>
        <v>45681</v>
      </c>
      <c r="AO20" s="105">
        <f t="shared" si="34"/>
        <v>2407</v>
      </c>
      <c r="AP20" s="105">
        <f t="shared" si="12"/>
        <v>1302.0999999999999</v>
      </c>
      <c r="AQ20" s="105">
        <f t="shared" si="13"/>
        <v>1104.9000000000001</v>
      </c>
      <c r="AR20" s="105">
        <f t="shared" si="14"/>
        <v>0</v>
      </c>
      <c r="AS20" s="105">
        <f t="shared" si="24"/>
        <v>0</v>
      </c>
      <c r="AT20" s="105">
        <f t="shared" si="25"/>
        <v>1302.0999999999999</v>
      </c>
      <c r="AU20" s="105">
        <f t="shared" si="26"/>
        <v>0</v>
      </c>
      <c r="AV20" s="105">
        <f t="shared" si="27"/>
        <v>0</v>
      </c>
      <c r="AW20" s="105">
        <f t="shared" si="15"/>
        <v>60503.9</v>
      </c>
      <c r="AX20" s="108">
        <f t="shared" si="33"/>
        <v>37</v>
      </c>
      <c r="AY20" s="108">
        <f t="shared" si="16"/>
        <v>37</v>
      </c>
      <c r="AZ20" s="759">
        <f t="shared" si="3"/>
        <v>45681</v>
      </c>
      <c r="BA20" s="108">
        <f t="shared" si="17"/>
        <v>2407</v>
      </c>
      <c r="BC20" s="118">
        <f t="shared" si="4"/>
        <v>62910.9</v>
      </c>
      <c r="BF20" s="62"/>
      <c r="BM20" s="620"/>
      <c r="BN20" s="620"/>
      <c r="BO20" s="620"/>
    </row>
    <row r="21" spans="1:383" ht="16.5" customHeight="1" thickBot="1" x14ac:dyDescent="0.3">
      <c r="A21" s="914"/>
      <c r="B21" s="918"/>
      <c r="C21" s="633"/>
      <c r="D21" s="633"/>
      <c r="E21" s="767">
        <f t="shared" si="29"/>
        <v>13</v>
      </c>
      <c r="F21" s="768">
        <f t="shared" si="5"/>
        <v>45712</v>
      </c>
      <c r="G21" s="24">
        <f t="shared" si="6"/>
        <v>2407</v>
      </c>
      <c r="H21" s="24">
        <f t="shared" si="7"/>
        <v>1289.99</v>
      </c>
      <c r="I21" s="24">
        <f t="shared" si="28"/>
        <v>18093.580000000005</v>
      </c>
      <c r="J21" s="24">
        <f t="shared" si="18"/>
        <v>0</v>
      </c>
      <c r="K21" s="24">
        <f t="shared" si="8"/>
        <v>1117.01</v>
      </c>
      <c r="L21" s="24">
        <f t="shared" si="19"/>
        <v>0</v>
      </c>
      <c r="M21" s="24">
        <f t="shared" si="30"/>
        <v>0</v>
      </c>
      <c r="N21" s="24">
        <f t="shared" si="20"/>
        <v>1289.99</v>
      </c>
      <c r="O21" s="24">
        <f t="shared" si="21"/>
        <v>0</v>
      </c>
      <c r="P21" s="24">
        <f t="shared" si="22"/>
        <v>0</v>
      </c>
      <c r="Q21" s="24">
        <f t="shared" si="9"/>
        <v>62433.579999999994</v>
      </c>
      <c r="R21" s="36">
        <f t="shared" si="31"/>
        <v>36</v>
      </c>
      <c r="S21" s="36">
        <f t="shared" si="10"/>
        <v>37</v>
      </c>
      <c r="T21" s="101">
        <v>8.8999999999999996E-2</v>
      </c>
      <c r="U21" s="101">
        <v>8.8999999999999996E-2</v>
      </c>
      <c r="V21" s="101">
        <v>8.8999999999999996E-2</v>
      </c>
      <c r="W21" s="101">
        <v>8.8999999999999996E-2</v>
      </c>
      <c r="X21" s="101">
        <v>8.8999999999999996E-2</v>
      </c>
      <c r="Y21" s="84">
        <v>0.129</v>
      </c>
      <c r="Z21" s="84">
        <v>0.129</v>
      </c>
      <c r="AA21" s="84">
        <v>0.129</v>
      </c>
      <c r="AB21" s="84">
        <v>0.129</v>
      </c>
      <c r="AC21" s="84">
        <v>0.129</v>
      </c>
      <c r="AD21" s="84">
        <v>0.129</v>
      </c>
      <c r="AE21" s="84">
        <v>0.129</v>
      </c>
      <c r="AF21" s="84">
        <v>0.129</v>
      </c>
      <c r="AG21" s="84">
        <v>0.129</v>
      </c>
      <c r="AH21" s="84">
        <v>0.129</v>
      </c>
      <c r="AI21" s="84">
        <v>0.129</v>
      </c>
      <c r="AJ21" s="3"/>
      <c r="AK21" s="3"/>
      <c r="AL21" s="130">
        <f t="shared" si="23"/>
        <v>1</v>
      </c>
      <c r="AM21" s="769">
        <f t="shared" si="32"/>
        <v>13</v>
      </c>
      <c r="AN21" s="770">
        <f t="shared" si="11"/>
        <v>45712</v>
      </c>
      <c r="AO21" s="105">
        <f t="shared" si="34"/>
        <v>2407</v>
      </c>
      <c r="AP21" s="105">
        <f t="shared" si="12"/>
        <v>1279.53</v>
      </c>
      <c r="AQ21" s="105">
        <f t="shared" si="13"/>
        <v>1127.47</v>
      </c>
      <c r="AR21" s="105">
        <f t="shared" si="14"/>
        <v>0</v>
      </c>
      <c r="AS21" s="105">
        <f t="shared" si="24"/>
        <v>0</v>
      </c>
      <c r="AT21" s="105">
        <f t="shared" si="25"/>
        <v>1279.53</v>
      </c>
      <c r="AU21" s="105">
        <f t="shared" si="26"/>
        <v>0</v>
      </c>
      <c r="AV21" s="105">
        <f t="shared" si="27"/>
        <v>0</v>
      </c>
      <c r="AW21" s="105">
        <f t="shared" si="15"/>
        <v>59376.43</v>
      </c>
      <c r="AX21" s="108">
        <f t="shared" si="33"/>
        <v>36</v>
      </c>
      <c r="AY21" s="108">
        <f t="shared" si="16"/>
        <v>36</v>
      </c>
      <c r="AZ21" s="759">
        <f t="shared" si="3"/>
        <v>45712</v>
      </c>
      <c r="BA21" s="108">
        <f t="shared" si="17"/>
        <v>2407</v>
      </c>
      <c r="BD21" s="2" t="s">
        <v>377</v>
      </c>
      <c r="BK21" s="116"/>
      <c r="BM21" s="899" t="s">
        <v>439</v>
      </c>
      <c r="BN21" s="900"/>
      <c r="BO21" s="901"/>
    </row>
    <row r="22" spans="1:383" ht="16.5" customHeight="1" thickBot="1" x14ac:dyDescent="0.3">
      <c r="A22" s="919" t="s">
        <v>76</v>
      </c>
      <c r="B22" s="634" t="s">
        <v>102</v>
      </c>
      <c r="C22" s="619" t="str">
        <f>Оптимистичный!C16</f>
        <v>Да</v>
      </c>
      <c r="D22" s="776" t="s">
        <v>35</v>
      </c>
      <c r="E22" s="767">
        <f t="shared" si="29"/>
        <v>14</v>
      </c>
      <c r="F22" s="768">
        <f t="shared" si="5"/>
        <v>45740</v>
      </c>
      <c r="G22" s="24">
        <f t="shared" si="6"/>
        <v>2407</v>
      </c>
      <c r="H22" s="24">
        <f t="shared" si="7"/>
        <v>1144.67</v>
      </c>
      <c r="I22" s="24">
        <f t="shared" si="28"/>
        <v>19238.250000000007</v>
      </c>
      <c r="J22" s="24">
        <f t="shared" si="18"/>
        <v>0</v>
      </c>
      <c r="K22" s="24">
        <f t="shared" si="8"/>
        <v>1262.33</v>
      </c>
      <c r="L22" s="24">
        <f t="shared" si="19"/>
        <v>0</v>
      </c>
      <c r="M22" s="24">
        <f t="shared" si="30"/>
        <v>0</v>
      </c>
      <c r="N22" s="24">
        <f t="shared" si="20"/>
        <v>1144.67</v>
      </c>
      <c r="O22" s="24">
        <f t="shared" si="21"/>
        <v>0</v>
      </c>
      <c r="P22" s="24">
        <f t="shared" si="22"/>
        <v>0</v>
      </c>
      <c r="Q22" s="24">
        <f t="shared" si="9"/>
        <v>61171.249999999993</v>
      </c>
      <c r="R22" s="36">
        <f t="shared" si="31"/>
        <v>35</v>
      </c>
      <c r="S22" s="36">
        <f t="shared" si="10"/>
        <v>36</v>
      </c>
      <c r="T22" s="101">
        <f>IF(C17=T4,T23,IF(C17=T5,T23,IF(C17=T6,T24,IF(C17=T7,T24,IF(C17=T8,T25,IF(C17=T9,T26,IF(C17=T10,T26,IF(C17=T11,T26,IF(C17=T12,T27,IF(C17=T13,T26,IF(C17=T14,T27,IF(C17=T15,T27,IF(C17=T16,T27,IF(C17=T17,T27,T23))))))))))))))</f>
        <v>6.9000000000000006E-2</v>
      </c>
      <c r="U22" s="101" t="str">
        <f>IF($D$17=U4,U23,IF($D$17=U5,U23,IF($D$17=U6,U23,IF($D$17=U7,U23,IF($D$17=U8,U24,IF($D$17=U9,U24,IF($D$17=U10,U25,IF($D$17=U11,U26,IF($D$17=U12,U26,"")))))))))</f>
        <v/>
      </c>
      <c r="V22" s="101" t="str">
        <f>IF($D$17=V4,V23,IF($D$17=V5,V23,IF($D$17=V6,V23,IF($D$17=V7,V23,IF($D$17=V8,V24,IF($D$17=V9,V24,IF($D$17=V10,V25,IF($D$17=V11,V26,IF($D$17=V12,V26,"")))))))))</f>
        <v/>
      </c>
      <c r="W22" s="101">
        <f>IF($D$17=W4,W23,IF($D$17=W5,W23,IF($D$17=W6,W23,IF($D$17=W7,W23,IF($D$17=W8,W24,IF($D$17=W9,W24,IF($D$17=W10,W25,IF($D$17=W11,W26,IF($D$17=W12,W26,"")))))))))</f>
        <v>4.9000000000000002E-2</v>
      </c>
      <c r="X22" s="101">
        <f>IF($D$17=X4,X23,IF($D$17=X5,X23,IF($D$17=X6,X23,IF($D$17=X7,X23,IF($D$17=X8,X24,IF($D$17=X9,X24,IF($D$17=X10,X25,IF($D$17=X11,X26,IF($D$17=X12,X26,"")))))))))</f>
        <v>4.9000000000000002E-2</v>
      </c>
      <c r="Y22" s="745"/>
      <c r="Z22" s="745"/>
      <c r="AA22" s="745"/>
      <c r="AB22" s="745"/>
      <c r="AC22" s="745"/>
      <c r="AD22" s="745"/>
      <c r="AE22" s="745"/>
      <c r="AF22" s="745"/>
      <c r="AG22" s="745"/>
      <c r="AH22" s="745"/>
      <c r="AI22" s="745"/>
      <c r="AL22" s="130">
        <f t="shared" si="23"/>
        <v>1</v>
      </c>
      <c r="AM22" s="769">
        <f t="shared" si="32"/>
        <v>14</v>
      </c>
      <c r="AN22" s="770">
        <f t="shared" si="11"/>
        <v>45740</v>
      </c>
      <c r="AO22" s="105">
        <f t="shared" si="34"/>
        <v>2407</v>
      </c>
      <c r="AP22" s="105">
        <f t="shared" si="12"/>
        <v>1134.17</v>
      </c>
      <c r="AQ22" s="105">
        <f t="shared" si="13"/>
        <v>1272.83</v>
      </c>
      <c r="AR22" s="105">
        <f t="shared" si="14"/>
        <v>0</v>
      </c>
      <c r="AS22" s="105">
        <f t="shared" si="24"/>
        <v>0</v>
      </c>
      <c r="AT22" s="105">
        <f t="shared" si="25"/>
        <v>1134.17</v>
      </c>
      <c r="AU22" s="105">
        <f t="shared" si="26"/>
        <v>0</v>
      </c>
      <c r="AV22" s="105">
        <f t="shared" si="27"/>
        <v>0</v>
      </c>
      <c r="AW22" s="105">
        <f t="shared" si="15"/>
        <v>58103.6</v>
      </c>
      <c r="AX22" s="108">
        <f t="shared" si="33"/>
        <v>35</v>
      </c>
      <c r="AY22" s="108">
        <f t="shared" si="16"/>
        <v>35</v>
      </c>
      <c r="AZ22" s="759">
        <f t="shared" si="3"/>
        <v>45740</v>
      </c>
      <c r="BA22" s="108">
        <f t="shared" si="17"/>
        <v>2407</v>
      </c>
      <c r="BD22" s="2" t="s">
        <v>434</v>
      </c>
      <c r="BE22" s="2">
        <f>IF(OR(C17=17.9%,C10&lt;=47),8,IF(C17=27.9%,9,10))</f>
        <v>10</v>
      </c>
      <c r="BH22" s="2" t="s">
        <v>360</v>
      </c>
      <c r="BI22" s="2">
        <f>IF(AND(C17=27.9%,C10&lt;=47),5,IF(AND(E17=27.9%,C10&gt;47),6,IF(C10&gt;47,7,6)))</f>
        <v>7</v>
      </c>
      <c r="BM22" s="756" t="s">
        <v>418</v>
      </c>
      <c r="BN22" s="757" t="s">
        <v>419</v>
      </c>
      <c r="BO22" s="757" t="s">
        <v>435</v>
      </c>
    </row>
    <row r="23" spans="1:383" ht="14.4" thickBot="1" x14ac:dyDescent="0.3">
      <c r="A23" s="919"/>
      <c r="B23" s="634" t="s">
        <v>440</v>
      </c>
      <c r="C23" s="636">
        <f>IF(C22="Нет",$X$60,IF(C8&lt;&gt;"Нет",$V$13,$U$13))</f>
        <v>0.16900000000000001</v>
      </c>
      <c r="D23" s="636" t="str">
        <f>IF(D22="Нет",$X$60,IF(D8="Максимум",$V$13,$U$13))</f>
        <v>Услуга не подключается</v>
      </c>
      <c r="E23" s="767">
        <f t="shared" si="29"/>
        <v>15</v>
      </c>
      <c r="F23" s="768">
        <f t="shared" si="5"/>
        <v>45771</v>
      </c>
      <c r="G23" s="24">
        <f t="shared" si="6"/>
        <v>2407</v>
      </c>
      <c r="H23" s="24">
        <f t="shared" si="7"/>
        <v>1241.69</v>
      </c>
      <c r="I23" s="24">
        <f t="shared" si="28"/>
        <v>20479.940000000006</v>
      </c>
      <c r="J23" s="24">
        <f t="shared" si="18"/>
        <v>0</v>
      </c>
      <c r="K23" s="24">
        <f t="shared" si="8"/>
        <v>1165.31</v>
      </c>
      <c r="L23" s="24">
        <f t="shared" si="19"/>
        <v>0</v>
      </c>
      <c r="M23" s="24">
        <f t="shared" si="30"/>
        <v>0</v>
      </c>
      <c r="N23" s="24">
        <f t="shared" si="20"/>
        <v>1241.69</v>
      </c>
      <c r="O23" s="24">
        <f t="shared" si="21"/>
        <v>0</v>
      </c>
      <c r="P23" s="24">
        <f t="shared" si="22"/>
        <v>0</v>
      </c>
      <c r="Q23" s="24">
        <f t="shared" si="9"/>
        <v>60005.939999999995</v>
      </c>
      <c r="R23" s="36">
        <f t="shared" si="31"/>
        <v>34</v>
      </c>
      <c r="S23" s="36">
        <f t="shared" si="10"/>
        <v>35</v>
      </c>
      <c r="T23" s="84">
        <v>8.9999999999999993E-3</v>
      </c>
      <c r="U23" s="84">
        <v>8.9999999999999993E-3</v>
      </c>
      <c r="V23" s="84">
        <v>8.9999999999999993E-3</v>
      </c>
      <c r="W23" s="84">
        <v>8.9999999999999993E-3</v>
      </c>
      <c r="X23" s="84">
        <v>8.9999999999999993E-3</v>
      </c>
      <c r="Y23" s="745"/>
      <c r="Z23" s="745"/>
      <c r="AA23" s="745"/>
      <c r="AB23" s="745"/>
      <c r="AC23" s="745"/>
      <c r="AD23" s="745"/>
      <c r="AE23" s="745"/>
      <c r="AF23" s="745"/>
      <c r="AG23" s="745"/>
      <c r="AH23" s="745"/>
      <c r="AI23" s="745"/>
      <c r="AL23" s="130">
        <f t="shared" si="23"/>
        <v>1</v>
      </c>
      <c r="AM23" s="769">
        <f t="shared" si="32"/>
        <v>15</v>
      </c>
      <c r="AN23" s="770">
        <f t="shared" si="11"/>
        <v>45771</v>
      </c>
      <c r="AO23" s="105">
        <f t="shared" si="34"/>
        <v>2407</v>
      </c>
      <c r="AP23" s="105">
        <f t="shared" si="12"/>
        <v>1228.77</v>
      </c>
      <c r="AQ23" s="105">
        <f t="shared" si="13"/>
        <v>1178.23</v>
      </c>
      <c r="AR23" s="105">
        <f t="shared" si="14"/>
        <v>0</v>
      </c>
      <c r="AS23" s="105">
        <f t="shared" si="24"/>
        <v>0</v>
      </c>
      <c r="AT23" s="105">
        <f t="shared" si="25"/>
        <v>1228.77</v>
      </c>
      <c r="AU23" s="105">
        <f t="shared" si="26"/>
        <v>0</v>
      </c>
      <c r="AV23" s="105">
        <f t="shared" si="27"/>
        <v>0</v>
      </c>
      <c r="AW23" s="105">
        <f t="shared" si="15"/>
        <v>56925.369999999995</v>
      </c>
      <c r="AX23" s="108">
        <f t="shared" si="33"/>
        <v>34</v>
      </c>
      <c r="AY23" s="108">
        <f t="shared" si="16"/>
        <v>34</v>
      </c>
      <c r="AZ23" s="759">
        <f t="shared" si="3"/>
        <v>45771</v>
      </c>
      <c r="BA23" s="108">
        <f t="shared" si="17"/>
        <v>2407</v>
      </c>
      <c r="BD23" s="16" t="s">
        <v>373</v>
      </c>
      <c r="BE23" s="637">
        <f>(C7+C12+C25)/(1-BF17*BE22)</f>
        <v>77271.590909090912</v>
      </c>
      <c r="BF23" s="16"/>
      <c r="BG23" s="16"/>
      <c r="BH23" s="16" t="s">
        <v>373</v>
      </c>
      <c r="BI23" s="143">
        <f>(C7+C12)/(1-BF19*BI22)</f>
        <v>70635.731362747232</v>
      </c>
      <c r="BM23" s="765" t="s">
        <v>360</v>
      </c>
      <c r="BN23" s="766" t="s">
        <v>423</v>
      </c>
      <c r="BO23" s="766" t="s">
        <v>429</v>
      </c>
    </row>
    <row r="24" spans="1:383" ht="16.5" customHeight="1" thickBot="1" x14ac:dyDescent="0.3">
      <c r="A24" s="919"/>
      <c r="B24" s="634" t="s">
        <v>441</v>
      </c>
      <c r="C24" s="638">
        <v>0.05</v>
      </c>
      <c r="D24" s="638"/>
      <c r="E24" s="767">
        <f t="shared" si="29"/>
        <v>16</v>
      </c>
      <c r="F24" s="768">
        <f t="shared" si="5"/>
        <v>45801</v>
      </c>
      <c r="G24" s="24">
        <f t="shared" si="6"/>
        <v>2407</v>
      </c>
      <c r="H24" s="24">
        <f t="shared" si="7"/>
        <v>1178.75</v>
      </c>
      <c r="I24" s="24">
        <f t="shared" si="28"/>
        <v>21658.690000000006</v>
      </c>
      <c r="J24" s="24">
        <f t="shared" si="18"/>
        <v>0</v>
      </c>
      <c r="K24" s="24">
        <f t="shared" si="8"/>
        <v>1228.25</v>
      </c>
      <c r="L24" s="24">
        <f t="shared" si="19"/>
        <v>0</v>
      </c>
      <c r="M24" s="24">
        <f t="shared" si="30"/>
        <v>0</v>
      </c>
      <c r="N24" s="24">
        <f t="shared" si="20"/>
        <v>1178.75</v>
      </c>
      <c r="O24" s="24">
        <f t="shared" si="21"/>
        <v>0</v>
      </c>
      <c r="P24" s="24">
        <f t="shared" si="22"/>
        <v>0</v>
      </c>
      <c r="Q24" s="24">
        <f t="shared" si="9"/>
        <v>58777.689999999995</v>
      </c>
      <c r="R24" s="36">
        <f t="shared" si="31"/>
        <v>33</v>
      </c>
      <c r="S24" s="36">
        <f t="shared" si="10"/>
        <v>34</v>
      </c>
      <c r="T24" s="84">
        <v>1.9E-2</v>
      </c>
      <c r="U24" s="84">
        <v>1.9E-2</v>
      </c>
      <c r="V24" s="84">
        <v>1.9E-2</v>
      </c>
      <c r="W24" s="84">
        <v>1.9E-2</v>
      </c>
      <c r="X24" s="84">
        <v>1.9E-2</v>
      </c>
      <c r="Y24" s="15">
        <v>4.9000000000000002E-2</v>
      </c>
      <c r="Z24" s="15">
        <v>4.9000000000000002E-2</v>
      </c>
      <c r="AA24" s="15">
        <v>4.9000000000000002E-2</v>
      </c>
      <c r="AB24" s="15">
        <v>4.9000000000000002E-2</v>
      </c>
      <c r="AC24" s="80">
        <v>6.9000000000000006E-2</v>
      </c>
      <c r="AD24" s="80">
        <v>6.9000000000000006E-2</v>
      </c>
      <c r="AE24" s="80">
        <v>6.9000000000000006E-2</v>
      </c>
      <c r="AF24" s="80">
        <v>6.9000000000000006E-2</v>
      </c>
      <c r="AG24" s="80">
        <v>6.9000000000000006E-2</v>
      </c>
      <c r="AH24" s="80">
        <v>6.9000000000000006E-2</v>
      </c>
      <c r="AI24" s="80">
        <v>6.9000000000000006E-2</v>
      </c>
      <c r="AL24" s="130">
        <f t="shared" si="23"/>
        <v>1</v>
      </c>
      <c r="AM24" s="769">
        <f t="shared" si="32"/>
        <v>16</v>
      </c>
      <c r="AN24" s="770">
        <f t="shared" si="11"/>
        <v>45801</v>
      </c>
      <c r="AO24" s="105">
        <f t="shared" si="34"/>
        <v>2407</v>
      </c>
      <c r="AP24" s="105">
        <f t="shared" si="12"/>
        <v>1165.02</v>
      </c>
      <c r="AQ24" s="105">
        <f t="shared" si="13"/>
        <v>1241.98</v>
      </c>
      <c r="AR24" s="105">
        <f t="shared" si="14"/>
        <v>0</v>
      </c>
      <c r="AS24" s="105">
        <f t="shared" si="24"/>
        <v>0</v>
      </c>
      <c r="AT24" s="105">
        <f t="shared" si="25"/>
        <v>1165.02</v>
      </c>
      <c r="AU24" s="105">
        <f t="shared" si="26"/>
        <v>0</v>
      </c>
      <c r="AV24" s="105">
        <f t="shared" si="27"/>
        <v>0</v>
      </c>
      <c r="AW24" s="105">
        <f t="shared" si="15"/>
        <v>55683.389999999992</v>
      </c>
      <c r="AX24" s="108">
        <f t="shared" si="33"/>
        <v>33</v>
      </c>
      <c r="AY24" s="108">
        <f t="shared" si="16"/>
        <v>33</v>
      </c>
      <c r="AZ24" s="759">
        <f t="shared" si="3"/>
        <v>45801</v>
      </c>
      <c r="BA24" s="108">
        <f t="shared" si="17"/>
        <v>2407</v>
      </c>
      <c r="BD24" s="16" t="s">
        <v>374</v>
      </c>
      <c r="BE24" s="143">
        <f>BE23*BF17*BE22</f>
        <v>9272.5909090909099</v>
      </c>
      <c r="BF24" s="16"/>
      <c r="BG24" s="16"/>
      <c r="BH24" s="16" t="s">
        <v>374</v>
      </c>
      <c r="BI24" s="143">
        <f>BI23*BF19*BI22</f>
        <v>5636.7313627472295</v>
      </c>
      <c r="BM24" s="765" t="s">
        <v>424</v>
      </c>
      <c r="BN24" s="771" t="s">
        <v>426</v>
      </c>
      <c r="BO24" s="771" t="s">
        <v>431</v>
      </c>
    </row>
    <row r="25" spans="1:383" ht="16.5" customHeight="1" x14ac:dyDescent="0.25">
      <c r="A25" s="919"/>
      <c r="B25" s="634" t="s">
        <v>442</v>
      </c>
      <c r="C25" s="639">
        <f>IF(C23&lt;&gt;X60,IF(C22="Нет",0,ROUND($C$7*C24,2)),0)</f>
        <v>3000</v>
      </c>
      <c r="D25" s="639"/>
      <c r="E25" s="767">
        <f t="shared" si="29"/>
        <v>17</v>
      </c>
      <c r="F25" s="768">
        <f t="shared" si="5"/>
        <v>45832</v>
      </c>
      <c r="G25" s="24">
        <f t="shared" si="6"/>
        <v>2407</v>
      </c>
      <c r="H25" s="24">
        <f t="shared" si="7"/>
        <v>1193.1099999999999</v>
      </c>
      <c r="I25" s="24">
        <f t="shared" si="28"/>
        <v>22851.800000000007</v>
      </c>
      <c r="J25" s="24">
        <f t="shared" si="18"/>
        <v>0</v>
      </c>
      <c r="K25" s="24">
        <f t="shared" si="8"/>
        <v>1213.8900000000001</v>
      </c>
      <c r="L25" s="24">
        <f t="shared" si="19"/>
        <v>0</v>
      </c>
      <c r="M25" s="24">
        <f t="shared" si="30"/>
        <v>0</v>
      </c>
      <c r="N25" s="24">
        <f t="shared" si="20"/>
        <v>1193.1099999999999</v>
      </c>
      <c r="O25" s="24">
        <f t="shared" si="21"/>
        <v>0</v>
      </c>
      <c r="P25" s="24">
        <f t="shared" si="22"/>
        <v>0</v>
      </c>
      <c r="Q25" s="24">
        <f t="shared" si="9"/>
        <v>57563.799999999996</v>
      </c>
      <c r="R25" s="36">
        <f t="shared" si="31"/>
        <v>32</v>
      </c>
      <c r="S25" s="36">
        <f t="shared" si="10"/>
        <v>33</v>
      </c>
      <c r="T25" s="122">
        <v>2.9000000000000001E-2</v>
      </c>
      <c r="U25" s="122">
        <v>2.9000000000000001E-2</v>
      </c>
      <c r="V25" s="122">
        <v>2.9000000000000001E-2</v>
      </c>
      <c r="W25" s="122">
        <v>2.9000000000000001E-2</v>
      </c>
      <c r="X25" s="122">
        <v>2.9000000000000001E-2</v>
      </c>
      <c r="Y25" s="777"/>
      <c r="Z25" s="777"/>
      <c r="AA25" s="777"/>
      <c r="AB25" s="777"/>
      <c r="AC25" s="777"/>
      <c r="AD25" s="777"/>
      <c r="AE25" s="777"/>
      <c r="AF25" s="777"/>
      <c r="AG25" s="777"/>
      <c r="AH25" s="777"/>
      <c r="AI25" s="777"/>
      <c r="AJ25" s="116"/>
      <c r="AK25" s="116"/>
      <c r="AL25" s="130">
        <f t="shared" si="23"/>
        <v>1</v>
      </c>
      <c r="AM25" s="778">
        <f t="shared" si="32"/>
        <v>17</v>
      </c>
      <c r="AN25" s="774">
        <f t="shared" si="11"/>
        <v>45832</v>
      </c>
      <c r="AO25" s="105">
        <f t="shared" si="34"/>
        <v>2407</v>
      </c>
      <c r="AP25" s="105">
        <f t="shared" si="12"/>
        <v>1177.5899999999999</v>
      </c>
      <c r="AQ25" s="105">
        <f t="shared" si="13"/>
        <v>1229.4100000000001</v>
      </c>
      <c r="AR25" s="105">
        <f t="shared" si="14"/>
        <v>0</v>
      </c>
      <c r="AS25" s="105">
        <f t="shared" si="24"/>
        <v>0</v>
      </c>
      <c r="AT25" s="105">
        <f t="shared" si="25"/>
        <v>1177.5899999999999</v>
      </c>
      <c r="AU25" s="105">
        <f t="shared" si="26"/>
        <v>0</v>
      </c>
      <c r="AV25" s="105">
        <f t="shared" si="27"/>
        <v>0</v>
      </c>
      <c r="AW25" s="105">
        <f t="shared" si="15"/>
        <v>54453.979999999989</v>
      </c>
      <c r="AX25" s="108">
        <f t="shared" si="33"/>
        <v>32</v>
      </c>
      <c r="AY25" s="108">
        <f t="shared" si="16"/>
        <v>32</v>
      </c>
      <c r="AZ25" s="759">
        <f t="shared" si="3"/>
        <v>45832</v>
      </c>
      <c r="BA25" s="108">
        <f t="shared" si="17"/>
        <v>2407</v>
      </c>
      <c r="BD25" s="16"/>
      <c r="BE25" s="16"/>
      <c r="BF25" s="16"/>
      <c r="BG25" s="16"/>
      <c r="BH25" s="16"/>
      <c r="BI25" s="16"/>
      <c r="BJ25" s="16"/>
      <c r="BK25" s="16"/>
      <c r="BL25" s="16"/>
    </row>
    <row r="26" spans="1:383" ht="16.5" customHeight="1" x14ac:dyDescent="0.25">
      <c r="A26" s="919"/>
      <c r="B26" s="634" t="s">
        <v>443</v>
      </c>
      <c r="C26" s="639">
        <f>IF(AND($C$23&lt;&gt;X60,C22="Да"),H160-H160/C19*C23,0)</f>
        <v>12929.436401673644</v>
      </c>
      <c r="D26" s="640"/>
      <c r="E26" s="767">
        <f t="shared" si="29"/>
        <v>18</v>
      </c>
      <c r="F26" s="768">
        <f t="shared" si="5"/>
        <v>45862</v>
      </c>
      <c r="G26" s="24">
        <f t="shared" si="6"/>
        <v>2407</v>
      </c>
      <c r="H26" s="24">
        <f t="shared" si="7"/>
        <v>1130.77</v>
      </c>
      <c r="I26" s="24">
        <f t="shared" si="28"/>
        <v>23982.570000000007</v>
      </c>
      <c r="J26" s="24">
        <f t="shared" si="18"/>
        <v>0</v>
      </c>
      <c r="K26" s="24">
        <f t="shared" si="8"/>
        <v>1276.23</v>
      </c>
      <c r="L26" s="24">
        <f t="shared" si="19"/>
        <v>0</v>
      </c>
      <c r="M26" s="24">
        <f t="shared" si="30"/>
        <v>0</v>
      </c>
      <c r="N26" s="24">
        <f t="shared" si="20"/>
        <v>1130.77</v>
      </c>
      <c r="O26" s="24">
        <f t="shared" si="21"/>
        <v>0</v>
      </c>
      <c r="P26" s="24">
        <f t="shared" si="22"/>
        <v>0</v>
      </c>
      <c r="Q26" s="24">
        <f t="shared" si="9"/>
        <v>56287.569999999992</v>
      </c>
      <c r="R26" s="36">
        <f t="shared" si="31"/>
        <v>31</v>
      </c>
      <c r="S26" s="36">
        <f t="shared" si="10"/>
        <v>32</v>
      </c>
      <c r="T26" s="84">
        <v>4.9000000000000002E-2</v>
      </c>
      <c r="U26" s="84">
        <v>4.9000000000000002E-2</v>
      </c>
      <c r="V26" s="84">
        <v>4.9000000000000002E-2</v>
      </c>
      <c r="W26" s="84">
        <v>4.9000000000000002E-2</v>
      </c>
      <c r="X26" s="84">
        <v>4.9000000000000002E-2</v>
      </c>
      <c r="Y26" s="745"/>
      <c r="Z26" s="745"/>
      <c r="AA26" s="745"/>
      <c r="AB26" s="745"/>
      <c r="AC26" s="745"/>
      <c r="AD26" s="745"/>
      <c r="AE26" s="745"/>
      <c r="AF26" s="745"/>
      <c r="AG26" s="745"/>
      <c r="AH26" s="745"/>
      <c r="AI26" s="745"/>
      <c r="AL26" s="130">
        <f t="shared" si="23"/>
        <v>1</v>
      </c>
      <c r="AM26" s="769">
        <f t="shared" si="32"/>
        <v>18</v>
      </c>
      <c r="AN26" s="770">
        <f t="shared" si="11"/>
        <v>45862</v>
      </c>
      <c r="AO26" s="105">
        <f t="shared" si="34"/>
        <v>2407</v>
      </c>
      <c r="AP26" s="105">
        <f t="shared" si="12"/>
        <v>1114.44</v>
      </c>
      <c r="AQ26" s="105">
        <f t="shared" si="13"/>
        <v>1292.56</v>
      </c>
      <c r="AR26" s="105">
        <f t="shared" si="14"/>
        <v>0</v>
      </c>
      <c r="AS26" s="105">
        <f t="shared" si="24"/>
        <v>0</v>
      </c>
      <c r="AT26" s="105">
        <f t="shared" si="25"/>
        <v>1114.44</v>
      </c>
      <c r="AU26" s="105">
        <f t="shared" si="26"/>
        <v>0</v>
      </c>
      <c r="AV26" s="105">
        <f t="shared" si="27"/>
        <v>0</v>
      </c>
      <c r="AW26" s="105">
        <f t="shared" si="15"/>
        <v>53161.419999999991</v>
      </c>
      <c r="AX26" s="108">
        <f t="shared" si="33"/>
        <v>31</v>
      </c>
      <c r="AY26" s="108">
        <f t="shared" si="16"/>
        <v>31</v>
      </c>
      <c r="AZ26" s="759">
        <f t="shared" si="3"/>
        <v>45862</v>
      </c>
      <c r="BA26" s="108">
        <f t="shared" si="17"/>
        <v>2407</v>
      </c>
      <c r="BB26" s="97"/>
      <c r="BC26" s="97"/>
      <c r="BD26" s="16"/>
      <c r="BE26" s="16"/>
      <c r="BF26" s="16"/>
      <c r="BG26" s="16"/>
      <c r="BH26" s="16"/>
      <c r="BI26" s="16"/>
      <c r="BJ26" s="16"/>
      <c r="BK26" s="16"/>
      <c r="BL26" s="16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97"/>
      <c r="DW26" s="97"/>
      <c r="DX26" s="97"/>
      <c r="DY26" s="97"/>
      <c r="DZ26" s="97"/>
      <c r="EA26" s="97"/>
      <c r="EB26" s="97"/>
      <c r="EC26" s="97"/>
      <c r="ED26" s="97"/>
      <c r="EE26" s="97"/>
      <c r="EF26" s="97"/>
      <c r="EG26" s="97"/>
      <c r="EH26" s="97"/>
      <c r="EI26" s="97"/>
      <c r="EJ26" s="97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97"/>
      <c r="FC26" s="97"/>
      <c r="FD26" s="97"/>
      <c r="FE26" s="97"/>
      <c r="FF26" s="97"/>
      <c r="FG26" s="97"/>
      <c r="FH26" s="97"/>
      <c r="FI26" s="97"/>
      <c r="FJ26" s="97"/>
      <c r="FK26" s="97"/>
      <c r="FL26" s="97"/>
      <c r="FM26" s="97"/>
      <c r="FN26" s="97"/>
      <c r="FO26" s="97"/>
      <c r="FP26" s="97"/>
      <c r="FQ26" s="97"/>
      <c r="FR26" s="97"/>
      <c r="FS26" s="97"/>
      <c r="FT26" s="97"/>
      <c r="FU26" s="97"/>
      <c r="FV26" s="97"/>
      <c r="FW26" s="97"/>
      <c r="FX26" s="97"/>
      <c r="FY26" s="97"/>
      <c r="FZ26" s="97"/>
      <c r="GA26" s="97"/>
      <c r="GB26" s="97"/>
      <c r="GC26" s="97"/>
      <c r="GD26" s="97"/>
      <c r="GE26" s="97"/>
      <c r="GF26" s="97"/>
      <c r="GG26" s="97"/>
      <c r="GH26" s="97"/>
      <c r="GI26" s="97"/>
      <c r="GJ26" s="97"/>
      <c r="GK26" s="97"/>
      <c r="GL26" s="97"/>
      <c r="GM26" s="97"/>
      <c r="GN26" s="97"/>
      <c r="GO26" s="97"/>
      <c r="GP26" s="97"/>
      <c r="GQ26" s="97"/>
      <c r="GR26" s="97"/>
      <c r="GS26" s="97"/>
      <c r="GT26" s="97"/>
      <c r="GU26" s="97"/>
      <c r="GV26" s="97"/>
      <c r="GW26" s="97"/>
      <c r="GX26" s="97"/>
      <c r="GY26" s="97"/>
      <c r="GZ26" s="97"/>
      <c r="HA26" s="97"/>
      <c r="HB26" s="97"/>
      <c r="HC26" s="97"/>
      <c r="HD26" s="97"/>
      <c r="HE26" s="97"/>
      <c r="HF26" s="97"/>
      <c r="HG26" s="97"/>
      <c r="HH26" s="97"/>
      <c r="HI26" s="97"/>
      <c r="HJ26" s="97"/>
      <c r="HK26" s="97"/>
      <c r="HL26" s="97"/>
      <c r="HM26" s="97"/>
      <c r="HN26" s="97"/>
      <c r="HO26" s="97"/>
      <c r="HP26" s="97"/>
      <c r="HQ26" s="97"/>
      <c r="HR26" s="97"/>
      <c r="HS26" s="97"/>
      <c r="HT26" s="97"/>
      <c r="HU26" s="97"/>
      <c r="HV26" s="97"/>
      <c r="HW26" s="97"/>
      <c r="HX26" s="97"/>
      <c r="HY26" s="97"/>
      <c r="HZ26" s="97"/>
      <c r="IA26" s="97"/>
      <c r="IB26" s="97"/>
      <c r="IC26" s="97"/>
      <c r="ID26" s="97"/>
      <c r="IE26" s="97"/>
      <c r="IF26" s="97"/>
      <c r="IG26" s="97"/>
      <c r="IH26" s="97"/>
      <c r="II26" s="97"/>
      <c r="IJ26" s="97"/>
      <c r="IK26" s="97"/>
      <c r="IL26" s="97"/>
      <c r="IM26" s="97"/>
      <c r="IN26" s="97"/>
      <c r="IO26" s="97"/>
      <c r="IP26" s="97"/>
      <c r="IQ26" s="97"/>
      <c r="IR26" s="97"/>
      <c r="IS26" s="97"/>
      <c r="IT26" s="97"/>
      <c r="IU26" s="97"/>
      <c r="IV26" s="97"/>
      <c r="IW26" s="97"/>
      <c r="IX26" s="97"/>
      <c r="IY26" s="97"/>
      <c r="IZ26" s="97"/>
      <c r="JA26" s="97"/>
      <c r="JB26" s="97"/>
      <c r="JC26" s="97"/>
      <c r="JD26" s="97"/>
      <c r="JE26" s="97"/>
      <c r="JF26" s="97"/>
      <c r="JG26" s="97"/>
      <c r="JH26" s="97"/>
      <c r="JI26" s="97"/>
      <c r="JJ26" s="97"/>
      <c r="JK26" s="97"/>
      <c r="JL26" s="97"/>
      <c r="JM26" s="97"/>
      <c r="JN26" s="97"/>
      <c r="JO26" s="97"/>
      <c r="JP26" s="97"/>
      <c r="JQ26" s="97"/>
      <c r="JR26" s="97"/>
      <c r="JS26" s="97"/>
      <c r="JT26" s="97"/>
      <c r="JU26" s="97"/>
      <c r="JV26" s="97"/>
      <c r="JW26" s="97"/>
      <c r="JX26" s="97"/>
      <c r="JY26" s="97"/>
      <c r="JZ26" s="97"/>
      <c r="KA26" s="97"/>
      <c r="KB26" s="97"/>
      <c r="KC26" s="97"/>
      <c r="KD26" s="97"/>
      <c r="KE26" s="97"/>
      <c r="KF26" s="97"/>
      <c r="KG26" s="97"/>
      <c r="KH26" s="97"/>
      <c r="KI26" s="97"/>
      <c r="KJ26" s="97"/>
      <c r="KK26" s="97"/>
      <c r="KL26" s="97"/>
      <c r="KM26" s="97"/>
      <c r="KN26" s="97"/>
      <c r="KO26" s="97"/>
      <c r="KP26" s="97"/>
      <c r="KQ26" s="97"/>
      <c r="KR26" s="97"/>
      <c r="KS26" s="97"/>
      <c r="KT26" s="97"/>
      <c r="KU26" s="97"/>
      <c r="KV26" s="97"/>
      <c r="KW26" s="97"/>
      <c r="KX26" s="97"/>
      <c r="KY26" s="97"/>
      <c r="KZ26" s="97"/>
      <c r="LA26" s="97"/>
      <c r="LB26" s="97"/>
      <c r="LC26" s="97"/>
      <c r="LD26" s="97"/>
      <c r="LE26" s="97"/>
      <c r="LF26" s="97"/>
      <c r="LG26" s="97"/>
      <c r="LH26" s="97"/>
      <c r="LI26" s="97"/>
      <c r="LJ26" s="97"/>
      <c r="LK26" s="97"/>
      <c r="LL26" s="97"/>
      <c r="LM26" s="97"/>
      <c r="LN26" s="97"/>
      <c r="LO26" s="97"/>
      <c r="LP26" s="97"/>
      <c r="LQ26" s="97"/>
      <c r="LR26" s="97"/>
      <c r="LS26" s="97"/>
      <c r="LT26" s="97"/>
      <c r="LU26" s="97"/>
      <c r="LV26" s="97"/>
      <c r="LW26" s="97"/>
      <c r="LX26" s="97"/>
      <c r="LY26" s="97"/>
      <c r="LZ26" s="97"/>
      <c r="MA26" s="97"/>
      <c r="MB26" s="97"/>
      <c r="MC26" s="97"/>
      <c r="MD26" s="97"/>
      <c r="ME26" s="97"/>
      <c r="MF26" s="97"/>
      <c r="MG26" s="97"/>
      <c r="MH26" s="97"/>
      <c r="MI26" s="97"/>
      <c r="MJ26" s="97"/>
      <c r="MK26" s="97"/>
      <c r="ML26" s="97"/>
      <c r="MM26" s="97"/>
      <c r="MN26" s="97"/>
      <c r="MO26" s="97"/>
      <c r="MP26" s="97"/>
      <c r="MQ26" s="97"/>
      <c r="MR26" s="97"/>
      <c r="MS26" s="97"/>
      <c r="MT26" s="97"/>
      <c r="MU26" s="97"/>
      <c r="MV26" s="97"/>
      <c r="MW26" s="97"/>
      <c r="MX26" s="97"/>
      <c r="MY26" s="97"/>
      <c r="MZ26" s="97"/>
      <c r="NA26" s="97"/>
      <c r="NB26" s="97"/>
      <c r="NC26" s="97"/>
      <c r="ND26" s="97"/>
      <c r="NE26" s="97"/>
      <c r="NF26" s="97"/>
      <c r="NG26" s="97"/>
      <c r="NH26" s="97"/>
      <c r="NI26" s="97"/>
      <c r="NJ26" s="97"/>
      <c r="NK26" s="97"/>
      <c r="NL26" s="97"/>
      <c r="NM26" s="97"/>
      <c r="NN26" s="97"/>
      <c r="NO26" s="97"/>
      <c r="NP26" s="97"/>
      <c r="NQ26" s="97"/>
      <c r="NR26" s="97"/>
      <c r="NS26" s="97"/>
    </row>
    <row r="27" spans="1:383" ht="22.5" customHeight="1" x14ac:dyDescent="0.25">
      <c r="A27" s="919"/>
      <c r="B27" s="641" t="s">
        <v>444</v>
      </c>
      <c r="C27" s="642">
        <f>IF(AND($C$23&lt;&gt;X60,J160&gt;0),C26-J160,C26)</f>
        <v>8689.6464016736481</v>
      </c>
      <c r="D27" s="643"/>
      <c r="E27" s="767">
        <f t="shared" si="29"/>
        <v>19</v>
      </c>
      <c r="F27" s="768">
        <f t="shared" si="5"/>
        <v>45893</v>
      </c>
      <c r="G27" s="24">
        <f t="shared" si="6"/>
        <v>2407</v>
      </c>
      <c r="H27" s="24">
        <f t="shared" si="7"/>
        <v>1142.56</v>
      </c>
      <c r="I27" s="24">
        <f t="shared" si="28"/>
        <v>25125.130000000008</v>
      </c>
      <c r="J27" s="24">
        <f t="shared" si="18"/>
        <v>0</v>
      </c>
      <c r="K27" s="24">
        <f t="shared" si="8"/>
        <v>1264.44</v>
      </c>
      <c r="L27" s="24">
        <f t="shared" si="19"/>
        <v>0</v>
      </c>
      <c r="M27" s="24">
        <f t="shared" si="30"/>
        <v>0</v>
      </c>
      <c r="N27" s="24">
        <f t="shared" si="20"/>
        <v>1142.56</v>
      </c>
      <c r="O27" s="24">
        <f t="shared" si="21"/>
        <v>0</v>
      </c>
      <c r="P27" s="24">
        <f t="shared" si="22"/>
        <v>0</v>
      </c>
      <c r="Q27" s="24">
        <f t="shared" si="9"/>
        <v>55023.12999999999</v>
      </c>
      <c r="R27" s="36">
        <f t="shared" si="31"/>
        <v>30</v>
      </c>
      <c r="S27" s="36">
        <f t="shared" si="10"/>
        <v>31</v>
      </c>
      <c r="T27" s="84">
        <v>6.9000000000000006E-2</v>
      </c>
      <c r="U27" s="84">
        <v>6.9000000000000006E-2</v>
      </c>
      <c r="V27" s="84">
        <v>6.9000000000000006E-2</v>
      </c>
      <c r="W27" s="84">
        <v>6.9000000000000006E-2</v>
      </c>
      <c r="X27" s="84">
        <v>6.9000000000000006E-2</v>
      </c>
      <c r="Y27" s="745"/>
      <c r="Z27" s="745"/>
      <c r="AA27" s="745"/>
      <c r="AB27" s="745"/>
      <c r="AC27" s="745"/>
      <c r="AD27" s="745"/>
      <c r="AE27" s="745"/>
      <c r="AF27" s="745"/>
      <c r="AG27" s="745"/>
      <c r="AH27" s="745"/>
      <c r="AI27" s="745"/>
      <c r="AL27" s="130">
        <f t="shared" si="23"/>
        <v>1</v>
      </c>
      <c r="AM27" s="769">
        <f t="shared" si="32"/>
        <v>19</v>
      </c>
      <c r="AN27" s="770">
        <f t="shared" si="11"/>
        <v>45893</v>
      </c>
      <c r="AO27" s="105">
        <f t="shared" si="34"/>
        <v>2407</v>
      </c>
      <c r="AP27" s="105">
        <f t="shared" si="12"/>
        <v>1124.25</v>
      </c>
      <c r="AQ27" s="105">
        <f t="shared" si="13"/>
        <v>1282.75</v>
      </c>
      <c r="AR27" s="105">
        <f t="shared" si="14"/>
        <v>0</v>
      </c>
      <c r="AS27" s="105">
        <f t="shared" si="24"/>
        <v>0</v>
      </c>
      <c r="AT27" s="105">
        <f t="shared" si="25"/>
        <v>1124.25</v>
      </c>
      <c r="AU27" s="105">
        <f t="shared" si="26"/>
        <v>0</v>
      </c>
      <c r="AV27" s="105">
        <f t="shared" si="27"/>
        <v>0</v>
      </c>
      <c r="AW27" s="105">
        <f t="shared" si="15"/>
        <v>51878.669999999991</v>
      </c>
      <c r="AX27" s="108">
        <f t="shared" si="33"/>
        <v>30</v>
      </c>
      <c r="AY27" s="108">
        <f t="shared" si="16"/>
        <v>30</v>
      </c>
      <c r="AZ27" s="759">
        <f t="shared" si="3"/>
        <v>45893</v>
      </c>
      <c r="BA27" s="108">
        <f t="shared" si="17"/>
        <v>2407</v>
      </c>
      <c r="BF27" s="16"/>
      <c r="BG27" s="16"/>
      <c r="BJ27" s="16"/>
    </row>
    <row r="28" spans="1:383" ht="22.5" customHeight="1" x14ac:dyDescent="0.25">
      <c r="A28" s="907" t="str">
        <f>IF(AND($C$8&lt;&gt;"Нет",$D$8&lt;&gt;"Нет",$C$11&lt;&gt;"Нет"),"Сумма кредита с учетом страховой премии и 
комиссии за пакет услуг Всё под контролем, руб.",IF(AND($C$8&lt;&gt;"Нет",$D$8&lt;&gt;"Нет",$C$11&lt;&gt;"Да"),"Сумма кредита с учетом страховой премии, руб.",IF(AND($D$8&lt;&gt;"Нет",$C$11&lt;&gt;"Нет"),"Сумма кредита с учетом комиссии за пакет услуг Всё под контролем, руб.","Сумма кредита, руб.")))</f>
        <v>Сумма кредита с учетом страховой премии и 
комиссии за пакет услуг Всё под контролем, руб.</v>
      </c>
      <c r="B28" s="908"/>
      <c r="C28" s="644">
        <f>C7+C32+IF(C22="Да",C25,0)+IF(C11="Да",C12,0)</f>
        <v>75631</v>
      </c>
      <c r="D28" s="644">
        <f>D7+D32+IF(D11="Да",D12,0)</f>
        <v>72631</v>
      </c>
      <c r="E28" s="767">
        <f t="shared" si="29"/>
        <v>20</v>
      </c>
      <c r="F28" s="768">
        <f t="shared" si="5"/>
        <v>45924</v>
      </c>
      <c r="G28" s="24">
        <f t="shared" si="6"/>
        <v>2407</v>
      </c>
      <c r="H28" s="24">
        <f t="shared" si="7"/>
        <v>1116.8900000000001</v>
      </c>
      <c r="I28" s="24">
        <f t="shared" si="28"/>
        <v>26242.020000000008</v>
      </c>
      <c r="J28" s="24">
        <f t="shared" si="18"/>
        <v>0</v>
      </c>
      <c r="K28" s="24">
        <f t="shared" si="8"/>
        <v>1290.1099999999999</v>
      </c>
      <c r="L28" s="24">
        <f t="shared" si="19"/>
        <v>0</v>
      </c>
      <c r="M28" s="24">
        <f t="shared" si="30"/>
        <v>0</v>
      </c>
      <c r="N28" s="24">
        <f t="shared" si="20"/>
        <v>1116.8900000000001</v>
      </c>
      <c r="O28" s="24">
        <f t="shared" si="21"/>
        <v>0</v>
      </c>
      <c r="P28" s="24">
        <f t="shared" si="22"/>
        <v>0</v>
      </c>
      <c r="Q28" s="24">
        <f t="shared" si="9"/>
        <v>53733.01999999999</v>
      </c>
      <c r="R28" s="36">
        <f t="shared" si="31"/>
        <v>29</v>
      </c>
      <c r="S28" s="36">
        <f t="shared" si="10"/>
        <v>30</v>
      </c>
      <c r="T28" s="2">
        <v>1</v>
      </c>
      <c r="U28" s="2">
        <v>1</v>
      </c>
      <c r="V28" s="3">
        <v>1</v>
      </c>
      <c r="W28" s="2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81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L28" s="130">
        <f t="shared" si="23"/>
        <v>1</v>
      </c>
      <c r="AM28" s="769">
        <f t="shared" si="32"/>
        <v>20</v>
      </c>
      <c r="AN28" s="770">
        <f t="shared" si="11"/>
        <v>45924</v>
      </c>
      <c r="AO28" s="105">
        <f t="shared" si="34"/>
        <v>2407</v>
      </c>
      <c r="AP28" s="105">
        <f t="shared" si="12"/>
        <v>1097.1300000000001</v>
      </c>
      <c r="AQ28" s="105">
        <f t="shared" si="13"/>
        <v>1309.8699999999999</v>
      </c>
      <c r="AR28" s="105">
        <f t="shared" si="14"/>
        <v>0</v>
      </c>
      <c r="AS28" s="105">
        <f t="shared" si="24"/>
        <v>0</v>
      </c>
      <c r="AT28" s="105">
        <f t="shared" si="25"/>
        <v>1097.1300000000001</v>
      </c>
      <c r="AU28" s="105">
        <f t="shared" si="26"/>
        <v>0</v>
      </c>
      <c r="AV28" s="105">
        <f t="shared" si="27"/>
        <v>0</v>
      </c>
      <c r="AW28" s="105">
        <f t="shared" si="15"/>
        <v>50568.799999999988</v>
      </c>
      <c r="AX28" s="108">
        <f t="shared" si="33"/>
        <v>29</v>
      </c>
      <c r="AY28" s="108">
        <f t="shared" si="16"/>
        <v>29</v>
      </c>
      <c r="AZ28" s="759">
        <f t="shared" si="3"/>
        <v>45924</v>
      </c>
      <c r="BA28" s="108">
        <f t="shared" si="17"/>
        <v>2407</v>
      </c>
      <c r="BD28" s="16"/>
      <c r="BE28" s="143"/>
      <c r="BF28" s="16"/>
      <c r="BG28" s="16"/>
      <c r="BH28" s="16"/>
      <c r="BI28" s="143"/>
      <c r="BJ28" s="16"/>
      <c r="BK28" s="16"/>
      <c r="BL28" s="143"/>
    </row>
    <row r="29" spans="1:383" ht="26.25" customHeight="1" x14ac:dyDescent="0.25">
      <c r="A29" s="907" t="str">
        <f>IF(AND($C$8&lt;&gt;"Нет",$D$8&lt;&gt;"Нет",$C$11&lt;&gt;"Нет"),"Платеж с учетом страховой премии и 
комиссии за пакет услуг Всё под контролем, руб.",IF(AND($C$8&lt;&gt;"Нет",$D$8&lt;&gt;"Нет",$C$11&lt;&gt;"Да"),"Платеж с учетом страховой премии, руб.",IF(AND($D$8&lt;&gt;"Нет",$C$11&lt;&gt;"Нет"),"Платеж с учетом  комиссии за пакет услуг Всё под контролем, руб.","Платеж, руб.")))</f>
        <v>Платеж с учетом страховой премии и 
комиссии за пакет услуг Всё под контролем, руб.</v>
      </c>
      <c r="B29" s="908"/>
      <c r="C29" s="645">
        <f>IF(AND(C8="Нет",C22="Нет"),ROUNDUP(AB55/$AE$47,0)*$AE$47,D29)</f>
        <v>2407</v>
      </c>
      <c r="D29" s="646">
        <f>ROUNDUP(AD$55/$AE$47,0)*$AE$47</f>
        <v>2407</v>
      </c>
      <c r="E29" s="767">
        <f t="shared" si="29"/>
        <v>21</v>
      </c>
      <c r="F29" s="768">
        <f t="shared" si="5"/>
        <v>45954</v>
      </c>
      <c r="G29" s="24">
        <f t="shared" si="6"/>
        <v>2407</v>
      </c>
      <c r="H29" s="24">
        <f t="shared" si="7"/>
        <v>1055.52</v>
      </c>
      <c r="I29" s="24">
        <f t="shared" si="28"/>
        <v>27297.540000000008</v>
      </c>
      <c r="J29" s="24">
        <f t="shared" si="18"/>
        <v>0</v>
      </c>
      <c r="K29" s="24">
        <f t="shared" si="8"/>
        <v>1351.48</v>
      </c>
      <c r="L29" s="24">
        <f t="shared" si="19"/>
        <v>0</v>
      </c>
      <c r="M29" s="24">
        <f t="shared" si="30"/>
        <v>0</v>
      </c>
      <c r="N29" s="24">
        <f t="shared" si="20"/>
        <v>1055.52</v>
      </c>
      <c r="O29" s="24">
        <f t="shared" si="21"/>
        <v>0</v>
      </c>
      <c r="P29" s="24">
        <f t="shared" si="22"/>
        <v>0</v>
      </c>
      <c r="Q29" s="24">
        <f t="shared" si="9"/>
        <v>52381.539999999986</v>
      </c>
      <c r="R29" s="36">
        <f t="shared" si="31"/>
        <v>28</v>
      </c>
      <c r="S29" s="36">
        <f t="shared" si="10"/>
        <v>29</v>
      </c>
      <c r="AB29" s="82"/>
      <c r="AC29" s="2"/>
      <c r="AD29" s="2"/>
      <c r="AE29" s="2"/>
      <c r="AF29" s="3"/>
      <c r="AG29" s="3"/>
      <c r="AH29" s="3"/>
      <c r="AI29" s="3"/>
      <c r="AL29" s="130">
        <f t="shared" si="23"/>
        <v>1</v>
      </c>
      <c r="AM29" s="769">
        <f t="shared" si="32"/>
        <v>21</v>
      </c>
      <c r="AN29" s="770">
        <f t="shared" si="11"/>
        <v>45954</v>
      </c>
      <c r="AO29" s="105">
        <f t="shared" si="34"/>
        <v>2407</v>
      </c>
      <c r="AP29" s="105">
        <f t="shared" si="12"/>
        <v>1034.93</v>
      </c>
      <c r="AQ29" s="105">
        <f t="shared" si="13"/>
        <v>1372.07</v>
      </c>
      <c r="AR29" s="105">
        <f t="shared" si="14"/>
        <v>0</v>
      </c>
      <c r="AS29" s="105">
        <f t="shared" si="24"/>
        <v>0</v>
      </c>
      <c r="AT29" s="105">
        <f t="shared" si="25"/>
        <v>1034.93</v>
      </c>
      <c r="AU29" s="105">
        <f t="shared" si="26"/>
        <v>0</v>
      </c>
      <c r="AV29" s="105">
        <f t="shared" si="27"/>
        <v>0</v>
      </c>
      <c r="AW29" s="105">
        <f t="shared" si="15"/>
        <v>49196.729999999989</v>
      </c>
      <c r="AX29" s="108">
        <f t="shared" si="33"/>
        <v>28</v>
      </c>
      <c r="AY29" s="108">
        <f t="shared" si="16"/>
        <v>28</v>
      </c>
      <c r="AZ29" s="759">
        <f t="shared" si="3"/>
        <v>45954</v>
      </c>
      <c r="BA29" s="108">
        <f t="shared" si="17"/>
        <v>2407</v>
      </c>
      <c r="BD29" s="16"/>
      <c r="BE29" s="143"/>
      <c r="BF29" s="16"/>
      <c r="BG29" s="16"/>
      <c r="BH29" s="16"/>
      <c r="BI29" s="143"/>
      <c r="BJ29" s="16"/>
      <c r="BK29" s="16"/>
      <c r="BL29" s="143"/>
    </row>
    <row r="30" spans="1:383" ht="25.5" customHeight="1" x14ac:dyDescent="0.25">
      <c r="A30" s="909" t="s">
        <v>445</v>
      </c>
      <c r="B30" s="910"/>
      <c r="C30" s="647">
        <v>12</v>
      </c>
      <c r="D30" s="647">
        <f>IF(D8="нет",0,12)</f>
        <v>12</v>
      </c>
      <c r="E30" s="767">
        <f t="shared" si="29"/>
        <v>22</v>
      </c>
      <c r="F30" s="768">
        <f t="shared" si="5"/>
        <v>45985</v>
      </c>
      <c r="G30" s="24">
        <f t="shared" si="6"/>
        <v>2407</v>
      </c>
      <c r="H30" s="24">
        <f t="shared" si="7"/>
        <v>1063.27</v>
      </c>
      <c r="I30" s="24">
        <f t="shared" si="28"/>
        <v>28360.810000000009</v>
      </c>
      <c r="J30" s="24">
        <f t="shared" si="18"/>
        <v>0</v>
      </c>
      <c r="K30" s="24">
        <f t="shared" si="8"/>
        <v>1343.73</v>
      </c>
      <c r="L30" s="24">
        <f t="shared" si="19"/>
        <v>0</v>
      </c>
      <c r="M30" s="24">
        <f t="shared" si="30"/>
        <v>0</v>
      </c>
      <c r="N30" s="24">
        <f t="shared" si="20"/>
        <v>1063.27</v>
      </c>
      <c r="O30" s="24">
        <f t="shared" si="21"/>
        <v>0</v>
      </c>
      <c r="P30" s="24">
        <f t="shared" si="22"/>
        <v>0</v>
      </c>
      <c r="Q30" s="24">
        <f t="shared" si="9"/>
        <v>51037.809999999983</v>
      </c>
      <c r="R30" s="36">
        <f t="shared" si="31"/>
        <v>27</v>
      </c>
      <c r="S30" s="36">
        <f t="shared" si="10"/>
        <v>28</v>
      </c>
      <c r="T30" s="2">
        <v>0</v>
      </c>
      <c r="U30" s="2">
        <v>1</v>
      </c>
      <c r="V30" s="2">
        <v>2</v>
      </c>
      <c r="W30" s="2">
        <v>3</v>
      </c>
      <c r="X30" s="2">
        <v>4</v>
      </c>
      <c r="Y30" s="13"/>
      <c r="Z30" s="13" t="s">
        <v>47</v>
      </c>
      <c r="AA30" s="2" t="s">
        <v>35</v>
      </c>
      <c r="AB30" s="82" t="s">
        <v>35</v>
      </c>
      <c r="AC30" s="2" t="s">
        <v>35</v>
      </c>
      <c r="AD30" s="2" t="s">
        <v>35</v>
      </c>
      <c r="AE30" s="2" t="s">
        <v>35</v>
      </c>
      <c r="AH30" s="2"/>
      <c r="AL30" s="130">
        <f t="shared" si="23"/>
        <v>1</v>
      </c>
      <c r="AM30" s="769">
        <f t="shared" si="32"/>
        <v>22</v>
      </c>
      <c r="AN30" s="770">
        <f t="shared" si="11"/>
        <v>45985</v>
      </c>
      <c r="AO30" s="105">
        <f t="shared" si="34"/>
        <v>2407</v>
      </c>
      <c r="AP30" s="105">
        <f t="shared" si="12"/>
        <v>1040.4100000000001</v>
      </c>
      <c r="AQ30" s="105">
        <f t="shared" si="13"/>
        <v>1366.59</v>
      </c>
      <c r="AR30" s="105">
        <f t="shared" si="14"/>
        <v>0</v>
      </c>
      <c r="AS30" s="105">
        <f t="shared" si="24"/>
        <v>0</v>
      </c>
      <c r="AT30" s="105">
        <f t="shared" si="25"/>
        <v>1040.4100000000001</v>
      </c>
      <c r="AU30" s="105">
        <f t="shared" si="26"/>
        <v>0</v>
      </c>
      <c r="AV30" s="105">
        <f t="shared" si="27"/>
        <v>0</v>
      </c>
      <c r="AW30" s="105">
        <f t="shared" si="15"/>
        <v>47830.139999999992</v>
      </c>
      <c r="AX30" s="108">
        <f t="shared" si="33"/>
        <v>27</v>
      </c>
      <c r="AY30" s="108">
        <f t="shared" si="16"/>
        <v>27</v>
      </c>
      <c r="AZ30" s="759">
        <f t="shared" si="3"/>
        <v>45985</v>
      </c>
      <c r="BA30" s="108">
        <f t="shared" si="17"/>
        <v>2407</v>
      </c>
    </row>
    <row r="31" spans="1:383" ht="21" customHeight="1" x14ac:dyDescent="0.25">
      <c r="A31" s="909" t="s">
        <v>100</v>
      </c>
      <c r="B31" s="911"/>
      <c r="C31" s="649">
        <f>AH66</f>
        <v>1.06E-2</v>
      </c>
      <c r="D31" s="649"/>
      <c r="E31" s="767">
        <f t="shared" si="29"/>
        <v>23</v>
      </c>
      <c r="F31" s="768">
        <f t="shared" si="5"/>
        <v>46015</v>
      </c>
      <c r="G31" s="24">
        <f t="shared" si="6"/>
        <v>2407</v>
      </c>
      <c r="H31" s="24">
        <f t="shared" si="7"/>
        <v>1002.58</v>
      </c>
      <c r="I31" s="24">
        <f t="shared" si="28"/>
        <v>29363.39000000001</v>
      </c>
      <c r="J31" s="24">
        <f t="shared" si="18"/>
        <v>0</v>
      </c>
      <c r="K31" s="24">
        <f t="shared" si="8"/>
        <v>1404.42</v>
      </c>
      <c r="L31" s="24">
        <f t="shared" si="19"/>
        <v>0</v>
      </c>
      <c r="M31" s="24">
        <f t="shared" si="30"/>
        <v>0</v>
      </c>
      <c r="N31" s="24">
        <f t="shared" si="20"/>
        <v>1002.58</v>
      </c>
      <c r="O31" s="24">
        <f t="shared" si="21"/>
        <v>0</v>
      </c>
      <c r="P31" s="24">
        <f t="shared" si="22"/>
        <v>0</v>
      </c>
      <c r="Q31" s="24">
        <f t="shared" si="9"/>
        <v>49633.389999999985</v>
      </c>
      <c r="R31" s="36">
        <f t="shared" si="31"/>
        <v>26</v>
      </c>
      <c r="S31" s="36">
        <f t="shared" si="10"/>
        <v>27</v>
      </c>
      <c r="Y31" s="13" t="s">
        <v>79</v>
      </c>
      <c r="Z31" s="15">
        <v>0.03</v>
      </c>
      <c r="AA31" s="15">
        <v>0</v>
      </c>
      <c r="AB31" s="2">
        <v>0</v>
      </c>
      <c r="AC31" s="2">
        <v>0</v>
      </c>
      <c r="AD31" s="2">
        <v>0</v>
      </c>
      <c r="AE31" s="2"/>
      <c r="AH31" s="2"/>
      <c r="AK31" s="57"/>
      <c r="AL31" s="130">
        <f t="shared" si="23"/>
        <v>1</v>
      </c>
      <c r="AM31" s="769">
        <f t="shared" si="32"/>
        <v>23</v>
      </c>
      <c r="AN31" s="770">
        <f t="shared" si="11"/>
        <v>46015</v>
      </c>
      <c r="AO31" s="105">
        <f t="shared" si="34"/>
        <v>2407</v>
      </c>
      <c r="AP31" s="105">
        <f t="shared" si="12"/>
        <v>978.88</v>
      </c>
      <c r="AQ31" s="105">
        <f t="shared" si="13"/>
        <v>1428.12</v>
      </c>
      <c r="AR31" s="105">
        <f t="shared" si="14"/>
        <v>0</v>
      </c>
      <c r="AS31" s="105">
        <f t="shared" si="24"/>
        <v>0</v>
      </c>
      <c r="AT31" s="105">
        <f t="shared" si="25"/>
        <v>978.88</v>
      </c>
      <c r="AU31" s="105">
        <f t="shared" si="26"/>
        <v>0</v>
      </c>
      <c r="AV31" s="105">
        <f t="shared" si="27"/>
        <v>0</v>
      </c>
      <c r="AW31" s="105">
        <f t="shared" si="15"/>
        <v>46402.01999999999</v>
      </c>
      <c r="AX31" s="108">
        <f t="shared" si="33"/>
        <v>26</v>
      </c>
      <c r="AY31" s="108">
        <f t="shared" si="16"/>
        <v>26</v>
      </c>
      <c r="AZ31" s="759">
        <f t="shared" si="3"/>
        <v>46015</v>
      </c>
      <c r="BA31" s="108">
        <f t="shared" si="17"/>
        <v>2407</v>
      </c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116"/>
      <c r="FX31" s="116"/>
      <c r="FY31" s="116"/>
      <c r="FZ31" s="116"/>
      <c r="GA31" s="116"/>
      <c r="GB31" s="116"/>
      <c r="GC31" s="116"/>
      <c r="GD31" s="116"/>
      <c r="GE31" s="116"/>
      <c r="GF31" s="116"/>
      <c r="GG31" s="116"/>
      <c r="GH31" s="116"/>
      <c r="GI31" s="116"/>
      <c r="GJ31" s="116"/>
      <c r="GK31" s="116"/>
      <c r="GL31" s="116"/>
      <c r="GM31" s="116"/>
      <c r="GN31" s="116"/>
      <c r="GO31" s="116"/>
      <c r="GP31" s="116"/>
      <c r="GQ31" s="116"/>
      <c r="GR31" s="116"/>
      <c r="GS31" s="116"/>
      <c r="GT31" s="116"/>
      <c r="GU31" s="116"/>
      <c r="GV31" s="116"/>
      <c r="GW31" s="116"/>
      <c r="GX31" s="116"/>
      <c r="GY31" s="116"/>
      <c r="GZ31" s="116"/>
      <c r="HA31" s="116"/>
      <c r="HB31" s="116"/>
      <c r="HC31" s="116"/>
      <c r="HD31" s="116"/>
      <c r="HE31" s="116"/>
      <c r="HF31" s="116"/>
      <c r="HG31" s="116"/>
      <c r="HH31" s="116"/>
      <c r="HI31" s="116"/>
      <c r="HJ31" s="116"/>
      <c r="HK31" s="116"/>
      <c r="HL31" s="116"/>
      <c r="HM31" s="116"/>
      <c r="HN31" s="116"/>
      <c r="HO31" s="116"/>
      <c r="HP31" s="116"/>
      <c r="HQ31" s="116"/>
      <c r="HR31" s="116"/>
      <c r="HS31" s="116"/>
      <c r="HT31" s="116"/>
      <c r="HU31" s="116"/>
      <c r="HV31" s="116"/>
      <c r="HW31" s="116"/>
      <c r="HX31" s="116"/>
      <c r="HY31" s="116"/>
      <c r="HZ31" s="116"/>
      <c r="IA31" s="116"/>
      <c r="IB31" s="116"/>
      <c r="IC31" s="116"/>
      <c r="ID31" s="116"/>
      <c r="IE31" s="116"/>
      <c r="IF31" s="116"/>
      <c r="IG31" s="116"/>
      <c r="IH31" s="116"/>
      <c r="II31" s="116"/>
      <c r="IJ31" s="116"/>
      <c r="IK31" s="116"/>
      <c r="IL31" s="116"/>
      <c r="IM31" s="116"/>
      <c r="IN31" s="116"/>
      <c r="IO31" s="116"/>
      <c r="IP31" s="116"/>
      <c r="IQ31" s="116"/>
      <c r="IR31" s="116"/>
      <c r="IS31" s="116"/>
      <c r="IT31" s="116"/>
      <c r="IU31" s="116"/>
      <c r="IV31" s="116"/>
      <c r="IW31" s="116"/>
      <c r="IX31" s="116"/>
      <c r="IY31" s="116"/>
      <c r="IZ31" s="116"/>
      <c r="JA31" s="116"/>
      <c r="JB31" s="116"/>
      <c r="JC31" s="116"/>
      <c r="JD31" s="116"/>
      <c r="JE31" s="116"/>
      <c r="JF31" s="116"/>
      <c r="JG31" s="116"/>
      <c r="JH31" s="116"/>
      <c r="JI31" s="116"/>
      <c r="JJ31" s="116"/>
      <c r="JK31" s="116"/>
      <c r="JL31" s="116"/>
      <c r="JM31" s="116"/>
      <c r="JN31" s="116"/>
      <c r="JO31" s="116"/>
      <c r="JP31" s="116"/>
      <c r="JQ31" s="116"/>
      <c r="JR31" s="116"/>
      <c r="JS31" s="116"/>
      <c r="JT31" s="116"/>
      <c r="JU31" s="116"/>
      <c r="JV31" s="116"/>
      <c r="JW31" s="116"/>
      <c r="JX31" s="116"/>
      <c r="JY31" s="116"/>
      <c r="JZ31" s="116"/>
      <c r="KA31" s="116"/>
      <c r="KB31" s="116"/>
      <c r="KC31" s="116"/>
      <c r="KD31" s="116"/>
      <c r="KE31" s="116"/>
      <c r="KF31" s="116"/>
      <c r="KG31" s="116"/>
      <c r="KH31" s="116"/>
      <c r="KI31" s="116"/>
      <c r="KJ31" s="116"/>
      <c r="KK31" s="116"/>
      <c r="KL31" s="116"/>
      <c r="KM31" s="116"/>
      <c r="KN31" s="116"/>
      <c r="KO31" s="116"/>
      <c r="KP31" s="116"/>
      <c r="KQ31" s="116"/>
      <c r="KR31" s="116"/>
      <c r="KS31" s="116"/>
      <c r="KT31" s="116"/>
      <c r="KU31" s="116"/>
      <c r="KV31" s="116"/>
      <c r="KW31" s="116"/>
      <c r="KX31" s="116"/>
      <c r="KY31" s="116"/>
      <c r="KZ31" s="116"/>
      <c r="LA31" s="116"/>
      <c r="LB31" s="116"/>
      <c r="LC31" s="116"/>
      <c r="LD31" s="116"/>
      <c r="LE31" s="116"/>
      <c r="LF31" s="116"/>
      <c r="LG31" s="116"/>
      <c r="LH31" s="116"/>
      <c r="LI31" s="116"/>
      <c r="LJ31" s="116"/>
      <c r="LK31" s="116"/>
      <c r="LL31" s="116"/>
      <c r="LM31" s="116"/>
      <c r="LN31" s="116"/>
      <c r="LO31" s="116"/>
      <c r="LP31" s="116"/>
      <c r="LQ31" s="116"/>
      <c r="LR31" s="116"/>
      <c r="LS31" s="116"/>
      <c r="LT31" s="116"/>
      <c r="LU31" s="116"/>
      <c r="LV31" s="116"/>
      <c r="LW31" s="116"/>
      <c r="LX31" s="116"/>
      <c r="LY31" s="116"/>
      <c r="LZ31" s="116"/>
      <c r="MA31" s="116"/>
      <c r="MB31" s="116"/>
      <c r="MC31" s="116"/>
      <c r="MD31" s="116"/>
      <c r="ME31" s="116"/>
      <c r="MF31" s="116"/>
      <c r="MG31" s="116"/>
      <c r="MH31" s="116"/>
      <c r="MI31" s="116"/>
      <c r="MJ31" s="116"/>
      <c r="MK31" s="116"/>
      <c r="ML31" s="116"/>
      <c r="MM31" s="116"/>
      <c r="MN31" s="116"/>
      <c r="MO31" s="116"/>
      <c r="MP31" s="116"/>
      <c r="MQ31" s="116"/>
      <c r="MR31" s="116"/>
      <c r="MS31" s="116"/>
      <c r="MT31" s="116"/>
      <c r="MU31" s="116"/>
      <c r="MV31" s="116"/>
      <c r="MW31" s="116"/>
      <c r="MX31" s="116"/>
      <c r="MY31" s="116"/>
      <c r="MZ31" s="116"/>
      <c r="NA31" s="116"/>
      <c r="NB31" s="116"/>
      <c r="NC31" s="116"/>
      <c r="ND31" s="116"/>
      <c r="NE31" s="116"/>
      <c r="NF31" s="116"/>
      <c r="NG31" s="116"/>
    </row>
    <row r="32" spans="1:383" ht="18.75" customHeight="1" x14ac:dyDescent="0.25">
      <c r="A32" s="909" t="s">
        <v>446</v>
      </c>
      <c r="B32" s="911"/>
      <c r="C32" s="650">
        <f>IF(C8="нет",0,AH67)</f>
        <v>7632</v>
      </c>
      <c r="D32" s="650">
        <f>AH67</f>
        <v>7632</v>
      </c>
      <c r="E32" s="767">
        <f t="shared" si="29"/>
        <v>24</v>
      </c>
      <c r="F32" s="768">
        <f t="shared" si="5"/>
        <v>46046</v>
      </c>
      <c r="G32" s="24">
        <f t="shared" si="6"/>
        <v>2407</v>
      </c>
      <c r="H32" s="24">
        <f t="shared" si="7"/>
        <v>1007.49</v>
      </c>
      <c r="I32" s="24">
        <f t="shared" si="28"/>
        <v>30370.880000000012</v>
      </c>
      <c r="J32" s="24">
        <f t="shared" si="18"/>
        <v>0</v>
      </c>
      <c r="K32" s="24">
        <f t="shared" si="8"/>
        <v>1399.51</v>
      </c>
      <c r="L32" s="24">
        <f t="shared" si="19"/>
        <v>0</v>
      </c>
      <c r="M32" s="24">
        <f t="shared" si="30"/>
        <v>0</v>
      </c>
      <c r="N32" s="24">
        <f t="shared" si="20"/>
        <v>1007.49</v>
      </c>
      <c r="O32" s="24">
        <f t="shared" si="21"/>
        <v>0</v>
      </c>
      <c r="P32" s="24">
        <f t="shared" si="22"/>
        <v>0</v>
      </c>
      <c r="Q32" s="24">
        <f t="shared" si="9"/>
        <v>48233.879999999983</v>
      </c>
      <c r="R32" s="36">
        <f t="shared" si="31"/>
        <v>25</v>
      </c>
      <c r="S32" s="36">
        <f t="shared" si="10"/>
        <v>26</v>
      </c>
      <c r="T32" s="16"/>
      <c r="U32" s="16"/>
      <c r="V32" s="57"/>
      <c r="Y32" s="13" t="s">
        <v>80</v>
      </c>
      <c r="Z32" s="15">
        <f>IF(D18=T3,T22,IF(D18=V3,V22,IF(D18=W3,W22,IF(D18=X3,X22,IF(D18=U3,U22,)))))</f>
        <v>6.9000000000000006E-2</v>
      </c>
      <c r="AA32" s="15">
        <v>0</v>
      </c>
      <c r="AB32" s="15"/>
      <c r="AC32" s="2"/>
      <c r="AD32" s="2"/>
      <c r="AE32" s="2"/>
      <c r="AH32" s="2"/>
      <c r="AK32" s="16"/>
      <c r="AL32" s="130">
        <f t="shared" si="23"/>
        <v>1</v>
      </c>
      <c r="AM32" s="769">
        <f t="shared" si="32"/>
        <v>24</v>
      </c>
      <c r="AN32" s="770">
        <f t="shared" si="11"/>
        <v>46046</v>
      </c>
      <c r="AO32" s="105">
        <f t="shared" si="34"/>
        <v>2407</v>
      </c>
      <c r="AP32" s="105">
        <f t="shared" si="12"/>
        <v>981.31</v>
      </c>
      <c r="AQ32" s="105">
        <f t="shared" si="13"/>
        <v>1425.69</v>
      </c>
      <c r="AR32" s="105">
        <f t="shared" si="14"/>
        <v>0</v>
      </c>
      <c r="AS32" s="105">
        <f t="shared" si="24"/>
        <v>0</v>
      </c>
      <c r="AT32" s="105">
        <f t="shared" si="25"/>
        <v>981.31</v>
      </c>
      <c r="AU32" s="105">
        <f t="shared" si="26"/>
        <v>0</v>
      </c>
      <c r="AV32" s="105">
        <f t="shared" si="27"/>
        <v>0</v>
      </c>
      <c r="AW32" s="105">
        <f t="shared" si="15"/>
        <v>44976.329999999987</v>
      </c>
      <c r="AX32" s="108">
        <f t="shared" si="33"/>
        <v>25</v>
      </c>
      <c r="AY32" s="108">
        <f t="shared" si="16"/>
        <v>25</v>
      </c>
      <c r="AZ32" s="759">
        <f t="shared" si="3"/>
        <v>46046</v>
      </c>
      <c r="BA32" s="108">
        <f t="shared" si="17"/>
        <v>2407</v>
      </c>
    </row>
    <row r="33" spans="1:1207" ht="19.5" customHeight="1" x14ac:dyDescent="0.25">
      <c r="A33" s="2" t="s">
        <v>447</v>
      </c>
      <c r="B33" s="772" t="s">
        <v>35</v>
      </c>
      <c r="C33" s="2"/>
      <c r="D33" s="2"/>
      <c r="E33" s="767">
        <f t="shared" si="29"/>
        <v>25</v>
      </c>
      <c r="F33" s="768">
        <f t="shared" si="5"/>
        <v>46077</v>
      </c>
      <c r="G33" s="24">
        <f t="shared" si="6"/>
        <v>2407</v>
      </c>
      <c r="H33" s="24">
        <f t="shared" si="7"/>
        <v>979.08</v>
      </c>
      <c r="I33" s="24">
        <f t="shared" si="28"/>
        <v>31349.960000000014</v>
      </c>
      <c r="J33" s="24">
        <f t="shared" si="18"/>
        <v>0</v>
      </c>
      <c r="K33" s="24">
        <f t="shared" si="8"/>
        <v>1427.92</v>
      </c>
      <c r="L33" s="24">
        <f t="shared" si="19"/>
        <v>0</v>
      </c>
      <c r="M33" s="24">
        <f t="shared" si="30"/>
        <v>0</v>
      </c>
      <c r="N33" s="24">
        <f t="shared" si="20"/>
        <v>979.08</v>
      </c>
      <c r="O33" s="24">
        <f t="shared" si="21"/>
        <v>0</v>
      </c>
      <c r="P33" s="24">
        <f t="shared" si="22"/>
        <v>0</v>
      </c>
      <c r="Q33" s="24">
        <f t="shared" si="9"/>
        <v>46805.959999999985</v>
      </c>
      <c r="R33" s="36">
        <f t="shared" si="31"/>
        <v>24</v>
      </c>
      <c r="S33" s="36">
        <f t="shared" si="10"/>
        <v>25</v>
      </c>
      <c r="T33" s="138" t="s">
        <v>104</v>
      </c>
      <c r="U33" s="139"/>
      <c r="V33" s="139" t="s">
        <v>20</v>
      </c>
      <c r="W33" s="139" t="s">
        <v>29</v>
      </c>
      <c r="X33" s="139"/>
      <c r="AB33" s="15"/>
      <c r="AJ33" s="16"/>
      <c r="AK33" s="16"/>
      <c r="AL33" s="130">
        <f t="shared" si="23"/>
        <v>1</v>
      </c>
      <c r="AM33" s="769">
        <f t="shared" si="32"/>
        <v>25</v>
      </c>
      <c r="AN33" s="770">
        <f t="shared" si="11"/>
        <v>46077</v>
      </c>
      <c r="AO33" s="105">
        <f t="shared" si="34"/>
        <v>2407</v>
      </c>
      <c r="AP33" s="105">
        <f t="shared" si="12"/>
        <v>951.16</v>
      </c>
      <c r="AQ33" s="105">
        <f t="shared" si="13"/>
        <v>1455.8400000000001</v>
      </c>
      <c r="AR33" s="105">
        <f t="shared" si="14"/>
        <v>0</v>
      </c>
      <c r="AS33" s="105">
        <f t="shared" si="24"/>
        <v>0</v>
      </c>
      <c r="AT33" s="105">
        <f t="shared" si="25"/>
        <v>951.16</v>
      </c>
      <c r="AU33" s="105">
        <f t="shared" si="26"/>
        <v>0</v>
      </c>
      <c r="AV33" s="105">
        <f t="shared" si="27"/>
        <v>0</v>
      </c>
      <c r="AW33" s="105">
        <f t="shared" si="15"/>
        <v>43520.489999999991</v>
      </c>
      <c r="AX33" s="108">
        <f t="shared" si="33"/>
        <v>24</v>
      </c>
      <c r="AY33" s="108">
        <f t="shared" si="16"/>
        <v>24</v>
      </c>
      <c r="AZ33" s="759">
        <f t="shared" si="3"/>
        <v>46077</v>
      </c>
      <c r="BA33" s="108">
        <f t="shared" si="17"/>
        <v>2407</v>
      </c>
      <c r="BD33" s="853" t="str">
        <f>IF(AL7&lt;C10,CONCATENATE("← Срок с учетом перехода на иной тарифный план равен ",AL7," мес."),"")</f>
        <v/>
      </c>
      <c r="BF33" s="131"/>
    </row>
    <row r="34" spans="1:1207" ht="15.75" customHeight="1" x14ac:dyDescent="0.3">
      <c r="A34" s="2" t="s">
        <v>448</v>
      </c>
      <c r="B34" s="772" t="s">
        <v>47</v>
      </c>
      <c r="C34" s="16"/>
      <c r="D34" s="16"/>
      <c r="E34" s="767">
        <f t="shared" si="29"/>
        <v>26</v>
      </c>
      <c r="F34" s="768">
        <f t="shared" si="5"/>
        <v>46105</v>
      </c>
      <c r="G34" s="24">
        <f t="shared" si="6"/>
        <v>2407</v>
      </c>
      <c r="H34" s="24">
        <f t="shared" si="7"/>
        <v>858.15</v>
      </c>
      <c r="I34" s="24">
        <f t="shared" si="28"/>
        <v>32208.110000000015</v>
      </c>
      <c r="J34" s="24">
        <f t="shared" si="18"/>
        <v>0</v>
      </c>
      <c r="K34" s="24">
        <f t="shared" si="8"/>
        <v>1548.85</v>
      </c>
      <c r="L34" s="24">
        <f t="shared" si="19"/>
        <v>0</v>
      </c>
      <c r="M34" s="24">
        <f t="shared" si="30"/>
        <v>0</v>
      </c>
      <c r="N34" s="24">
        <f t="shared" si="20"/>
        <v>858.15</v>
      </c>
      <c r="O34" s="24">
        <f t="shared" si="21"/>
        <v>0</v>
      </c>
      <c r="P34" s="24">
        <f t="shared" si="22"/>
        <v>0</v>
      </c>
      <c r="Q34" s="24">
        <f t="shared" si="9"/>
        <v>45257.109999999986</v>
      </c>
      <c r="R34" s="36">
        <f t="shared" si="31"/>
        <v>23</v>
      </c>
      <c r="S34" s="36">
        <f t="shared" si="10"/>
        <v>24</v>
      </c>
      <c r="T34" s="140" t="s">
        <v>106</v>
      </c>
      <c r="U34" s="140" t="s">
        <v>107</v>
      </c>
      <c r="V34" s="140" t="s">
        <v>108</v>
      </c>
      <c r="W34" s="140" t="s">
        <v>109</v>
      </c>
      <c r="X34" s="140" t="s">
        <v>110</v>
      </c>
      <c r="Y34" s="140" t="s">
        <v>449</v>
      </c>
      <c r="Z34" s="140" t="s">
        <v>450</v>
      </c>
      <c r="AB34" s="2"/>
      <c r="AJ34" s="16"/>
      <c r="AK34" s="16"/>
      <c r="AL34" s="130">
        <f t="shared" si="23"/>
        <v>1</v>
      </c>
      <c r="AM34" s="769">
        <f t="shared" si="32"/>
        <v>26</v>
      </c>
      <c r="AN34" s="770">
        <f t="shared" si="11"/>
        <v>46105</v>
      </c>
      <c r="AO34" s="105">
        <f t="shared" si="34"/>
        <v>2407</v>
      </c>
      <c r="AP34" s="105">
        <f t="shared" si="12"/>
        <v>831.3</v>
      </c>
      <c r="AQ34" s="105">
        <f t="shared" si="13"/>
        <v>1575.7</v>
      </c>
      <c r="AR34" s="105">
        <f t="shared" si="14"/>
        <v>0</v>
      </c>
      <c r="AS34" s="105">
        <f t="shared" si="24"/>
        <v>0</v>
      </c>
      <c r="AT34" s="105">
        <f t="shared" si="25"/>
        <v>831.3</v>
      </c>
      <c r="AU34" s="105">
        <f t="shared" si="26"/>
        <v>0</v>
      </c>
      <c r="AV34" s="105">
        <f t="shared" si="27"/>
        <v>0</v>
      </c>
      <c r="AW34" s="105">
        <f t="shared" si="15"/>
        <v>41944.789999999994</v>
      </c>
      <c r="AX34" s="108">
        <f t="shared" si="33"/>
        <v>23</v>
      </c>
      <c r="AY34" s="108">
        <f t="shared" si="16"/>
        <v>23</v>
      </c>
      <c r="AZ34" s="759">
        <f t="shared" si="3"/>
        <v>46105</v>
      </c>
      <c r="BA34" s="108">
        <f t="shared" si="17"/>
        <v>2407</v>
      </c>
      <c r="BD34" s="853"/>
    </row>
    <row r="35" spans="1:1207" ht="25.5" customHeight="1" x14ac:dyDescent="0.3">
      <c r="A35" s="2" t="s">
        <v>451</v>
      </c>
      <c r="B35" s="772" t="s">
        <v>47</v>
      </c>
      <c r="C35" s="16"/>
      <c r="D35" s="16"/>
      <c r="E35" s="767">
        <f t="shared" si="29"/>
        <v>27</v>
      </c>
      <c r="F35" s="768">
        <f t="shared" si="5"/>
        <v>46136</v>
      </c>
      <c r="G35" s="24">
        <f t="shared" si="6"/>
        <v>2407</v>
      </c>
      <c r="H35" s="24">
        <f t="shared" si="7"/>
        <v>918.66</v>
      </c>
      <c r="I35" s="24">
        <f t="shared" si="28"/>
        <v>33126.770000000019</v>
      </c>
      <c r="J35" s="24">
        <f t="shared" si="18"/>
        <v>0</v>
      </c>
      <c r="K35" s="24">
        <f t="shared" si="8"/>
        <v>1488.3400000000001</v>
      </c>
      <c r="L35" s="24">
        <f t="shared" si="19"/>
        <v>0</v>
      </c>
      <c r="M35" s="24">
        <f t="shared" si="30"/>
        <v>0</v>
      </c>
      <c r="N35" s="24">
        <f t="shared" si="20"/>
        <v>918.66</v>
      </c>
      <c r="O35" s="24">
        <f t="shared" si="21"/>
        <v>0</v>
      </c>
      <c r="P35" s="24">
        <f t="shared" si="22"/>
        <v>0</v>
      </c>
      <c r="Q35" s="24">
        <f t="shared" si="9"/>
        <v>43768.76999999999</v>
      </c>
      <c r="R35" s="36">
        <f t="shared" si="31"/>
        <v>22</v>
      </c>
      <c r="S35" s="36">
        <f t="shared" si="10"/>
        <v>23</v>
      </c>
      <c r="T35" s="2">
        <f>IF(C11="Да",IF($C$10&gt;=79,$Z37,IF($C$10&gt;=67,$Y37,IF($C$10&gt;=55,$X37,IF($C$10&gt;=43,$W37,IF($C$10&gt;=31,$V37,IF($C$10&gt;=19,$U37,$T37)))))),"")</f>
        <v>3499</v>
      </c>
      <c r="U35" s="2">
        <f>IF(D11="Да",IF($C$10&gt;=55,$X$37,IF($C$10&gt;=43,$W$37,IF($C$10&gt;=31,$V$37,IF($C$10&gt;=19,$U$37,$T$37)))),"")</f>
        <v>3499</v>
      </c>
      <c r="V35" s="142">
        <v>36</v>
      </c>
      <c r="W35" s="141">
        <v>37</v>
      </c>
      <c r="X35" s="141">
        <v>49</v>
      </c>
      <c r="Y35" s="141">
        <v>61</v>
      </c>
      <c r="Z35" s="141">
        <v>73</v>
      </c>
      <c r="AB35" s="15"/>
      <c r="AJ35" s="16"/>
      <c r="AK35" s="16"/>
      <c r="AL35" s="130">
        <f t="shared" si="23"/>
        <v>1</v>
      </c>
      <c r="AM35" s="769">
        <f t="shared" si="32"/>
        <v>27</v>
      </c>
      <c r="AN35" s="770">
        <f t="shared" si="11"/>
        <v>46136</v>
      </c>
      <c r="AO35" s="105">
        <f t="shared" si="34"/>
        <v>2407</v>
      </c>
      <c r="AP35" s="105">
        <f t="shared" si="12"/>
        <v>887.05</v>
      </c>
      <c r="AQ35" s="105">
        <f t="shared" si="13"/>
        <v>1519.95</v>
      </c>
      <c r="AR35" s="105">
        <f t="shared" si="14"/>
        <v>0</v>
      </c>
      <c r="AS35" s="105">
        <f t="shared" si="24"/>
        <v>0</v>
      </c>
      <c r="AT35" s="105">
        <f t="shared" si="25"/>
        <v>887.05</v>
      </c>
      <c r="AU35" s="105">
        <f t="shared" si="26"/>
        <v>0</v>
      </c>
      <c r="AV35" s="105">
        <f t="shared" si="27"/>
        <v>0</v>
      </c>
      <c r="AW35" s="105">
        <f t="shared" si="15"/>
        <v>40424.839999999997</v>
      </c>
      <c r="AX35" s="108">
        <f t="shared" si="33"/>
        <v>22</v>
      </c>
      <c r="AY35" s="108">
        <f t="shared" si="16"/>
        <v>22</v>
      </c>
      <c r="AZ35" s="759">
        <f t="shared" si="3"/>
        <v>46136</v>
      </c>
      <c r="BA35" s="108">
        <f t="shared" si="17"/>
        <v>2407</v>
      </c>
      <c r="BD35" s="853"/>
    </row>
    <row r="36" spans="1:1207" ht="16.5" customHeight="1" x14ac:dyDescent="0.25">
      <c r="B36" s="16"/>
      <c r="C36" s="15"/>
      <c r="D36" s="15"/>
      <c r="E36" s="767">
        <f t="shared" si="29"/>
        <v>28</v>
      </c>
      <c r="F36" s="768">
        <f t="shared" si="5"/>
        <v>46166</v>
      </c>
      <c r="G36" s="24">
        <f t="shared" si="6"/>
        <v>2407</v>
      </c>
      <c r="H36" s="24">
        <f t="shared" si="7"/>
        <v>859.79</v>
      </c>
      <c r="I36" s="24">
        <f t="shared" si="28"/>
        <v>33986.560000000019</v>
      </c>
      <c r="J36" s="24">
        <f t="shared" si="18"/>
        <v>0</v>
      </c>
      <c r="K36" s="24">
        <f t="shared" si="8"/>
        <v>1547.21</v>
      </c>
      <c r="L36" s="24">
        <f t="shared" si="19"/>
        <v>0</v>
      </c>
      <c r="M36" s="24">
        <f t="shared" si="30"/>
        <v>0</v>
      </c>
      <c r="N36" s="24">
        <f t="shared" si="20"/>
        <v>859.79</v>
      </c>
      <c r="O36" s="24">
        <f t="shared" si="21"/>
        <v>0</v>
      </c>
      <c r="P36" s="24">
        <f t="shared" si="22"/>
        <v>0</v>
      </c>
      <c r="Q36" s="24">
        <f t="shared" si="9"/>
        <v>42221.55999999999</v>
      </c>
      <c r="R36" s="36">
        <f t="shared" si="31"/>
        <v>21</v>
      </c>
      <c r="S36" s="36">
        <f t="shared" si="10"/>
        <v>22</v>
      </c>
      <c r="T36" s="2">
        <f>IF(C11="Да",IF($C$10&gt;=79,$Z38,IF($C$10&gt;=67,$Y38,IF($C$10&gt;=55,$X38,IF($C$10&gt;=43,$W38,IF($C$10&gt;=31,$V38,IF($C$10&gt;=19,$U38,$T38)))))),"")</f>
        <v>4999</v>
      </c>
      <c r="U36" s="2">
        <f>IF(D11="Да",IF($C$10&gt;=55,$X$38,IF($C$10&gt;=43,$W$38,IF($C$10&gt;=31,$V$38,IF($C$10&gt;=19,$U$38,$T$38)))),"")</f>
        <v>4999</v>
      </c>
      <c r="V36" s="142">
        <v>36</v>
      </c>
      <c r="W36" s="142">
        <v>48</v>
      </c>
      <c r="X36" s="142">
        <v>60</v>
      </c>
      <c r="Y36" s="142">
        <v>72</v>
      </c>
      <c r="Z36" s="142">
        <v>84</v>
      </c>
      <c r="AB36" s="15"/>
      <c r="AJ36" s="16"/>
      <c r="AK36" s="16"/>
      <c r="AL36" s="130">
        <f t="shared" si="23"/>
        <v>1</v>
      </c>
      <c r="AM36" s="769">
        <f t="shared" si="32"/>
        <v>28</v>
      </c>
      <c r="AN36" s="770">
        <f t="shared" si="11"/>
        <v>46166</v>
      </c>
      <c r="AO36" s="105">
        <f t="shared" si="34"/>
        <v>2407</v>
      </c>
      <c r="AP36" s="105">
        <f t="shared" si="12"/>
        <v>827.32</v>
      </c>
      <c r="AQ36" s="105">
        <f t="shared" si="13"/>
        <v>1579.6799999999998</v>
      </c>
      <c r="AR36" s="105">
        <f t="shared" si="14"/>
        <v>0</v>
      </c>
      <c r="AS36" s="105">
        <f t="shared" si="24"/>
        <v>0</v>
      </c>
      <c r="AT36" s="105">
        <f t="shared" si="25"/>
        <v>827.32</v>
      </c>
      <c r="AU36" s="105">
        <f t="shared" si="26"/>
        <v>0</v>
      </c>
      <c r="AV36" s="105">
        <f t="shared" si="27"/>
        <v>0</v>
      </c>
      <c r="AW36" s="105">
        <f t="shared" si="15"/>
        <v>38845.159999999996</v>
      </c>
      <c r="AX36" s="108">
        <f t="shared" si="33"/>
        <v>21</v>
      </c>
      <c r="AY36" s="108">
        <f t="shared" si="16"/>
        <v>21</v>
      </c>
      <c r="AZ36" s="759">
        <f t="shared" si="3"/>
        <v>46166</v>
      </c>
      <c r="BA36" s="108">
        <f t="shared" si="17"/>
        <v>2407</v>
      </c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  <c r="AMK36" s="16"/>
      <c r="AML36" s="16"/>
      <c r="AMM36" s="16"/>
      <c r="AMN36" s="16"/>
      <c r="AMO36" s="16"/>
      <c r="AMP36" s="16"/>
      <c r="AMQ36" s="16"/>
      <c r="AMR36" s="16"/>
      <c r="AMS36" s="16"/>
      <c r="AMT36" s="16"/>
      <c r="AMU36" s="16"/>
      <c r="AMV36" s="16"/>
      <c r="AMW36" s="16"/>
      <c r="AMX36" s="16"/>
      <c r="AMY36" s="16"/>
      <c r="AMZ36" s="16"/>
      <c r="ANA36" s="16"/>
      <c r="ANB36" s="16"/>
      <c r="ANC36" s="16"/>
      <c r="AND36" s="16"/>
      <c r="ANE36" s="16"/>
      <c r="ANF36" s="16"/>
      <c r="ANG36" s="16"/>
      <c r="ANH36" s="16"/>
      <c r="ANI36" s="16"/>
      <c r="ANJ36" s="16"/>
      <c r="ANK36" s="16"/>
      <c r="ANL36" s="16"/>
      <c r="ANM36" s="16"/>
      <c r="ANN36" s="16"/>
      <c r="ANO36" s="16"/>
      <c r="ANP36" s="16"/>
      <c r="ANQ36" s="16"/>
      <c r="ANR36" s="16"/>
      <c r="ANS36" s="16"/>
      <c r="ANT36" s="16"/>
      <c r="ANU36" s="16"/>
      <c r="ANV36" s="16"/>
      <c r="ANW36" s="16"/>
      <c r="ANX36" s="16"/>
      <c r="ANY36" s="16"/>
      <c r="ANZ36" s="16"/>
      <c r="AOA36" s="16"/>
      <c r="AOB36" s="16"/>
      <c r="AOC36" s="16"/>
      <c r="AOD36" s="16"/>
      <c r="AOE36" s="16"/>
      <c r="AOF36" s="16"/>
      <c r="AOG36" s="16"/>
      <c r="AOH36" s="16"/>
      <c r="AOI36" s="16"/>
      <c r="AOJ36" s="16"/>
      <c r="AOK36" s="16"/>
      <c r="AOL36" s="16"/>
      <c r="AOM36" s="16"/>
      <c r="AON36" s="16"/>
      <c r="AOO36" s="16"/>
      <c r="AOP36" s="16"/>
      <c r="AOQ36" s="16"/>
      <c r="AOR36" s="16"/>
      <c r="AOS36" s="16"/>
      <c r="AOT36" s="16"/>
      <c r="AOU36" s="16"/>
      <c r="AOV36" s="16"/>
      <c r="AOW36" s="16"/>
      <c r="AOX36" s="16"/>
      <c r="AOY36" s="16"/>
      <c r="AOZ36" s="16"/>
      <c r="APA36" s="16"/>
      <c r="APB36" s="16"/>
      <c r="APC36" s="16"/>
      <c r="APD36" s="16"/>
      <c r="APE36" s="16"/>
      <c r="APF36" s="16"/>
      <c r="APG36" s="16"/>
      <c r="APH36" s="16"/>
      <c r="API36" s="16"/>
      <c r="APJ36" s="16"/>
      <c r="APK36" s="16"/>
      <c r="APL36" s="16"/>
      <c r="APM36" s="16"/>
      <c r="APN36" s="16"/>
      <c r="APO36" s="16"/>
      <c r="APP36" s="16"/>
      <c r="APQ36" s="16"/>
      <c r="APR36" s="16"/>
      <c r="APS36" s="16"/>
      <c r="APT36" s="16"/>
      <c r="APU36" s="16"/>
      <c r="APV36" s="16"/>
      <c r="APW36" s="16"/>
      <c r="APX36" s="16"/>
      <c r="APY36" s="16"/>
      <c r="APZ36" s="16"/>
      <c r="AQA36" s="16"/>
      <c r="AQB36" s="16"/>
      <c r="AQC36" s="16"/>
      <c r="AQD36" s="16"/>
      <c r="AQE36" s="16"/>
      <c r="AQF36" s="16"/>
      <c r="AQG36" s="16"/>
      <c r="AQH36" s="16"/>
      <c r="AQI36" s="16"/>
      <c r="AQJ36" s="16"/>
      <c r="AQK36" s="16"/>
      <c r="AQL36" s="16"/>
      <c r="AQM36" s="16"/>
      <c r="AQN36" s="16"/>
      <c r="AQO36" s="16"/>
      <c r="AQP36" s="16"/>
      <c r="AQQ36" s="16"/>
      <c r="AQR36" s="16"/>
      <c r="AQS36" s="16"/>
      <c r="AQT36" s="16"/>
      <c r="AQU36" s="16"/>
      <c r="AQV36" s="16"/>
      <c r="AQW36" s="16"/>
      <c r="AQX36" s="16"/>
      <c r="AQY36" s="16"/>
      <c r="AQZ36" s="16"/>
      <c r="ARA36" s="16"/>
      <c r="ARB36" s="16"/>
      <c r="ARC36" s="16"/>
      <c r="ARD36" s="16"/>
      <c r="ARE36" s="16"/>
      <c r="ARF36" s="16"/>
      <c r="ARG36" s="16"/>
      <c r="ARH36" s="16"/>
      <c r="ARI36" s="16"/>
      <c r="ARJ36" s="16"/>
      <c r="ARK36" s="16"/>
      <c r="ARL36" s="16"/>
      <c r="ARM36" s="16"/>
      <c r="ARN36" s="16"/>
      <c r="ARO36" s="16"/>
      <c r="ARP36" s="16"/>
      <c r="ARQ36" s="16"/>
      <c r="ARR36" s="16"/>
      <c r="ARS36" s="16"/>
      <c r="ART36" s="16"/>
      <c r="ARU36" s="16"/>
      <c r="ARV36" s="16"/>
      <c r="ARW36" s="16"/>
      <c r="ARX36" s="16"/>
      <c r="ARY36" s="16"/>
      <c r="ARZ36" s="16"/>
      <c r="ASA36" s="16"/>
      <c r="ASB36" s="16"/>
      <c r="ASC36" s="16"/>
      <c r="ASD36" s="16"/>
      <c r="ASE36" s="16"/>
      <c r="ASF36" s="16"/>
      <c r="ASG36" s="16"/>
      <c r="ASH36" s="16"/>
      <c r="ASI36" s="16"/>
      <c r="ASJ36" s="16"/>
      <c r="ASK36" s="16"/>
      <c r="ASL36" s="16"/>
      <c r="ASM36" s="16"/>
      <c r="ASN36" s="16"/>
      <c r="ASO36" s="16"/>
      <c r="ASP36" s="16"/>
      <c r="ASQ36" s="16"/>
      <c r="ASR36" s="16"/>
      <c r="ASS36" s="16"/>
      <c r="AST36" s="16"/>
      <c r="ASU36" s="16"/>
      <c r="ASV36" s="16"/>
      <c r="ASW36" s="16"/>
      <c r="ASX36" s="16"/>
      <c r="ASY36" s="16"/>
      <c r="ASZ36" s="16"/>
      <c r="ATA36" s="16"/>
      <c r="ATB36" s="16"/>
      <c r="ATC36" s="16"/>
      <c r="ATD36" s="16"/>
      <c r="ATE36" s="16"/>
      <c r="ATF36" s="16"/>
      <c r="ATG36" s="16"/>
      <c r="ATH36" s="16"/>
      <c r="ATI36" s="16"/>
      <c r="ATJ36" s="16"/>
      <c r="ATK36" s="16"/>
    </row>
    <row r="37" spans="1:1207" s="16" customFormat="1" ht="16.5" customHeight="1" x14ac:dyDescent="0.25">
      <c r="A37" s="2"/>
      <c r="B37" s="2"/>
      <c r="C37" s="15"/>
      <c r="D37" s="15"/>
      <c r="E37" s="767">
        <f t="shared" si="29"/>
        <v>29</v>
      </c>
      <c r="F37" s="768">
        <f t="shared" si="5"/>
        <v>46197</v>
      </c>
      <c r="G37" s="24">
        <f t="shared" si="6"/>
        <v>2407</v>
      </c>
      <c r="H37" s="24">
        <f t="shared" si="7"/>
        <v>857.04</v>
      </c>
      <c r="I37" s="24">
        <f t="shared" si="28"/>
        <v>34843.60000000002</v>
      </c>
      <c r="J37" s="24">
        <f t="shared" si="18"/>
        <v>0</v>
      </c>
      <c r="K37" s="24">
        <f t="shared" si="8"/>
        <v>1549.96</v>
      </c>
      <c r="L37" s="24">
        <f t="shared" si="19"/>
        <v>0</v>
      </c>
      <c r="M37" s="24">
        <f t="shared" si="30"/>
        <v>0</v>
      </c>
      <c r="N37" s="24">
        <f t="shared" si="20"/>
        <v>857.04</v>
      </c>
      <c r="O37" s="24">
        <f t="shared" si="21"/>
        <v>0</v>
      </c>
      <c r="P37" s="24">
        <f t="shared" si="22"/>
        <v>0</v>
      </c>
      <c r="Q37" s="24">
        <f t="shared" si="9"/>
        <v>40671.599999999991</v>
      </c>
      <c r="R37" s="36">
        <f t="shared" si="31"/>
        <v>20</v>
      </c>
      <c r="S37" s="36">
        <f t="shared" si="10"/>
        <v>22</v>
      </c>
      <c r="T37" s="142">
        <v>0</v>
      </c>
      <c r="U37" s="142">
        <v>199000</v>
      </c>
      <c r="V37" s="142">
        <v>2499</v>
      </c>
      <c r="W37" s="142">
        <v>3499</v>
      </c>
      <c r="X37" s="142">
        <v>5499</v>
      </c>
      <c r="Y37" s="142"/>
      <c r="Z37" s="142"/>
      <c r="AA37" s="2"/>
      <c r="AB37" s="15"/>
      <c r="AC37" s="3"/>
      <c r="AD37" s="3"/>
      <c r="AE37" s="3"/>
      <c r="AF37" s="2"/>
      <c r="AG37" s="2"/>
      <c r="AH37" s="57"/>
      <c r="AI37" s="2"/>
      <c r="AL37" s="130">
        <f t="shared" si="23"/>
        <v>1</v>
      </c>
      <c r="AM37" s="769">
        <f t="shared" si="32"/>
        <v>29</v>
      </c>
      <c r="AN37" s="770">
        <f t="shared" si="11"/>
        <v>46197</v>
      </c>
      <c r="AO37" s="105">
        <f t="shared" si="34"/>
        <v>2407</v>
      </c>
      <c r="AP37" s="105">
        <f t="shared" si="12"/>
        <v>821.5</v>
      </c>
      <c r="AQ37" s="105">
        <f t="shared" si="13"/>
        <v>1585.5</v>
      </c>
      <c r="AR37" s="105">
        <f t="shared" si="14"/>
        <v>0</v>
      </c>
      <c r="AS37" s="105">
        <f t="shared" si="24"/>
        <v>0</v>
      </c>
      <c r="AT37" s="105">
        <f t="shared" si="25"/>
        <v>821.5</v>
      </c>
      <c r="AU37" s="105">
        <f t="shared" si="26"/>
        <v>0</v>
      </c>
      <c r="AV37" s="105">
        <f t="shared" si="27"/>
        <v>0</v>
      </c>
      <c r="AW37" s="105">
        <f t="shared" si="15"/>
        <v>37259.659999999996</v>
      </c>
      <c r="AX37" s="108">
        <f t="shared" si="33"/>
        <v>20</v>
      </c>
      <c r="AY37" s="108">
        <f t="shared" si="16"/>
        <v>20</v>
      </c>
      <c r="AZ37" s="759">
        <f t="shared" si="3"/>
        <v>46197</v>
      </c>
      <c r="BA37" s="108">
        <f t="shared" si="17"/>
        <v>2407</v>
      </c>
    </row>
    <row r="38" spans="1:1207" s="16" customFormat="1" ht="16.5" customHeight="1" x14ac:dyDescent="0.25">
      <c r="A38" s="2"/>
      <c r="B38" s="2"/>
      <c r="C38" s="2"/>
      <c r="D38" s="2"/>
      <c r="E38" s="767">
        <f t="shared" si="29"/>
        <v>30</v>
      </c>
      <c r="F38" s="768">
        <f t="shared" si="5"/>
        <v>46227</v>
      </c>
      <c r="G38" s="24">
        <f t="shared" si="6"/>
        <v>2407</v>
      </c>
      <c r="H38" s="24">
        <f t="shared" si="7"/>
        <v>798.95</v>
      </c>
      <c r="I38" s="24">
        <f t="shared" si="28"/>
        <v>35642.550000000017</v>
      </c>
      <c r="J38" s="24">
        <f t="shared" si="18"/>
        <v>0</v>
      </c>
      <c r="K38" s="24">
        <f t="shared" si="8"/>
        <v>1608.05</v>
      </c>
      <c r="L38" s="24">
        <f t="shared" si="19"/>
        <v>0</v>
      </c>
      <c r="M38" s="24">
        <f t="shared" si="30"/>
        <v>0</v>
      </c>
      <c r="N38" s="24">
        <f t="shared" si="20"/>
        <v>798.95</v>
      </c>
      <c r="O38" s="24">
        <f t="shared" si="21"/>
        <v>0</v>
      </c>
      <c r="P38" s="24">
        <f t="shared" si="22"/>
        <v>0</v>
      </c>
      <c r="Q38" s="24">
        <f t="shared" si="9"/>
        <v>39063.549999999988</v>
      </c>
      <c r="R38" s="36">
        <f t="shared" si="31"/>
        <v>19</v>
      </c>
      <c r="S38" s="36">
        <f t="shared" si="10"/>
        <v>21</v>
      </c>
      <c r="T38" s="142">
        <v>199001</v>
      </c>
      <c r="U38" s="779">
        <v>500000</v>
      </c>
      <c r="V38" s="142">
        <v>3499</v>
      </c>
      <c r="W38" s="779">
        <v>4999</v>
      </c>
      <c r="X38" s="779">
        <v>6999</v>
      </c>
      <c r="Y38" s="779"/>
      <c r="Z38" s="779"/>
      <c r="AA38" s="2"/>
      <c r="AB38" s="3"/>
      <c r="AC38" s="3"/>
      <c r="AD38" s="3"/>
      <c r="AE38" s="3"/>
      <c r="AF38" s="2"/>
      <c r="AG38" s="2"/>
      <c r="AH38" s="57"/>
      <c r="AI38" s="2"/>
      <c r="AK38" s="63"/>
      <c r="AL38" s="130">
        <f t="shared" si="23"/>
        <v>1</v>
      </c>
      <c r="AM38" s="769">
        <f t="shared" si="32"/>
        <v>30</v>
      </c>
      <c r="AN38" s="770">
        <f t="shared" si="11"/>
        <v>46227</v>
      </c>
      <c r="AO38" s="105">
        <f t="shared" si="34"/>
        <v>2407</v>
      </c>
      <c r="AP38" s="105">
        <f t="shared" si="12"/>
        <v>762.55</v>
      </c>
      <c r="AQ38" s="105">
        <f t="shared" si="13"/>
        <v>1644.45</v>
      </c>
      <c r="AR38" s="105">
        <f t="shared" si="14"/>
        <v>0</v>
      </c>
      <c r="AS38" s="105">
        <f t="shared" si="24"/>
        <v>0</v>
      </c>
      <c r="AT38" s="105">
        <f t="shared" si="25"/>
        <v>762.55</v>
      </c>
      <c r="AU38" s="105">
        <f t="shared" si="26"/>
        <v>0</v>
      </c>
      <c r="AV38" s="105">
        <f t="shared" si="27"/>
        <v>0</v>
      </c>
      <c r="AW38" s="105">
        <f t="shared" si="15"/>
        <v>35615.21</v>
      </c>
      <c r="AX38" s="108">
        <f t="shared" si="33"/>
        <v>19</v>
      </c>
      <c r="AY38" s="108">
        <f t="shared" si="16"/>
        <v>19</v>
      </c>
      <c r="AZ38" s="759">
        <f t="shared" si="3"/>
        <v>46227</v>
      </c>
      <c r="BA38" s="108">
        <f t="shared" si="17"/>
        <v>2407</v>
      </c>
    </row>
    <row r="39" spans="1:1207" s="16" customFormat="1" x14ac:dyDescent="0.25">
      <c r="A39" s="2"/>
      <c r="B39" s="2"/>
      <c r="C39" s="2"/>
      <c r="D39" s="2"/>
      <c r="E39" s="767">
        <f t="shared" si="29"/>
        <v>31</v>
      </c>
      <c r="F39" s="768">
        <f t="shared" si="5"/>
        <v>46258</v>
      </c>
      <c r="G39" s="24">
        <f t="shared" si="6"/>
        <v>2407</v>
      </c>
      <c r="H39" s="24">
        <f t="shared" si="7"/>
        <v>792.94</v>
      </c>
      <c r="I39" s="24">
        <f t="shared" si="28"/>
        <v>36435.49000000002</v>
      </c>
      <c r="J39" s="24">
        <f t="shared" si="18"/>
        <v>0</v>
      </c>
      <c r="K39" s="24">
        <f t="shared" si="8"/>
        <v>1614.06</v>
      </c>
      <c r="L39" s="24">
        <f t="shared" si="19"/>
        <v>0</v>
      </c>
      <c r="M39" s="24">
        <f t="shared" si="30"/>
        <v>0</v>
      </c>
      <c r="N39" s="24">
        <f t="shared" si="20"/>
        <v>792.94</v>
      </c>
      <c r="O39" s="24">
        <f t="shared" si="21"/>
        <v>0</v>
      </c>
      <c r="P39" s="24">
        <f t="shared" si="22"/>
        <v>0</v>
      </c>
      <c r="Q39" s="24">
        <f t="shared" si="9"/>
        <v>37449.489999999991</v>
      </c>
      <c r="R39" s="36">
        <f t="shared" si="31"/>
        <v>18</v>
      </c>
      <c r="S39" s="36">
        <f t="shared" si="10"/>
        <v>20</v>
      </c>
      <c r="T39" s="779">
        <v>500001</v>
      </c>
      <c r="U39" s="142">
        <v>1000000</v>
      </c>
      <c r="V39" s="779">
        <v>4999</v>
      </c>
      <c r="W39" s="142">
        <v>6499</v>
      </c>
      <c r="X39" s="142">
        <v>8499</v>
      </c>
      <c r="Y39" s="142">
        <v>9499</v>
      </c>
      <c r="Z39" s="142">
        <v>10999</v>
      </c>
      <c r="AA39" s="2"/>
      <c r="AB39" s="3"/>
      <c r="AC39" s="3"/>
      <c r="AD39" s="3"/>
      <c r="AE39" s="3"/>
      <c r="AF39" s="2"/>
      <c r="AG39" s="2"/>
      <c r="AH39" s="57"/>
      <c r="AI39" s="2"/>
      <c r="AJ39" s="63"/>
      <c r="AK39" s="15"/>
      <c r="AL39" s="130">
        <f t="shared" si="23"/>
        <v>1</v>
      </c>
      <c r="AM39" s="769">
        <f t="shared" si="32"/>
        <v>31</v>
      </c>
      <c r="AN39" s="770">
        <f t="shared" si="11"/>
        <v>46258</v>
      </c>
      <c r="AO39" s="105">
        <f t="shared" si="34"/>
        <v>2407</v>
      </c>
      <c r="AP39" s="105">
        <f t="shared" si="12"/>
        <v>753.19</v>
      </c>
      <c r="AQ39" s="105">
        <f t="shared" si="13"/>
        <v>1653.81</v>
      </c>
      <c r="AR39" s="105">
        <f t="shared" si="14"/>
        <v>0</v>
      </c>
      <c r="AS39" s="105">
        <f t="shared" si="24"/>
        <v>0</v>
      </c>
      <c r="AT39" s="105">
        <f t="shared" si="25"/>
        <v>753.19</v>
      </c>
      <c r="AU39" s="105">
        <f t="shared" si="26"/>
        <v>0</v>
      </c>
      <c r="AV39" s="105">
        <f t="shared" si="27"/>
        <v>0</v>
      </c>
      <c r="AW39" s="105">
        <f t="shared" si="15"/>
        <v>33961.4</v>
      </c>
      <c r="AX39" s="108">
        <f t="shared" si="33"/>
        <v>18</v>
      </c>
      <c r="AY39" s="108">
        <f t="shared" si="16"/>
        <v>18</v>
      </c>
      <c r="AZ39" s="759">
        <f t="shared" si="3"/>
        <v>46258</v>
      </c>
      <c r="BA39" s="108">
        <f t="shared" si="17"/>
        <v>2407</v>
      </c>
    </row>
    <row r="40" spans="1:1207" s="16" customFormat="1" x14ac:dyDescent="0.25">
      <c r="A40" s="2"/>
      <c r="B40" s="2"/>
      <c r="C40" s="2"/>
      <c r="D40" s="2"/>
      <c r="E40" s="767">
        <f t="shared" si="29"/>
        <v>32</v>
      </c>
      <c r="F40" s="768">
        <f t="shared" si="5"/>
        <v>46289</v>
      </c>
      <c r="G40" s="24">
        <f t="shared" si="6"/>
        <v>2407</v>
      </c>
      <c r="H40" s="24">
        <f t="shared" si="7"/>
        <v>760.17</v>
      </c>
      <c r="I40" s="24">
        <f t="shared" si="28"/>
        <v>37195.660000000018</v>
      </c>
      <c r="J40" s="24">
        <f t="shared" si="18"/>
        <v>0</v>
      </c>
      <c r="K40" s="24">
        <f t="shared" si="8"/>
        <v>1646.83</v>
      </c>
      <c r="L40" s="24">
        <f t="shared" si="19"/>
        <v>0</v>
      </c>
      <c r="M40" s="24">
        <f t="shared" si="30"/>
        <v>0</v>
      </c>
      <c r="N40" s="24">
        <f t="shared" si="20"/>
        <v>760.17</v>
      </c>
      <c r="O40" s="24">
        <f t="shared" si="21"/>
        <v>0</v>
      </c>
      <c r="P40" s="24">
        <f t="shared" si="22"/>
        <v>0</v>
      </c>
      <c r="Q40" s="24">
        <f t="shared" si="9"/>
        <v>35802.659999999989</v>
      </c>
      <c r="R40" s="36">
        <f t="shared" si="31"/>
        <v>17</v>
      </c>
      <c r="S40" s="36">
        <f t="shared" si="10"/>
        <v>19</v>
      </c>
      <c r="T40" s="142">
        <v>1000001</v>
      </c>
      <c r="U40" s="779">
        <v>5000000</v>
      </c>
      <c r="V40" s="142">
        <v>6499</v>
      </c>
      <c r="W40" s="142">
        <v>8499</v>
      </c>
      <c r="X40" s="779">
        <v>9999</v>
      </c>
      <c r="Y40" s="779">
        <v>10999</v>
      </c>
      <c r="Z40" s="779">
        <v>11999</v>
      </c>
      <c r="AA40" s="2"/>
      <c r="AB40" s="3"/>
      <c r="AC40" s="3"/>
      <c r="AD40" s="3"/>
      <c r="AE40" s="3"/>
      <c r="AF40" s="2"/>
      <c r="AG40" s="2"/>
      <c r="AH40" s="57"/>
      <c r="AI40" s="2"/>
      <c r="AJ40" s="15"/>
      <c r="AK40" s="15"/>
      <c r="AL40" s="130">
        <f t="shared" si="23"/>
        <v>1</v>
      </c>
      <c r="AM40" s="769">
        <f t="shared" si="32"/>
        <v>32</v>
      </c>
      <c r="AN40" s="770">
        <f t="shared" si="11"/>
        <v>46289</v>
      </c>
      <c r="AO40" s="105">
        <f t="shared" si="34"/>
        <v>2407</v>
      </c>
      <c r="AP40" s="105">
        <f t="shared" si="12"/>
        <v>718.21</v>
      </c>
      <c r="AQ40" s="105">
        <f t="shared" si="13"/>
        <v>1688.79</v>
      </c>
      <c r="AR40" s="105">
        <f t="shared" si="14"/>
        <v>0</v>
      </c>
      <c r="AS40" s="105">
        <f t="shared" si="24"/>
        <v>0</v>
      </c>
      <c r="AT40" s="105">
        <f t="shared" si="25"/>
        <v>718.21</v>
      </c>
      <c r="AU40" s="105">
        <f t="shared" si="26"/>
        <v>0</v>
      </c>
      <c r="AV40" s="105">
        <f t="shared" si="27"/>
        <v>0</v>
      </c>
      <c r="AW40" s="105">
        <f t="shared" si="15"/>
        <v>32272.61</v>
      </c>
      <c r="AX40" s="108">
        <f t="shared" si="33"/>
        <v>17</v>
      </c>
      <c r="AY40" s="108">
        <f t="shared" si="16"/>
        <v>17</v>
      </c>
      <c r="AZ40" s="759">
        <f t="shared" ref="AZ40:AZ71" si="35">F40</f>
        <v>46289</v>
      </c>
      <c r="BA40" s="108">
        <f t="shared" si="17"/>
        <v>2407</v>
      </c>
    </row>
    <row r="41" spans="1:1207" s="16" customFormat="1" ht="28.5" customHeight="1" x14ac:dyDescent="0.25">
      <c r="A41" s="2"/>
      <c r="B41" s="2"/>
      <c r="C41" s="2"/>
      <c r="D41" s="2"/>
      <c r="E41" s="767">
        <f t="shared" si="29"/>
        <v>33</v>
      </c>
      <c r="F41" s="768">
        <f t="shared" si="5"/>
        <v>46319</v>
      </c>
      <c r="G41" s="24">
        <f t="shared" ref="G41:G67" si="36">IF(AND(E41&gt;=$T$14,E41&lt;=$T$14+5),$T$15,IF(AND(Q40+L41+H41&gt;G40,G40&lt;&gt;0),$C$29,IF(Q40=0,0,Q40+L41+H41+H42)))+IF(AND(E41=$C$10,$C$22&lt;&gt;"Нет"),MIN((I41-I41/$C$19*$C$23),Q40+H41-G40),0)</f>
        <v>2407</v>
      </c>
      <c r="H41" s="24">
        <f t="shared" ref="H41:H72" si="37">IF(AND(E41&gt;=$T$14,E41&lt;=$T$14+5),0,IF($C$9&gt;$AC$52,ROUND(Q40*$C$19*((F41-DATE(YEAR(F41),MONTH(F41),1)+1)/(DATE(YEAR(F41)+1,1,1)-DATE(YEAR(F41),1,1))+(EOMONTH(F40,0)-F40)/(DATE(YEAR(F40)+1,1,1)-DATE(YEAR(F40),1,1))),2),0))</f>
        <v>703.3</v>
      </c>
      <c r="I41" s="24">
        <f t="shared" si="28"/>
        <v>37898.960000000021</v>
      </c>
      <c r="J41" s="24">
        <f t="shared" si="18"/>
        <v>0</v>
      </c>
      <c r="K41" s="24">
        <f t="shared" si="8"/>
        <v>1703.7</v>
      </c>
      <c r="L41" s="24">
        <f t="shared" si="19"/>
        <v>0</v>
      </c>
      <c r="M41" s="24">
        <f t="shared" si="30"/>
        <v>0</v>
      </c>
      <c r="N41" s="24">
        <f t="shared" si="20"/>
        <v>703.3</v>
      </c>
      <c r="O41" s="24">
        <f t="shared" si="21"/>
        <v>0</v>
      </c>
      <c r="P41" s="24">
        <f t="shared" si="22"/>
        <v>0</v>
      </c>
      <c r="Q41" s="24">
        <f t="shared" si="9"/>
        <v>34098.959999999992</v>
      </c>
      <c r="R41" s="36">
        <f t="shared" si="31"/>
        <v>16</v>
      </c>
      <c r="S41" s="36">
        <f t="shared" ref="S41:S72" si="38">IF(ISERR(CEILING(FLOOR(NPER($C$19/12,-$AA$56,Q40),0.1),1))=TRUE,0,CEILING(FLOOR(NPER($C$19/12,-$AA$56,Q40),0.1),1))</f>
        <v>18</v>
      </c>
      <c r="T41" s="2">
        <f>IF(C11="Да",IF($C$10&gt;=Z35,Z41,IF($C$10&gt;=Y35,Y41,IF($C$10&gt;=X35,X41,IF($C$10&gt;=W35,W41,IF($C$10&gt;=W35,W41,V41))))),"")</f>
        <v>3499</v>
      </c>
      <c r="U41" s="2"/>
      <c r="V41" s="2">
        <f>IF($C$7&lt;$U$37,V37,IF($C$7&lt;$U$38,V38,IF($C$7&lt;$U$39,V39,V40)))</f>
        <v>2499</v>
      </c>
      <c r="W41" s="2">
        <f>IF($C$7&lt;$U$37,W37,IF($C$7&lt;$U$38,W38,IF($C$7&lt;$U$39,W39,W40)))</f>
        <v>3499</v>
      </c>
      <c r="X41" s="2">
        <f>IF($C$7&lt;$U$37,X37,IF($C$7&lt;$U$38,X38,IF($C$7&lt;$U$39,X39,X40)))</f>
        <v>5499</v>
      </c>
      <c r="Y41" s="2">
        <f>IF($C$7&lt;$U$37,Y37,IF($C$7&lt;$U$38,Y38,IF($C$7&lt;$U$39,Y39,Y40)))</f>
        <v>0</v>
      </c>
      <c r="Z41" s="2">
        <f>IF($C$7&lt;$U$37,Z37,IF($C$7&lt;$U$38,Z38,IF($C$7&lt;$U$39,Z39,Z40)))</f>
        <v>0</v>
      </c>
      <c r="AA41" s="2"/>
      <c r="AB41" s="3"/>
      <c r="AC41" s="3"/>
      <c r="AD41" s="3"/>
      <c r="AE41" s="3"/>
      <c r="AF41" s="2"/>
      <c r="AG41" s="2"/>
      <c r="AH41" s="57"/>
      <c r="AI41" s="2"/>
      <c r="AJ41" s="15"/>
      <c r="AK41" s="15"/>
      <c r="AL41" s="130">
        <f t="shared" si="23"/>
        <v>1</v>
      </c>
      <c r="AM41" s="769">
        <f t="shared" si="32"/>
        <v>33</v>
      </c>
      <c r="AN41" s="770">
        <f t="shared" ref="AN41:AN72" si="39">IF((OR(DAY($AA$55)=29,DAY($AA$55)=30,DAY($AA$55)=31)),(EDATE($C$9-3,AM41)),(IF((OR(DAY($AA$55)=1,DAY($AA$55)=2,DAY($AA$55)=3)),(EDATE($C$9,AM41)+3),EDATE($C$9,AM41))))</f>
        <v>46319</v>
      </c>
      <c r="AO41" s="105">
        <f t="shared" si="34"/>
        <v>2407</v>
      </c>
      <c r="AP41" s="105">
        <f t="shared" ref="AP41:AP72" si="40">IF(AND(E41&gt;=$T$14,E41&lt;=$T$14+5),0,IF($C$9&gt;$AC$52,ROUND(AW40*$D$19*((AN41-DATE(YEAR(AN41),MONTH(AN41),1)+1)/(DATE(YEAR(AN41)+1,1,1)-DATE(YEAR(AN41),1,1))+(EOMONTH(AN40,0)-AN40)/(DATE(YEAR(AN40)+1,1,1)-DATE(YEAR(AN40),1,1))),2),0))</f>
        <v>660.48</v>
      </c>
      <c r="AQ41" s="105">
        <f t="shared" si="13"/>
        <v>1746.52</v>
      </c>
      <c r="AR41" s="105">
        <f t="shared" ref="AR41:AR72" si="41">IF(AT41&gt;$D$29,$D$29-AP41,IF(AY41=0,0,AV41)+BN90)</f>
        <v>0</v>
      </c>
      <c r="AS41" s="105">
        <f t="shared" si="24"/>
        <v>0</v>
      </c>
      <c r="AT41" s="105">
        <f t="shared" si="25"/>
        <v>660.48</v>
      </c>
      <c r="AU41" s="105">
        <f t="shared" si="26"/>
        <v>0</v>
      </c>
      <c r="AV41" s="105">
        <f t="shared" si="27"/>
        <v>0</v>
      </c>
      <c r="AW41" s="105">
        <f t="shared" si="15"/>
        <v>30526.09</v>
      </c>
      <c r="AX41" s="108">
        <f t="shared" si="33"/>
        <v>16</v>
      </c>
      <c r="AY41" s="108">
        <f t="shared" ref="AY41:AY72" si="42">IF(ISERR(CEILING(FLOOR(NPER($D$19/12,-$AC$56,AW40),0.1),1))=TRUE,0,CEILING(FLOOR(NPER($D$19/12,-$AC$56,AW40),0.1),1))</f>
        <v>16</v>
      </c>
      <c r="AZ41" s="759">
        <f t="shared" si="35"/>
        <v>46319</v>
      </c>
      <c r="BA41" s="108">
        <f t="shared" ref="BA41:BA72" si="43">G41</f>
        <v>2407</v>
      </c>
    </row>
    <row r="42" spans="1:1207" s="16" customFormat="1" ht="12" x14ac:dyDescent="0.25">
      <c r="A42" s="2"/>
      <c r="B42" s="2"/>
      <c r="C42" s="130"/>
      <c r="D42" s="2"/>
      <c r="E42" s="767">
        <f t="shared" si="29"/>
        <v>34</v>
      </c>
      <c r="F42" s="768">
        <f t="shared" si="5"/>
        <v>46350</v>
      </c>
      <c r="G42" s="24">
        <f t="shared" si="36"/>
        <v>2407</v>
      </c>
      <c r="H42" s="24">
        <f t="shared" si="37"/>
        <v>692.16</v>
      </c>
      <c r="I42" s="24">
        <f t="shared" si="28"/>
        <v>38591.120000000024</v>
      </c>
      <c r="J42" s="24">
        <f t="shared" ref="J42:J67" si="44">IF(E42=$C$10,MIN((I42-I42/$C$19*$C$23),Q41+H42-G41),0)</f>
        <v>0</v>
      </c>
      <c r="K42" s="24">
        <f t="shared" si="8"/>
        <v>1714.8400000000001</v>
      </c>
      <c r="L42" s="24">
        <f t="shared" ref="L42:L73" si="45">IF(N42&gt;$C$29,$C$29-H42,IF(S42=0,0,O42))</f>
        <v>0</v>
      </c>
      <c r="M42" s="24">
        <f t="shared" si="30"/>
        <v>0</v>
      </c>
      <c r="N42" s="24">
        <f t="shared" si="20"/>
        <v>692.16</v>
      </c>
      <c r="O42" s="24">
        <f t="shared" si="21"/>
        <v>0</v>
      </c>
      <c r="P42" s="24">
        <f t="shared" si="22"/>
        <v>0</v>
      </c>
      <c r="Q42" s="24">
        <f t="shared" si="9"/>
        <v>32384.119999999992</v>
      </c>
      <c r="R42" s="36">
        <f t="shared" si="31"/>
        <v>15</v>
      </c>
      <c r="S42" s="36">
        <f t="shared" si="38"/>
        <v>17</v>
      </c>
      <c r="T42" s="2"/>
      <c r="U42" s="2"/>
      <c r="V42" s="2"/>
      <c r="W42" s="2"/>
      <c r="X42" s="2"/>
      <c r="Y42" s="2"/>
      <c r="Z42" s="13"/>
      <c r="AA42" s="2"/>
      <c r="AB42" s="2"/>
      <c r="AC42" s="2"/>
      <c r="AD42" s="2"/>
      <c r="AE42" s="2"/>
      <c r="AF42" s="2"/>
      <c r="AG42" s="2"/>
      <c r="AH42" s="57"/>
      <c r="AI42" s="2"/>
      <c r="AJ42" s="15"/>
      <c r="AK42" s="15"/>
      <c r="AL42" s="130">
        <f t="shared" si="23"/>
        <v>1</v>
      </c>
      <c r="AM42" s="769">
        <f t="shared" si="32"/>
        <v>34</v>
      </c>
      <c r="AN42" s="770">
        <f t="shared" si="39"/>
        <v>46350</v>
      </c>
      <c r="AO42" s="105">
        <f t="shared" si="34"/>
        <v>2407</v>
      </c>
      <c r="AP42" s="105">
        <f t="shared" si="40"/>
        <v>645.55999999999995</v>
      </c>
      <c r="AQ42" s="105">
        <f t="shared" si="13"/>
        <v>1761.44</v>
      </c>
      <c r="AR42" s="105">
        <f t="shared" si="41"/>
        <v>0</v>
      </c>
      <c r="AS42" s="105">
        <f t="shared" si="24"/>
        <v>0</v>
      </c>
      <c r="AT42" s="105">
        <f t="shared" si="25"/>
        <v>645.55999999999995</v>
      </c>
      <c r="AU42" s="105">
        <f t="shared" si="26"/>
        <v>0</v>
      </c>
      <c r="AV42" s="105">
        <f t="shared" si="27"/>
        <v>0</v>
      </c>
      <c r="AW42" s="105">
        <f t="shared" si="15"/>
        <v>28764.65</v>
      </c>
      <c r="AX42" s="108">
        <f t="shared" si="33"/>
        <v>15</v>
      </c>
      <c r="AY42" s="108">
        <f t="shared" si="42"/>
        <v>15</v>
      </c>
      <c r="AZ42" s="759">
        <f t="shared" si="35"/>
        <v>46350</v>
      </c>
      <c r="BA42" s="108">
        <f t="shared" si="43"/>
        <v>2407</v>
      </c>
    </row>
    <row r="43" spans="1:1207" s="16" customFormat="1" ht="12" x14ac:dyDescent="0.25">
      <c r="A43" s="2"/>
      <c r="B43" s="2"/>
      <c r="C43" s="2"/>
      <c r="D43" s="2"/>
      <c r="E43" s="767">
        <f t="shared" si="29"/>
        <v>35</v>
      </c>
      <c r="F43" s="768">
        <f t="shared" si="5"/>
        <v>46380</v>
      </c>
      <c r="G43" s="24">
        <f t="shared" si="36"/>
        <v>2407</v>
      </c>
      <c r="H43" s="24">
        <f t="shared" si="37"/>
        <v>636.15</v>
      </c>
      <c r="I43" s="24">
        <f t="shared" si="28"/>
        <v>39227.270000000026</v>
      </c>
      <c r="J43" s="24">
        <f t="shared" si="44"/>
        <v>0</v>
      </c>
      <c r="K43" s="24">
        <f t="shared" si="8"/>
        <v>1770.85</v>
      </c>
      <c r="L43" s="24">
        <f t="shared" si="45"/>
        <v>0</v>
      </c>
      <c r="M43" s="24">
        <f t="shared" si="30"/>
        <v>0</v>
      </c>
      <c r="N43" s="24">
        <f t="shared" si="20"/>
        <v>636.15</v>
      </c>
      <c r="O43" s="24">
        <f t="shared" si="21"/>
        <v>0</v>
      </c>
      <c r="P43" s="24">
        <f t="shared" si="22"/>
        <v>0</v>
      </c>
      <c r="Q43" s="24">
        <f t="shared" si="9"/>
        <v>30613.269999999993</v>
      </c>
      <c r="R43" s="36">
        <f t="shared" si="31"/>
        <v>14</v>
      </c>
      <c r="S43" s="36">
        <f t="shared" si="38"/>
        <v>16</v>
      </c>
      <c r="T43" s="2"/>
      <c r="U43" s="2"/>
      <c r="V43" s="2"/>
      <c r="W43" s="2"/>
      <c r="X43" s="2"/>
      <c r="Y43" s="2"/>
      <c r="Z43" s="13"/>
      <c r="AA43" s="2"/>
      <c r="AB43" s="2"/>
      <c r="AC43" s="2"/>
      <c r="AD43" s="2"/>
      <c r="AE43" s="2"/>
      <c r="AF43" s="2"/>
      <c r="AG43" s="2"/>
      <c r="AH43" s="57"/>
      <c r="AI43" s="2"/>
      <c r="AJ43" s="15"/>
      <c r="AK43" s="15"/>
      <c r="AL43" s="130">
        <f t="shared" si="23"/>
        <v>1</v>
      </c>
      <c r="AM43" s="769">
        <f t="shared" si="32"/>
        <v>35</v>
      </c>
      <c r="AN43" s="770">
        <f t="shared" si="39"/>
        <v>46380</v>
      </c>
      <c r="AO43" s="105">
        <f t="shared" si="34"/>
        <v>2407</v>
      </c>
      <c r="AP43" s="105">
        <f t="shared" si="40"/>
        <v>588.69000000000005</v>
      </c>
      <c r="AQ43" s="105">
        <f t="shared" si="13"/>
        <v>1818.31</v>
      </c>
      <c r="AR43" s="105">
        <f t="shared" si="41"/>
        <v>0</v>
      </c>
      <c r="AS43" s="105">
        <f t="shared" si="24"/>
        <v>0</v>
      </c>
      <c r="AT43" s="105">
        <f t="shared" si="25"/>
        <v>588.69000000000005</v>
      </c>
      <c r="AU43" s="105">
        <f t="shared" si="26"/>
        <v>0</v>
      </c>
      <c r="AV43" s="105">
        <f t="shared" si="27"/>
        <v>0</v>
      </c>
      <c r="AW43" s="105">
        <f t="shared" si="15"/>
        <v>26946.34</v>
      </c>
      <c r="AX43" s="108">
        <f t="shared" si="33"/>
        <v>14</v>
      </c>
      <c r="AY43" s="108">
        <f t="shared" si="42"/>
        <v>14</v>
      </c>
      <c r="AZ43" s="759">
        <f t="shared" si="35"/>
        <v>46380</v>
      </c>
      <c r="BA43" s="108">
        <f t="shared" si="43"/>
        <v>2407</v>
      </c>
    </row>
    <row r="44" spans="1:1207" s="16" customFormat="1" x14ac:dyDescent="0.25">
      <c r="A44" s="2"/>
      <c r="B44" s="2"/>
      <c r="C44" s="13"/>
      <c r="D44" s="13"/>
      <c r="E44" s="767">
        <f t="shared" si="29"/>
        <v>36</v>
      </c>
      <c r="F44" s="768">
        <f t="shared" si="5"/>
        <v>46411</v>
      </c>
      <c r="G44" s="24">
        <f t="shared" si="36"/>
        <v>2407</v>
      </c>
      <c r="H44" s="24">
        <f t="shared" si="37"/>
        <v>621.41</v>
      </c>
      <c r="I44" s="24">
        <f t="shared" si="28"/>
        <v>39848.680000000029</v>
      </c>
      <c r="J44" s="24">
        <f t="shared" si="44"/>
        <v>0</v>
      </c>
      <c r="K44" s="24">
        <f t="shared" si="8"/>
        <v>1785.5900000000001</v>
      </c>
      <c r="L44" s="24">
        <f t="shared" si="45"/>
        <v>0</v>
      </c>
      <c r="M44" s="24">
        <f t="shared" si="30"/>
        <v>0</v>
      </c>
      <c r="N44" s="24">
        <f t="shared" si="20"/>
        <v>621.41</v>
      </c>
      <c r="O44" s="24">
        <f t="shared" si="21"/>
        <v>0</v>
      </c>
      <c r="P44" s="24">
        <f t="shared" si="22"/>
        <v>0</v>
      </c>
      <c r="Q44" s="24">
        <f t="shared" si="9"/>
        <v>28827.679999999993</v>
      </c>
      <c r="R44" s="36">
        <f t="shared" si="31"/>
        <v>13</v>
      </c>
      <c r="S44" s="36">
        <f t="shared" si="38"/>
        <v>15</v>
      </c>
      <c r="T44" s="2"/>
      <c r="U44" s="2"/>
      <c r="V44" s="2"/>
      <c r="W44" s="2"/>
      <c r="X44" s="2"/>
      <c r="Y44" s="2"/>
      <c r="Z44" s="2"/>
      <c r="AA44" s="2"/>
      <c r="AB44" s="3"/>
      <c r="AC44" s="3"/>
      <c r="AD44" s="3"/>
      <c r="AE44" s="3"/>
      <c r="AF44" s="2"/>
      <c r="AG44" s="2"/>
      <c r="AH44" s="57"/>
      <c r="AI44" s="2"/>
      <c r="AJ44" s="15"/>
      <c r="AK44" s="3"/>
      <c r="AL44" s="130">
        <f t="shared" si="23"/>
        <v>1</v>
      </c>
      <c r="AM44" s="769">
        <f t="shared" si="32"/>
        <v>36</v>
      </c>
      <c r="AN44" s="770">
        <f t="shared" si="39"/>
        <v>46411</v>
      </c>
      <c r="AO44" s="105">
        <f t="shared" si="34"/>
        <v>2407</v>
      </c>
      <c r="AP44" s="105">
        <f t="shared" si="40"/>
        <v>569.86</v>
      </c>
      <c r="AQ44" s="105">
        <f t="shared" si="13"/>
        <v>1837.1399999999999</v>
      </c>
      <c r="AR44" s="105">
        <f t="shared" si="41"/>
        <v>0</v>
      </c>
      <c r="AS44" s="105">
        <f t="shared" si="24"/>
        <v>0</v>
      </c>
      <c r="AT44" s="105">
        <f t="shared" si="25"/>
        <v>569.86</v>
      </c>
      <c r="AU44" s="105">
        <f t="shared" si="26"/>
        <v>0</v>
      </c>
      <c r="AV44" s="105">
        <f t="shared" si="27"/>
        <v>0</v>
      </c>
      <c r="AW44" s="105">
        <f t="shared" si="15"/>
        <v>25109.200000000001</v>
      </c>
      <c r="AX44" s="108">
        <f t="shared" si="33"/>
        <v>13</v>
      </c>
      <c r="AY44" s="108">
        <f t="shared" si="42"/>
        <v>13</v>
      </c>
      <c r="AZ44" s="759">
        <f t="shared" si="35"/>
        <v>46411</v>
      </c>
      <c r="BA44" s="108">
        <f t="shared" si="43"/>
        <v>2407</v>
      </c>
    </row>
    <row r="45" spans="1:1207" s="16" customFormat="1" x14ac:dyDescent="0.25">
      <c r="A45" s="2"/>
      <c r="B45" s="46"/>
      <c r="C45" s="13"/>
      <c r="D45" s="13"/>
      <c r="E45" s="767">
        <f t="shared" si="29"/>
        <v>37</v>
      </c>
      <c r="F45" s="768">
        <f t="shared" si="5"/>
        <v>46442</v>
      </c>
      <c r="G45" s="24">
        <f t="shared" si="36"/>
        <v>2407</v>
      </c>
      <c r="H45" s="24">
        <f t="shared" si="37"/>
        <v>585.16</v>
      </c>
      <c r="I45" s="24">
        <f t="shared" si="28"/>
        <v>40433.840000000033</v>
      </c>
      <c r="J45" s="24">
        <f t="shared" si="44"/>
        <v>0</v>
      </c>
      <c r="K45" s="24">
        <f t="shared" si="8"/>
        <v>1821.8400000000001</v>
      </c>
      <c r="L45" s="24">
        <f t="shared" si="45"/>
        <v>0</v>
      </c>
      <c r="M45" s="24">
        <f t="shared" si="30"/>
        <v>0</v>
      </c>
      <c r="N45" s="24">
        <f t="shared" si="20"/>
        <v>585.16</v>
      </c>
      <c r="O45" s="24">
        <f t="shared" si="21"/>
        <v>0</v>
      </c>
      <c r="P45" s="24">
        <f t="shared" si="22"/>
        <v>0</v>
      </c>
      <c r="Q45" s="24">
        <f t="shared" si="9"/>
        <v>27005.839999999993</v>
      </c>
      <c r="R45" s="36">
        <f t="shared" si="31"/>
        <v>12</v>
      </c>
      <c r="S45" s="36">
        <f t="shared" si="38"/>
        <v>14</v>
      </c>
      <c r="T45" s="2"/>
      <c r="U45" s="2"/>
      <c r="V45" s="2"/>
      <c r="W45" s="2"/>
      <c r="X45" s="2"/>
      <c r="Y45" s="2"/>
      <c r="Z45" s="2"/>
      <c r="AA45" s="2"/>
      <c r="AB45" s="3"/>
      <c r="AC45" s="3"/>
      <c r="AD45" s="3"/>
      <c r="AE45" s="3"/>
      <c r="AF45" s="2"/>
      <c r="AG45" s="2"/>
      <c r="AH45" s="57"/>
      <c r="AI45" s="2"/>
      <c r="AJ45" s="3"/>
      <c r="AL45" s="130">
        <f t="shared" si="23"/>
        <v>1</v>
      </c>
      <c r="AM45" s="769">
        <f t="shared" si="32"/>
        <v>37</v>
      </c>
      <c r="AN45" s="770">
        <f t="shared" si="39"/>
        <v>46442</v>
      </c>
      <c r="AO45" s="105">
        <f t="shared" si="34"/>
        <v>2407</v>
      </c>
      <c r="AP45" s="105">
        <f t="shared" si="40"/>
        <v>531.01</v>
      </c>
      <c r="AQ45" s="105">
        <f t="shared" si="13"/>
        <v>1875.99</v>
      </c>
      <c r="AR45" s="105">
        <f t="shared" si="41"/>
        <v>0</v>
      </c>
      <c r="AS45" s="105">
        <f t="shared" si="24"/>
        <v>0</v>
      </c>
      <c r="AT45" s="105">
        <f t="shared" si="25"/>
        <v>531.01</v>
      </c>
      <c r="AU45" s="105">
        <f t="shared" si="26"/>
        <v>0</v>
      </c>
      <c r="AV45" s="105">
        <f t="shared" si="27"/>
        <v>0</v>
      </c>
      <c r="AW45" s="105">
        <f t="shared" si="15"/>
        <v>23233.21</v>
      </c>
      <c r="AX45" s="108">
        <f t="shared" si="33"/>
        <v>12</v>
      </c>
      <c r="AY45" s="108">
        <f t="shared" si="42"/>
        <v>12</v>
      </c>
      <c r="AZ45" s="759">
        <f t="shared" si="35"/>
        <v>46442</v>
      </c>
      <c r="BA45" s="108">
        <f t="shared" si="43"/>
        <v>2407</v>
      </c>
    </row>
    <row r="46" spans="1:1207" s="16" customFormat="1" x14ac:dyDescent="0.25">
      <c r="A46" s="2"/>
      <c r="B46" s="607"/>
      <c r="C46" s="13"/>
      <c r="D46" s="13"/>
      <c r="E46" s="767">
        <f t="shared" si="29"/>
        <v>38</v>
      </c>
      <c r="F46" s="768">
        <f t="shared" si="5"/>
        <v>46470</v>
      </c>
      <c r="G46" s="24">
        <f t="shared" si="36"/>
        <v>2407</v>
      </c>
      <c r="H46" s="24">
        <f t="shared" si="37"/>
        <v>495.13</v>
      </c>
      <c r="I46" s="24">
        <f t="shared" si="28"/>
        <v>40928.97000000003</v>
      </c>
      <c r="J46" s="24">
        <f t="shared" si="44"/>
        <v>0</v>
      </c>
      <c r="K46" s="24">
        <f t="shared" si="8"/>
        <v>1911.87</v>
      </c>
      <c r="L46" s="24">
        <f t="shared" si="45"/>
        <v>0</v>
      </c>
      <c r="M46" s="24">
        <f t="shared" si="30"/>
        <v>0</v>
      </c>
      <c r="N46" s="24">
        <f t="shared" si="20"/>
        <v>495.13</v>
      </c>
      <c r="O46" s="24">
        <f t="shared" si="21"/>
        <v>0</v>
      </c>
      <c r="P46" s="24">
        <f t="shared" si="22"/>
        <v>0</v>
      </c>
      <c r="Q46" s="24">
        <f t="shared" si="9"/>
        <v>25093.969999999994</v>
      </c>
      <c r="R46" s="36">
        <f t="shared" si="31"/>
        <v>11</v>
      </c>
      <c r="S46" s="36">
        <f t="shared" si="38"/>
        <v>13</v>
      </c>
      <c r="T46" s="62">
        <f>IF(C23&lt;&gt;X60, C23,AA14)</f>
        <v>0.16900000000000001</v>
      </c>
      <c r="U46" s="2">
        <f>IF(OR($C$26=0,B34="Нет"),0,-$C$26)</f>
        <v>-12929.436401673644</v>
      </c>
      <c r="V46" s="57">
        <f>V49+365*$C$10</f>
        <v>62835</v>
      </c>
      <c r="W46" s="2"/>
      <c r="X46" s="2"/>
      <c r="Y46" s="2"/>
      <c r="Z46" s="2"/>
      <c r="AA46" s="2"/>
      <c r="AB46" s="3"/>
      <c r="AC46" s="3"/>
      <c r="AD46" s="3"/>
      <c r="AE46" s="3"/>
      <c r="AF46" s="2"/>
      <c r="AG46" s="2"/>
      <c r="AH46" s="57"/>
      <c r="AI46" s="62">
        <f>IF(D23&lt;&gt;X60, D23,$AB$14)</f>
        <v>0.249</v>
      </c>
      <c r="AJ46" s="2">
        <f>IF($D$26=0,0,-$D$26)</f>
        <v>0</v>
      </c>
      <c r="AK46" s="57">
        <f>AK49+365*$C$10</f>
        <v>62835</v>
      </c>
      <c r="AL46" s="130">
        <f t="shared" si="23"/>
        <v>1</v>
      </c>
      <c r="AM46" s="769">
        <f t="shared" si="32"/>
        <v>38</v>
      </c>
      <c r="AN46" s="770">
        <f t="shared" si="39"/>
        <v>46470</v>
      </c>
      <c r="AO46" s="105">
        <f t="shared" si="34"/>
        <v>2407</v>
      </c>
      <c r="AP46" s="105">
        <f t="shared" si="40"/>
        <v>443.79</v>
      </c>
      <c r="AQ46" s="105">
        <f t="shared" si="13"/>
        <v>1963.21</v>
      </c>
      <c r="AR46" s="105">
        <f t="shared" si="41"/>
        <v>0</v>
      </c>
      <c r="AS46" s="105">
        <f t="shared" si="24"/>
        <v>0</v>
      </c>
      <c r="AT46" s="105">
        <f t="shared" si="25"/>
        <v>443.79</v>
      </c>
      <c r="AU46" s="105">
        <f t="shared" si="26"/>
        <v>0</v>
      </c>
      <c r="AV46" s="105">
        <f t="shared" si="27"/>
        <v>0</v>
      </c>
      <c r="AW46" s="105">
        <f t="shared" si="15"/>
        <v>21270</v>
      </c>
      <c r="AX46" s="108">
        <f t="shared" si="33"/>
        <v>11</v>
      </c>
      <c r="AY46" s="108">
        <f t="shared" si="42"/>
        <v>11</v>
      </c>
      <c r="AZ46" s="759">
        <f t="shared" si="35"/>
        <v>46470</v>
      </c>
      <c r="BA46" s="108">
        <f t="shared" si="43"/>
        <v>2407</v>
      </c>
    </row>
    <row r="47" spans="1:1207" s="16" customFormat="1" x14ac:dyDescent="0.25">
      <c r="A47" s="2"/>
      <c r="B47" s="2"/>
      <c r="C47" s="2"/>
      <c r="D47" s="2"/>
      <c r="E47" s="767">
        <f t="shared" si="29"/>
        <v>39</v>
      </c>
      <c r="F47" s="768">
        <f t="shared" si="5"/>
        <v>46501</v>
      </c>
      <c r="G47" s="24">
        <f t="shared" si="36"/>
        <v>2407</v>
      </c>
      <c r="H47" s="24">
        <f t="shared" si="37"/>
        <v>509.37</v>
      </c>
      <c r="I47" s="24">
        <f t="shared" si="28"/>
        <v>41438.340000000033</v>
      </c>
      <c r="J47" s="24">
        <f t="shared" si="44"/>
        <v>0</v>
      </c>
      <c r="K47" s="24">
        <f t="shared" si="8"/>
        <v>1897.63</v>
      </c>
      <c r="L47" s="24">
        <f t="shared" si="45"/>
        <v>0</v>
      </c>
      <c r="M47" s="24">
        <f>O46-L46</f>
        <v>0</v>
      </c>
      <c r="N47" s="24">
        <f>H47+O47</f>
        <v>509.37</v>
      </c>
      <c r="O47" s="24">
        <f>IF(S47=0,0,0)</f>
        <v>0</v>
      </c>
      <c r="P47" s="24">
        <f>IF(S47=0,0,0)</f>
        <v>0</v>
      </c>
      <c r="Q47" s="24">
        <f t="shared" si="9"/>
        <v>23196.339999999993</v>
      </c>
      <c r="R47" s="36">
        <f t="shared" si="31"/>
        <v>10</v>
      </c>
      <c r="S47" s="36">
        <f t="shared" si="38"/>
        <v>12</v>
      </c>
      <c r="T47" s="62">
        <f>IF(C24&lt;&gt;X61, C24,AA15)</f>
        <v>0.05</v>
      </c>
      <c r="U47" s="2"/>
      <c r="V47" s="57">
        <f>V50+365*$C$10</f>
        <v>63200</v>
      </c>
      <c r="W47" s="2"/>
      <c r="X47" s="2"/>
      <c r="Y47" s="2"/>
      <c r="Z47" s="2"/>
      <c r="AA47" s="2"/>
      <c r="AB47" s="3"/>
      <c r="AC47" s="3"/>
      <c r="AD47" s="3"/>
      <c r="AE47" s="3">
        <v>1</v>
      </c>
      <c r="AF47" s="2"/>
      <c r="AG47" s="2"/>
      <c r="AH47" s="57"/>
      <c r="AI47" s="62">
        <f>IF(D24&lt;&gt;X61, D24,$AB$14)</f>
        <v>0</v>
      </c>
      <c r="AJ47" s="2">
        <f>IF($D$26=0,0,-$D$26)</f>
        <v>0</v>
      </c>
      <c r="AK47" s="57">
        <f>AK50+365*$C$10</f>
        <v>63200</v>
      </c>
      <c r="AL47" s="130">
        <f>IF(OR(AO47="",AO47=0),0,1)</f>
        <v>1</v>
      </c>
      <c r="AM47" s="769">
        <f t="shared" si="32"/>
        <v>39</v>
      </c>
      <c r="AN47" s="770">
        <f t="shared" si="39"/>
        <v>46501</v>
      </c>
      <c r="AO47" s="105">
        <f t="shared" si="34"/>
        <v>2407</v>
      </c>
      <c r="AP47" s="105">
        <f t="shared" si="40"/>
        <v>449.82</v>
      </c>
      <c r="AQ47" s="105">
        <f>IF(AY47=0,0,IF(AY47=1,AW46,IF(AW46+AR47+AP47&gt;AO46,AO47-AP47-AR47,AW46)))</f>
        <v>1957.18</v>
      </c>
      <c r="AR47" s="105">
        <f t="shared" si="41"/>
        <v>0</v>
      </c>
      <c r="AS47" s="105">
        <f>AU46-AR46</f>
        <v>0</v>
      </c>
      <c r="AT47" s="105">
        <f>AP47+AU47</f>
        <v>449.82</v>
      </c>
      <c r="AU47" s="105">
        <f>IF(AY47=0,0,0)</f>
        <v>0</v>
      </c>
      <c r="AV47" s="105">
        <f>IF(AY47=0,0,0)</f>
        <v>0</v>
      </c>
      <c r="AW47" s="105">
        <f>IF(OR(AY47=1,AW46=0),0,AW46-AQ47)</f>
        <v>19312.82</v>
      </c>
      <c r="AX47" s="108">
        <f t="shared" si="33"/>
        <v>10</v>
      </c>
      <c r="AY47" s="108">
        <f t="shared" si="42"/>
        <v>10</v>
      </c>
      <c r="AZ47" s="759">
        <f t="shared" si="35"/>
        <v>46501</v>
      </c>
      <c r="BA47" s="108">
        <f t="shared" si="43"/>
        <v>2407</v>
      </c>
    </row>
    <row r="48" spans="1:1207" s="16" customFormat="1" ht="12" customHeight="1" x14ac:dyDescent="0.25">
      <c r="A48" s="2"/>
      <c r="B48" s="2"/>
      <c r="C48" s="2"/>
      <c r="D48" s="13"/>
      <c r="E48" s="767">
        <f t="shared" si="29"/>
        <v>40</v>
      </c>
      <c r="F48" s="768">
        <f t="shared" si="5"/>
        <v>46531</v>
      </c>
      <c r="G48" s="24">
        <f t="shared" si="36"/>
        <v>2407</v>
      </c>
      <c r="H48" s="24">
        <f t="shared" si="37"/>
        <v>455.67</v>
      </c>
      <c r="I48" s="24">
        <f t="shared" si="28"/>
        <v>41894.010000000031</v>
      </c>
      <c r="J48" s="24">
        <f t="shared" si="44"/>
        <v>0</v>
      </c>
      <c r="K48" s="24">
        <f t="shared" si="8"/>
        <v>1951.33</v>
      </c>
      <c r="L48" s="24">
        <f t="shared" si="45"/>
        <v>0</v>
      </c>
      <c r="M48" s="24">
        <f t="shared" ref="M48:M63" si="46">O47-L47</f>
        <v>0</v>
      </c>
      <c r="N48" s="24">
        <f t="shared" ref="N48:N63" si="47">H48+O48</f>
        <v>455.67</v>
      </c>
      <c r="O48" s="24">
        <f t="shared" ref="O48:O63" si="48">IF(S48=0,0,0)</f>
        <v>0</v>
      </c>
      <c r="P48" s="24">
        <f t="shared" ref="P48:P63" si="49">IF(S48=0,0,0)</f>
        <v>0</v>
      </c>
      <c r="Q48" s="24">
        <f t="shared" si="9"/>
        <v>21245.009999999995</v>
      </c>
      <c r="R48" s="36">
        <f t="shared" si="31"/>
        <v>9</v>
      </c>
      <c r="S48" s="36">
        <f t="shared" si="38"/>
        <v>11</v>
      </c>
      <c r="T48" s="2"/>
      <c r="U48" s="18">
        <f>G8</f>
        <v>-75631</v>
      </c>
      <c r="V48" s="57">
        <f>F8</f>
        <v>45315</v>
      </c>
      <c r="W48" s="2"/>
      <c r="X48" s="2"/>
      <c r="Y48" s="780"/>
      <c r="Z48" s="781">
        <v>0</v>
      </c>
      <c r="AA48" s="782" t="s">
        <v>20</v>
      </c>
      <c r="AB48" s="783" t="s">
        <v>15</v>
      </c>
      <c r="AC48" s="783"/>
      <c r="AD48" s="783">
        <v>10</v>
      </c>
      <c r="AE48" s="784">
        <v>41274</v>
      </c>
      <c r="AF48" s="2">
        <v>6</v>
      </c>
      <c r="AG48" s="2"/>
      <c r="AH48" s="2"/>
      <c r="AI48" s="2"/>
      <c r="AJ48" s="18">
        <f>AO8</f>
        <v>-72631</v>
      </c>
      <c r="AK48" s="57">
        <f>AN8</f>
        <v>45315</v>
      </c>
      <c r="AL48" s="130">
        <f t="shared" si="23"/>
        <v>1</v>
      </c>
      <c r="AM48" s="769">
        <f t="shared" si="32"/>
        <v>40</v>
      </c>
      <c r="AN48" s="770">
        <f t="shared" si="39"/>
        <v>46531</v>
      </c>
      <c r="AO48" s="105">
        <f t="shared" ref="AO48:AO79" si="50">IF(AX47=1,AR48+AP48+AQ48,IF(AW47+AR48+AP48&gt;AO47,$D$29,IF(AW47=0,0,AW47+AR48+AP48+AP80)))</f>
        <v>2407</v>
      </c>
      <c r="AP48" s="105">
        <f t="shared" si="40"/>
        <v>395.25</v>
      </c>
      <c r="AQ48" s="105">
        <f t="shared" ref="AQ48:AQ111" si="51">IF(AY48=0,0,IF(AY48=1,AW47,IF(AW47+AR48+AP48&gt;AO47,AO48-AP48-AR48,AW47)))</f>
        <v>2011.75</v>
      </c>
      <c r="AR48" s="105">
        <f t="shared" si="41"/>
        <v>0</v>
      </c>
      <c r="AS48" s="105">
        <f t="shared" ref="AS48:AS111" si="52">AU47-AR47</f>
        <v>0</v>
      </c>
      <c r="AT48" s="105">
        <f t="shared" ref="AT48:AT111" si="53">AP48+AU48</f>
        <v>395.25</v>
      </c>
      <c r="AU48" s="105">
        <f t="shared" ref="AU48:AU111" si="54">IF(AY48=0,0,0)</f>
        <v>0</v>
      </c>
      <c r="AV48" s="105">
        <f t="shared" ref="AV48:AV111" si="55">IF(AY48=0,0,0)</f>
        <v>0</v>
      </c>
      <c r="AW48" s="105">
        <f t="shared" ref="AW48:AW111" si="56">IF(OR(AY48=1,AW47=0),0,AW47-AQ48)</f>
        <v>17301.07</v>
      </c>
      <c r="AX48" s="108">
        <f t="shared" si="33"/>
        <v>9</v>
      </c>
      <c r="AY48" s="108">
        <f t="shared" si="42"/>
        <v>9</v>
      </c>
      <c r="AZ48" s="759">
        <f t="shared" si="35"/>
        <v>46531</v>
      </c>
      <c r="BA48" s="108">
        <f t="shared" si="43"/>
        <v>2407</v>
      </c>
    </row>
    <row r="49" spans="1:54" s="16" customFormat="1" ht="12" customHeight="1" x14ac:dyDescent="0.25">
      <c r="A49" s="2"/>
      <c r="B49" s="2"/>
      <c r="C49" s="2"/>
      <c r="D49" s="2"/>
      <c r="E49" s="767">
        <f t="shared" si="29"/>
        <v>41</v>
      </c>
      <c r="F49" s="768">
        <f t="shared" si="5"/>
        <v>46562</v>
      </c>
      <c r="G49" s="24">
        <f t="shared" si="36"/>
        <v>2407</v>
      </c>
      <c r="H49" s="24">
        <f t="shared" si="37"/>
        <v>431.24</v>
      </c>
      <c r="I49" s="24">
        <f t="shared" si="28"/>
        <v>42325.250000000029</v>
      </c>
      <c r="J49" s="24">
        <f t="shared" si="44"/>
        <v>0</v>
      </c>
      <c r="K49" s="24">
        <f t="shared" si="8"/>
        <v>1975.76</v>
      </c>
      <c r="L49" s="24">
        <f t="shared" si="45"/>
        <v>0</v>
      </c>
      <c r="M49" s="24">
        <f t="shared" si="46"/>
        <v>0</v>
      </c>
      <c r="N49" s="24">
        <f t="shared" si="47"/>
        <v>431.24</v>
      </c>
      <c r="O49" s="24">
        <f t="shared" si="48"/>
        <v>0</v>
      </c>
      <c r="P49" s="24">
        <f t="shared" si="49"/>
        <v>0</v>
      </c>
      <c r="Q49" s="24">
        <f t="shared" si="9"/>
        <v>19269.249999999996</v>
      </c>
      <c r="R49" s="36">
        <f t="shared" si="31"/>
        <v>8</v>
      </c>
      <c r="S49" s="36">
        <f t="shared" si="38"/>
        <v>10</v>
      </c>
      <c r="U49" s="34">
        <f>IF(B35="Да",C32,0)+IF(AND(C22="Да",B34="Да"),C25,0)</f>
        <v>10632</v>
      </c>
      <c r="V49" s="57">
        <f>F8</f>
        <v>45315</v>
      </c>
      <c r="X49" s="785" t="s">
        <v>11</v>
      </c>
      <c r="Y49" s="780"/>
      <c r="Z49" s="786">
        <f>C7*(1-Z48)</f>
        <v>60000</v>
      </c>
      <c r="AA49" s="787" t="s">
        <v>29</v>
      </c>
      <c r="AB49" s="2" t="s">
        <v>17</v>
      </c>
      <c r="AC49" s="2"/>
      <c r="AD49" s="2">
        <v>7.4000000000000003E-3</v>
      </c>
      <c r="AE49" s="59">
        <v>41750</v>
      </c>
      <c r="AF49" s="2">
        <v>72</v>
      </c>
      <c r="AG49" s="2"/>
      <c r="AH49" s="2"/>
      <c r="AJ49" s="34">
        <f>D32+IF(D11="Да",D12,0)+IF(D22="Да",D25,0)</f>
        <v>12631</v>
      </c>
      <c r="AK49" s="57">
        <f>AN8</f>
        <v>45315</v>
      </c>
      <c r="AL49" s="130">
        <f t="shared" si="23"/>
        <v>1</v>
      </c>
      <c r="AM49" s="769">
        <f t="shared" si="32"/>
        <v>41</v>
      </c>
      <c r="AN49" s="770">
        <f t="shared" si="39"/>
        <v>46562</v>
      </c>
      <c r="AO49" s="105">
        <f t="shared" si="50"/>
        <v>2407</v>
      </c>
      <c r="AP49" s="105">
        <f t="shared" si="40"/>
        <v>365.88</v>
      </c>
      <c r="AQ49" s="105">
        <f t="shared" si="51"/>
        <v>2041.12</v>
      </c>
      <c r="AR49" s="105">
        <f t="shared" si="41"/>
        <v>0</v>
      </c>
      <c r="AS49" s="105">
        <f t="shared" si="52"/>
        <v>0</v>
      </c>
      <c r="AT49" s="105">
        <f t="shared" si="53"/>
        <v>365.88</v>
      </c>
      <c r="AU49" s="105">
        <f t="shared" si="54"/>
        <v>0</v>
      </c>
      <c r="AV49" s="105">
        <f t="shared" si="55"/>
        <v>0</v>
      </c>
      <c r="AW49" s="105">
        <f t="shared" si="56"/>
        <v>15259.95</v>
      </c>
      <c r="AX49" s="108">
        <f t="shared" si="33"/>
        <v>8</v>
      </c>
      <c r="AY49" s="108">
        <f t="shared" si="42"/>
        <v>8</v>
      </c>
      <c r="AZ49" s="759">
        <f t="shared" si="35"/>
        <v>46562</v>
      </c>
      <c r="BA49" s="108">
        <f t="shared" si="43"/>
        <v>2407</v>
      </c>
    </row>
    <row r="50" spans="1:54" s="16" customFormat="1" ht="12" customHeight="1" x14ac:dyDescent="0.25">
      <c r="A50" s="2"/>
      <c r="B50" s="2"/>
      <c r="C50" s="2"/>
      <c r="D50" s="2"/>
      <c r="E50" s="767">
        <f t="shared" si="29"/>
        <v>42</v>
      </c>
      <c r="F50" s="768">
        <f t="shared" si="5"/>
        <v>46592</v>
      </c>
      <c r="G50" s="24">
        <f t="shared" si="36"/>
        <v>2407</v>
      </c>
      <c r="H50" s="24">
        <f t="shared" si="37"/>
        <v>378.52</v>
      </c>
      <c r="I50" s="24">
        <f t="shared" si="28"/>
        <v>42703.770000000026</v>
      </c>
      <c r="J50" s="24">
        <f t="shared" si="44"/>
        <v>0</v>
      </c>
      <c r="K50" s="24">
        <f t="shared" si="8"/>
        <v>2028.48</v>
      </c>
      <c r="L50" s="24">
        <f t="shared" si="45"/>
        <v>0</v>
      </c>
      <c r="M50" s="24">
        <f t="shared" si="46"/>
        <v>0</v>
      </c>
      <c r="N50" s="24">
        <f t="shared" si="47"/>
        <v>378.52</v>
      </c>
      <c r="O50" s="24">
        <f t="shared" si="48"/>
        <v>0</v>
      </c>
      <c r="P50" s="24">
        <f t="shared" si="49"/>
        <v>0</v>
      </c>
      <c r="Q50" s="24">
        <f t="shared" si="9"/>
        <v>17240.769999999997</v>
      </c>
      <c r="R50" s="36">
        <f t="shared" si="31"/>
        <v>7</v>
      </c>
      <c r="S50" s="36">
        <f t="shared" si="38"/>
        <v>9</v>
      </c>
      <c r="T50" s="2">
        <f t="shared" ref="T50:T81" si="57">IF(AND(E9&gt;=$T$14,E9&lt;=$T$14+5),0,IF($C$9&gt;$AC$52,ROUND(Q8*$T$46/(DATEVALUE(CONCATENATE("01/01/",YEAR(F9)+1))-DATEVALUE(CONCATENATE("01/01/",YEAR(F9))))*(F9-F8),2),0))</f>
        <v>1082.5999999999999</v>
      </c>
      <c r="U50" s="34">
        <f t="shared" ref="U50:U81" si="58">IF(U49&lt;0,0,IF(T50=0,IF(T49=0,0,$U$46),G9)-IF(AND(T50&gt;0,T51=0),$C$26,0))</f>
        <v>2407</v>
      </c>
      <c r="V50" s="57">
        <f>V49+365</f>
        <v>45680</v>
      </c>
      <c r="W50" s="16">
        <v>1</v>
      </c>
      <c r="X50" s="788" t="s">
        <v>10</v>
      </c>
      <c r="Y50" s="780"/>
      <c r="Z50" s="789">
        <f>ROUNDUP(C7*AA50,0)</f>
        <v>0</v>
      </c>
      <c r="AA50" s="12">
        <v>0</v>
      </c>
      <c r="AB50" s="1">
        <v>15000</v>
      </c>
      <c r="AC50" s="53">
        <v>41365</v>
      </c>
      <c r="AD50" s="1">
        <v>500</v>
      </c>
      <c r="AE50" s="2">
        <f>ROUNDUP(($AA$56)/AD48,0)*AD48</f>
        <v>2470</v>
      </c>
      <c r="AF50" s="2"/>
      <c r="AG50" s="2"/>
      <c r="AH50" s="2"/>
      <c r="AI50" s="2">
        <f t="shared" ref="AI50:AI87" si="59">IF(AND(AM9&gt;=$T$14,AM9&lt;=$T$14+5),0,IF($C$9&gt;$AC$52,ROUND(AW8*$AI$46/(DATEVALUE(CONCATENATE("01/01/",YEAR(AN9)+1))-DATEVALUE(CONCATENATE("01/01/",YEAR(AN9))))*(AN9-AN8),2),0))</f>
        <v>1531.8</v>
      </c>
      <c r="AJ50" s="34">
        <f t="shared" ref="AJ50:AJ87" si="60">IF(AI50=0,IF(AI49=0,0,$AJ$46),AO9)</f>
        <v>2407</v>
      </c>
      <c r="AK50" s="57">
        <f>AK49+365</f>
        <v>45680</v>
      </c>
      <c r="AL50" s="130">
        <f t="shared" si="23"/>
        <v>1</v>
      </c>
      <c r="AM50" s="769">
        <f t="shared" si="32"/>
        <v>42</v>
      </c>
      <c r="AN50" s="770">
        <f t="shared" si="39"/>
        <v>46592</v>
      </c>
      <c r="AO50" s="105">
        <f t="shared" si="50"/>
        <v>2407</v>
      </c>
      <c r="AP50" s="105">
        <f t="shared" si="40"/>
        <v>312.31</v>
      </c>
      <c r="AQ50" s="105">
        <f t="shared" si="51"/>
        <v>2094.69</v>
      </c>
      <c r="AR50" s="105">
        <f t="shared" si="41"/>
        <v>0</v>
      </c>
      <c r="AS50" s="105">
        <f t="shared" si="52"/>
        <v>0</v>
      </c>
      <c r="AT50" s="105">
        <f t="shared" si="53"/>
        <v>312.31</v>
      </c>
      <c r="AU50" s="105">
        <f t="shared" si="54"/>
        <v>0</v>
      </c>
      <c r="AV50" s="105">
        <f t="shared" si="55"/>
        <v>0</v>
      </c>
      <c r="AW50" s="105">
        <f t="shared" si="56"/>
        <v>13165.26</v>
      </c>
      <c r="AX50" s="108">
        <f t="shared" si="33"/>
        <v>7</v>
      </c>
      <c r="AY50" s="108">
        <f t="shared" si="42"/>
        <v>7</v>
      </c>
      <c r="AZ50" s="759">
        <f t="shared" si="35"/>
        <v>46592</v>
      </c>
      <c r="BA50" s="108">
        <f t="shared" si="43"/>
        <v>2407</v>
      </c>
    </row>
    <row r="51" spans="1:54" s="16" customFormat="1" ht="12.75" customHeight="1" thickBot="1" x14ac:dyDescent="0.3">
      <c r="A51" s="2"/>
      <c r="B51" s="2"/>
      <c r="C51" s="2"/>
      <c r="D51" s="2"/>
      <c r="E51" s="767">
        <f t="shared" si="29"/>
        <v>43</v>
      </c>
      <c r="F51" s="768">
        <f t="shared" si="5"/>
        <v>46623</v>
      </c>
      <c r="G51" s="24">
        <f t="shared" si="36"/>
        <v>2407</v>
      </c>
      <c r="H51" s="24">
        <f t="shared" si="37"/>
        <v>349.96</v>
      </c>
      <c r="I51" s="24">
        <f t="shared" si="28"/>
        <v>43053.730000000025</v>
      </c>
      <c r="J51" s="24">
        <f t="shared" si="44"/>
        <v>0</v>
      </c>
      <c r="K51" s="24">
        <f t="shared" si="8"/>
        <v>2057.04</v>
      </c>
      <c r="L51" s="24">
        <f t="shared" si="45"/>
        <v>0</v>
      </c>
      <c r="M51" s="24">
        <f t="shared" si="46"/>
        <v>0</v>
      </c>
      <c r="N51" s="24">
        <f t="shared" si="47"/>
        <v>349.96</v>
      </c>
      <c r="O51" s="24">
        <f t="shared" si="48"/>
        <v>0</v>
      </c>
      <c r="P51" s="24">
        <f t="shared" si="49"/>
        <v>0</v>
      </c>
      <c r="Q51" s="24">
        <f t="shared" si="9"/>
        <v>15183.729999999996</v>
      </c>
      <c r="R51" s="36">
        <f t="shared" si="31"/>
        <v>6</v>
      </c>
      <c r="S51" s="36">
        <f t="shared" si="38"/>
        <v>8</v>
      </c>
      <c r="T51" s="2">
        <f t="shared" si="57"/>
        <v>1001.02</v>
      </c>
      <c r="U51" s="34">
        <f t="shared" si="58"/>
        <v>2407</v>
      </c>
      <c r="V51" s="57">
        <f t="shared" ref="V51:V114" si="61">IF(T51=0,V50,V50+365)</f>
        <v>46045</v>
      </c>
      <c r="W51" s="16">
        <f>W50+1</f>
        <v>2</v>
      </c>
      <c r="X51" s="788" t="s">
        <v>8</v>
      </c>
      <c r="Y51" s="790"/>
      <c r="Z51" s="791">
        <v>24</v>
      </c>
      <c r="AA51" s="14"/>
      <c r="AB51" s="1">
        <f>IF(C9&lt;AC50,300000,1000000)</f>
        <v>1000000</v>
      </c>
      <c r="AC51" s="53">
        <v>41501</v>
      </c>
      <c r="AD51" s="53">
        <v>41882</v>
      </c>
      <c r="AE51" s="2">
        <f>IF(C9&gt;AD51,XIRR(U49:U159,V49:V159)*12,XIRR(U49:U158,F8:F87))</f>
        <v>3.576278686523438E-8</v>
      </c>
      <c r="AF51" s="2"/>
      <c r="AG51" s="2"/>
      <c r="AH51" s="2"/>
      <c r="AI51" s="2">
        <f t="shared" si="59"/>
        <v>1415.71</v>
      </c>
      <c r="AJ51" s="34">
        <f t="shared" si="60"/>
        <v>2407</v>
      </c>
      <c r="AK51" s="57">
        <f t="shared" ref="AK51:AK108" si="62">IF(AI51=0,AK50,AK50+365)</f>
        <v>46045</v>
      </c>
      <c r="AL51" s="130">
        <f t="shared" si="23"/>
        <v>1</v>
      </c>
      <c r="AM51" s="769">
        <f t="shared" si="32"/>
        <v>43</v>
      </c>
      <c r="AN51" s="770">
        <f t="shared" si="39"/>
        <v>46623</v>
      </c>
      <c r="AO51" s="105">
        <f t="shared" si="50"/>
        <v>2407</v>
      </c>
      <c r="AP51" s="105">
        <f t="shared" si="40"/>
        <v>278.42</v>
      </c>
      <c r="AQ51" s="105">
        <f t="shared" si="51"/>
        <v>2128.58</v>
      </c>
      <c r="AR51" s="105">
        <f t="shared" si="41"/>
        <v>0</v>
      </c>
      <c r="AS51" s="105">
        <f t="shared" si="52"/>
        <v>0</v>
      </c>
      <c r="AT51" s="105">
        <f t="shared" si="53"/>
        <v>278.42</v>
      </c>
      <c r="AU51" s="105">
        <f t="shared" si="54"/>
        <v>0</v>
      </c>
      <c r="AV51" s="105">
        <f t="shared" si="55"/>
        <v>0</v>
      </c>
      <c r="AW51" s="105">
        <f t="shared" si="56"/>
        <v>11036.68</v>
      </c>
      <c r="AX51" s="108">
        <f t="shared" si="33"/>
        <v>6</v>
      </c>
      <c r="AY51" s="108">
        <f t="shared" si="42"/>
        <v>6</v>
      </c>
      <c r="AZ51" s="759">
        <f t="shared" si="35"/>
        <v>46623</v>
      </c>
      <c r="BA51" s="108">
        <f t="shared" si="43"/>
        <v>2407</v>
      </c>
    </row>
    <row r="52" spans="1:54" s="16" customFormat="1" ht="12.75" customHeight="1" x14ac:dyDescent="0.25">
      <c r="A52" s="2"/>
      <c r="B52" s="2"/>
      <c r="C52" s="2"/>
      <c r="D52" s="2"/>
      <c r="E52" s="767">
        <f t="shared" si="29"/>
        <v>44</v>
      </c>
      <c r="F52" s="768">
        <f t="shared" si="5"/>
        <v>46654</v>
      </c>
      <c r="G52" s="24">
        <f t="shared" si="36"/>
        <v>2407</v>
      </c>
      <c r="H52" s="24">
        <f t="shared" si="37"/>
        <v>308.20999999999998</v>
      </c>
      <c r="I52" s="24">
        <f t="shared" si="28"/>
        <v>43361.940000000024</v>
      </c>
      <c r="J52" s="24">
        <f t="shared" si="44"/>
        <v>0</v>
      </c>
      <c r="K52" s="24">
        <f t="shared" si="8"/>
        <v>2098.79</v>
      </c>
      <c r="L52" s="24">
        <f t="shared" si="45"/>
        <v>0</v>
      </c>
      <c r="M52" s="24">
        <f t="shared" si="46"/>
        <v>0</v>
      </c>
      <c r="N52" s="24">
        <f t="shared" si="47"/>
        <v>308.20999999999998</v>
      </c>
      <c r="O52" s="24">
        <f t="shared" si="48"/>
        <v>0</v>
      </c>
      <c r="P52" s="24">
        <f t="shared" si="49"/>
        <v>0</v>
      </c>
      <c r="Q52" s="24">
        <f t="shared" si="9"/>
        <v>13084.939999999995</v>
      </c>
      <c r="R52" s="36">
        <f t="shared" si="31"/>
        <v>5</v>
      </c>
      <c r="S52" s="36">
        <f t="shared" si="38"/>
        <v>7</v>
      </c>
      <c r="T52" s="2">
        <f t="shared" si="57"/>
        <v>1055.8699999999999</v>
      </c>
      <c r="U52" s="34">
        <f t="shared" si="58"/>
        <v>2407</v>
      </c>
      <c r="V52" s="57">
        <f t="shared" si="61"/>
        <v>46410</v>
      </c>
      <c r="W52" s="16">
        <f t="shared" ref="W52:W115" si="63">W51+1</f>
        <v>3</v>
      </c>
      <c r="X52" s="785" t="s">
        <v>1</v>
      </c>
      <c r="Y52" s="17" t="e">
        <f>Z52/C7</f>
        <v>#REF!</v>
      </c>
      <c r="Z52" s="791" t="e">
        <f>(#REF!-C7)</f>
        <v>#REF!</v>
      </c>
      <c r="AA52" s="58"/>
      <c r="AB52" s="53">
        <v>41632</v>
      </c>
      <c r="AC52" s="53">
        <v>41820</v>
      </c>
      <c r="AD52" s="53">
        <v>41857</v>
      </c>
      <c r="AE52" s="46">
        <v>41991</v>
      </c>
      <c r="AF52" s="18">
        <v>0</v>
      </c>
      <c r="AG52" s="3"/>
      <c r="AH52" s="3"/>
      <c r="AI52" s="2">
        <f t="shared" si="59"/>
        <v>1492.44</v>
      </c>
      <c r="AJ52" s="34">
        <f t="shared" si="60"/>
        <v>2407</v>
      </c>
      <c r="AK52" s="57">
        <f t="shared" si="62"/>
        <v>46410</v>
      </c>
      <c r="AL52" s="130">
        <f t="shared" si="23"/>
        <v>1</v>
      </c>
      <c r="AM52" s="769">
        <f t="shared" si="32"/>
        <v>44</v>
      </c>
      <c r="AN52" s="770">
        <f t="shared" si="39"/>
        <v>46654</v>
      </c>
      <c r="AO52" s="105">
        <f t="shared" si="50"/>
        <v>2407</v>
      </c>
      <c r="AP52" s="105">
        <f t="shared" si="40"/>
        <v>233.4</v>
      </c>
      <c r="AQ52" s="105">
        <f t="shared" si="51"/>
        <v>2173.6</v>
      </c>
      <c r="AR52" s="105">
        <f t="shared" si="41"/>
        <v>0</v>
      </c>
      <c r="AS52" s="105">
        <f t="shared" si="52"/>
        <v>0</v>
      </c>
      <c r="AT52" s="105">
        <f t="shared" si="53"/>
        <v>233.4</v>
      </c>
      <c r="AU52" s="105">
        <f t="shared" si="54"/>
        <v>0</v>
      </c>
      <c r="AV52" s="105">
        <f t="shared" si="55"/>
        <v>0</v>
      </c>
      <c r="AW52" s="105">
        <f t="shared" si="56"/>
        <v>8863.08</v>
      </c>
      <c r="AX52" s="108">
        <f t="shared" si="33"/>
        <v>5</v>
      </c>
      <c r="AY52" s="108">
        <f t="shared" si="42"/>
        <v>5</v>
      </c>
      <c r="AZ52" s="759">
        <f t="shared" si="35"/>
        <v>46654</v>
      </c>
      <c r="BA52" s="108">
        <f t="shared" si="43"/>
        <v>2407</v>
      </c>
    </row>
    <row r="53" spans="1:54" s="16" customFormat="1" ht="12.75" customHeight="1" x14ac:dyDescent="0.25">
      <c r="A53" s="2"/>
      <c r="B53" s="2"/>
      <c r="C53" s="2"/>
      <c r="D53" s="2"/>
      <c r="E53" s="767">
        <f t="shared" si="29"/>
        <v>45</v>
      </c>
      <c r="F53" s="768">
        <f t="shared" si="5"/>
        <v>46684</v>
      </c>
      <c r="G53" s="24">
        <f t="shared" si="36"/>
        <v>2407</v>
      </c>
      <c r="H53" s="24">
        <f t="shared" si="37"/>
        <v>257.04000000000002</v>
      </c>
      <c r="I53" s="24">
        <f t="shared" si="28"/>
        <v>43618.980000000025</v>
      </c>
      <c r="J53" s="24">
        <f t="shared" si="44"/>
        <v>0</v>
      </c>
      <c r="K53" s="24">
        <f t="shared" si="8"/>
        <v>2149.96</v>
      </c>
      <c r="L53" s="24">
        <f t="shared" si="45"/>
        <v>0</v>
      </c>
      <c r="M53" s="24">
        <f t="shared" si="46"/>
        <v>0</v>
      </c>
      <c r="N53" s="24">
        <f t="shared" si="47"/>
        <v>257.04000000000002</v>
      </c>
      <c r="O53" s="24">
        <f t="shared" si="48"/>
        <v>0</v>
      </c>
      <c r="P53" s="24">
        <f t="shared" si="49"/>
        <v>0</v>
      </c>
      <c r="Q53" s="24">
        <f t="shared" si="9"/>
        <v>10934.979999999996</v>
      </c>
      <c r="R53" s="36">
        <f t="shared" si="31"/>
        <v>4</v>
      </c>
      <c r="S53" s="36">
        <f t="shared" si="38"/>
        <v>6</v>
      </c>
      <c r="T53" s="2">
        <f t="shared" si="57"/>
        <v>1009.15</v>
      </c>
      <c r="U53" s="34">
        <f t="shared" si="58"/>
        <v>2407</v>
      </c>
      <c r="V53" s="57">
        <f t="shared" si="61"/>
        <v>46775</v>
      </c>
      <c r="W53" s="16">
        <f t="shared" si="63"/>
        <v>4</v>
      </c>
      <c r="X53" s="785" t="s">
        <v>42</v>
      </c>
      <c r="Y53" s="17">
        <f>IF(C8=AA60,AA66,IF(C8=AD60,AB66,IF(C8=AF60,AD66,IF(C8=AG60,AE66,IF(C8=AE60,AC66,IF(C8=#REF!,AF66,IF(C8=AH60,AG66,IF(C8=#REF!,AH66,V28))))))))</f>
        <v>7.9000000000000008E-3</v>
      </c>
      <c r="Z53" s="791"/>
      <c r="AA53" s="58"/>
      <c r="AB53" s="53">
        <v>42124</v>
      </c>
      <c r="AC53" s="53"/>
      <c r="AD53" s="53"/>
      <c r="AE53" s="46"/>
      <c r="AF53" s="2"/>
      <c r="AG53" s="3"/>
      <c r="AH53" s="3"/>
      <c r="AI53" s="2">
        <f t="shared" si="59"/>
        <v>1425.63</v>
      </c>
      <c r="AJ53" s="34">
        <f t="shared" si="60"/>
        <v>2407</v>
      </c>
      <c r="AK53" s="57">
        <f t="shared" si="62"/>
        <v>46775</v>
      </c>
      <c r="AL53" s="130">
        <f t="shared" si="23"/>
        <v>1</v>
      </c>
      <c r="AM53" s="769">
        <f t="shared" si="32"/>
        <v>45</v>
      </c>
      <c r="AN53" s="770">
        <f t="shared" si="39"/>
        <v>46684</v>
      </c>
      <c r="AO53" s="105">
        <f t="shared" si="50"/>
        <v>2407</v>
      </c>
      <c r="AP53" s="105">
        <f t="shared" si="40"/>
        <v>181.39</v>
      </c>
      <c r="AQ53" s="105">
        <f t="shared" si="51"/>
        <v>2225.61</v>
      </c>
      <c r="AR53" s="105">
        <f t="shared" si="41"/>
        <v>0</v>
      </c>
      <c r="AS53" s="105">
        <f t="shared" si="52"/>
        <v>0</v>
      </c>
      <c r="AT53" s="105">
        <f t="shared" si="53"/>
        <v>181.39</v>
      </c>
      <c r="AU53" s="105">
        <f t="shared" si="54"/>
        <v>0</v>
      </c>
      <c r="AV53" s="105">
        <f t="shared" si="55"/>
        <v>0</v>
      </c>
      <c r="AW53" s="105">
        <f t="shared" si="56"/>
        <v>6637.4699999999993</v>
      </c>
      <c r="AX53" s="108">
        <f t="shared" si="33"/>
        <v>4</v>
      </c>
      <c r="AY53" s="108">
        <f t="shared" si="42"/>
        <v>4</v>
      </c>
      <c r="AZ53" s="759">
        <f t="shared" si="35"/>
        <v>46684</v>
      </c>
      <c r="BA53" s="108">
        <f t="shared" si="43"/>
        <v>2407</v>
      </c>
    </row>
    <row r="54" spans="1:54" s="16" customFormat="1" ht="12" customHeight="1" x14ac:dyDescent="0.25">
      <c r="A54" s="2"/>
      <c r="B54" s="2"/>
      <c r="C54" s="2"/>
      <c r="D54" s="2"/>
      <c r="E54" s="767">
        <f t="shared" si="29"/>
        <v>46</v>
      </c>
      <c r="F54" s="768">
        <f t="shared" si="5"/>
        <v>46715</v>
      </c>
      <c r="G54" s="24">
        <f t="shared" si="36"/>
        <v>2407</v>
      </c>
      <c r="H54" s="24">
        <f t="shared" si="37"/>
        <v>221.97</v>
      </c>
      <c r="I54" s="24">
        <f t="shared" si="28"/>
        <v>43840.950000000026</v>
      </c>
      <c r="J54" s="24">
        <f t="shared" si="44"/>
        <v>0</v>
      </c>
      <c r="K54" s="24">
        <f t="shared" si="8"/>
        <v>2185.0300000000002</v>
      </c>
      <c r="L54" s="24">
        <f t="shared" si="45"/>
        <v>0</v>
      </c>
      <c r="M54" s="24">
        <f t="shared" si="46"/>
        <v>0</v>
      </c>
      <c r="N54" s="24">
        <f t="shared" si="47"/>
        <v>221.97</v>
      </c>
      <c r="O54" s="24">
        <f t="shared" si="48"/>
        <v>0</v>
      </c>
      <c r="P54" s="24">
        <f t="shared" si="49"/>
        <v>0</v>
      </c>
      <c r="Q54" s="24">
        <f t="shared" si="9"/>
        <v>8749.9499999999953</v>
      </c>
      <c r="R54" s="36">
        <f t="shared" si="31"/>
        <v>3</v>
      </c>
      <c r="S54" s="36">
        <f t="shared" si="38"/>
        <v>5</v>
      </c>
      <c r="T54" s="2">
        <f t="shared" si="57"/>
        <v>1028.76</v>
      </c>
      <c r="U54" s="34">
        <f t="shared" si="58"/>
        <v>2407</v>
      </c>
      <c r="V54" s="57">
        <f t="shared" si="61"/>
        <v>47140</v>
      </c>
      <c r="W54" s="16">
        <f t="shared" si="63"/>
        <v>5</v>
      </c>
      <c r="X54" s="785"/>
      <c r="Y54" s="15">
        <f>IF(D8=AA60,AA66,IF(D8=AD60,AB66,IF(D8=AF60,AD66,IF(D8=AG60,AE66,IF(D8=AE60,AC66,IF(D8=#REF!,AF66,IF(D8=AH60,AG66,V28)))))))</f>
        <v>1.06E-2</v>
      </c>
      <c r="Z54" s="2"/>
      <c r="AA54" s="2"/>
      <c r="AB54" s="2"/>
      <c r="AC54" s="2"/>
      <c r="AD54" s="2"/>
      <c r="AE54" s="2"/>
      <c r="AF54" s="2"/>
      <c r="AG54" s="2"/>
      <c r="AH54" s="2"/>
      <c r="AI54" s="2">
        <f t="shared" si="59"/>
        <v>1452.45</v>
      </c>
      <c r="AJ54" s="34">
        <f t="shared" si="60"/>
        <v>2407</v>
      </c>
      <c r="AK54" s="57">
        <f t="shared" si="62"/>
        <v>47140</v>
      </c>
      <c r="AL54" s="130">
        <f t="shared" si="23"/>
        <v>1</v>
      </c>
      <c r="AM54" s="769">
        <f t="shared" si="32"/>
        <v>46</v>
      </c>
      <c r="AN54" s="770">
        <f t="shared" si="39"/>
        <v>46715</v>
      </c>
      <c r="AO54" s="105">
        <f t="shared" si="50"/>
        <v>2407</v>
      </c>
      <c r="AP54" s="105">
        <f t="shared" si="40"/>
        <v>140.37</v>
      </c>
      <c r="AQ54" s="105">
        <f t="shared" si="51"/>
        <v>2266.63</v>
      </c>
      <c r="AR54" s="105">
        <f t="shared" si="41"/>
        <v>0</v>
      </c>
      <c r="AS54" s="105">
        <f t="shared" si="52"/>
        <v>0</v>
      </c>
      <c r="AT54" s="105">
        <f t="shared" si="53"/>
        <v>140.37</v>
      </c>
      <c r="AU54" s="105">
        <f t="shared" si="54"/>
        <v>0</v>
      </c>
      <c r="AV54" s="105">
        <f t="shared" si="55"/>
        <v>0</v>
      </c>
      <c r="AW54" s="105">
        <f t="shared" si="56"/>
        <v>4370.8399999999992</v>
      </c>
      <c r="AX54" s="108">
        <f t="shared" si="33"/>
        <v>3</v>
      </c>
      <c r="AY54" s="108">
        <f t="shared" si="42"/>
        <v>3</v>
      </c>
      <c r="AZ54" s="759">
        <f t="shared" si="35"/>
        <v>46715</v>
      </c>
      <c r="BA54" s="108">
        <f t="shared" si="43"/>
        <v>2407</v>
      </c>
    </row>
    <row r="55" spans="1:54" s="16" customFormat="1" ht="12" customHeight="1" x14ac:dyDescent="0.25">
      <c r="A55" s="2"/>
      <c r="B55" s="2"/>
      <c r="C55" s="2"/>
      <c r="D55" s="2"/>
      <c r="E55" s="767">
        <f t="shared" si="29"/>
        <v>47</v>
      </c>
      <c r="F55" s="768">
        <f t="shared" si="5"/>
        <v>46745</v>
      </c>
      <c r="G55" s="24">
        <f t="shared" si="36"/>
        <v>2407</v>
      </c>
      <c r="H55" s="24">
        <f t="shared" si="37"/>
        <v>171.88</v>
      </c>
      <c r="I55" s="24">
        <f t="shared" si="28"/>
        <v>44012.830000000024</v>
      </c>
      <c r="J55" s="24">
        <f t="shared" si="44"/>
        <v>0</v>
      </c>
      <c r="K55" s="24">
        <f t="shared" si="8"/>
        <v>2235.12</v>
      </c>
      <c r="L55" s="24">
        <f t="shared" si="45"/>
        <v>0</v>
      </c>
      <c r="M55" s="24">
        <f t="shared" si="46"/>
        <v>0</v>
      </c>
      <c r="N55" s="24">
        <f t="shared" si="47"/>
        <v>171.88</v>
      </c>
      <c r="O55" s="24">
        <f t="shared" si="48"/>
        <v>0</v>
      </c>
      <c r="P55" s="24">
        <f t="shared" si="49"/>
        <v>0</v>
      </c>
      <c r="Q55" s="24">
        <f t="shared" si="9"/>
        <v>6514.8299999999954</v>
      </c>
      <c r="R55" s="36">
        <f t="shared" si="31"/>
        <v>2</v>
      </c>
      <c r="S55" s="36">
        <f t="shared" si="38"/>
        <v>4</v>
      </c>
      <c r="T55" s="2">
        <f t="shared" si="57"/>
        <v>982.39</v>
      </c>
      <c r="U55" s="34">
        <f t="shared" si="58"/>
        <v>2407</v>
      </c>
      <c r="V55" s="57">
        <f t="shared" si="61"/>
        <v>47505</v>
      </c>
      <c r="W55" s="16">
        <f t="shared" si="63"/>
        <v>6</v>
      </c>
      <c r="X55" s="2"/>
      <c r="Y55" s="783"/>
      <c r="Z55" s="1"/>
      <c r="AA55" s="792">
        <f>F8</f>
        <v>45315</v>
      </c>
      <c r="AB55" s="47">
        <f>(C28+AF52)*AA14/12*(1+AA14/12)^(C10)/((1+AA14/12)^(C10)-1)+C28/10000*IF(C10&lt;11,20,IF(C10&lt;20,2.5,IF(C10&lt;37,1.5,IF(C10&lt;60,0.7,IF(C10&lt;85,0.5,IF(C10&lt;261,0.1,-0.02))))))*IF(AA14&lt;0.3,AA14/0.2,AA14/0.1)</f>
        <v>2467.856672653229</v>
      </c>
      <c r="AC55" s="2"/>
      <c r="AD55" s="47">
        <f>IF(DAY(C9)&lt;29,AD56,AD57)</f>
        <v>2406.7900336252733</v>
      </c>
      <c r="AE55" s="2"/>
      <c r="AF55" s="2"/>
      <c r="AG55" s="2"/>
      <c r="AH55" s="2"/>
      <c r="AI55" s="2">
        <f t="shared" si="59"/>
        <v>1386.11</v>
      </c>
      <c r="AJ55" s="34">
        <f t="shared" si="60"/>
        <v>2407</v>
      </c>
      <c r="AK55" s="57">
        <f t="shared" si="62"/>
        <v>47505</v>
      </c>
      <c r="AL55" s="130">
        <f t="shared" si="23"/>
        <v>1</v>
      </c>
      <c r="AM55" s="769">
        <f t="shared" si="32"/>
        <v>47</v>
      </c>
      <c r="AN55" s="770">
        <f t="shared" si="39"/>
        <v>46745</v>
      </c>
      <c r="AO55" s="105">
        <f t="shared" si="50"/>
        <v>2407</v>
      </c>
      <c r="AP55" s="105">
        <f t="shared" si="40"/>
        <v>89.45</v>
      </c>
      <c r="AQ55" s="105">
        <f t="shared" si="51"/>
        <v>2317.5500000000002</v>
      </c>
      <c r="AR55" s="105">
        <f t="shared" si="41"/>
        <v>0</v>
      </c>
      <c r="AS55" s="105">
        <f t="shared" si="52"/>
        <v>0</v>
      </c>
      <c r="AT55" s="105">
        <f t="shared" si="53"/>
        <v>89.45</v>
      </c>
      <c r="AU55" s="105">
        <f t="shared" si="54"/>
        <v>0</v>
      </c>
      <c r="AV55" s="105">
        <f t="shared" si="55"/>
        <v>0</v>
      </c>
      <c r="AW55" s="105">
        <f t="shared" si="56"/>
        <v>2053.2899999999991</v>
      </c>
      <c r="AX55" s="108">
        <f t="shared" si="33"/>
        <v>2</v>
      </c>
      <c r="AY55" s="108">
        <f t="shared" si="42"/>
        <v>2</v>
      </c>
      <c r="AZ55" s="759">
        <f t="shared" si="35"/>
        <v>46745</v>
      </c>
      <c r="BA55" s="108">
        <f t="shared" si="43"/>
        <v>2407</v>
      </c>
      <c r="BB55" s="2" t="e">
        <f t="shared" ref="BB55:BB92" si="64">IF(AND(E9&gt;=$T$14,E9&lt;=$T$14+5),0,IF($C$9&gt;$AC$52,ROUND(AW8*IF($D$23="",0,$D$23)/(DATEVALUE(CONCATENATE("01/01/",YEAR(AN9)+1))-DATEVALUE(CONCATENATE("01/01/",YEAR(AN9))))*(AN9-AN8),2),0))</f>
        <v>#VALUE!</v>
      </c>
    </row>
    <row r="56" spans="1:54" s="16" customFormat="1" ht="12" x14ac:dyDescent="0.25">
      <c r="A56" s="2"/>
      <c r="B56" s="2"/>
      <c r="C56" s="2"/>
      <c r="D56" s="2"/>
      <c r="E56" s="767">
        <f t="shared" si="29"/>
        <v>48</v>
      </c>
      <c r="F56" s="768">
        <f t="shared" si="5"/>
        <v>46776</v>
      </c>
      <c r="G56" s="24">
        <f t="shared" si="36"/>
        <v>6646.7899999999954</v>
      </c>
      <c r="H56" s="24">
        <f t="shared" si="37"/>
        <v>131.96</v>
      </c>
      <c r="I56" s="24">
        <f t="shared" si="28"/>
        <v>44144.790000000023</v>
      </c>
      <c r="J56" s="24">
        <f t="shared" si="44"/>
        <v>4239.7899999999954</v>
      </c>
      <c r="K56" s="24">
        <f t="shared" si="8"/>
        <v>6514.8299999999954</v>
      </c>
      <c r="L56" s="24">
        <f t="shared" si="45"/>
        <v>0</v>
      </c>
      <c r="M56" s="24">
        <f t="shared" si="46"/>
        <v>0</v>
      </c>
      <c r="N56" s="24">
        <f t="shared" si="47"/>
        <v>131.96</v>
      </c>
      <c r="O56" s="24">
        <f t="shared" si="48"/>
        <v>0</v>
      </c>
      <c r="P56" s="24">
        <f t="shared" si="49"/>
        <v>0</v>
      </c>
      <c r="Q56" s="24">
        <f t="shared" si="9"/>
        <v>0</v>
      </c>
      <c r="R56" s="36">
        <f t="shared" si="31"/>
        <v>1</v>
      </c>
      <c r="S56" s="36">
        <f t="shared" si="38"/>
        <v>3</v>
      </c>
      <c r="T56" s="2">
        <f t="shared" si="57"/>
        <v>1000.57</v>
      </c>
      <c r="U56" s="34">
        <f t="shared" si="58"/>
        <v>2407</v>
      </c>
      <c r="V56" s="57">
        <f t="shared" si="61"/>
        <v>47870</v>
      </c>
      <c r="W56" s="16">
        <f t="shared" si="63"/>
        <v>7</v>
      </c>
      <c r="X56" s="783" t="s">
        <v>0</v>
      </c>
      <c r="Y56" s="793"/>
      <c r="Z56" s="10"/>
      <c r="AA56" s="13">
        <f>AB56</f>
        <v>2467.856672653229</v>
      </c>
      <c r="AB56" s="156">
        <f>(C28+AF52)*AA14/12*(1+AA14/12)^(C10)/((1+AA14/12)^(C10)-1)+C28/10000*IF(C10&lt;11,20,IF(C10&lt;20,2.5,IF(C10&lt;37,1.5,IF(C10&lt;60,0.7,IF(C10&lt;85,0.5,IF(C10&lt;261,0.1,-0.02))))))*IF(AA14&lt;0.3,AA14/0.2,AA14/0.1)</f>
        <v>2467.856672653229</v>
      </c>
      <c r="AC56" s="13">
        <f>IF(DAY(C9)&lt;4,AD55,IF(DAY(C9)&gt;28,AD57,AD56))</f>
        <v>2406.7900336252733</v>
      </c>
      <c r="AD56" s="47">
        <f>(D28)*AB14/12*(1+AB14/12)^(D10)/((1+AB14/12)^(D10)-1)+D28/10000*IF(C10&lt;11,20,IF(C10&lt;34,0.7,IF(C10&lt;64,0.3,IF(C10&lt;261,0.1,-0.02))))*IF(AA14&lt;0.3,AA14/0.2,AA14/0.1)</f>
        <v>2406.7900336252733</v>
      </c>
      <c r="AE56" s="2"/>
      <c r="AF56" s="2"/>
      <c r="AG56" s="2"/>
      <c r="AH56" s="2"/>
      <c r="AI56" s="2">
        <f t="shared" si="59"/>
        <v>1410.79</v>
      </c>
      <c r="AJ56" s="34">
        <f t="shared" si="60"/>
        <v>2407</v>
      </c>
      <c r="AK56" s="57">
        <f t="shared" si="62"/>
        <v>47870</v>
      </c>
      <c r="AL56" s="130">
        <f t="shared" si="23"/>
        <v>1</v>
      </c>
      <c r="AM56" s="769">
        <f t="shared" si="32"/>
        <v>48</v>
      </c>
      <c r="AN56" s="770">
        <f t="shared" si="39"/>
        <v>46776</v>
      </c>
      <c r="AO56" s="105">
        <f t="shared" si="50"/>
        <v>2096.619999999999</v>
      </c>
      <c r="AP56" s="105">
        <f t="shared" si="40"/>
        <v>43.33</v>
      </c>
      <c r="AQ56" s="105">
        <f t="shared" si="51"/>
        <v>2053.2899999999991</v>
      </c>
      <c r="AR56" s="105">
        <f t="shared" si="41"/>
        <v>0</v>
      </c>
      <c r="AS56" s="105">
        <f t="shared" si="52"/>
        <v>0</v>
      </c>
      <c r="AT56" s="105">
        <f t="shared" si="53"/>
        <v>43.33</v>
      </c>
      <c r="AU56" s="105">
        <f t="shared" si="54"/>
        <v>0</v>
      </c>
      <c r="AV56" s="105">
        <f t="shared" si="55"/>
        <v>0</v>
      </c>
      <c r="AW56" s="105">
        <f t="shared" si="56"/>
        <v>0</v>
      </c>
      <c r="AX56" s="108">
        <f t="shared" si="33"/>
        <v>1</v>
      </c>
      <c r="AY56" s="108">
        <f t="shared" si="42"/>
        <v>1</v>
      </c>
      <c r="AZ56" s="759">
        <f t="shared" si="35"/>
        <v>46776</v>
      </c>
      <c r="BA56" s="108">
        <f t="shared" si="43"/>
        <v>6646.7899999999954</v>
      </c>
      <c r="BB56" s="2" t="e">
        <f t="shared" si="64"/>
        <v>#VALUE!</v>
      </c>
    </row>
    <row r="57" spans="1:54" s="16" customFormat="1" x14ac:dyDescent="0.25">
      <c r="A57" s="2"/>
      <c r="B57" s="2"/>
      <c r="C57" s="13"/>
      <c r="D57" s="13"/>
      <c r="E57" s="767">
        <f t="shared" si="29"/>
        <v>49</v>
      </c>
      <c r="F57" s="768">
        <f t="shared" si="5"/>
        <v>46807</v>
      </c>
      <c r="G57" s="24">
        <f t="shared" si="36"/>
        <v>0</v>
      </c>
      <c r="H57" s="24">
        <f t="shared" si="37"/>
        <v>0</v>
      </c>
      <c r="I57" s="24">
        <f t="shared" si="28"/>
        <v>44144.790000000023</v>
      </c>
      <c r="J57" s="24">
        <f t="shared" si="44"/>
        <v>0</v>
      </c>
      <c r="K57" s="24">
        <f t="shared" si="8"/>
        <v>0</v>
      </c>
      <c r="L57" s="24">
        <f t="shared" si="45"/>
        <v>0</v>
      </c>
      <c r="M57" s="24">
        <f t="shared" si="46"/>
        <v>0</v>
      </c>
      <c r="N57" s="24">
        <f t="shared" si="47"/>
        <v>0</v>
      </c>
      <c r="O57" s="24">
        <f t="shared" si="48"/>
        <v>0</v>
      </c>
      <c r="P57" s="24">
        <f t="shared" si="49"/>
        <v>0</v>
      </c>
      <c r="Q57" s="24">
        <f t="shared" si="9"/>
        <v>0</v>
      </c>
      <c r="R57" s="36">
        <f t="shared" si="31"/>
        <v>0</v>
      </c>
      <c r="S57" s="36">
        <f t="shared" si="38"/>
        <v>0</v>
      </c>
      <c r="T57" s="2">
        <f t="shared" si="57"/>
        <v>986.37</v>
      </c>
      <c r="U57" s="34">
        <f t="shared" si="58"/>
        <v>2407</v>
      </c>
      <c r="V57" s="57">
        <f t="shared" si="61"/>
        <v>48235</v>
      </c>
      <c r="W57" s="16">
        <f t="shared" si="63"/>
        <v>8</v>
      </c>
      <c r="X57" s="793" t="s">
        <v>18</v>
      </c>
      <c r="Y57" s="3"/>
      <c r="Z57" s="118">
        <f>ROUNDUP(AA57/AD48,0)*AD48</f>
        <v>2170</v>
      </c>
      <c r="AA57" s="13">
        <f>(C28+AF52)*Z58/12*(1+Z58/12)^(C10+AA58)/((1+Z58/12)^(C10+AA58)-1)+10*C28/100000*IF(C10+AA58&lt;24,4,IF(C10+AA58&lt;36,3,IF(C10+AA58&lt;48,2,IF(C10+AA58&lt;60,1.5,1))))*Z58/0.2</f>
        <v>2168.738914187456</v>
      </c>
      <c r="AB57" s="157">
        <f>(C28+AF52)*AA14/12*(1+AA14/12)^(C10)/((1+AA14/12)^(C10)-1)+C28/10000*IF(C10&lt;11,20,IF(C10&lt;34,0.7,IF(C10&lt;48,0.3,0)))*IF(AA14&lt;0.3,AA14/0.2,AA14/0.1)</f>
        <v>2461.5301395032288</v>
      </c>
      <c r="AC57" s="13">
        <f>(D28+AF52)*AC58/12*(1+AC58/12)^(C10+AA58)/((1+AC58/12)^(C10+AA58)-1)+10*D28/100000*IF(C10+AA58&lt;24,4,IF(C10+AA58&lt;36,3,IF(C10+AA58&lt;48,2,IF(C10+AA58&lt;60,1.5,1))))*AC58/0.2</f>
        <v>2082.7131212908612</v>
      </c>
      <c r="AD57" s="47">
        <f>(D28)*AB14/12*(1+AB14/12)^(D10)/((1+AB14/12)^(D10)-1)+D28/10000*IF(C10&lt;11,20,IF(C10&lt;20,2.5,IF(C10&lt;37,1.5,IF(C10&lt;60,0.7,IF(C10&lt;85,0.5,IF(C10&lt;261,0.1,-0.02))))))*IF(AA14&lt;0.3,AA14/0.2,AA14/0.1)</f>
        <v>2410.2617954252732</v>
      </c>
      <c r="AE57" s="2"/>
      <c r="AF57" s="2"/>
      <c r="AG57" s="2"/>
      <c r="AH57" s="2"/>
      <c r="AI57" s="2">
        <f t="shared" si="59"/>
        <v>1389.78</v>
      </c>
      <c r="AJ57" s="34">
        <f t="shared" si="60"/>
        <v>2407</v>
      </c>
      <c r="AK57" s="57">
        <f t="shared" si="62"/>
        <v>48235</v>
      </c>
      <c r="AL57" s="130">
        <f t="shared" si="23"/>
        <v>0</v>
      </c>
      <c r="AM57" s="769">
        <f t="shared" si="32"/>
        <v>49</v>
      </c>
      <c r="AN57" s="770">
        <f t="shared" si="39"/>
        <v>46807</v>
      </c>
      <c r="AO57" s="105">
        <f t="shared" si="50"/>
        <v>0</v>
      </c>
      <c r="AP57" s="105">
        <f t="shared" si="40"/>
        <v>0</v>
      </c>
      <c r="AQ57" s="105">
        <f t="shared" si="51"/>
        <v>0</v>
      </c>
      <c r="AR57" s="105">
        <f t="shared" si="41"/>
        <v>0</v>
      </c>
      <c r="AS57" s="105">
        <f t="shared" si="52"/>
        <v>0</v>
      </c>
      <c r="AT57" s="105">
        <f t="shared" si="53"/>
        <v>0</v>
      </c>
      <c r="AU57" s="105">
        <f t="shared" si="54"/>
        <v>0</v>
      </c>
      <c r="AV57" s="105">
        <f t="shared" si="55"/>
        <v>0</v>
      </c>
      <c r="AW57" s="105">
        <f t="shared" si="56"/>
        <v>0</v>
      </c>
      <c r="AX57" s="108">
        <f t="shared" si="33"/>
        <v>0</v>
      </c>
      <c r="AY57" s="108">
        <f t="shared" si="42"/>
        <v>0</v>
      </c>
      <c r="AZ57" s="759">
        <f t="shared" si="35"/>
        <v>46807</v>
      </c>
      <c r="BA57" s="108">
        <f t="shared" si="43"/>
        <v>0</v>
      </c>
      <c r="BB57" s="2" t="e">
        <f t="shared" si="64"/>
        <v>#VALUE!</v>
      </c>
    </row>
    <row r="58" spans="1:54" s="16" customFormat="1" x14ac:dyDescent="0.25">
      <c r="A58" s="2"/>
      <c r="B58" s="2"/>
      <c r="C58" s="2"/>
      <c r="D58" s="13"/>
      <c r="E58" s="767">
        <f t="shared" si="29"/>
        <v>50</v>
      </c>
      <c r="F58" s="768">
        <f t="shared" si="5"/>
        <v>46836</v>
      </c>
      <c r="G58" s="24">
        <f t="shared" si="36"/>
        <v>0</v>
      </c>
      <c r="H58" s="24">
        <f t="shared" si="37"/>
        <v>0</v>
      </c>
      <c r="I58" s="24">
        <f t="shared" si="28"/>
        <v>44144.790000000023</v>
      </c>
      <c r="J58" s="24">
        <f t="shared" si="44"/>
        <v>0</v>
      </c>
      <c r="K58" s="24">
        <f t="shared" si="8"/>
        <v>0</v>
      </c>
      <c r="L58" s="24">
        <f t="shared" si="45"/>
        <v>0</v>
      </c>
      <c r="M58" s="24">
        <f t="shared" si="46"/>
        <v>0</v>
      </c>
      <c r="N58" s="24">
        <f t="shared" si="47"/>
        <v>0</v>
      </c>
      <c r="O58" s="24">
        <f t="shared" si="48"/>
        <v>0</v>
      </c>
      <c r="P58" s="24">
        <f t="shared" si="49"/>
        <v>0</v>
      </c>
      <c r="Q58" s="24">
        <f t="shared" si="9"/>
        <v>0</v>
      </c>
      <c r="R58" s="36">
        <f t="shared" si="31"/>
        <v>0</v>
      </c>
      <c r="S58" s="36">
        <f t="shared" si="38"/>
        <v>0</v>
      </c>
      <c r="T58" s="2">
        <f t="shared" si="57"/>
        <v>940.53</v>
      </c>
      <c r="U58" s="34">
        <f t="shared" si="58"/>
        <v>2407</v>
      </c>
      <c r="V58" s="57">
        <f t="shared" si="61"/>
        <v>48600</v>
      </c>
      <c r="W58" s="16">
        <f t="shared" si="63"/>
        <v>9</v>
      </c>
      <c r="X58" s="3" t="s">
        <v>22</v>
      </c>
      <c r="Y58" s="3"/>
      <c r="Z58" s="15">
        <f>IF(C9&gt;AE49,C17,C17+0.05)</f>
        <v>0.29899999999999999</v>
      </c>
      <c r="AA58" s="2">
        <f xml:space="preserve"> IF(C9&gt;AE49,36,24)</f>
        <v>36</v>
      </c>
      <c r="AB58" s="44">
        <f>(C28+AF52)*AA14/12*(1+AA14/12)^(C10)/((1+AA14/12)^(C10)-1)</f>
        <v>2461.5301395032288</v>
      </c>
      <c r="AC58" s="15">
        <f>IF(C9&gt;AE49,D17,D17+0.05)</f>
        <v>0.29899999999999999</v>
      </c>
      <c r="AD58" s="47">
        <f>(D28)*AB14/12*(1+AB14/12)^(C10)/((1+AB14/12)^(C10)-1)</f>
        <v>2404.1862122752732</v>
      </c>
      <c r="AE58" s="2"/>
      <c r="AF58" s="2"/>
      <c r="AG58" s="2"/>
      <c r="AH58" s="2"/>
      <c r="AI58" s="2">
        <f t="shared" si="59"/>
        <v>1324.18</v>
      </c>
      <c r="AJ58" s="34">
        <f t="shared" si="60"/>
        <v>2407</v>
      </c>
      <c r="AK58" s="57">
        <f t="shared" si="62"/>
        <v>48600</v>
      </c>
      <c r="AL58" s="130">
        <f t="shared" si="23"/>
        <v>0</v>
      </c>
      <c r="AM58" s="769">
        <f t="shared" si="32"/>
        <v>50</v>
      </c>
      <c r="AN58" s="770">
        <f t="shared" si="39"/>
        <v>46836</v>
      </c>
      <c r="AO58" s="105">
        <f t="shared" si="50"/>
        <v>0</v>
      </c>
      <c r="AP58" s="105">
        <f t="shared" si="40"/>
        <v>0</v>
      </c>
      <c r="AQ58" s="105">
        <f t="shared" si="51"/>
        <v>0</v>
      </c>
      <c r="AR58" s="105">
        <f t="shared" si="41"/>
        <v>0</v>
      </c>
      <c r="AS58" s="105">
        <f t="shared" si="52"/>
        <v>0</v>
      </c>
      <c r="AT58" s="105">
        <f t="shared" si="53"/>
        <v>0</v>
      </c>
      <c r="AU58" s="105">
        <f t="shared" si="54"/>
        <v>0</v>
      </c>
      <c r="AV58" s="105">
        <f t="shared" si="55"/>
        <v>0</v>
      </c>
      <c r="AW58" s="105">
        <f t="shared" si="56"/>
        <v>0</v>
      </c>
      <c r="AX58" s="108">
        <f t="shared" si="33"/>
        <v>0</v>
      </c>
      <c r="AY58" s="108">
        <f t="shared" si="42"/>
        <v>0</v>
      </c>
      <c r="AZ58" s="759">
        <f t="shared" si="35"/>
        <v>46836</v>
      </c>
      <c r="BA58" s="108">
        <f t="shared" si="43"/>
        <v>0</v>
      </c>
      <c r="BB58" s="2" t="e">
        <f t="shared" si="64"/>
        <v>#VALUE!</v>
      </c>
    </row>
    <row r="59" spans="1:54" s="16" customFormat="1" ht="15.75" customHeight="1" x14ac:dyDescent="0.25">
      <c r="A59" s="2"/>
      <c r="B59" s="2"/>
      <c r="C59" s="2"/>
      <c r="D59" s="2"/>
      <c r="E59" s="767">
        <f t="shared" si="29"/>
        <v>51</v>
      </c>
      <c r="F59" s="768">
        <f t="shared" si="5"/>
        <v>46867</v>
      </c>
      <c r="G59" s="24">
        <f t="shared" si="36"/>
        <v>0</v>
      </c>
      <c r="H59" s="24">
        <f t="shared" si="37"/>
        <v>0</v>
      </c>
      <c r="I59" s="24">
        <f t="shared" si="28"/>
        <v>44144.790000000023</v>
      </c>
      <c r="J59" s="24">
        <f t="shared" si="44"/>
        <v>0</v>
      </c>
      <c r="K59" s="24">
        <f t="shared" si="8"/>
        <v>0</v>
      </c>
      <c r="L59" s="24">
        <f t="shared" si="45"/>
        <v>0</v>
      </c>
      <c r="M59" s="24">
        <f t="shared" si="46"/>
        <v>0</v>
      </c>
      <c r="N59" s="24">
        <f t="shared" si="47"/>
        <v>0</v>
      </c>
      <c r="O59" s="24">
        <f t="shared" si="48"/>
        <v>0</v>
      </c>
      <c r="P59" s="24">
        <f t="shared" si="49"/>
        <v>0</v>
      </c>
      <c r="Q59" s="24">
        <f t="shared" si="9"/>
        <v>0</v>
      </c>
      <c r="R59" s="36">
        <f t="shared" si="31"/>
        <v>0</v>
      </c>
      <c r="S59" s="36">
        <f t="shared" si="38"/>
        <v>0</v>
      </c>
      <c r="T59" s="2">
        <f t="shared" si="57"/>
        <v>956.46</v>
      </c>
      <c r="U59" s="34">
        <f t="shared" si="58"/>
        <v>2407</v>
      </c>
      <c r="V59" s="57">
        <f t="shared" si="61"/>
        <v>48965</v>
      </c>
      <c r="W59" s="16">
        <f t="shared" si="63"/>
        <v>10</v>
      </c>
      <c r="X59" s="60">
        <v>43858</v>
      </c>
      <c r="Y59" s="2"/>
      <c r="Z59" s="2"/>
      <c r="AA59" s="2"/>
      <c r="AB59" s="2"/>
      <c r="AC59" s="2"/>
      <c r="AD59" s="144" t="s">
        <v>360</v>
      </c>
      <c r="AE59" s="144" t="s">
        <v>434</v>
      </c>
      <c r="AF59" s="145" t="s">
        <v>482</v>
      </c>
      <c r="AG59" s="145" t="s">
        <v>35</v>
      </c>
      <c r="AH59" s="2"/>
      <c r="AI59" s="2">
        <f t="shared" si="59"/>
        <v>1345.49</v>
      </c>
      <c r="AJ59" s="34">
        <f t="shared" si="60"/>
        <v>2407</v>
      </c>
      <c r="AK59" s="57">
        <f t="shared" si="62"/>
        <v>48965</v>
      </c>
      <c r="AL59" s="130">
        <f t="shared" si="23"/>
        <v>0</v>
      </c>
      <c r="AM59" s="769">
        <f t="shared" si="32"/>
        <v>51</v>
      </c>
      <c r="AN59" s="770">
        <f t="shared" si="39"/>
        <v>46867</v>
      </c>
      <c r="AO59" s="105">
        <f t="shared" si="50"/>
        <v>0</v>
      </c>
      <c r="AP59" s="105">
        <f t="shared" si="40"/>
        <v>0</v>
      </c>
      <c r="AQ59" s="105">
        <f t="shared" si="51"/>
        <v>0</v>
      </c>
      <c r="AR59" s="105">
        <f t="shared" si="41"/>
        <v>0</v>
      </c>
      <c r="AS59" s="105">
        <f t="shared" si="52"/>
        <v>0</v>
      </c>
      <c r="AT59" s="105">
        <f t="shared" si="53"/>
        <v>0</v>
      </c>
      <c r="AU59" s="105">
        <f t="shared" si="54"/>
        <v>0</v>
      </c>
      <c r="AV59" s="105">
        <f t="shared" si="55"/>
        <v>0</v>
      </c>
      <c r="AW59" s="105">
        <f t="shared" si="56"/>
        <v>0</v>
      </c>
      <c r="AX59" s="108">
        <f t="shared" si="33"/>
        <v>0</v>
      </c>
      <c r="AY59" s="108">
        <f t="shared" si="42"/>
        <v>0</v>
      </c>
      <c r="AZ59" s="759">
        <f t="shared" si="35"/>
        <v>46867</v>
      </c>
      <c r="BA59" s="108">
        <f t="shared" si="43"/>
        <v>0</v>
      </c>
      <c r="BB59" s="2" t="e">
        <f t="shared" si="64"/>
        <v>#VALUE!</v>
      </c>
    </row>
    <row r="60" spans="1:54" s="16" customFormat="1" ht="12" x14ac:dyDescent="0.25">
      <c r="A60" s="2"/>
      <c r="B60" s="2"/>
      <c r="C60" s="2"/>
      <c r="D60" s="2"/>
      <c r="E60" s="767">
        <f t="shared" si="29"/>
        <v>52</v>
      </c>
      <c r="F60" s="768">
        <f t="shared" si="5"/>
        <v>46897</v>
      </c>
      <c r="G60" s="24">
        <f t="shared" si="36"/>
        <v>0</v>
      </c>
      <c r="H60" s="24">
        <f t="shared" si="37"/>
        <v>0</v>
      </c>
      <c r="I60" s="24">
        <f t="shared" si="28"/>
        <v>44144.790000000023</v>
      </c>
      <c r="J60" s="24">
        <f t="shared" si="44"/>
        <v>0</v>
      </c>
      <c r="K60" s="24">
        <f t="shared" si="8"/>
        <v>0</v>
      </c>
      <c r="L60" s="24">
        <f t="shared" si="45"/>
        <v>0</v>
      </c>
      <c r="M60" s="24">
        <f t="shared" si="46"/>
        <v>0</v>
      </c>
      <c r="N60" s="24">
        <f t="shared" si="47"/>
        <v>0</v>
      </c>
      <c r="O60" s="24">
        <f t="shared" si="48"/>
        <v>0</v>
      </c>
      <c r="P60" s="24">
        <f t="shared" si="49"/>
        <v>0</v>
      </c>
      <c r="Q60" s="24">
        <f t="shared" si="9"/>
        <v>0</v>
      </c>
      <c r="R60" s="36">
        <f t="shared" si="31"/>
        <v>0</v>
      </c>
      <c r="S60" s="36">
        <f t="shared" si="38"/>
        <v>0</v>
      </c>
      <c r="T60" s="2">
        <f t="shared" si="57"/>
        <v>911</v>
      </c>
      <c r="U60" s="34">
        <f t="shared" si="58"/>
        <v>2407</v>
      </c>
      <c r="V60" s="57">
        <f t="shared" si="61"/>
        <v>49330</v>
      </c>
      <c r="W60" s="16">
        <f t="shared" si="63"/>
        <v>11</v>
      </c>
      <c r="X60" s="2" t="s">
        <v>452</v>
      </c>
      <c r="Z60" s="145" t="s">
        <v>488</v>
      </c>
      <c r="AA60" s="145" t="s">
        <v>487</v>
      </c>
      <c r="AB60" s="145" t="s">
        <v>489</v>
      </c>
      <c r="AC60" s="145" t="s">
        <v>490</v>
      </c>
      <c r="AD60" s="145" t="s">
        <v>491</v>
      </c>
      <c r="AE60" s="145" t="s">
        <v>486</v>
      </c>
      <c r="AF60" s="145" t="s">
        <v>492</v>
      </c>
      <c r="AG60" s="145" t="s">
        <v>493</v>
      </c>
      <c r="AH60" s="2" t="s">
        <v>35</v>
      </c>
      <c r="AI60" s="2">
        <f t="shared" si="59"/>
        <v>1280.42</v>
      </c>
      <c r="AJ60" s="34">
        <f t="shared" si="60"/>
        <v>2407</v>
      </c>
      <c r="AK60" s="57">
        <f>IF(AI60=0,AK59,AK59+365)</f>
        <v>49330</v>
      </c>
      <c r="AL60" s="130">
        <f t="shared" si="23"/>
        <v>0</v>
      </c>
      <c r="AM60" s="769">
        <f t="shared" si="32"/>
        <v>52</v>
      </c>
      <c r="AN60" s="770">
        <f t="shared" si="39"/>
        <v>46897</v>
      </c>
      <c r="AO60" s="105">
        <f t="shared" si="50"/>
        <v>0</v>
      </c>
      <c r="AP60" s="105">
        <f t="shared" si="40"/>
        <v>0</v>
      </c>
      <c r="AQ60" s="105">
        <f t="shared" si="51"/>
        <v>0</v>
      </c>
      <c r="AR60" s="105">
        <f t="shared" si="41"/>
        <v>0</v>
      </c>
      <c r="AS60" s="105">
        <f t="shared" si="52"/>
        <v>0</v>
      </c>
      <c r="AT60" s="105">
        <f t="shared" si="53"/>
        <v>0</v>
      </c>
      <c r="AU60" s="105">
        <f t="shared" si="54"/>
        <v>0</v>
      </c>
      <c r="AV60" s="105">
        <f t="shared" si="55"/>
        <v>0</v>
      </c>
      <c r="AW60" s="105">
        <f t="shared" si="56"/>
        <v>0</v>
      </c>
      <c r="AX60" s="108">
        <f t="shared" si="33"/>
        <v>0</v>
      </c>
      <c r="AY60" s="108">
        <f t="shared" si="42"/>
        <v>0</v>
      </c>
      <c r="AZ60" s="759">
        <f t="shared" si="35"/>
        <v>46897</v>
      </c>
      <c r="BA60" s="108">
        <f t="shared" si="43"/>
        <v>0</v>
      </c>
      <c r="BB60" s="2" t="e">
        <f t="shared" si="64"/>
        <v>#VALUE!</v>
      </c>
    </row>
    <row r="61" spans="1:54" s="16" customFormat="1" ht="12" x14ac:dyDescent="0.25">
      <c r="A61" s="2"/>
      <c r="B61" s="2"/>
      <c r="C61" s="2"/>
      <c r="D61" s="2"/>
      <c r="E61" s="767">
        <f t="shared" si="29"/>
        <v>53</v>
      </c>
      <c r="F61" s="768">
        <f t="shared" si="5"/>
        <v>46928</v>
      </c>
      <c r="G61" s="24">
        <f t="shared" si="36"/>
        <v>0</v>
      </c>
      <c r="H61" s="24">
        <f t="shared" si="37"/>
        <v>0</v>
      </c>
      <c r="I61" s="24">
        <f t="shared" si="28"/>
        <v>44144.790000000023</v>
      </c>
      <c r="J61" s="24">
        <f t="shared" si="44"/>
        <v>0</v>
      </c>
      <c r="K61" s="24">
        <f t="shared" si="8"/>
        <v>0</v>
      </c>
      <c r="L61" s="24">
        <f t="shared" si="45"/>
        <v>0</v>
      </c>
      <c r="M61" s="24">
        <f t="shared" si="46"/>
        <v>0</v>
      </c>
      <c r="N61" s="24">
        <f t="shared" si="47"/>
        <v>0</v>
      </c>
      <c r="O61" s="24">
        <f t="shared" si="48"/>
        <v>0</v>
      </c>
      <c r="P61" s="24">
        <f t="shared" si="49"/>
        <v>0</v>
      </c>
      <c r="Q61" s="24">
        <f t="shared" si="9"/>
        <v>0</v>
      </c>
      <c r="R61" s="36">
        <f t="shared" si="31"/>
        <v>0</v>
      </c>
      <c r="S61" s="36">
        <f t="shared" si="38"/>
        <v>0</v>
      </c>
      <c r="T61" s="2">
        <f t="shared" si="57"/>
        <v>927.89</v>
      </c>
      <c r="U61" s="34">
        <f t="shared" si="58"/>
        <v>2407</v>
      </c>
      <c r="V61" s="57">
        <f t="shared" si="61"/>
        <v>49695</v>
      </c>
      <c r="W61" s="16">
        <f t="shared" si="63"/>
        <v>12</v>
      </c>
      <c r="X61" s="170" t="s">
        <v>373</v>
      </c>
      <c r="Y61" s="133" t="s">
        <v>454</v>
      </c>
      <c r="Z61" s="155"/>
      <c r="AA61" s="133" t="s">
        <v>125</v>
      </c>
      <c r="AB61" s="155"/>
      <c r="AC61" s="155"/>
      <c r="AD61" s="155"/>
      <c r="AE61" s="155"/>
      <c r="AF61" s="155"/>
      <c r="AG61" s="155"/>
      <c r="AH61" s="2"/>
      <c r="AI61" s="2">
        <f t="shared" si="59"/>
        <v>1302.9000000000001</v>
      </c>
      <c r="AJ61" s="34">
        <f t="shared" si="60"/>
        <v>2407</v>
      </c>
      <c r="AK61" s="57">
        <f t="shared" si="62"/>
        <v>49695</v>
      </c>
      <c r="AL61" s="130">
        <f t="shared" si="23"/>
        <v>0</v>
      </c>
      <c r="AM61" s="769">
        <f t="shared" si="32"/>
        <v>53</v>
      </c>
      <c r="AN61" s="770">
        <f t="shared" si="39"/>
        <v>46928</v>
      </c>
      <c r="AO61" s="105">
        <f t="shared" si="50"/>
        <v>0</v>
      </c>
      <c r="AP61" s="105">
        <f t="shared" si="40"/>
        <v>0</v>
      </c>
      <c r="AQ61" s="105">
        <f t="shared" si="51"/>
        <v>0</v>
      </c>
      <c r="AR61" s="105">
        <f t="shared" si="41"/>
        <v>0</v>
      </c>
      <c r="AS61" s="105">
        <f t="shared" si="52"/>
        <v>0</v>
      </c>
      <c r="AT61" s="105">
        <f t="shared" si="53"/>
        <v>0</v>
      </c>
      <c r="AU61" s="105">
        <f t="shared" si="54"/>
        <v>0</v>
      </c>
      <c r="AV61" s="105">
        <f t="shared" si="55"/>
        <v>0</v>
      </c>
      <c r="AW61" s="105">
        <f t="shared" si="56"/>
        <v>0</v>
      </c>
      <c r="AX61" s="108">
        <f t="shared" si="33"/>
        <v>0</v>
      </c>
      <c r="AY61" s="108">
        <f t="shared" si="42"/>
        <v>0</v>
      </c>
      <c r="AZ61" s="759">
        <f t="shared" si="35"/>
        <v>46928</v>
      </c>
      <c r="BA61" s="108">
        <f t="shared" si="43"/>
        <v>0</v>
      </c>
      <c r="BB61" s="2" t="e">
        <f t="shared" si="64"/>
        <v>#VALUE!</v>
      </c>
    </row>
    <row r="62" spans="1:54" s="16" customFormat="1" ht="15.75" customHeight="1" x14ac:dyDescent="0.25">
      <c r="A62" s="2"/>
      <c r="B62" s="2"/>
      <c r="C62" s="2"/>
      <c r="D62" s="2"/>
      <c r="E62" s="767">
        <f t="shared" si="29"/>
        <v>54</v>
      </c>
      <c r="F62" s="768">
        <f t="shared" si="5"/>
        <v>46958</v>
      </c>
      <c r="G62" s="24">
        <f t="shared" si="36"/>
        <v>0</v>
      </c>
      <c r="H62" s="24">
        <f t="shared" si="37"/>
        <v>0</v>
      </c>
      <c r="I62" s="24">
        <f t="shared" si="28"/>
        <v>44144.790000000023</v>
      </c>
      <c r="J62" s="24">
        <f t="shared" si="44"/>
        <v>0</v>
      </c>
      <c r="K62" s="24">
        <f t="shared" si="8"/>
        <v>0</v>
      </c>
      <c r="L62" s="24">
        <f t="shared" si="45"/>
        <v>0</v>
      </c>
      <c r="M62" s="24">
        <f t="shared" si="46"/>
        <v>0</v>
      </c>
      <c r="N62" s="24">
        <f t="shared" si="47"/>
        <v>0</v>
      </c>
      <c r="O62" s="24">
        <f t="shared" si="48"/>
        <v>0</v>
      </c>
      <c r="P62" s="24">
        <f t="shared" si="49"/>
        <v>0</v>
      </c>
      <c r="Q62" s="24">
        <f t="shared" si="9"/>
        <v>0</v>
      </c>
      <c r="R62" s="36">
        <f t="shared" si="31"/>
        <v>0</v>
      </c>
      <c r="S62" s="36">
        <f t="shared" si="38"/>
        <v>0</v>
      </c>
      <c r="T62" s="2">
        <f t="shared" si="57"/>
        <v>912.17</v>
      </c>
      <c r="U62" s="34">
        <f t="shared" si="58"/>
        <v>2407</v>
      </c>
      <c r="V62" s="57">
        <f t="shared" si="61"/>
        <v>50060</v>
      </c>
      <c r="W62" s="16">
        <f t="shared" si="63"/>
        <v>13</v>
      </c>
      <c r="Y62" s="171">
        <v>199000</v>
      </c>
      <c r="Z62" s="133">
        <v>8.0000000000000002E-3</v>
      </c>
      <c r="AA62" s="133">
        <v>1.06E-2</v>
      </c>
      <c r="AB62" s="133">
        <v>7.9000000000000008E-3</v>
      </c>
      <c r="AC62" s="133">
        <v>1.18E-2</v>
      </c>
      <c r="AD62" s="133">
        <v>8.0000000000000002E-3</v>
      </c>
      <c r="AE62" s="133">
        <v>1.06E-2</v>
      </c>
      <c r="AF62" s="133">
        <v>7.9000000000000008E-3</v>
      </c>
      <c r="AG62" s="133">
        <v>1.18E-2</v>
      </c>
      <c r="AH62" s="2"/>
      <c r="AI62" s="2">
        <f t="shared" si="59"/>
        <v>1279.53</v>
      </c>
      <c r="AJ62" s="34">
        <f t="shared" si="60"/>
        <v>2407</v>
      </c>
      <c r="AK62" s="57">
        <f t="shared" si="62"/>
        <v>50060</v>
      </c>
      <c r="AL62" s="130">
        <f t="shared" si="23"/>
        <v>0</v>
      </c>
      <c r="AM62" s="769">
        <f t="shared" si="32"/>
        <v>54</v>
      </c>
      <c r="AN62" s="770">
        <f t="shared" si="39"/>
        <v>46958</v>
      </c>
      <c r="AO62" s="105">
        <f t="shared" si="50"/>
        <v>0</v>
      </c>
      <c r="AP62" s="105">
        <f t="shared" si="40"/>
        <v>0</v>
      </c>
      <c r="AQ62" s="105">
        <f t="shared" si="51"/>
        <v>0</v>
      </c>
      <c r="AR62" s="105">
        <f t="shared" si="41"/>
        <v>0</v>
      </c>
      <c r="AS62" s="105">
        <f t="shared" si="52"/>
        <v>0</v>
      </c>
      <c r="AT62" s="105">
        <f t="shared" si="53"/>
        <v>0</v>
      </c>
      <c r="AU62" s="105">
        <f t="shared" si="54"/>
        <v>0</v>
      </c>
      <c r="AV62" s="105">
        <f t="shared" si="55"/>
        <v>0</v>
      </c>
      <c r="AW62" s="105">
        <f t="shared" si="56"/>
        <v>0</v>
      </c>
      <c r="AX62" s="108">
        <f t="shared" si="33"/>
        <v>0</v>
      </c>
      <c r="AY62" s="108">
        <f t="shared" si="42"/>
        <v>0</v>
      </c>
      <c r="AZ62" s="759">
        <f t="shared" si="35"/>
        <v>46958</v>
      </c>
      <c r="BA62" s="108">
        <f t="shared" si="43"/>
        <v>0</v>
      </c>
      <c r="BB62" s="2" t="e">
        <f t="shared" si="64"/>
        <v>#VALUE!</v>
      </c>
    </row>
    <row r="63" spans="1:54" s="16" customFormat="1" ht="12" x14ac:dyDescent="0.25">
      <c r="A63" s="2"/>
      <c r="B63" s="2"/>
      <c r="C63" s="2"/>
      <c r="D63" s="2"/>
      <c r="E63" s="767">
        <f t="shared" si="29"/>
        <v>55</v>
      </c>
      <c r="F63" s="768">
        <f t="shared" si="5"/>
        <v>46989</v>
      </c>
      <c r="G63" s="24">
        <f t="shared" si="36"/>
        <v>0</v>
      </c>
      <c r="H63" s="24">
        <f t="shared" si="37"/>
        <v>0</v>
      </c>
      <c r="I63" s="24">
        <f t="shared" si="28"/>
        <v>44144.790000000023</v>
      </c>
      <c r="J63" s="24">
        <f t="shared" si="44"/>
        <v>0</v>
      </c>
      <c r="K63" s="24">
        <f t="shared" si="8"/>
        <v>0</v>
      </c>
      <c r="L63" s="24">
        <f t="shared" si="45"/>
        <v>0</v>
      </c>
      <c r="M63" s="24">
        <f t="shared" si="46"/>
        <v>0</v>
      </c>
      <c r="N63" s="24">
        <f t="shared" si="47"/>
        <v>0</v>
      </c>
      <c r="O63" s="24">
        <f t="shared" si="48"/>
        <v>0</v>
      </c>
      <c r="P63" s="24">
        <f t="shared" si="49"/>
        <v>0</v>
      </c>
      <c r="Q63" s="24">
        <f t="shared" si="9"/>
        <v>0</v>
      </c>
      <c r="R63" s="36">
        <f t="shared" si="31"/>
        <v>0</v>
      </c>
      <c r="S63" s="36">
        <f t="shared" si="38"/>
        <v>0</v>
      </c>
      <c r="T63" s="2">
        <f t="shared" si="57"/>
        <v>809.41</v>
      </c>
      <c r="U63" s="34">
        <f t="shared" si="58"/>
        <v>2407</v>
      </c>
      <c r="V63" s="57">
        <f t="shared" si="61"/>
        <v>50425</v>
      </c>
      <c r="W63" s="16">
        <f t="shared" si="63"/>
        <v>14</v>
      </c>
      <c r="X63" s="171">
        <v>199001</v>
      </c>
      <c r="Y63" s="171">
        <v>500000</v>
      </c>
      <c r="Z63" s="133">
        <v>9.2999999999999992E-3</v>
      </c>
      <c r="AA63" s="133">
        <v>1.1900000000000001E-2</v>
      </c>
      <c r="AB63" s="133">
        <v>7.9000000000000008E-3</v>
      </c>
      <c r="AC63" s="133">
        <v>1.18E-2</v>
      </c>
      <c r="AD63" s="133">
        <v>9.2999999999999992E-3</v>
      </c>
      <c r="AE63" s="133">
        <v>1.1900000000000001E-2</v>
      </c>
      <c r="AF63" s="133">
        <v>7.9000000000000008E-3</v>
      </c>
      <c r="AG63" s="133">
        <v>1.18E-2</v>
      </c>
      <c r="AH63" s="2"/>
      <c r="AI63" s="2">
        <f t="shared" si="59"/>
        <v>1134.17</v>
      </c>
      <c r="AJ63" s="34">
        <f t="shared" si="60"/>
        <v>2407</v>
      </c>
      <c r="AK63" s="57">
        <f t="shared" si="62"/>
        <v>50425</v>
      </c>
      <c r="AL63" s="130">
        <f t="shared" si="23"/>
        <v>0</v>
      </c>
      <c r="AM63" s="769">
        <f t="shared" si="32"/>
        <v>55</v>
      </c>
      <c r="AN63" s="770">
        <f t="shared" si="39"/>
        <v>46989</v>
      </c>
      <c r="AO63" s="105">
        <f t="shared" si="50"/>
        <v>0</v>
      </c>
      <c r="AP63" s="105">
        <f t="shared" si="40"/>
        <v>0</v>
      </c>
      <c r="AQ63" s="105">
        <f t="shared" si="51"/>
        <v>0</v>
      </c>
      <c r="AR63" s="105">
        <f t="shared" si="41"/>
        <v>0</v>
      </c>
      <c r="AS63" s="105">
        <f t="shared" si="52"/>
        <v>0</v>
      </c>
      <c r="AT63" s="105">
        <f t="shared" si="53"/>
        <v>0</v>
      </c>
      <c r="AU63" s="105">
        <f t="shared" si="54"/>
        <v>0</v>
      </c>
      <c r="AV63" s="105">
        <f t="shared" si="55"/>
        <v>0</v>
      </c>
      <c r="AW63" s="105">
        <f t="shared" si="56"/>
        <v>0</v>
      </c>
      <c r="AX63" s="108">
        <f t="shared" si="33"/>
        <v>0</v>
      </c>
      <c r="AY63" s="108">
        <f t="shared" si="42"/>
        <v>0</v>
      </c>
      <c r="AZ63" s="759">
        <f t="shared" si="35"/>
        <v>46989</v>
      </c>
      <c r="BA63" s="108">
        <f t="shared" si="43"/>
        <v>0</v>
      </c>
      <c r="BB63" s="2" t="e">
        <f t="shared" si="64"/>
        <v>#VALUE!</v>
      </c>
    </row>
    <row r="64" spans="1:54" s="16" customFormat="1" ht="12" x14ac:dyDescent="0.25">
      <c r="A64" s="2"/>
      <c r="B64" s="2"/>
      <c r="C64" s="2"/>
      <c r="D64" s="2"/>
      <c r="E64" s="767">
        <f t="shared" si="29"/>
        <v>56</v>
      </c>
      <c r="F64" s="768">
        <f t="shared" si="5"/>
        <v>47020</v>
      </c>
      <c r="G64" s="24">
        <f t="shared" si="36"/>
        <v>0</v>
      </c>
      <c r="H64" s="24">
        <f t="shared" si="37"/>
        <v>0</v>
      </c>
      <c r="I64" s="24">
        <f t="shared" si="28"/>
        <v>44144.790000000023</v>
      </c>
      <c r="J64" s="24">
        <f t="shared" si="44"/>
        <v>0</v>
      </c>
      <c r="K64" s="24">
        <f t="shared" si="8"/>
        <v>0</v>
      </c>
      <c r="L64" s="24">
        <f t="shared" si="45"/>
        <v>0</v>
      </c>
      <c r="M64" s="24">
        <f t="shared" si="30"/>
        <v>0</v>
      </c>
      <c r="N64" s="24">
        <f t="shared" si="20"/>
        <v>0</v>
      </c>
      <c r="O64" s="24">
        <f t="shared" si="21"/>
        <v>0</v>
      </c>
      <c r="P64" s="24">
        <f t="shared" si="22"/>
        <v>0</v>
      </c>
      <c r="Q64" s="24">
        <f t="shared" si="9"/>
        <v>0</v>
      </c>
      <c r="R64" s="36">
        <f t="shared" si="31"/>
        <v>0</v>
      </c>
      <c r="S64" s="36">
        <f t="shared" si="38"/>
        <v>0</v>
      </c>
      <c r="T64" s="2">
        <f t="shared" si="57"/>
        <v>878.02</v>
      </c>
      <c r="U64" s="34">
        <f t="shared" si="58"/>
        <v>2407</v>
      </c>
      <c r="V64" s="57">
        <f t="shared" si="61"/>
        <v>50790</v>
      </c>
      <c r="W64" s="16">
        <f t="shared" si="63"/>
        <v>15</v>
      </c>
      <c r="X64" s="170">
        <v>500001</v>
      </c>
      <c r="Y64" s="171">
        <v>1000000</v>
      </c>
      <c r="Z64" s="133">
        <v>9.2999999999999992E-3</v>
      </c>
      <c r="AA64" s="133">
        <v>1.1900000000000001E-2</v>
      </c>
      <c r="AB64" s="133">
        <v>7.9000000000000008E-3</v>
      </c>
      <c r="AC64" s="133">
        <v>1.18E-2</v>
      </c>
      <c r="AD64" s="133">
        <v>9.2999999999999992E-3</v>
      </c>
      <c r="AE64" s="133">
        <v>1.1900000000000001E-2</v>
      </c>
      <c r="AF64" s="133">
        <v>7.9000000000000008E-3</v>
      </c>
      <c r="AG64" s="133">
        <v>1.18E-2</v>
      </c>
      <c r="AH64" s="2"/>
      <c r="AI64" s="2">
        <f t="shared" si="59"/>
        <v>1228.77</v>
      </c>
      <c r="AJ64" s="34">
        <f t="shared" si="60"/>
        <v>2407</v>
      </c>
      <c r="AK64" s="57">
        <f t="shared" si="62"/>
        <v>50790</v>
      </c>
      <c r="AL64" s="130">
        <f t="shared" si="23"/>
        <v>0</v>
      </c>
      <c r="AM64" s="769">
        <f t="shared" si="32"/>
        <v>56</v>
      </c>
      <c r="AN64" s="770">
        <f t="shared" si="39"/>
        <v>47020</v>
      </c>
      <c r="AO64" s="105">
        <f t="shared" si="50"/>
        <v>0</v>
      </c>
      <c r="AP64" s="105">
        <f t="shared" si="40"/>
        <v>0</v>
      </c>
      <c r="AQ64" s="105">
        <f t="shared" si="51"/>
        <v>0</v>
      </c>
      <c r="AR64" s="105">
        <f t="shared" si="41"/>
        <v>0</v>
      </c>
      <c r="AS64" s="105">
        <f t="shared" si="52"/>
        <v>0</v>
      </c>
      <c r="AT64" s="105">
        <f t="shared" si="53"/>
        <v>0</v>
      </c>
      <c r="AU64" s="105">
        <f t="shared" si="54"/>
        <v>0</v>
      </c>
      <c r="AV64" s="105">
        <f t="shared" si="55"/>
        <v>0</v>
      </c>
      <c r="AW64" s="105">
        <f t="shared" si="56"/>
        <v>0</v>
      </c>
      <c r="AX64" s="108">
        <f t="shared" si="33"/>
        <v>0</v>
      </c>
      <c r="AY64" s="108">
        <f t="shared" si="42"/>
        <v>0</v>
      </c>
      <c r="AZ64" s="759">
        <f t="shared" si="35"/>
        <v>47020</v>
      </c>
      <c r="BA64" s="108">
        <f t="shared" si="43"/>
        <v>0</v>
      </c>
      <c r="BB64" s="2" t="e">
        <f t="shared" si="64"/>
        <v>#VALUE!</v>
      </c>
    </row>
    <row r="65" spans="1:54" s="16" customFormat="1" ht="12" x14ac:dyDescent="0.25">
      <c r="A65" s="2"/>
      <c r="B65" s="2"/>
      <c r="C65" s="2"/>
      <c r="D65" s="2"/>
      <c r="E65" s="767">
        <f t="shared" si="29"/>
        <v>57</v>
      </c>
      <c r="F65" s="768">
        <f t="shared" si="5"/>
        <v>47050</v>
      </c>
      <c r="G65" s="24">
        <f t="shared" si="36"/>
        <v>0</v>
      </c>
      <c r="H65" s="24">
        <f t="shared" si="37"/>
        <v>0</v>
      </c>
      <c r="I65" s="24">
        <f t="shared" si="28"/>
        <v>44144.790000000023</v>
      </c>
      <c r="J65" s="24">
        <f t="shared" si="44"/>
        <v>0</v>
      </c>
      <c r="K65" s="24">
        <f t="shared" si="8"/>
        <v>0</v>
      </c>
      <c r="L65" s="24">
        <f t="shared" si="45"/>
        <v>0</v>
      </c>
      <c r="M65" s="24">
        <f t="shared" si="30"/>
        <v>0</v>
      </c>
      <c r="N65" s="24">
        <f t="shared" si="20"/>
        <v>0</v>
      </c>
      <c r="O65" s="24">
        <f t="shared" si="21"/>
        <v>0</v>
      </c>
      <c r="P65" s="24">
        <f t="shared" si="22"/>
        <v>0</v>
      </c>
      <c r="Q65" s="24">
        <f t="shared" si="9"/>
        <v>0</v>
      </c>
      <c r="R65" s="36">
        <f t="shared" si="31"/>
        <v>0</v>
      </c>
      <c r="S65" s="36">
        <f t="shared" si="38"/>
        <v>0</v>
      </c>
      <c r="T65" s="2">
        <f t="shared" si="57"/>
        <v>833.51</v>
      </c>
      <c r="U65" s="34">
        <f t="shared" si="58"/>
        <v>2407</v>
      </c>
      <c r="V65" s="57">
        <f t="shared" si="61"/>
        <v>51155</v>
      </c>
      <c r="W65" s="16">
        <f t="shared" si="63"/>
        <v>16</v>
      </c>
      <c r="X65" s="171">
        <v>1000001</v>
      </c>
      <c r="Y65" s="171">
        <v>5000000</v>
      </c>
      <c r="Z65" s="133">
        <v>9.2999999999999992E-3</v>
      </c>
      <c r="AA65" s="133">
        <v>1.06E-2</v>
      </c>
      <c r="AB65" s="133">
        <v>9.1999999999999998E-3</v>
      </c>
      <c r="AC65" s="133">
        <v>1.46E-2</v>
      </c>
      <c r="AD65" s="133">
        <v>9.2999999999999992E-3</v>
      </c>
      <c r="AE65" s="133">
        <v>1.06E-2</v>
      </c>
      <c r="AF65" s="133">
        <v>9.1999999999999998E-3</v>
      </c>
      <c r="AG65" s="133">
        <v>1.46E-2</v>
      </c>
      <c r="AH65" s="2"/>
      <c r="AI65" s="2">
        <f t="shared" si="59"/>
        <v>1165.02</v>
      </c>
      <c r="AJ65" s="34">
        <f t="shared" si="60"/>
        <v>2407</v>
      </c>
      <c r="AK65" s="57">
        <f t="shared" si="62"/>
        <v>51155</v>
      </c>
      <c r="AL65" s="130">
        <f t="shared" si="23"/>
        <v>0</v>
      </c>
      <c r="AM65" s="769">
        <f t="shared" si="32"/>
        <v>57</v>
      </c>
      <c r="AN65" s="770">
        <f t="shared" si="39"/>
        <v>47050</v>
      </c>
      <c r="AO65" s="105">
        <f t="shared" si="50"/>
        <v>0</v>
      </c>
      <c r="AP65" s="105">
        <f t="shared" si="40"/>
        <v>0</v>
      </c>
      <c r="AQ65" s="105">
        <f t="shared" si="51"/>
        <v>0</v>
      </c>
      <c r="AR65" s="105">
        <f t="shared" si="41"/>
        <v>0</v>
      </c>
      <c r="AS65" s="105">
        <f t="shared" si="52"/>
        <v>0</v>
      </c>
      <c r="AT65" s="105">
        <f t="shared" si="53"/>
        <v>0</v>
      </c>
      <c r="AU65" s="105">
        <f t="shared" si="54"/>
        <v>0</v>
      </c>
      <c r="AV65" s="105">
        <f t="shared" si="55"/>
        <v>0</v>
      </c>
      <c r="AW65" s="105">
        <f t="shared" si="56"/>
        <v>0</v>
      </c>
      <c r="AX65" s="108">
        <f t="shared" si="33"/>
        <v>0</v>
      </c>
      <c r="AY65" s="108">
        <f t="shared" si="42"/>
        <v>0</v>
      </c>
      <c r="AZ65" s="759">
        <f t="shared" si="35"/>
        <v>47050</v>
      </c>
      <c r="BA65" s="108">
        <f t="shared" si="43"/>
        <v>0</v>
      </c>
      <c r="BB65" s="2" t="e">
        <f t="shared" si="64"/>
        <v>#VALUE!</v>
      </c>
    </row>
    <row r="66" spans="1:54" s="16" customFormat="1" ht="12" x14ac:dyDescent="0.25">
      <c r="A66" s="2"/>
      <c r="B66" s="2"/>
      <c r="C66" s="2"/>
      <c r="D66" s="2"/>
      <c r="E66" s="767">
        <f t="shared" si="29"/>
        <v>58</v>
      </c>
      <c r="F66" s="768">
        <f t="shared" si="5"/>
        <v>47081</v>
      </c>
      <c r="G66" s="24">
        <f t="shared" si="36"/>
        <v>0</v>
      </c>
      <c r="H66" s="24">
        <f t="shared" si="37"/>
        <v>0</v>
      </c>
      <c r="I66" s="24">
        <f t="shared" si="28"/>
        <v>44144.790000000023</v>
      </c>
      <c r="J66" s="24">
        <f t="shared" si="44"/>
        <v>0</v>
      </c>
      <c r="K66" s="24">
        <f t="shared" si="8"/>
        <v>0</v>
      </c>
      <c r="L66" s="24">
        <f t="shared" si="45"/>
        <v>0</v>
      </c>
      <c r="M66" s="24">
        <f t="shared" si="30"/>
        <v>0</v>
      </c>
      <c r="N66" s="24">
        <f t="shared" si="20"/>
        <v>0</v>
      </c>
      <c r="O66" s="24">
        <f t="shared" si="21"/>
        <v>0</v>
      </c>
      <c r="P66" s="24">
        <f t="shared" si="22"/>
        <v>0</v>
      </c>
      <c r="Q66" s="24">
        <f t="shared" si="9"/>
        <v>0</v>
      </c>
      <c r="R66" s="36">
        <f t="shared" si="31"/>
        <v>0</v>
      </c>
      <c r="S66" s="36">
        <f t="shared" si="38"/>
        <v>0</v>
      </c>
      <c r="T66" s="2">
        <f t="shared" si="57"/>
        <v>843.66</v>
      </c>
      <c r="U66" s="34">
        <f t="shared" si="58"/>
        <v>2407</v>
      </c>
      <c r="V66" s="57">
        <f t="shared" si="61"/>
        <v>51520</v>
      </c>
      <c r="W66" s="16">
        <f t="shared" si="63"/>
        <v>17</v>
      </c>
      <c r="X66" s="171"/>
      <c r="Y66" s="172"/>
      <c r="Z66" s="133">
        <f t="shared" ref="Z66:AG66" si="65">IF($C$7&lt;=$Y$62,Z62,IF($C$7&lt;=$Y$63,Z63,IF($C$7&lt;=$Y$64,Z64,Z65)))</f>
        <v>8.0000000000000002E-3</v>
      </c>
      <c r="AA66" s="133">
        <f t="shared" si="65"/>
        <v>1.06E-2</v>
      </c>
      <c r="AB66" s="133">
        <f t="shared" si="65"/>
        <v>7.9000000000000008E-3</v>
      </c>
      <c r="AC66" s="133">
        <f t="shared" si="65"/>
        <v>1.18E-2</v>
      </c>
      <c r="AD66" s="133">
        <f t="shared" si="65"/>
        <v>8.0000000000000002E-3</v>
      </c>
      <c r="AE66" s="133">
        <f t="shared" si="65"/>
        <v>1.06E-2</v>
      </c>
      <c r="AF66" s="133">
        <f t="shared" si="65"/>
        <v>7.9000000000000008E-3</v>
      </c>
      <c r="AG66" s="133">
        <f t="shared" si="65"/>
        <v>1.18E-2</v>
      </c>
      <c r="AH66" s="2">
        <f>IF($D$8=$Z$60,Z66,IF($D$8=$AA$60,AA66,IF($D$8=$AB$60,AB66,AC66)))</f>
        <v>1.06E-2</v>
      </c>
      <c r="AI66" s="2">
        <f t="shared" si="59"/>
        <v>1177.5899999999999</v>
      </c>
      <c r="AJ66" s="34">
        <f t="shared" si="60"/>
        <v>2407</v>
      </c>
      <c r="AK66" s="57">
        <f t="shared" si="62"/>
        <v>51520</v>
      </c>
      <c r="AL66" s="130">
        <f t="shared" si="23"/>
        <v>0</v>
      </c>
      <c r="AM66" s="769">
        <f t="shared" si="32"/>
        <v>58</v>
      </c>
      <c r="AN66" s="770">
        <f t="shared" si="39"/>
        <v>47081</v>
      </c>
      <c r="AO66" s="105">
        <f t="shared" si="50"/>
        <v>0</v>
      </c>
      <c r="AP66" s="105">
        <f t="shared" si="40"/>
        <v>0</v>
      </c>
      <c r="AQ66" s="105">
        <f t="shared" si="51"/>
        <v>0</v>
      </c>
      <c r="AR66" s="105">
        <f t="shared" si="41"/>
        <v>0</v>
      </c>
      <c r="AS66" s="105">
        <f t="shared" si="52"/>
        <v>0</v>
      </c>
      <c r="AT66" s="105">
        <f t="shared" si="53"/>
        <v>0</v>
      </c>
      <c r="AU66" s="105">
        <f t="shared" si="54"/>
        <v>0</v>
      </c>
      <c r="AV66" s="105">
        <f t="shared" si="55"/>
        <v>0</v>
      </c>
      <c r="AW66" s="105">
        <f t="shared" si="56"/>
        <v>0</v>
      </c>
      <c r="AX66" s="108">
        <f t="shared" si="33"/>
        <v>0</v>
      </c>
      <c r="AY66" s="108">
        <f t="shared" si="42"/>
        <v>0</v>
      </c>
      <c r="AZ66" s="759">
        <f t="shared" si="35"/>
        <v>47081</v>
      </c>
      <c r="BA66" s="108">
        <f t="shared" si="43"/>
        <v>0</v>
      </c>
      <c r="BB66" s="2" t="e">
        <f t="shared" si="64"/>
        <v>#VALUE!</v>
      </c>
    </row>
    <row r="67" spans="1:54" s="16" customFormat="1" ht="12" x14ac:dyDescent="0.25">
      <c r="A67" s="2"/>
      <c r="B67" s="2"/>
      <c r="C67" s="13"/>
      <c r="D67" s="13"/>
      <c r="E67" s="767">
        <f t="shared" si="29"/>
        <v>59</v>
      </c>
      <c r="F67" s="768">
        <f t="shared" si="5"/>
        <v>47111</v>
      </c>
      <c r="G67" s="24">
        <f t="shared" si="36"/>
        <v>0</v>
      </c>
      <c r="H67" s="24">
        <f t="shared" si="37"/>
        <v>0</v>
      </c>
      <c r="I67" s="24">
        <f t="shared" si="28"/>
        <v>44144.790000000023</v>
      </c>
      <c r="J67" s="24">
        <f t="shared" si="44"/>
        <v>0</v>
      </c>
      <c r="K67" s="24">
        <f t="shared" si="8"/>
        <v>0</v>
      </c>
      <c r="L67" s="24">
        <f t="shared" si="45"/>
        <v>0</v>
      </c>
      <c r="M67" s="24">
        <f t="shared" si="30"/>
        <v>0</v>
      </c>
      <c r="N67" s="24">
        <f t="shared" si="20"/>
        <v>0</v>
      </c>
      <c r="O67" s="24">
        <f t="shared" si="21"/>
        <v>0</v>
      </c>
      <c r="P67" s="24">
        <f t="shared" si="22"/>
        <v>0</v>
      </c>
      <c r="Q67" s="24">
        <f t="shared" si="9"/>
        <v>0</v>
      </c>
      <c r="R67" s="36">
        <f t="shared" si="31"/>
        <v>0</v>
      </c>
      <c r="S67" s="36">
        <f t="shared" si="38"/>
        <v>0</v>
      </c>
      <c r="T67" s="2">
        <f t="shared" si="57"/>
        <v>799.58</v>
      </c>
      <c r="U67" s="34">
        <f t="shared" si="58"/>
        <v>2407</v>
      </c>
      <c r="V67" s="57">
        <f t="shared" si="61"/>
        <v>51885</v>
      </c>
      <c r="W67" s="16">
        <f t="shared" si="63"/>
        <v>18</v>
      </c>
      <c r="Z67" s="143">
        <f t="shared" ref="Z67:AG67" si="66">Z66*Z81*$C$30</f>
        <v>5760</v>
      </c>
      <c r="AA67" s="143">
        <f t="shared" si="66"/>
        <v>7632</v>
      </c>
      <c r="AB67" s="143">
        <f t="shared" si="66"/>
        <v>5688.0000000000009</v>
      </c>
      <c r="AC67" s="143">
        <f t="shared" si="66"/>
        <v>8496</v>
      </c>
      <c r="AD67" s="143">
        <f t="shared" si="66"/>
        <v>5760</v>
      </c>
      <c r="AE67" s="143">
        <f t="shared" si="66"/>
        <v>7632</v>
      </c>
      <c r="AF67" s="143">
        <f t="shared" si="66"/>
        <v>5688.0000000000009</v>
      </c>
      <c r="AG67" s="143">
        <f t="shared" si="66"/>
        <v>8496</v>
      </c>
      <c r="AH67" s="2">
        <f>IF($D$8=$Z$60,Z67,IF($D$8=$AA$60,AA67,IF($D$8=$AB$60,AB67,AC67)))</f>
        <v>7632</v>
      </c>
      <c r="AI67" s="2">
        <f t="shared" si="59"/>
        <v>1114.44</v>
      </c>
      <c r="AJ67" s="34">
        <f t="shared" si="60"/>
        <v>2407</v>
      </c>
      <c r="AK67" s="57">
        <f t="shared" si="62"/>
        <v>51885</v>
      </c>
      <c r="AL67" s="130">
        <f t="shared" si="23"/>
        <v>0</v>
      </c>
      <c r="AM67" s="769">
        <f t="shared" si="32"/>
        <v>59</v>
      </c>
      <c r="AN67" s="770">
        <f t="shared" si="39"/>
        <v>47111</v>
      </c>
      <c r="AO67" s="105">
        <f t="shared" si="50"/>
        <v>0</v>
      </c>
      <c r="AP67" s="105">
        <f t="shared" si="40"/>
        <v>0</v>
      </c>
      <c r="AQ67" s="105">
        <f t="shared" si="51"/>
        <v>0</v>
      </c>
      <c r="AR67" s="105">
        <f t="shared" si="41"/>
        <v>0</v>
      </c>
      <c r="AS67" s="105">
        <f t="shared" si="52"/>
        <v>0</v>
      </c>
      <c r="AT67" s="105">
        <f t="shared" si="53"/>
        <v>0</v>
      </c>
      <c r="AU67" s="105">
        <f t="shared" si="54"/>
        <v>0</v>
      </c>
      <c r="AV67" s="105">
        <f t="shared" si="55"/>
        <v>0</v>
      </c>
      <c r="AW67" s="105">
        <f t="shared" si="56"/>
        <v>0</v>
      </c>
      <c r="AX67" s="108">
        <f t="shared" si="33"/>
        <v>0</v>
      </c>
      <c r="AY67" s="108">
        <f t="shared" si="42"/>
        <v>0</v>
      </c>
      <c r="AZ67" s="759">
        <f t="shared" si="35"/>
        <v>47111</v>
      </c>
      <c r="BA67" s="108">
        <f t="shared" si="43"/>
        <v>0</v>
      </c>
      <c r="BB67" s="2" t="e">
        <f t="shared" si="64"/>
        <v>#VALUE!</v>
      </c>
    </row>
    <row r="68" spans="1:54" s="16" customFormat="1" ht="12" x14ac:dyDescent="0.25">
      <c r="A68" s="2"/>
      <c r="B68" s="2"/>
      <c r="C68" s="2"/>
      <c r="D68" s="13"/>
      <c r="E68" s="767">
        <f t="shared" si="29"/>
        <v>60</v>
      </c>
      <c r="F68" s="768">
        <f t="shared" si="5"/>
        <v>47142</v>
      </c>
      <c r="G68" s="24">
        <f>IF(AND(E68&gt;=$T$14,E68&lt;=$T$14+5),$T$15,IF(AND(Q67+L68+H68&gt;G67,G67&lt;&gt;0),$C$29,IF(Q67=0,0,Q67+L68+H68+H69)))+IF(AND(E68=$C$10,$C$22&lt;&gt;"Нет",J68&gt;0),MIN((I68-I68/$C$19*$C$23),Q67+H68-G67),0)</f>
        <v>0</v>
      </c>
      <c r="H68" s="24">
        <f t="shared" si="37"/>
        <v>0</v>
      </c>
      <c r="I68" s="24">
        <f t="shared" si="28"/>
        <v>44144.790000000023</v>
      </c>
      <c r="J68" s="24">
        <f t="shared" ref="J68:J99" si="67">IF(AND(E68=$C$10,$C$22&lt;&gt;"Нет"),MIN((I68-I68/$C$19*$C$23),Q67+H68-G67),0)</f>
        <v>0</v>
      </c>
      <c r="K68" s="24">
        <f t="shared" si="8"/>
        <v>0</v>
      </c>
      <c r="L68" s="24">
        <f t="shared" si="45"/>
        <v>0</v>
      </c>
      <c r="M68" s="24">
        <f t="shared" si="30"/>
        <v>0</v>
      </c>
      <c r="N68" s="24">
        <f t="shared" si="20"/>
        <v>0</v>
      </c>
      <c r="O68" s="24">
        <f t="shared" si="21"/>
        <v>0</v>
      </c>
      <c r="P68" s="24">
        <f t="shared" si="22"/>
        <v>0</v>
      </c>
      <c r="Q68" s="24">
        <f t="shared" si="9"/>
        <v>0</v>
      </c>
      <c r="R68" s="36">
        <f t="shared" si="31"/>
        <v>0</v>
      </c>
      <c r="S68" s="36">
        <f t="shared" si="38"/>
        <v>0</v>
      </c>
      <c r="T68" s="2">
        <f t="shared" si="57"/>
        <v>807.92</v>
      </c>
      <c r="U68" s="34">
        <f t="shared" si="58"/>
        <v>2407</v>
      </c>
      <c r="V68" s="57">
        <f t="shared" si="61"/>
        <v>52250</v>
      </c>
      <c r="W68" s="16">
        <f t="shared" si="63"/>
        <v>19</v>
      </c>
      <c r="Z68" s="143">
        <f t="shared" ref="Z68:AD68" si="68">V67</f>
        <v>51885</v>
      </c>
      <c r="AA68" s="143">
        <f t="shared" si="68"/>
        <v>18</v>
      </c>
      <c r="AB68" s="143">
        <f t="shared" si="68"/>
        <v>0</v>
      </c>
      <c r="AC68" s="143">
        <f t="shared" si="68"/>
        <v>0</v>
      </c>
      <c r="AD68" s="143">
        <f t="shared" si="68"/>
        <v>5760</v>
      </c>
      <c r="AE68" s="143">
        <f>AA67</f>
        <v>7632</v>
      </c>
      <c r="AF68" s="143">
        <f>AA67</f>
        <v>7632</v>
      </c>
      <c r="AG68" s="143">
        <f>AB67</f>
        <v>5688.0000000000009</v>
      </c>
      <c r="AH68" s="143">
        <f>AH67-AE67</f>
        <v>0</v>
      </c>
      <c r="AI68" s="2">
        <f t="shared" si="59"/>
        <v>1124.25</v>
      </c>
      <c r="AJ68" s="34">
        <f t="shared" si="60"/>
        <v>2407</v>
      </c>
      <c r="AK68" s="57">
        <f t="shared" si="62"/>
        <v>52250</v>
      </c>
      <c r="AL68" s="130">
        <f t="shared" si="23"/>
        <v>0</v>
      </c>
      <c r="AM68" s="769">
        <f t="shared" si="32"/>
        <v>60</v>
      </c>
      <c r="AN68" s="770">
        <f t="shared" si="39"/>
        <v>47142</v>
      </c>
      <c r="AO68" s="105">
        <f t="shared" si="50"/>
        <v>0</v>
      </c>
      <c r="AP68" s="105">
        <f t="shared" si="40"/>
        <v>0</v>
      </c>
      <c r="AQ68" s="105">
        <f>IF(AY68=0,0,IF(AY68=1,AW67,IF(AW67+AR68+AP68&gt;AO67,AO68-AP68-AR68,AW67)))</f>
        <v>0</v>
      </c>
      <c r="AR68" s="105">
        <f t="shared" si="41"/>
        <v>0</v>
      </c>
      <c r="AS68" s="105">
        <f>AU67-AR67</f>
        <v>0</v>
      </c>
      <c r="AT68" s="105">
        <f>AP68+AU68</f>
        <v>0</v>
      </c>
      <c r="AU68" s="105">
        <f>IF(AY68=0,0,0)</f>
        <v>0</v>
      </c>
      <c r="AV68" s="105">
        <f>IF(AY68=0,0,0)</f>
        <v>0</v>
      </c>
      <c r="AW68" s="105">
        <f>IF(OR(AY68=1,AW67=0),0,AW67-AQ68)</f>
        <v>0</v>
      </c>
      <c r="AX68" s="108">
        <f t="shared" si="33"/>
        <v>0</v>
      </c>
      <c r="AY68" s="108">
        <f t="shared" si="42"/>
        <v>0</v>
      </c>
      <c r="AZ68" s="759">
        <f t="shared" si="35"/>
        <v>47142</v>
      </c>
      <c r="BA68" s="108">
        <f t="shared" si="43"/>
        <v>0</v>
      </c>
      <c r="BB68" s="2" t="e">
        <f t="shared" si="64"/>
        <v>#VALUE!</v>
      </c>
    </row>
    <row r="69" spans="1:54" s="16" customFormat="1" ht="12" x14ac:dyDescent="0.25">
      <c r="A69" s="2"/>
      <c r="B69" s="2"/>
      <c r="C69" s="2"/>
      <c r="D69" s="2"/>
      <c r="E69" s="767">
        <f t="shared" si="29"/>
        <v>61</v>
      </c>
      <c r="F69" s="768">
        <f t="shared" si="5"/>
        <v>47173</v>
      </c>
      <c r="G69" s="24">
        <f t="shared" ref="G69:G100" si="69">IF(AND(E69&gt;=$T$14,E69&lt;=$T$14+5),$T$15,IF(AND(Q68+L69+H69&gt;G68,G68&lt;&gt;0),$C$29,IF(Q68=0,0,Q68+L69+H69+H70)))+IF(AND(E69=$C$10,$C$22&lt;&gt;"Нет"),MIN((I69-I69/$C$19*$C$23),Q68+H69-G68),0)</f>
        <v>0</v>
      </c>
      <c r="H69" s="24">
        <f t="shared" si="37"/>
        <v>0</v>
      </c>
      <c r="I69" s="24">
        <f t="shared" si="28"/>
        <v>44144.790000000023</v>
      </c>
      <c r="J69" s="24">
        <f t="shared" si="67"/>
        <v>0</v>
      </c>
      <c r="K69" s="24">
        <f t="shared" si="8"/>
        <v>0</v>
      </c>
      <c r="L69" s="24">
        <f t="shared" si="45"/>
        <v>0</v>
      </c>
      <c r="M69" s="24">
        <f t="shared" si="30"/>
        <v>0</v>
      </c>
      <c r="N69" s="24">
        <f t="shared" si="20"/>
        <v>0</v>
      </c>
      <c r="O69" s="24">
        <f t="shared" si="21"/>
        <v>0</v>
      </c>
      <c r="P69" s="24">
        <f t="shared" si="22"/>
        <v>0</v>
      </c>
      <c r="Q69" s="24">
        <f t="shared" si="9"/>
        <v>0</v>
      </c>
      <c r="R69" s="36">
        <f t="shared" si="31"/>
        <v>0</v>
      </c>
      <c r="S69" s="36">
        <f t="shared" si="38"/>
        <v>0</v>
      </c>
      <c r="T69" s="2">
        <f t="shared" si="57"/>
        <v>789.77</v>
      </c>
      <c r="U69" s="34">
        <f t="shared" si="58"/>
        <v>2407</v>
      </c>
      <c r="V69" s="57">
        <f t="shared" si="61"/>
        <v>52615</v>
      </c>
      <c r="W69" s="16">
        <f t="shared" si="63"/>
        <v>20</v>
      </c>
      <c r="X69" s="794"/>
      <c r="AH69" s="16">
        <f>104000+2900+5616+18532</f>
        <v>131048</v>
      </c>
      <c r="AI69" s="2">
        <f t="shared" si="59"/>
        <v>1097.1300000000001</v>
      </c>
      <c r="AJ69" s="34">
        <f t="shared" si="60"/>
        <v>2407</v>
      </c>
      <c r="AK69" s="57">
        <f>IF(AI69=0,AK68,AK68+365)</f>
        <v>52615</v>
      </c>
      <c r="AL69" s="130">
        <f t="shared" si="23"/>
        <v>0</v>
      </c>
      <c r="AM69" s="769">
        <f t="shared" si="32"/>
        <v>61</v>
      </c>
      <c r="AN69" s="770">
        <f t="shared" si="39"/>
        <v>47173</v>
      </c>
      <c r="AO69" s="105">
        <f t="shared" si="50"/>
        <v>0</v>
      </c>
      <c r="AP69" s="105">
        <f t="shared" si="40"/>
        <v>0</v>
      </c>
      <c r="AQ69" s="105">
        <f>IF(AY69=0,0,IF(AY69=1,AW68,IF(AW68+AR69+AP69&gt;AO68,AO69-AP69-AR69,AW68)))</f>
        <v>0</v>
      </c>
      <c r="AR69" s="105">
        <f t="shared" si="41"/>
        <v>0</v>
      </c>
      <c r="AS69" s="105">
        <f>AU68-AR68</f>
        <v>0</v>
      </c>
      <c r="AT69" s="105">
        <f>AP69+AU69</f>
        <v>0</v>
      </c>
      <c r="AU69" s="105">
        <f>IF(AY69=0,0,0)</f>
        <v>0</v>
      </c>
      <c r="AV69" s="105">
        <f>IF(AY69=0,0,0)</f>
        <v>0</v>
      </c>
      <c r="AW69" s="105">
        <f>IF(OR(AY69=1,AW68=0),0,AW68-AQ69)</f>
        <v>0</v>
      </c>
      <c r="AX69" s="108">
        <f t="shared" si="33"/>
        <v>0</v>
      </c>
      <c r="AY69" s="108">
        <f t="shared" si="42"/>
        <v>0</v>
      </c>
      <c r="AZ69" s="759">
        <f t="shared" si="35"/>
        <v>47173</v>
      </c>
      <c r="BA69" s="108">
        <f t="shared" si="43"/>
        <v>0</v>
      </c>
      <c r="BB69" s="2" t="e">
        <f t="shared" si="64"/>
        <v>#VALUE!</v>
      </c>
    </row>
    <row r="70" spans="1:54" s="16" customFormat="1" ht="12" x14ac:dyDescent="0.25">
      <c r="A70" s="2"/>
      <c r="B70" s="2"/>
      <c r="C70" s="2"/>
      <c r="D70" s="2"/>
      <c r="E70" s="767">
        <f t="shared" si="29"/>
        <v>62</v>
      </c>
      <c r="F70" s="768">
        <f t="shared" si="5"/>
        <v>47201</v>
      </c>
      <c r="G70" s="24">
        <f t="shared" si="69"/>
        <v>0</v>
      </c>
      <c r="H70" s="24">
        <f t="shared" si="37"/>
        <v>0</v>
      </c>
      <c r="I70" s="24">
        <f t="shared" si="28"/>
        <v>44144.790000000023</v>
      </c>
      <c r="J70" s="24">
        <f t="shared" si="67"/>
        <v>0</v>
      </c>
      <c r="K70" s="24">
        <f t="shared" si="8"/>
        <v>0</v>
      </c>
      <c r="L70" s="24">
        <f t="shared" si="45"/>
        <v>0</v>
      </c>
      <c r="M70" s="24">
        <f t="shared" si="30"/>
        <v>0</v>
      </c>
      <c r="N70" s="24">
        <f t="shared" si="20"/>
        <v>0</v>
      </c>
      <c r="O70" s="24">
        <f t="shared" si="21"/>
        <v>0</v>
      </c>
      <c r="P70" s="24">
        <f t="shared" si="22"/>
        <v>0</v>
      </c>
      <c r="Q70" s="24">
        <f t="shared" si="9"/>
        <v>0</v>
      </c>
      <c r="R70" s="36">
        <f t="shared" si="31"/>
        <v>0</v>
      </c>
      <c r="S70" s="36">
        <f t="shared" si="38"/>
        <v>0</v>
      </c>
      <c r="T70" s="2">
        <f t="shared" si="57"/>
        <v>746.37</v>
      </c>
      <c r="U70" s="34">
        <f t="shared" si="58"/>
        <v>2407</v>
      </c>
      <c r="V70" s="57">
        <f t="shared" si="61"/>
        <v>52980</v>
      </c>
      <c r="W70" s="16">
        <f t="shared" si="63"/>
        <v>21</v>
      </c>
      <c r="Y70" s="2"/>
      <c r="AA70" s="2"/>
      <c r="AB70" s="2"/>
      <c r="AC70" s="2"/>
      <c r="AD70" s="2"/>
      <c r="AE70" s="2"/>
      <c r="AF70" s="2"/>
      <c r="AG70" s="2"/>
      <c r="AH70" s="63"/>
      <c r="AI70" s="2">
        <f t="shared" si="59"/>
        <v>1034.93</v>
      </c>
      <c r="AJ70" s="34">
        <f t="shared" si="60"/>
        <v>2407</v>
      </c>
      <c r="AK70" s="57">
        <f t="shared" si="62"/>
        <v>52980</v>
      </c>
      <c r="AL70" s="130">
        <f t="shared" si="23"/>
        <v>0</v>
      </c>
      <c r="AM70" s="769">
        <f t="shared" si="32"/>
        <v>62</v>
      </c>
      <c r="AN70" s="770">
        <f t="shared" si="39"/>
        <v>47201</v>
      </c>
      <c r="AO70" s="105">
        <f t="shared" si="50"/>
        <v>0</v>
      </c>
      <c r="AP70" s="105">
        <f t="shared" si="40"/>
        <v>0</v>
      </c>
      <c r="AQ70" s="105">
        <f t="shared" si="51"/>
        <v>0</v>
      </c>
      <c r="AR70" s="105">
        <f t="shared" si="41"/>
        <v>0</v>
      </c>
      <c r="AS70" s="105">
        <f t="shared" si="52"/>
        <v>0</v>
      </c>
      <c r="AT70" s="105">
        <f t="shared" si="53"/>
        <v>0</v>
      </c>
      <c r="AU70" s="105">
        <f t="shared" si="54"/>
        <v>0</v>
      </c>
      <c r="AV70" s="105">
        <f t="shared" si="55"/>
        <v>0</v>
      </c>
      <c r="AW70" s="105">
        <f t="shared" si="56"/>
        <v>0</v>
      </c>
      <c r="AX70" s="108">
        <f t="shared" si="33"/>
        <v>0</v>
      </c>
      <c r="AY70" s="108">
        <f t="shared" si="42"/>
        <v>0</v>
      </c>
      <c r="AZ70" s="759">
        <f t="shared" si="35"/>
        <v>47201</v>
      </c>
      <c r="BA70" s="108">
        <f t="shared" si="43"/>
        <v>0</v>
      </c>
      <c r="BB70" s="2" t="e">
        <f t="shared" si="64"/>
        <v>#VALUE!</v>
      </c>
    </row>
    <row r="71" spans="1:54" s="16" customFormat="1" ht="12" x14ac:dyDescent="0.25">
      <c r="A71" s="2"/>
      <c r="B71" s="2"/>
      <c r="C71" s="2"/>
      <c r="D71" s="2"/>
      <c r="E71" s="767">
        <f t="shared" si="29"/>
        <v>63</v>
      </c>
      <c r="F71" s="768">
        <f t="shared" si="5"/>
        <v>47232</v>
      </c>
      <c r="G71" s="24">
        <f t="shared" si="69"/>
        <v>0</v>
      </c>
      <c r="H71" s="24">
        <f t="shared" si="37"/>
        <v>0</v>
      </c>
      <c r="I71" s="24">
        <f t="shared" si="28"/>
        <v>44144.790000000023</v>
      </c>
      <c r="J71" s="24">
        <f t="shared" si="67"/>
        <v>0</v>
      </c>
      <c r="K71" s="24">
        <f t="shared" si="8"/>
        <v>0</v>
      </c>
      <c r="L71" s="24">
        <f t="shared" si="45"/>
        <v>0</v>
      </c>
      <c r="M71" s="24">
        <f t="shared" si="30"/>
        <v>0</v>
      </c>
      <c r="N71" s="24">
        <f t="shared" si="20"/>
        <v>0</v>
      </c>
      <c r="O71" s="24">
        <f t="shared" si="21"/>
        <v>0</v>
      </c>
      <c r="P71" s="24">
        <f t="shared" si="22"/>
        <v>0</v>
      </c>
      <c r="Q71" s="24">
        <f t="shared" si="9"/>
        <v>0</v>
      </c>
      <c r="R71" s="36">
        <f t="shared" si="31"/>
        <v>0</v>
      </c>
      <c r="S71" s="36">
        <f t="shared" si="38"/>
        <v>0</v>
      </c>
      <c r="T71" s="2">
        <f t="shared" si="57"/>
        <v>751.85</v>
      </c>
      <c r="U71" s="34">
        <f t="shared" si="58"/>
        <v>2407</v>
      </c>
      <c r="V71" s="57">
        <f t="shared" si="61"/>
        <v>53345</v>
      </c>
      <c r="W71" s="16">
        <f t="shared" si="63"/>
        <v>22</v>
      </c>
      <c r="Y71" s="15"/>
      <c r="Z71" s="145" t="s">
        <v>488</v>
      </c>
      <c r="AA71" s="145" t="s">
        <v>487</v>
      </c>
      <c r="AB71" s="145" t="s">
        <v>489</v>
      </c>
      <c r="AC71" s="145" t="s">
        <v>490</v>
      </c>
      <c r="AD71" s="145" t="s">
        <v>491</v>
      </c>
      <c r="AE71" s="145" t="s">
        <v>486</v>
      </c>
      <c r="AF71" s="145" t="s">
        <v>492</v>
      </c>
      <c r="AG71" s="145" t="s">
        <v>493</v>
      </c>
      <c r="AH71" s="63"/>
      <c r="AI71" s="2">
        <f t="shared" si="59"/>
        <v>1040.4100000000001</v>
      </c>
      <c r="AJ71" s="34">
        <f t="shared" si="60"/>
        <v>2407</v>
      </c>
      <c r="AK71" s="57">
        <f>IF(AI71=0,AK70,AK70+365)</f>
        <v>53345</v>
      </c>
      <c r="AL71" s="130">
        <f t="shared" si="23"/>
        <v>0</v>
      </c>
      <c r="AM71" s="769">
        <f t="shared" si="32"/>
        <v>63</v>
      </c>
      <c r="AN71" s="770">
        <f t="shared" si="39"/>
        <v>47232</v>
      </c>
      <c r="AO71" s="105">
        <f t="shared" si="50"/>
        <v>0</v>
      </c>
      <c r="AP71" s="105">
        <f t="shared" si="40"/>
        <v>0</v>
      </c>
      <c r="AQ71" s="105">
        <f t="shared" si="51"/>
        <v>0</v>
      </c>
      <c r="AR71" s="105">
        <f t="shared" si="41"/>
        <v>0</v>
      </c>
      <c r="AS71" s="105">
        <f t="shared" si="52"/>
        <v>0</v>
      </c>
      <c r="AT71" s="105">
        <f t="shared" si="53"/>
        <v>0</v>
      </c>
      <c r="AU71" s="105">
        <f t="shared" si="54"/>
        <v>0</v>
      </c>
      <c r="AV71" s="105">
        <f t="shared" si="55"/>
        <v>0</v>
      </c>
      <c r="AW71" s="105">
        <f t="shared" si="56"/>
        <v>0</v>
      </c>
      <c r="AX71" s="108">
        <f t="shared" si="33"/>
        <v>0</v>
      </c>
      <c r="AY71" s="108">
        <f t="shared" si="42"/>
        <v>0</v>
      </c>
      <c r="AZ71" s="759">
        <f t="shared" si="35"/>
        <v>47232</v>
      </c>
      <c r="BA71" s="108">
        <f t="shared" si="43"/>
        <v>0</v>
      </c>
      <c r="BB71" s="2" t="e">
        <f t="shared" si="64"/>
        <v>#VALUE!</v>
      </c>
    </row>
    <row r="72" spans="1:54" s="16" customFormat="1" ht="12" x14ac:dyDescent="0.25">
      <c r="A72" s="2"/>
      <c r="B72" s="2"/>
      <c r="C72" s="2"/>
      <c r="D72" s="2"/>
      <c r="E72" s="767">
        <f t="shared" si="29"/>
        <v>64</v>
      </c>
      <c r="F72" s="768">
        <f t="shared" si="5"/>
        <v>47262</v>
      </c>
      <c r="G72" s="24">
        <f t="shared" si="69"/>
        <v>0</v>
      </c>
      <c r="H72" s="24">
        <f t="shared" si="37"/>
        <v>0</v>
      </c>
      <c r="I72" s="24">
        <f t="shared" si="28"/>
        <v>44144.790000000023</v>
      </c>
      <c r="J72" s="24">
        <f t="shared" si="67"/>
        <v>0</v>
      </c>
      <c r="K72" s="24">
        <f t="shared" si="8"/>
        <v>0</v>
      </c>
      <c r="L72" s="24">
        <f t="shared" si="45"/>
        <v>0</v>
      </c>
      <c r="M72" s="24">
        <f t="shared" si="30"/>
        <v>0</v>
      </c>
      <c r="N72" s="24">
        <f t="shared" si="20"/>
        <v>0</v>
      </c>
      <c r="O72" s="24">
        <f t="shared" si="21"/>
        <v>0</v>
      </c>
      <c r="P72" s="24">
        <f t="shared" si="22"/>
        <v>0</v>
      </c>
      <c r="Q72" s="24">
        <f t="shared" si="9"/>
        <v>0</v>
      </c>
      <c r="R72" s="36">
        <f t="shared" si="31"/>
        <v>0</v>
      </c>
      <c r="S72" s="36">
        <f t="shared" si="38"/>
        <v>0</v>
      </c>
      <c r="T72" s="2">
        <f t="shared" si="57"/>
        <v>708.94</v>
      </c>
      <c r="U72" s="34">
        <f t="shared" si="58"/>
        <v>2407</v>
      </c>
      <c r="V72" s="57">
        <f t="shared" si="61"/>
        <v>53710</v>
      </c>
      <c r="W72" s="16">
        <f t="shared" si="63"/>
        <v>23</v>
      </c>
      <c r="X72" s="133" t="s">
        <v>96</v>
      </c>
      <c r="Y72" s="133" t="s">
        <v>97</v>
      </c>
      <c r="Z72" s="741"/>
      <c r="AA72" s="133" t="s">
        <v>98</v>
      </c>
      <c r="AB72" s="741"/>
      <c r="AC72" s="741"/>
      <c r="AD72" s="741"/>
      <c r="AE72" s="741"/>
      <c r="AF72" s="741"/>
      <c r="AG72" s="741"/>
      <c r="AH72" s="63"/>
      <c r="AI72" s="2">
        <f t="shared" si="59"/>
        <v>978.88</v>
      </c>
      <c r="AJ72" s="34">
        <f t="shared" si="60"/>
        <v>2407</v>
      </c>
      <c r="AK72" s="57">
        <f t="shared" si="62"/>
        <v>53710</v>
      </c>
      <c r="AL72" s="130">
        <f t="shared" si="23"/>
        <v>0</v>
      </c>
      <c r="AM72" s="769">
        <f t="shared" si="32"/>
        <v>64</v>
      </c>
      <c r="AN72" s="770">
        <f t="shared" si="39"/>
        <v>47262</v>
      </c>
      <c r="AO72" s="105">
        <f t="shared" si="50"/>
        <v>0</v>
      </c>
      <c r="AP72" s="105">
        <f t="shared" si="40"/>
        <v>0</v>
      </c>
      <c r="AQ72" s="105">
        <f t="shared" si="51"/>
        <v>0</v>
      </c>
      <c r="AR72" s="105">
        <f t="shared" si="41"/>
        <v>0</v>
      </c>
      <c r="AS72" s="105">
        <f t="shared" si="52"/>
        <v>0</v>
      </c>
      <c r="AT72" s="105">
        <f t="shared" si="53"/>
        <v>0</v>
      </c>
      <c r="AU72" s="105">
        <f t="shared" si="54"/>
        <v>0</v>
      </c>
      <c r="AV72" s="105">
        <f t="shared" si="55"/>
        <v>0</v>
      </c>
      <c r="AW72" s="105">
        <f t="shared" si="56"/>
        <v>0</v>
      </c>
      <c r="AX72" s="108">
        <f t="shared" si="33"/>
        <v>0</v>
      </c>
      <c r="AY72" s="108">
        <f t="shared" si="42"/>
        <v>0</v>
      </c>
      <c r="AZ72" s="759">
        <f t="shared" ref="AZ72:AZ107" si="70">F72</f>
        <v>47262</v>
      </c>
      <c r="BA72" s="108">
        <f t="shared" si="43"/>
        <v>0</v>
      </c>
      <c r="BB72" s="2" t="e">
        <f t="shared" si="64"/>
        <v>#VALUE!</v>
      </c>
    </row>
    <row r="73" spans="1:54" s="16" customFormat="1" ht="12" x14ac:dyDescent="0.25">
      <c r="A73" s="2"/>
      <c r="B73" s="2"/>
      <c r="C73" s="2"/>
      <c r="D73" s="2"/>
      <c r="E73" s="767">
        <f t="shared" si="29"/>
        <v>65</v>
      </c>
      <c r="F73" s="768">
        <f t="shared" ref="F73:F136" si="71">IF(DAY($AA$55)=29,DATE(YEAR($F$8),MONTH($F$8)+E73+1,1),IF(DAY($AA$55)=30,DATE(YEAR($F$8),MONTH($F$8)+E73+1,2),IF(DAY($AA$55)=31,DATE(YEAR($F$8),MONTH($F$8)+E73+1,3),DATE(YEAR($F$8),MONTH($F$8)+E73,DAY($F$8)))))</f>
        <v>47293</v>
      </c>
      <c r="G73" s="24">
        <f t="shared" si="69"/>
        <v>0</v>
      </c>
      <c r="H73" s="24">
        <f t="shared" ref="H73:H104" si="72">IF(AND(E73&gt;=$T$14,E73&lt;=$T$14+5),0,IF($C$9&gt;$AC$52,ROUND(Q72*$C$19*((F73-DATE(YEAR(F73),MONTH(F73),1)+1)/(DATE(YEAR(F73)+1,1,1)-DATE(YEAR(F73),1,1))+(EOMONTH(F72,0)-F72)/(DATE(YEAR(F72)+1,1,1)-DATE(YEAR(F72),1,1))),2),0))</f>
        <v>0</v>
      </c>
      <c r="I73" s="24">
        <f t="shared" si="28"/>
        <v>44144.790000000023</v>
      </c>
      <c r="J73" s="24">
        <f t="shared" si="67"/>
        <v>0</v>
      </c>
      <c r="K73" s="24">
        <f t="shared" ref="K73:K136" si="73">IF(S73=0,0,IF(S73=1,Q72,IF(Q72+L73+H73&gt;G72,G73-H73-L73,Q72)))</f>
        <v>0</v>
      </c>
      <c r="L73" s="24">
        <f t="shared" si="45"/>
        <v>0</v>
      </c>
      <c r="M73" s="24">
        <f t="shared" si="30"/>
        <v>0</v>
      </c>
      <c r="N73" s="24">
        <f t="shared" si="20"/>
        <v>0</v>
      </c>
      <c r="O73" s="24">
        <f t="shared" si="21"/>
        <v>0</v>
      </c>
      <c r="P73" s="24">
        <f t="shared" si="22"/>
        <v>0</v>
      </c>
      <c r="Q73" s="24">
        <f t="shared" ref="Q73:Q136" si="74">IF(OR(S73=1,Q72=0),0,Q72-K73)</f>
        <v>0</v>
      </c>
      <c r="R73" s="36">
        <f t="shared" si="31"/>
        <v>0</v>
      </c>
      <c r="S73" s="36">
        <f t="shared" ref="S73:S104" si="75">IF(ISERR(CEILING(FLOOR(NPER($C$19/12,-$AA$56,Q72),0.1),1))=TRUE,0,CEILING(FLOOR(NPER($C$19/12,-$AA$56,Q72),0.1),1))</f>
        <v>0</v>
      </c>
      <c r="T73" s="2">
        <f t="shared" si="57"/>
        <v>712.41</v>
      </c>
      <c r="U73" s="34">
        <f t="shared" si="58"/>
        <v>2407</v>
      </c>
      <c r="V73" s="57">
        <f t="shared" si="61"/>
        <v>54075</v>
      </c>
      <c r="W73" s="16">
        <f t="shared" si="63"/>
        <v>24</v>
      </c>
      <c r="X73" s="170">
        <v>20000</v>
      </c>
      <c r="Y73" s="171">
        <v>220000</v>
      </c>
      <c r="Z73" s="741">
        <v>1</v>
      </c>
      <c r="AA73" s="741">
        <v>1</v>
      </c>
      <c r="AB73" s="741">
        <v>1</v>
      </c>
      <c r="AC73" s="741">
        <v>1</v>
      </c>
      <c r="AD73" s="741">
        <v>1</v>
      </c>
      <c r="AE73" s="741">
        <v>1</v>
      </c>
      <c r="AF73" s="741">
        <v>1</v>
      </c>
      <c r="AG73" s="741">
        <v>1</v>
      </c>
      <c r="AH73" s="63"/>
      <c r="AI73" s="2">
        <f t="shared" si="59"/>
        <v>981.31</v>
      </c>
      <c r="AJ73" s="34">
        <f t="shared" si="60"/>
        <v>2407</v>
      </c>
      <c r="AK73" s="57">
        <f t="shared" si="62"/>
        <v>54075</v>
      </c>
      <c r="AL73" s="130">
        <f t="shared" si="23"/>
        <v>0</v>
      </c>
      <c r="AM73" s="769">
        <f t="shared" si="32"/>
        <v>65</v>
      </c>
      <c r="AN73" s="770">
        <f t="shared" ref="AN73:AN104" si="76">IF((OR(DAY($AA$55)=29,DAY($AA$55)=30,DAY($AA$55)=31)),(EDATE($C$9-3,AM73)),(IF((OR(DAY($AA$55)=1,DAY($AA$55)=2,DAY($AA$55)=3)),(EDATE($C$9,AM73)+3),EDATE($C$9,AM73))))</f>
        <v>47293</v>
      </c>
      <c r="AO73" s="105">
        <f t="shared" si="50"/>
        <v>0</v>
      </c>
      <c r="AP73" s="105">
        <f t="shared" ref="AP73:AP104" si="77">IF(AND(E73&gt;=$T$14,E73&lt;=$T$14+5),0,IF($C$9&gt;$AC$52,ROUND(AW72*$D$19*((AN73-DATE(YEAR(AN73),MONTH(AN73),1)+1)/(DATE(YEAR(AN73)+1,1,1)-DATE(YEAR(AN73),1,1))+(EOMONTH(AN72,0)-AN72)/(DATE(YEAR(AN72)+1,1,1)-DATE(YEAR(AN72),1,1))),2),0))</f>
        <v>0</v>
      </c>
      <c r="AQ73" s="105">
        <f t="shared" si="51"/>
        <v>0</v>
      </c>
      <c r="AR73" s="105">
        <f t="shared" ref="AR73:AR104" si="78">IF(AT73&gt;$D$29,$D$29-AP73,IF(AY73=0,0,AV73)+BN122)</f>
        <v>0</v>
      </c>
      <c r="AS73" s="105">
        <f t="shared" si="52"/>
        <v>0</v>
      </c>
      <c r="AT73" s="105">
        <f t="shared" si="53"/>
        <v>0</v>
      </c>
      <c r="AU73" s="105">
        <f t="shared" si="54"/>
        <v>0</v>
      </c>
      <c r="AV73" s="105">
        <f t="shared" si="55"/>
        <v>0</v>
      </c>
      <c r="AW73" s="105">
        <f t="shared" si="56"/>
        <v>0</v>
      </c>
      <c r="AX73" s="108">
        <f t="shared" si="33"/>
        <v>0</v>
      </c>
      <c r="AY73" s="108">
        <f t="shared" ref="AY73:AY104" si="79">IF(ISERR(CEILING(FLOOR(NPER($D$19/12,-$AC$56,AW72),0.1),1))=TRUE,0,CEILING(FLOOR(NPER($D$19/12,-$AC$56,AW72),0.1),1))</f>
        <v>0</v>
      </c>
      <c r="AZ73" s="759">
        <f t="shared" si="70"/>
        <v>47293</v>
      </c>
      <c r="BA73" s="108">
        <f t="shared" ref="BA73:BA107" si="80">G73</f>
        <v>0</v>
      </c>
      <c r="BB73" s="2" t="e">
        <f t="shared" si="64"/>
        <v>#VALUE!</v>
      </c>
    </row>
    <row r="74" spans="1:54" s="16" customFormat="1" ht="12" x14ac:dyDescent="0.25">
      <c r="A74" s="2"/>
      <c r="B74" s="2"/>
      <c r="C74" s="2"/>
      <c r="D74" s="2"/>
      <c r="E74" s="767">
        <f t="shared" si="29"/>
        <v>66</v>
      </c>
      <c r="F74" s="768">
        <f t="shared" si="71"/>
        <v>47323</v>
      </c>
      <c r="G74" s="24">
        <f t="shared" si="69"/>
        <v>0</v>
      </c>
      <c r="H74" s="24">
        <f t="shared" si="72"/>
        <v>0</v>
      </c>
      <c r="I74" s="24">
        <f t="shared" si="28"/>
        <v>44144.790000000023</v>
      </c>
      <c r="J74" s="24">
        <f t="shared" si="67"/>
        <v>0</v>
      </c>
      <c r="K74" s="24">
        <f t="shared" si="73"/>
        <v>0</v>
      </c>
      <c r="L74" s="24">
        <f t="shared" ref="L74:L105" si="81">IF(N74&gt;$C$29,$C$29-H74,IF(S74=0,0,O74))</f>
        <v>0</v>
      </c>
      <c r="M74" s="24">
        <f t="shared" si="30"/>
        <v>0</v>
      </c>
      <c r="N74" s="24">
        <f t="shared" si="20"/>
        <v>0</v>
      </c>
      <c r="O74" s="24">
        <f t="shared" ref="O74:O137" si="82">IF(S74=0,0,0)</f>
        <v>0</v>
      </c>
      <c r="P74" s="24">
        <f t="shared" ref="P74:P137" si="83">IF(S74=0,0,0)</f>
        <v>0</v>
      </c>
      <c r="Q74" s="24">
        <f t="shared" si="74"/>
        <v>0</v>
      </c>
      <c r="R74" s="36">
        <f t="shared" si="31"/>
        <v>0</v>
      </c>
      <c r="S74" s="36">
        <f t="shared" si="75"/>
        <v>0</v>
      </c>
      <c r="T74" s="2">
        <f t="shared" si="57"/>
        <v>692.32</v>
      </c>
      <c r="U74" s="34">
        <f t="shared" si="58"/>
        <v>2407</v>
      </c>
      <c r="V74" s="57">
        <f t="shared" si="61"/>
        <v>54440</v>
      </c>
      <c r="W74" s="16">
        <f t="shared" si="63"/>
        <v>25</v>
      </c>
      <c r="X74" s="170">
        <v>20000</v>
      </c>
      <c r="Y74" s="171">
        <v>220000</v>
      </c>
      <c r="Z74" s="741">
        <v>1</v>
      </c>
      <c r="AA74" s="741">
        <v>1</v>
      </c>
      <c r="AB74" s="741">
        <v>1</v>
      </c>
      <c r="AC74" s="741">
        <v>1</v>
      </c>
      <c r="AD74" s="741">
        <v>1</v>
      </c>
      <c r="AE74" s="741">
        <v>1</v>
      </c>
      <c r="AF74" s="741">
        <v>1</v>
      </c>
      <c r="AG74" s="741">
        <v>1</v>
      </c>
      <c r="AH74" s="63"/>
      <c r="AI74" s="2">
        <f t="shared" si="59"/>
        <v>951.16</v>
      </c>
      <c r="AJ74" s="34">
        <f t="shared" si="60"/>
        <v>2407</v>
      </c>
      <c r="AK74" s="57">
        <f t="shared" si="62"/>
        <v>54440</v>
      </c>
      <c r="AL74" s="130">
        <f t="shared" si="23"/>
        <v>0</v>
      </c>
      <c r="AM74" s="769">
        <f t="shared" si="32"/>
        <v>66</v>
      </c>
      <c r="AN74" s="770">
        <f t="shared" si="76"/>
        <v>47323</v>
      </c>
      <c r="AO74" s="105">
        <f t="shared" si="50"/>
        <v>0</v>
      </c>
      <c r="AP74" s="105">
        <f t="shared" si="77"/>
        <v>0</v>
      </c>
      <c r="AQ74" s="105">
        <f t="shared" si="51"/>
        <v>0</v>
      </c>
      <c r="AR74" s="105">
        <f t="shared" si="78"/>
        <v>0</v>
      </c>
      <c r="AS74" s="105">
        <f t="shared" si="52"/>
        <v>0</v>
      </c>
      <c r="AT74" s="105">
        <f t="shared" si="53"/>
        <v>0</v>
      </c>
      <c r="AU74" s="105">
        <f t="shared" si="54"/>
        <v>0</v>
      </c>
      <c r="AV74" s="105">
        <f t="shared" si="55"/>
        <v>0</v>
      </c>
      <c r="AW74" s="105">
        <f t="shared" si="56"/>
        <v>0</v>
      </c>
      <c r="AX74" s="108">
        <f t="shared" si="33"/>
        <v>0</v>
      </c>
      <c r="AY74" s="108">
        <f t="shared" si="79"/>
        <v>0</v>
      </c>
      <c r="AZ74" s="759">
        <f t="shared" si="70"/>
        <v>47323</v>
      </c>
      <c r="BA74" s="108">
        <f t="shared" si="80"/>
        <v>0</v>
      </c>
      <c r="BB74" s="2" t="e">
        <f t="shared" si="64"/>
        <v>#VALUE!</v>
      </c>
    </row>
    <row r="75" spans="1:54" s="16" customFormat="1" ht="12" x14ac:dyDescent="0.25">
      <c r="A75" s="2"/>
      <c r="B75" s="2"/>
      <c r="C75" s="2"/>
      <c r="D75" s="2"/>
      <c r="E75" s="767">
        <f t="shared" si="29"/>
        <v>67</v>
      </c>
      <c r="F75" s="768">
        <f t="shared" si="71"/>
        <v>47354</v>
      </c>
      <c r="G75" s="24">
        <f t="shared" si="69"/>
        <v>0</v>
      </c>
      <c r="H75" s="24">
        <f t="shared" si="72"/>
        <v>0</v>
      </c>
      <c r="I75" s="24">
        <f t="shared" ref="I75:I138" si="84">H75+I74</f>
        <v>44144.790000000023</v>
      </c>
      <c r="J75" s="24">
        <f t="shared" si="67"/>
        <v>0</v>
      </c>
      <c r="K75" s="24">
        <f t="shared" si="73"/>
        <v>0</v>
      </c>
      <c r="L75" s="24">
        <f t="shared" si="81"/>
        <v>0</v>
      </c>
      <c r="M75" s="24">
        <f t="shared" si="30"/>
        <v>0</v>
      </c>
      <c r="N75" s="24">
        <f t="shared" si="20"/>
        <v>0</v>
      </c>
      <c r="O75" s="24">
        <f t="shared" si="82"/>
        <v>0</v>
      </c>
      <c r="P75" s="24">
        <f t="shared" si="83"/>
        <v>0</v>
      </c>
      <c r="Q75" s="24">
        <f t="shared" si="74"/>
        <v>0</v>
      </c>
      <c r="R75" s="36">
        <f t="shared" si="31"/>
        <v>0</v>
      </c>
      <c r="S75" s="36">
        <f t="shared" si="75"/>
        <v>0</v>
      </c>
      <c r="T75" s="2">
        <f t="shared" si="57"/>
        <v>606.80999999999995</v>
      </c>
      <c r="U75" s="34">
        <f t="shared" si="58"/>
        <v>2407</v>
      </c>
      <c r="V75" s="57">
        <f t="shared" si="61"/>
        <v>54805</v>
      </c>
      <c r="W75" s="16">
        <f t="shared" si="63"/>
        <v>26</v>
      </c>
      <c r="X75" s="170">
        <v>20000</v>
      </c>
      <c r="Y75" s="171">
        <v>220000</v>
      </c>
      <c r="Z75" s="741">
        <v>1</v>
      </c>
      <c r="AA75" s="741">
        <v>1</v>
      </c>
      <c r="AB75" s="741">
        <v>1</v>
      </c>
      <c r="AC75" s="741">
        <v>1</v>
      </c>
      <c r="AD75" s="741">
        <v>1</v>
      </c>
      <c r="AE75" s="741">
        <v>1</v>
      </c>
      <c r="AF75" s="741">
        <v>1</v>
      </c>
      <c r="AG75" s="741">
        <v>1</v>
      </c>
      <c r="AH75" s="63"/>
      <c r="AI75" s="2">
        <f t="shared" si="59"/>
        <v>831.3</v>
      </c>
      <c r="AJ75" s="34">
        <f t="shared" si="60"/>
        <v>2407</v>
      </c>
      <c r="AK75" s="57">
        <f t="shared" si="62"/>
        <v>54805</v>
      </c>
      <c r="AL75" s="130">
        <f t="shared" ref="AL75:AL109" si="85">IF(OR(AO75="",AO75=0),0,1)</f>
        <v>0</v>
      </c>
      <c r="AM75" s="769">
        <f t="shared" si="32"/>
        <v>67</v>
      </c>
      <c r="AN75" s="770">
        <f t="shared" si="76"/>
        <v>47354</v>
      </c>
      <c r="AO75" s="105">
        <f t="shared" si="50"/>
        <v>0</v>
      </c>
      <c r="AP75" s="105">
        <f t="shared" si="77"/>
        <v>0</v>
      </c>
      <c r="AQ75" s="105">
        <f t="shared" si="51"/>
        <v>0</v>
      </c>
      <c r="AR75" s="105">
        <f t="shared" si="78"/>
        <v>0</v>
      </c>
      <c r="AS75" s="105">
        <f t="shared" si="52"/>
        <v>0</v>
      </c>
      <c r="AT75" s="105">
        <f t="shared" si="53"/>
        <v>0</v>
      </c>
      <c r="AU75" s="105">
        <f t="shared" si="54"/>
        <v>0</v>
      </c>
      <c r="AV75" s="105">
        <f t="shared" si="55"/>
        <v>0</v>
      </c>
      <c r="AW75" s="105">
        <f t="shared" si="56"/>
        <v>0</v>
      </c>
      <c r="AX75" s="108">
        <f t="shared" si="33"/>
        <v>0</v>
      </c>
      <c r="AY75" s="108">
        <f t="shared" si="79"/>
        <v>0</v>
      </c>
      <c r="AZ75" s="759">
        <f t="shared" si="70"/>
        <v>47354</v>
      </c>
      <c r="BA75" s="108">
        <f t="shared" si="80"/>
        <v>0</v>
      </c>
      <c r="BB75" s="2" t="e">
        <f t="shared" si="64"/>
        <v>#VALUE!</v>
      </c>
    </row>
    <row r="76" spans="1:54" s="16" customFormat="1" ht="12" x14ac:dyDescent="0.25">
      <c r="A76" s="2"/>
      <c r="B76" s="2"/>
      <c r="C76" s="2"/>
      <c r="D76" s="2"/>
      <c r="E76" s="767">
        <f t="shared" ref="E76:E139" si="86">E75+1</f>
        <v>68</v>
      </c>
      <c r="F76" s="768">
        <f t="shared" si="71"/>
        <v>47385</v>
      </c>
      <c r="G76" s="24">
        <f t="shared" si="69"/>
        <v>0</v>
      </c>
      <c r="H76" s="24">
        <f t="shared" si="72"/>
        <v>0</v>
      </c>
      <c r="I76" s="24">
        <f t="shared" si="84"/>
        <v>44144.790000000023</v>
      </c>
      <c r="J76" s="24">
        <f t="shared" si="67"/>
        <v>0</v>
      </c>
      <c r="K76" s="24">
        <f t="shared" si="73"/>
        <v>0</v>
      </c>
      <c r="L76" s="24">
        <f t="shared" si="81"/>
        <v>0</v>
      </c>
      <c r="M76" s="24">
        <f t="shared" si="30"/>
        <v>0</v>
      </c>
      <c r="N76" s="24">
        <f t="shared" si="20"/>
        <v>0</v>
      </c>
      <c r="O76" s="24">
        <f t="shared" si="82"/>
        <v>0</v>
      </c>
      <c r="P76" s="24">
        <f t="shared" si="83"/>
        <v>0</v>
      </c>
      <c r="Q76" s="24">
        <f t="shared" si="74"/>
        <v>0</v>
      </c>
      <c r="R76" s="36">
        <f t="shared" ref="R76" si="87">IF((R75-1)&lt;0,0,R75-1)</f>
        <v>0</v>
      </c>
      <c r="S76" s="36">
        <f t="shared" si="75"/>
        <v>0</v>
      </c>
      <c r="T76" s="2">
        <f t="shared" si="57"/>
        <v>649.59</v>
      </c>
      <c r="U76" s="34">
        <f t="shared" si="58"/>
        <v>2407</v>
      </c>
      <c r="V76" s="57">
        <f t="shared" si="61"/>
        <v>55170</v>
      </c>
      <c r="W76" s="16">
        <f t="shared" si="63"/>
        <v>27</v>
      </c>
      <c r="X76" s="170">
        <v>220001</v>
      </c>
      <c r="Y76" s="171">
        <v>500000</v>
      </c>
      <c r="Z76" s="741">
        <v>1</v>
      </c>
      <c r="AA76" s="741">
        <v>1</v>
      </c>
      <c r="AB76" s="741">
        <v>1</v>
      </c>
      <c r="AC76" s="741">
        <v>1</v>
      </c>
      <c r="AD76" s="741">
        <v>1</v>
      </c>
      <c r="AE76" s="741">
        <v>1</v>
      </c>
      <c r="AF76" s="741">
        <v>1</v>
      </c>
      <c r="AG76" s="741">
        <v>1</v>
      </c>
      <c r="AH76" s="63"/>
      <c r="AI76" s="2">
        <f t="shared" si="59"/>
        <v>887.05</v>
      </c>
      <c r="AJ76" s="34">
        <f t="shared" si="60"/>
        <v>2407</v>
      </c>
      <c r="AK76" s="57">
        <f t="shared" si="62"/>
        <v>55170</v>
      </c>
      <c r="AL76" s="130">
        <f t="shared" si="85"/>
        <v>0</v>
      </c>
      <c r="AM76" s="769">
        <f t="shared" ref="AM76:AM129" si="88">AM75+1</f>
        <v>68</v>
      </c>
      <c r="AN76" s="770">
        <f t="shared" si="76"/>
        <v>47385</v>
      </c>
      <c r="AO76" s="105">
        <f t="shared" si="50"/>
        <v>0</v>
      </c>
      <c r="AP76" s="105">
        <f t="shared" si="77"/>
        <v>0</v>
      </c>
      <c r="AQ76" s="105">
        <f t="shared" si="51"/>
        <v>0</v>
      </c>
      <c r="AR76" s="105">
        <f t="shared" si="78"/>
        <v>0</v>
      </c>
      <c r="AS76" s="105">
        <f t="shared" si="52"/>
        <v>0</v>
      </c>
      <c r="AT76" s="105">
        <f t="shared" si="53"/>
        <v>0</v>
      </c>
      <c r="AU76" s="105">
        <f t="shared" si="54"/>
        <v>0</v>
      </c>
      <c r="AV76" s="105">
        <f t="shared" si="55"/>
        <v>0</v>
      </c>
      <c r="AW76" s="105">
        <f t="shared" si="56"/>
        <v>0</v>
      </c>
      <c r="AX76" s="108">
        <f t="shared" ref="AX76:AX129" si="89">IF((AX75-1)&lt;0,0,AX75-1)</f>
        <v>0</v>
      </c>
      <c r="AY76" s="108">
        <f t="shared" si="79"/>
        <v>0</v>
      </c>
      <c r="AZ76" s="759">
        <f t="shared" si="70"/>
        <v>47385</v>
      </c>
      <c r="BA76" s="108">
        <f t="shared" si="80"/>
        <v>0</v>
      </c>
      <c r="BB76" s="2" t="e">
        <f t="shared" si="64"/>
        <v>#VALUE!</v>
      </c>
    </row>
    <row r="77" spans="1:54" s="16" customFormat="1" ht="12" x14ac:dyDescent="0.25">
      <c r="A77" s="2"/>
      <c r="B77" s="2"/>
      <c r="C77" s="2"/>
      <c r="D77" s="2"/>
      <c r="E77" s="767">
        <f t="shared" si="86"/>
        <v>69</v>
      </c>
      <c r="F77" s="768">
        <f t="shared" si="71"/>
        <v>47415</v>
      </c>
      <c r="G77" s="24">
        <f t="shared" si="69"/>
        <v>0</v>
      </c>
      <c r="H77" s="24">
        <f t="shared" si="72"/>
        <v>0</v>
      </c>
      <c r="I77" s="24">
        <f t="shared" si="84"/>
        <v>44144.790000000023</v>
      </c>
      <c r="J77" s="24">
        <f t="shared" si="67"/>
        <v>0</v>
      </c>
      <c r="K77" s="24">
        <f t="shared" si="73"/>
        <v>0</v>
      </c>
      <c r="L77" s="24">
        <f t="shared" si="81"/>
        <v>0</v>
      </c>
      <c r="M77" s="24">
        <f t="shared" si="30"/>
        <v>0</v>
      </c>
      <c r="N77" s="24">
        <f t="shared" si="20"/>
        <v>0</v>
      </c>
      <c r="O77" s="24">
        <f t="shared" si="82"/>
        <v>0</v>
      </c>
      <c r="P77" s="24">
        <f t="shared" si="83"/>
        <v>0</v>
      </c>
      <c r="Q77" s="24">
        <f t="shared" si="74"/>
        <v>0</v>
      </c>
      <c r="R77" s="36">
        <f>IF((R76-1)&lt;0,0,R76-1)</f>
        <v>0</v>
      </c>
      <c r="S77" s="36">
        <f t="shared" si="75"/>
        <v>0</v>
      </c>
      <c r="T77" s="2">
        <f t="shared" si="57"/>
        <v>607.97</v>
      </c>
      <c r="U77" s="34">
        <f t="shared" si="58"/>
        <v>2407</v>
      </c>
      <c r="V77" s="57">
        <f t="shared" si="61"/>
        <v>55535</v>
      </c>
      <c r="W77" s="16">
        <f t="shared" si="63"/>
        <v>28</v>
      </c>
      <c r="X77" s="171">
        <v>500001</v>
      </c>
      <c r="Y77" s="171">
        <v>1000000</v>
      </c>
      <c r="Z77" s="741">
        <v>1</v>
      </c>
      <c r="AA77" s="741">
        <v>1</v>
      </c>
      <c r="AB77" s="741">
        <v>1</v>
      </c>
      <c r="AC77" s="741">
        <v>1</v>
      </c>
      <c r="AD77" s="741">
        <v>1</v>
      </c>
      <c r="AE77" s="741">
        <v>1</v>
      </c>
      <c r="AF77" s="741">
        <v>1</v>
      </c>
      <c r="AG77" s="741">
        <v>1</v>
      </c>
      <c r="AH77" s="63"/>
      <c r="AI77" s="2">
        <f t="shared" si="59"/>
        <v>827.32</v>
      </c>
      <c r="AJ77" s="34">
        <f t="shared" si="60"/>
        <v>2407</v>
      </c>
      <c r="AK77" s="57">
        <f t="shared" si="62"/>
        <v>55535</v>
      </c>
      <c r="AL77" s="130">
        <f t="shared" si="85"/>
        <v>0</v>
      </c>
      <c r="AM77" s="769">
        <f t="shared" si="88"/>
        <v>69</v>
      </c>
      <c r="AN77" s="770">
        <f t="shared" si="76"/>
        <v>47415</v>
      </c>
      <c r="AO77" s="105">
        <f t="shared" si="50"/>
        <v>0</v>
      </c>
      <c r="AP77" s="105">
        <f t="shared" si="77"/>
        <v>0</v>
      </c>
      <c r="AQ77" s="105">
        <f t="shared" si="51"/>
        <v>0</v>
      </c>
      <c r="AR77" s="105">
        <f t="shared" si="78"/>
        <v>0</v>
      </c>
      <c r="AS77" s="105">
        <f t="shared" si="52"/>
        <v>0</v>
      </c>
      <c r="AT77" s="105">
        <f t="shared" si="53"/>
        <v>0</v>
      </c>
      <c r="AU77" s="105">
        <f t="shared" si="54"/>
        <v>0</v>
      </c>
      <c r="AV77" s="105">
        <f t="shared" si="55"/>
        <v>0</v>
      </c>
      <c r="AW77" s="105">
        <f t="shared" si="56"/>
        <v>0</v>
      </c>
      <c r="AX77" s="108">
        <f t="shared" si="89"/>
        <v>0</v>
      </c>
      <c r="AY77" s="108">
        <f t="shared" si="79"/>
        <v>0</v>
      </c>
      <c r="AZ77" s="759">
        <f t="shared" si="70"/>
        <v>47415</v>
      </c>
      <c r="BA77" s="108">
        <f t="shared" si="80"/>
        <v>0</v>
      </c>
      <c r="BB77" s="2" t="e">
        <f t="shared" si="64"/>
        <v>#VALUE!</v>
      </c>
    </row>
    <row r="78" spans="1:54" s="16" customFormat="1" ht="12" x14ac:dyDescent="0.25">
      <c r="A78" s="2"/>
      <c r="B78" s="2"/>
      <c r="C78" s="2"/>
      <c r="D78" s="2"/>
      <c r="E78" s="767">
        <f t="shared" si="86"/>
        <v>70</v>
      </c>
      <c r="F78" s="768">
        <f t="shared" si="71"/>
        <v>47446</v>
      </c>
      <c r="G78" s="24">
        <f t="shared" si="69"/>
        <v>0</v>
      </c>
      <c r="H78" s="24">
        <f t="shared" si="72"/>
        <v>0</v>
      </c>
      <c r="I78" s="24">
        <f t="shared" si="84"/>
        <v>44144.790000000023</v>
      </c>
      <c r="J78" s="24">
        <f t="shared" si="67"/>
        <v>0</v>
      </c>
      <c r="K78" s="24">
        <f t="shared" si="73"/>
        <v>0</v>
      </c>
      <c r="L78" s="24">
        <f t="shared" si="81"/>
        <v>0</v>
      </c>
      <c r="M78" s="24">
        <f t="shared" si="30"/>
        <v>0</v>
      </c>
      <c r="N78" s="24">
        <f t="shared" si="20"/>
        <v>0</v>
      </c>
      <c r="O78" s="24">
        <f t="shared" si="82"/>
        <v>0</v>
      </c>
      <c r="P78" s="24">
        <f t="shared" si="83"/>
        <v>0</v>
      </c>
      <c r="Q78" s="24">
        <f t="shared" si="74"/>
        <v>0</v>
      </c>
      <c r="R78" s="36">
        <f t="shared" ref="R78:R141" si="90">IF((R77-1)&lt;0,0,R77-1)</f>
        <v>0</v>
      </c>
      <c r="S78" s="36">
        <f t="shared" si="75"/>
        <v>0</v>
      </c>
      <c r="T78" s="2">
        <f t="shared" si="57"/>
        <v>606.02</v>
      </c>
      <c r="U78" s="34">
        <f t="shared" si="58"/>
        <v>2407</v>
      </c>
      <c r="V78" s="57">
        <f t="shared" si="61"/>
        <v>55900</v>
      </c>
      <c r="W78" s="16">
        <f t="shared" si="63"/>
        <v>29</v>
      </c>
      <c r="X78" s="171">
        <v>1000001</v>
      </c>
      <c r="Y78" s="171">
        <v>5000000</v>
      </c>
      <c r="Z78" s="741">
        <v>1</v>
      </c>
      <c r="AA78" s="741">
        <v>1</v>
      </c>
      <c r="AB78" s="741">
        <v>1</v>
      </c>
      <c r="AC78" s="741">
        <v>1</v>
      </c>
      <c r="AD78" s="741">
        <v>1</v>
      </c>
      <c r="AE78" s="741">
        <v>1</v>
      </c>
      <c r="AF78" s="741">
        <v>1</v>
      </c>
      <c r="AG78" s="741">
        <v>1</v>
      </c>
      <c r="AH78" s="63"/>
      <c r="AI78" s="2">
        <f t="shared" si="59"/>
        <v>821.5</v>
      </c>
      <c r="AJ78" s="34">
        <f t="shared" si="60"/>
        <v>2407</v>
      </c>
      <c r="AK78" s="57">
        <f t="shared" si="62"/>
        <v>55900</v>
      </c>
      <c r="AL78" s="130">
        <f t="shared" si="85"/>
        <v>0</v>
      </c>
      <c r="AM78" s="769">
        <f t="shared" si="88"/>
        <v>70</v>
      </c>
      <c r="AN78" s="770">
        <f t="shared" si="76"/>
        <v>47446</v>
      </c>
      <c r="AO78" s="105">
        <f t="shared" si="50"/>
        <v>0</v>
      </c>
      <c r="AP78" s="105">
        <f t="shared" si="77"/>
        <v>0</v>
      </c>
      <c r="AQ78" s="105">
        <f t="shared" si="51"/>
        <v>0</v>
      </c>
      <c r="AR78" s="105">
        <f t="shared" si="78"/>
        <v>0</v>
      </c>
      <c r="AS78" s="105">
        <f t="shared" si="52"/>
        <v>0</v>
      </c>
      <c r="AT78" s="105">
        <f t="shared" si="53"/>
        <v>0</v>
      </c>
      <c r="AU78" s="105">
        <f t="shared" si="54"/>
        <v>0</v>
      </c>
      <c r="AV78" s="105">
        <f t="shared" si="55"/>
        <v>0</v>
      </c>
      <c r="AW78" s="105">
        <f t="shared" si="56"/>
        <v>0</v>
      </c>
      <c r="AX78" s="108">
        <f t="shared" si="89"/>
        <v>0</v>
      </c>
      <c r="AY78" s="108">
        <f t="shared" si="79"/>
        <v>0</v>
      </c>
      <c r="AZ78" s="759">
        <f t="shared" si="70"/>
        <v>47446</v>
      </c>
      <c r="BA78" s="108">
        <f t="shared" si="80"/>
        <v>0</v>
      </c>
      <c r="BB78" s="2" t="e">
        <f t="shared" si="64"/>
        <v>#VALUE!</v>
      </c>
    </row>
    <row r="79" spans="1:54" s="16" customFormat="1" ht="12" x14ac:dyDescent="0.25">
      <c r="A79" s="53"/>
      <c r="C79" s="2"/>
      <c r="D79" s="13"/>
      <c r="E79" s="767">
        <f t="shared" si="86"/>
        <v>71</v>
      </c>
      <c r="F79" s="768">
        <f t="shared" si="71"/>
        <v>47476</v>
      </c>
      <c r="G79" s="24">
        <f t="shared" si="69"/>
        <v>0</v>
      </c>
      <c r="H79" s="24">
        <f t="shared" si="72"/>
        <v>0</v>
      </c>
      <c r="I79" s="24">
        <f t="shared" si="84"/>
        <v>44144.790000000023</v>
      </c>
      <c r="J79" s="24">
        <f t="shared" si="67"/>
        <v>0</v>
      </c>
      <c r="K79" s="24">
        <f t="shared" si="73"/>
        <v>0</v>
      </c>
      <c r="L79" s="24">
        <f t="shared" si="81"/>
        <v>0</v>
      </c>
      <c r="M79" s="24">
        <f t="shared" si="30"/>
        <v>0</v>
      </c>
      <c r="N79" s="24">
        <f t="shared" si="20"/>
        <v>0</v>
      </c>
      <c r="O79" s="24">
        <f t="shared" si="82"/>
        <v>0</v>
      </c>
      <c r="P79" s="24">
        <f t="shared" si="83"/>
        <v>0</v>
      </c>
      <c r="Q79" s="24">
        <f t="shared" si="74"/>
        <v>0</v>
      </c>
      <c r="R79" s="36">
        <f t="shared" si="90"/>
        <v>0</v>
      </c>
      <c r="S79" s="36">
        <f t="shared" si="75"/>
        <v>0</v>
      </c>
      <c r="T79" s="2">
        <f t="shared" si="57"/>
        <v>564.95000000000005</v>
      </c>
      <c r="U79" s="34">
        <f t="shared" si="58"/>
        <v>2407</v>
      </c>
      <c r="V79" s="57">
        <f t="shared" si="61"/>
        <v>56265</v>
      </c>
      <c r="W79" s="16">
        <f t="shared" si="63"/>
        <v>30</v>
      </c>
      <c r="X79" s="16" t="s">
        <v>101</v>
      </c>
      <c r="Y79" s="16">
        <v>1500000</v>
      </c>
      <c r="Z79" s="16">
        <v>2</v>
      </c>
      <c r="AA79" s="16">
        <v>2</v>
      </c>
      <c r="AB79" s="16">
        <v>2</v>
      </c>
      <c r="AC79" s="16">
        <v>2</v>
      </c>
      <c r="AD79" s="16">
        <v>2</v>
      </c>
      <c r="AE79" s="16">
        <v>2</v>
      </c>
      <c r="AF79" s="16">
        <v>2</v>
      </c>
      <c r="AG79" s="16">
        <v>2</v>
      </c>
      <c r="AH79" s="63"/>
      <c r="AI79" s="2">
        <f t="shared" si="59"/>
        <v>762.55</v>
      </c>
      <c r="AJ79" s="34">
        <f t="shared" si="60"/>
        <v>2407</v>
      </c>
      <c r="AK79" s="57">
        <f t="shared" si="62"/>
        <v>56265</v>
      </c>
      <c r="AL79" s="130">
        <f t="shared" si="85"/>
        <v>0</v>
      </c>
      <c r="AM79" s="769">
        <f t="shared" si="88"/>
        <v>71</v>
      </c>
      <c r="AN79" s="770">
        <f t="shared" si="76"/>
        <v>47476</v>
      </c>
      <c r="AO79" s="105">
        <f t="shared" si="50"/>
        <v>0</v>
      </c>
      <c r="AP79" s="105">
        <f t="shared" si="77"/>
        <v>0</v>
      </c>
      <c r="AQ79" s="105">
        <f t="shared" si="51"/>
        <v>0</v>
      </c>
      <c r="AR79" s="105">
        <f t="shared" si="78"/>
        <v>0</v>
      </c>
      <c r="AS79" s="105">
        <f t="shared" si="52"/>
        <v>0</v>
      </c>
      <c r="AT79" s="105">
        <f t="shared" si="53"/>
        <v>0</v>
      </c>
      <c r="AU79" s="105">
        <f t="shared" si="54"/>
        <v>0</v>
      </c>
      <c r="AV79" s="105">
        <f t="shared" si="55"/>
        <v>0</v>
      </c>
      <c r="AW79" s="105">
        <f t="shared" si="56"/>
        <v>0</v>
      </c>
      <c r="AX79" s="108">
        <f t="shared" si="89"/>
        <v>0</v>
      </c>
      <c r="AY79" s="108">
        <f t="shared" si="79"/>
        <v>0</v>
      </c>
      <c r="AZ79" s="759">
        <f t="shared" si="70"/>
        <v>47476</v>
      </c>
      <c r="BA79" s="108">
        <f t="shared" si="80"/>
        <v>0</v>
      </c>
      <c r="BB79" s="2" t="e">
        <f t="shared" si="64"/>
        <v>#VALUE!</v>
      </c>
    </row>
    <row r="80" spans="1:54" s="16" customFormat="1" ht="12" x14ac:dyDescent="0.25">
      <c r="A80" s="53"/>
      <c r="B80" s="2"/>
      <c r="C80" s="2"/>
      <c r="D80" s="2"/>
      <c r="E80" s="767">
        <f t="shared" si="86"/>
        <v>72</v>
      </c>
      <c r="F80" s="768">
        <f t="shared" si="71"/>
        <v>47507</v>
      </c>
      <c r="G80" s="24">
        <f t="shared" si="69"/>
        <v>0</v>
      </c>
      <c r="H80" s="24">
        <f t="shared" si="72"/>
        <v>0</v>
      </c>
      <c r="I80" s="24">
        <f t="shared" si="84"/>
        <v>44144.790000000023</v>
      </c>
      <c r="J80" s="24">
        <f t="shared" si="67"/>
        <v>0</v>
      </c>
      <c r="K80" s="24">
        <f t="shared" si="73"/>
        <v>0</v>
      </c>
      <c r="L80" s="24">
        <f t="shared" si="81"/>
        <v>0</v>
      </c>
      <c r="M80" s="24">
        <f t="shared" si="30"/>
        <v>0</v>
      </c>
      <c r="N80" s="24">
        <f t="shared" si="20"/>
        <v>0</v>
      </c>
      <c r="O80" s="24">
        <f t="shared" si="82"/>
        <v>0</v>
      </c>
      <c r="P80" s="24">
        <f t="shared" si="83"/>
        <v>0</v>
      </c>
      <c r="Q80" s="24">
        <f t="shared" si="74"/>
        <v>0</v>
      </c>
      <c r="R80" s="36">
        <f t="shared" si="90"/>
        <v>0</v>
      </c>
      <c r="S80" s="36">
        <f t="shared" si="75"/>
        <v>0</v>
      </c>
      <c r="T80" s="2">
        <f t="shared" si="57"/>
        <v>560.70000000000005</v>
      </c>
      <c r="U80" s="34">
        <f t="shared" si="58"/>
        <v>2407</v>
      </c>
      <c r="V80" s="57">
        <f t="shared" si="61"/>
        <v>56630</v>
      </c>
      <c r="W80" s="16">
        <f t="shared" si="63"/>
        <v>31</v>
      </c>
      <c r="Z80" s="16">
        <f t="shared" ref="Z80:AF80" si="91">1000/1.7</f>
        <v>588.23529411764707</v>
      </c>
      <c r="AA80" s="16">
        <f t="shared" si="91"/>
        <v>588.23529411764707</v>
      </c>
      <c r="AB80" s="16">
        <f t="shared" si="91"/>
        <v>588.23529411764707</v>
      </c>
      <c r="AC80" s="16">
        <f t="shared" si="91"/>
        <v>588.23529411764707</v>
      </c>
      <c r="AD80" s="16">
        <f t="shared" si="91"/>
        <v>588.23529411764707</v>
      </c>
      <c r="AE80" s="16">
        <f t="shared" si="91"/>
        <v>588.23529411764707</v>
      </c>
      <c r="AF80" s="16">
        <f t="shared" si="91"/>
        <v>588.23529411764707</v>
      </c>
      <c r="AG80" s="16">
        <f>1000/1.7</f>
        <v>588.23529411764707</v>
      </c>
      <c r="AH80" s="63">
        <f>600/1.4</f>
        <v>428.57142857142861</v>
      </c>
      <c r="AI80" s="2">
        <f t="shared" si="59"/>
        <v>753.19</v>
      </c>
      <c r="AJ80" s="34">
        <f t="shared" si="60"/>
        <v>2407</v>
      </c>
      <c r="AK80" s="57">
        <f t="shared" si="62"/>
        <v>56630</v>
      </c>
      <c r="AL80" s="130">
        <f t="shared" si="85"/>
        <v>0</v>
      </c>
      <c r="AM80" s="769">
        <f t="shared" si="88"/>
        <v>72</v>
      </c>
      <c r="AN80" s="770">
        <f t="shared" si="76"/>
        <v>47507</v>
      </c>
      <c r="AO80" s="105">
        <f t="shared" ref="AO80:AO111" si="92">IF(AX79=1,AR80+AP80+AQ80,IF(AW79+AR80+AP80&gt;AO79,$D$29,IF(AW79=0,0,AW79+AR80+AP80+AP112)))</f>
        <v>0</v>
      </c>
      <c r="AP80" s="105">
        <f t="shared" si="77"/>
        <v>0</v>
      </c>
      <c r="AQ80" s="105">
        <f t="shared" si="51"/>
        <v>0</v>
      </c>
      <c r="AR80" s="105">
        <f t="shared" si="78"/>
        <v>0</v>
      </c>
      <c r="AS80" s="105">
        <f t="shared" si="52"/>
        <v>0</v>
      </c>
      <c r="AT80" s="105">
        <f t="shared" si="53"/>
        <v>0</v>
      </c>
      <c r="AU80" s="105">
        <f t="shared" si="54"/>
        <v>0</v>
      </c>
      <c r="AV80" s="105">
        <f t="shared" si="55"/>
        <v>0</v>
      </c>
      <c r="AW80" s="105">
        <f t="shared" si="56"/>
        <v>0</v>
      </c>
      <c r="AX80" s="108">
        <f t="shared" si="89"/>
        <v>0</v>
      </c>
      <c r="AY80" s="108">
        <f t="shared" si="79"/>
        <v>0</v>
      </c>
      <c r="AZ80" s="759">
        <f t="shared" si="70"/>
        <v>47507</v>
      </c>
      <c r="BA80" s="108">
        <f t="shared" si="80"/>
        <v>0</v>
      </c>
      <c r="BB80" s="2" t="e">
        <f t="shared" si="64"/>
        <v>#VALUE!</v>
      </c>
    </row>
    <row r="81" spans="1:54" s="16" customFormat="1" ht="12" x14ac:dyDescent="0.25">
      <c r="A81" s="2"/>
      <c r="B81" s="2"/>
      <c r="C81" s="1"/>
      <c r="D81" s="1"/>
      <c r="E81" s="767">
        <f t="shared" si="86"/>
        <v>73</v>
      </c>
      <c r="F81" s="768">
        <f t="shared" si="71"/>
        <v>47538</v>
      </c>
      <c r="G81" s="24">
        <f t="shared" si="69"/>
        <v>0</v>
      </c>
      <c r="H81" s="24">
        <f t="shared" si="72"/>
        <v>0</v>
      </c>
      <c r="I81" s="24">
        <f t="shared" si="84"/>
        <v>44144.790000000023</v>
      </c>
      <c r="J81" s="24">
        <f t="shared" si="67"/>
        <v>0</v>
      </c>
      <c r="K81" s="24">
        <f t="shared" si="73"/>
        <v>0</v>
      </c>
      <c r="L81" s="24">
        <f t="shared" si="81"/>
        <v>0</v>
      </c>
      <c r="M81" s="24">
        <f t="shared" si="30"/>
        <v>0</v>
      </c>
      <c r="N81" s="24">
        <f t="shared" si="20"/>
        <v>0</v>
      </c>
      <c r="O81" s="24">
        <f t="shared" si="82"/>
        <v>0</v>
      </c>
      <c r="P81" s="24">
        <f t="shared" si="83"/>
        <v>0</v>
      </c>
      <c r="Q81" s="24">
        <f t="shared" si="74"/>
        <v>0</v>
      </c>
      <c r="R81" s="36">
        <f t="shared" si="90"/>
        <v>0</v>
      </c>
      <c r="S81" s="36">
        <f t="shared" si="75"/>
        <v>0</v>
      </c>
      <c r="T81" s="2">
        <f t="shared" si="57"/>
        <v>537.53</v>
      </c>
      <c r="U81" s="34">
        <f t="shared" si="58"/>
        <v>2407</v>
      </c>
      <c r="V81" s="57">
        <f t="shared" si="61"/>
        <v>56995</v>
      </c>
      <c r="W81" s="16">
        <f t="shared" si="63"/>
        <v>32</v>
      </c>
      <c r="Z81" s="143">
        <f t="shared" ref="Z81:AG81" si="93">$C$7*IF($C$7&gt;=$X$78,Z78,IF($C$7&gt;=$X$77,Z77,IF($C$7&gt;=$X$76,Z76,IF($C$7&gt;=$X$75,Z75,IF($C$7&gt;=$X$74,Z74,Z73)))))</f>
        <v>60000</v>
      </c>
      <c r="AA81" s="143">
        <f t="shared" si="93"/>
        <v>60000</v>
      </c>
      <c r="AB81" s="143">
        <f t="shared" si="93"/>
        <v>60000</v>
      </c>
      <c r="AC81" s="143">
        <f t="shared" si="93"/>
        <v>60000</v>
      </c>
      <c r="AD81" s="143">
        <f t="shared" si="93"/>
        <v>60000</v>
      </c>
      <c r="AE81" s="143">
        <f t="shared" si="93"/>
        <v>60000</v>
      </c>
      <c r="AF81" s="143">
        <f t="shared" si="93"/>
        <v>60000</v>
      </c>
      <c r="AG81" s="143">
        <f t="shared" si="93"/>
        <v>60000</v>
      </c>
      <c r="AI81" s="2">
        <f t="shared" si="59"/>
        <v>718.21</v>
      </c>
      <c r="AJ81" s="34">
        <f t="shared" si="60"/>
        <v>2407</v>
      </c>
      <c r="AK81" s="57">
        <f t="shared" si="62"/>
        <v>56995</v>
      </c>
      <c r="AL81" s="130">
        <f t="shared" si="85"/>
        <v>0</v>
      </c>
      <c r="AM81" s="769">
        <f t="shared" si="88"/>
        <v>73</v>
      </c>
      <c r="AN81" s="770">
        <f t="shared" si="76"/>
        <v>47538</v>
      </c>
      <c r="AO81" s="105">
        <f t="shared" si="92"/>
        <v>0</v>
      </c>
      <c r="AP81" s="105">
        <f t="shared" si="77"/>
        <v>0</v>
      </c>
      <c r="AQ81" s="105">
        <f t="shared" si="51"/>
        <v>0</v>
      </c>
      <c r="AR81" s="105">
        <f t="shared" si="78"/>
        <v>0</v>
      </c>
      <c r="AS81" s="105">
        <f t="shared" si="52"/>
        <v>0</v>
      </c>
      <c r="AT81" s="105">
        <f t="shared" si="53"/>
        <v>0</v>
      </c>
      <c r="AU81" s="105">
        <f t="shared" si="54"/>
        <v>0</v>
      </c>
      <c r="AV81" s="105">
        <f t="shared" si="55"/>
        <v>0</v>
      </c>
      <c r="AW81" s="105">
        <f t="shared" si="56"/>
        <v>0</v>
      </c>
      <c r="AX81" s="108">
        <f t="shared" si="89"/>
        <v>0</v>
      </c>
      <c r="AY81" s="108">
        <f t="shared" si="79"/>
        <v>0</v>
      </c>
      <c r="AZ81" s="759">
        <f t="shared" si="70"/>
        <v>47538</v>
      </c>
      <c r="BA81" s="108">
        <f t="shared" si="80"/>
        <v>0</v>
      </c>
      <c r="BB81" s="2" t="e">
        <f t="shared" si="64"/>
        <v>#VALUE!</v>
      </c>
    </row>
    <row r="82" spans="1:54" s="16" customFormat="1" ht="12" x14ac:dyDescent="0.25">
      <c r="A82" s="2"/>
      <c r="B82" s="2"/>
      <c r="C82" s="1"/>
      <c r="D82" s="1"/>
      <c r="E82" s="767">
        <f t="shared" si="86"/>
        <v>74</v>
      </c>
      <c r="F82" s="768">
        <f t="shared" si="71"/>
        <v>47566</v>
      </c>
      <c r="G82" s="24">
        <f t="shared" si="69"/>
        <v>0</v>
      </c>
      <c r="H82" s="24">
        <f t="shared" si="72"/>
        <v>0</v>
      </c>
      <c r="I82" s="24">
        <f t="shared" si="84"/>
        <v>44144.790000000023</v>
      </c>
      <c r="J82" s="24">
        <f t="shared" si="67"/>
        <v>0</v>
      </c>
      <c r="K82" s="24">
        <f t="shared" si="73"/>
        <v>0</v>
      </c>
      <c r="L82" s="24">
        <f t="shared" si="81"/>
        <v>0</v>
      </c>
      <c r="M82" s="24">
        <f t="shared" si="30"/>
        <v>0</v>
      </c>
      <c r="N82" s="24">
        <f t="shared" si="20"/>
        <v>0</v>
      </c>
      <c r="O82" s="24">
        <f t="shared" si="82"/>
        <v>0</v>
      </c>
      <c r="P82" s="24">
        <f t="shared" si="83"/>
        <v>0</v>
      </c>
      <c r="Q82" s="24">
        <f t="shared" si="74"/>
        <v>0</v>
      </c>
      <c r="R82" s="36">
        <f t="shared" si="90"/>
        <v>0</v>
      </c>
      <c r="S82" s="36">
        <f t="shared" si="75"/>
        <v>0</v>
      </c>
      <c r="T82" s="2">
        <f t="shared" ref="T82:T113" si="94">IF(AND(E41&gt;=$T$14,E41&lt;=$T$14+5),0,IF($C$9&gt;$AC$52,ROUND(Q40*$T$46/(DATEVALUE(CONCATENATE("01/01/",YEAR(F41)+1))-DATEVALUE(CONCATENATE("01/01/",YEAR(F41))))*(F41-F40),2),0))</f>
        <v>497.31</v>
      </c>
      <c r="U82" s="34">
        <f t="shared" ref="U82:U113" si="95">IF(U81&lt;0,0,IF(T82=0,IF(T81=0,0,$U$46),G41)-IF(AND(T82&gt;0,T83=0),$C$26,0))</f>
        <v>2407</v>
      </c>
      <c r="V82" s="57">
        <f t="shared" si="61"/>
        <v>57360</v>
      </c>
      <c r="W82" s="16">
        <f t="shared" si="63"/>
        <v>33</v>
      </c>
      <c r="AI82" s="2">
        <f t="shared" si="59"/>
        <v>660.48</v>
      </c>
      <c r="AJ82" s="34">
        <f t="shared" si="60"/>
        <v>2407</v>
      </c>
      <c r="AK82" s="57">
        <f>IF(AI82=0,AK81,AK81+365)</f>
        <v>57360</v>
      </c>
      <c r="AL82" s="130">
        <f t="shared" si="85"/>
        <v>0</v>
      </c>
      <c r="AM82" s="769">
        <f t="shared" si="88"/>
        <v>74</v>
      </c>
      <c r="AN82" s="770">
        <f t="shared" si="76"/>
        <v>47566</v>
      </c>
      <c r="AO82" s="105">
        <f t="shared" si="92"/>
        <v>0</v>
      </c>
      <c r="AP82" s="105">
        <f t="shared" si="77"/>
        <v>0</v>
      </c>
      <c r="AQ82" s="105">
        <f t="shared" si="51"/>
        <v>0</v>
      </c>
      <c r="AR82" s="105">
        <f t="shared" si="78"/>
        <v>0</v>
      </c>
      <c r="AS82" s="105">
        <f t="shared" si="52"/>
        <v>0</v>
      </c>
      <c r="AT82" s="105">
        <f t="shared" si="53"/>
        <v>0</v>
      </c>
      <c r="AU82" s="105">
        <f t="shared" si="54"/>
        <v>0</v>
      </c>
      <c r="AV82" s="105">
        <f t="shared" si="55"/>
        <v>0</v>
      </c>
      <c r="AW82" s="105">
        <f t="shared" si="56"/>
        <v>0</v>
      </c>
      <c r="AX82" s="108">
        <f t="shared" si="89"/>
        <v>0</v>
      </c>
      <c r="AY82" s="108">
        <f t="shared" si="79"/>
        <v>0</v>
      </c>
      <c r="AZ82" s="759">
        <f t="shared" si="70"/>
        <v>47566</v>
      </c>
      <c r="BA82" s="108">
        <f t="shared" si="80"/>
        <v>0</v>
      </c>
      <c r="BB82" s="2" t="e">
        <f t="shared" si="64"/>
        <v>#VALUE!</v>
      </c>
    </row>
    <row r="83" spans="1:54" s="16" customFormat="1" ht="12" x14ac:dyDescent="0.25">
      <c r="A83" s="2"/>
      <c r="B83" s="2"/>
      <c r="C83" s="1"/>
      <c r="D83" s="1"/>
      <c r="E83" s="767">
        <f t="shared" si="86"/>
        <v>75</v>
      </c>
      <c r="F83" s="768">
        <f t="shared" si="71"/>
        <v>47597</v>
      </c>
      <c r="G83" s="24">
        <f t="shared" si="69"/>
        <v>0</v>
      </c>
      <c r="H83" s="24">
        <f t="shared" si="72"/>
        <v>0</v>
      </c>
      <c r="I83" s="24">
        <f t="shared" si="84"/>
        <v>44144.790000000023</v>
      </c>
      <c r="J83" s="24">
        <f t="shared" si="67"/>
        <v>0</v>
      </c>
      <c r="K83" s="24">
        <f t="shared" si="73"/>
        <v>0</v>
      </c>
      <c r="L83" s="24">
        <f t="shared" si="81"/>
        <v>0</v>
      </c>
      <c r="M83" s="24">
        <f t="shared" si="30"/>
        <v>0</v>
      </c>
      <c r="N83" s="24">
        <f t="shared" si="20"/>
        <v>0</v>
      </c>
      <c r="O83" s="24">
        <f t="shared" si="82"/>
        <v>0</v>
      </c>
      <c r="P83" s="24">
        <f t="shared" si="83"/>
        <v>0</v>
      </c>
      <c r="Q83" s="24">
        <f t="shared" si="74"/>
        <v>0</v>
      </c>
      <c r="R83" s="36">
        <f t="shared" si="90"/>
        <v>0</v>
      </c>
      <c r="S83" s="36">
        <f t="shared" si="75"/>
        <v>0</v>
      </c>
      <c r="T83" s="2">
        <f t="shared" si="94"/>
        <v>489.44</v>
      </c>
      <c r="U83" s="34">
        <f t="shared" si="95"/>
        <v>2407</v>
      </c>
      <c r="V83" s="57">
        <f t="shared" si="61"/>
        <v>57725</v>
      </c>
      <c r="W83" s="16">
        <f t="shared" si="63"/>
        <v>34</v>
      </c>
      <c r="X83" s="903" t="s">
        <v>111</v>
      </c>
      <c r="Y83" s="903"/>
      <c r="Z83" s="145" t="s">
        <v>456</v>
      </c>
      <c r="AA83" s="145" t="s">
        <v>457</v>
      </c>
      <c r="AB83" s="145" t="s">
        <v>458</v>
      </c>
      <c r="AC83" s="145" t="s">
        <v>459</v>
      </c>
      <c r="AD83" s="145" t="s">
        <v>460</v>
      </c>
      <c r="AI83" s="2">
        <f t="shared" si="59"/>
        <v>645.55999999999995</v>
      </c>
      <c r="AJ83" s="34">
        <f t="shared" si="60"/>
        <v>2407</v>
      </c>
      <c r="AK83" s="57">
        <f t="shared" si="62"/>
        <v>57725</v>
      </c>
      <c r="AL83" s="130">
        <f t="shared" si="85"/>
        <v>0</v>
      </c>
      <c r="AM83" s="769">
        <f t="shared" si="88"/>
        <v>75</v>
      </c>
      <c r="AN83" s="770">
        <f t="shared" si="76"/>
        <v>47597</v>
      </c>
      <c r="AO83" s="105">
        <f t="shared" si="92"/>
        <v>0</v>
      </c>
      <c r="AP83" s="105">
        <f t="shared" si="77"/>
        <v>0</v>
      </c>
      <c r="AQ83" s="105">
        <f t="shared" si="51"/>
        <v>0</v>
      </c>
      <c r="AR83" s="105">
        <f t="shared" si="78"/>
        <v>0</v>
      </c>
      <c r="AS83" s="105">
        <f t="shared" si="52"/>
        <v>0</v>
      </c>
      <c r="AT83" s="105">
        <f t="shared" si="53"/>
        <v>0</v>
      </c>
      <c r="AU83" s="105">
        <f t="shared" si="54"/>
        <v>0</v>
      </c>
      <c r="AV83" s="105">
        <f t="shared" si="55"/>
        <v>0</v>
      </c>
      <c r="AW83" s="105">
        <f t="shared" si="56"/>
        <v>0</v>
      </c>
      <c r="AX83" s="108">
        <f t="shared" si="89"/>
        <v>0</v>
      </c>
      <c r="AY83" s="108">
        <f t="shared" si="79"/>
        <v>0</v>
      </c>
      <c r="AZ83" s="759">
        <f t="shared" si="70"/>
        <v>47597</v>
      </c>
      <c r="BA83" s="108">
        <f t="shared" si="80"/>
        <v>0</v>
      </c>
      <c r="BB83" s="2" t="e">
        <f t="shared" si="64"/>
        <v>#VALUE!</v>
      </c>
    </row>
    <row r="84" spans="1:54" s="16" customFormat="1" ht="12" x14ac:dyDescent="0.25">
      <c r="A84" s="2"/>
      <c r="B84" s="2"/>
      <c r="C84" s="1"/>
      <c r="D84" s="1"/>
      <c r="E84" s="767">
        <f t="shared" si="86"/>
        <v>76</v>
      </c>
      <c r="F84" s="768">
        <f t="shared" si="71"/>
        <v>47627</v>
      </c>
      <c r="G84" s="24">
        <f t="shared" si="69"/>
        <v>0</v>
      </c>
      <c r="H84" s="24">
        <f t="shared" si="72"/>
        <v>0</v>
      </c>
      <c r="I84" s="24">
        <f t="shared" si="84"/>
        <v>44144.790000000023</v>
      </c>
      <c r="J84" s="24">
        <f t="shared" si="67"/>
        <v>0</v>
      </c>
      <c r="K84" s="24">
        <f t="shared" si="73"/>
        <v>0</v>
      </c>
      <c r="L84" s="24">
        <f t="shared" si="81"/>
        <v>0</v>
      </c>
      <c r="M84" s="24">
        <f t="shared" si="30"/>
        <v>0</v>
      </c>
      <c r="N84" s="24">
        <f t="shared" si="20"/>
        <v>0</v>
      </c>
      <c r="O84" s="24">
        <f t="shared" si="82"/>
        <v>0</v>
      </c>
      <c r="P84" s="24">
        <f t="shared" si="83"/>
        <v>0</v>
      </c>
      <c r="Q84" s="24">
        <f t="shared" si="74"/>
        <v>0</v>
      </c>
      <c r="R84" s="36">
        <f t="shared" si="90"/>
        <v>0</v>
      </c>
      <c r="S84" s="36">
        <f t="shared" si="75"/>
        <v>0</v>
      </c>
      <c r="T84" s="2">
        <f t="shared" si="94"/>
        <v>449.83</v>
      </c>
      <c r="U84" s="34">
        <f t="shared" si="95"/>
        <v>2407</v>
      </c>
      <c r="V84" s="57">
        <f t="shared" si="61"/>
        <v>58090</v>
      </c>
      <c r="W84" s="16">
        <f t="shared" si="63"/>
        <v>35</v>
      </c>
      <c r="X84" s="133" t="s">
        <v>96</v>
      </c>
      <c r="Y84" s="133" t="s">
        <v>97</v>
      </c>
      <c r="Z84" s="133" t="s">
        <v>98</v>
      </c>
      <c r="AA84" s="741"/>
      <c r="AB84" s="741"/>
      <c r="AC84" s="741"/>
      <c r="AD84" s="741"/>
      <c r="AI84" s="2">
        <f t="shared" si="59"/>
        <v>588.69000000000005</v>
      </c>
      <c r="AJ84" s="34">
        <f t="shared" si="60"/>
        <v>2407</v>
      </c>
      <c r="AK84" s="57">
        <f t="shared" si="62"/>
        <v>58090</v>
      </c>
      <c r="AL84" s="130">
        <f t="shared" si="85"/>
        <v>0</v>
      </c>
      <c r="AM84" s="769">
        <f t="shared" si="88"/>
        <v>76</v>
      </c>
      <c r="AN84" s="770">
        <f t="shared" si="76"/>
        <v>47627</v>
      </c>
      <c r="AO84" s="105">
        <f t="shared" si="92"/>
        <v>0</v>
      </c>
      <c r="AP84" s="105">
        <f t="shared" si="77"/>
        <v>0</v>
      </c>
      <c r="AQ84" s="105">
        <f t="shared" si="51"/>
        <v>0</v>
      </c>
      <c r="AR84" s="105">
        <f t="shared" si="78"/>
        <v>0</v>
      </c>
      <c r="AS84" s="105">
        <f t="shared" si="52"/>
        <v>0</v>
      </c>
      <c r="AT84" s="105">
        <f t="shared" si="53"/>
        <v>0</v>
      </c>
      <c r="AU84" s="105">
        <f t="shared" si="54"/>
        <v>0</v>
      </c>
      <c r="AV84" s="105">
        <f t="shared" si="55"/>
        <v>0</v>
      </c>
      <c r="AW84" s="105">
        <f t="shared" si="56"/>
        <v>0</v>
      </c>
      <c r="AX84" s="108">
        <f t="shared" si="89"/>
        <v>0</v>
      </c>
      <c r="AY84" s="108">
        <f t="shared" si="79"/>
        <v>0</v>
      </c>
      <c r="AZ84" s="759">
        <f t="shared" si="70"/>
        <v>47627</v>
      </c>
      <c r="BA84" s="108">
        <f t="shared" si="80"/>
        <v>0</v>
      </c>
      <c r="BB84" s="2" t="e">
        <f t="shared" si="64"/>
        <v>#VALUE!</v>
      </c>
    </row>
    <row r="85" spans="1:54" s="16" customFormat="1" ht="12.6" thickBot="1" x14ac:dyDescent="0.3">
      <c r="A85" s="2"/>
      <c r="B85" s="2"/>
      <c r="C85" s="1"/>
      <c r="D85" s="1"/>
      <c r="E85" s="767">
        <f t="shared" si="86"/>
        <v>77</v>
      </c>
      <c r="F85" s="768">
        <f t="shared" si="71"/>
        <v>47658</v>
      </c>
      <c r="G85" s="24">
        <f t="shared" si="69"/>
        <v>0</v>
      </c>
      <c r="H85" s="24">
        <f t="shared" si="72"/>
        <v>0</v>
      </c>
      <c r="I85" s="24">
        <f t="shared" si="84"/>
        <v>44144.790000000023</v>
      </c>
      <c r="J85" s="24">
        <f t="shared" si="67"/>
        <v>0</v>
      </c>
      <c r="K85" s="24">
        <f t="shared" si="73"/>
        <v>0</v>
      </c>
      <c r="L85" s="24">
        <f t="shared" si="81"/>
        <v>0</v>
      </c>
      <c r="M85" s="24">
        <f t="shared" si="30"/>
        <v>0</v>
      </c>
      <c r="N85" s="24">
        <f t="shared" si="20"/>
        <v>0</v>
      </c>
      <c r="O85" s="24">
        <f t="shared" si="82"/>
        <v>0</v>
      </c>
      <c r="P85" s="24">
        <f t="shared" si="83"/>
        <v>0</v>
      </c>
      <c r="Q85" s="24">
        <f t="shared" si="74"/>
        <v>0</v>
      </c>
      <c r="R85" s="36">
        <f t="shared" si="90"/>
        <v>0</v>
      </c>
      <c r="S85" s="36">
        <f t="shared" si="75"/>
        <v>0</v>
      </c>
      <c r="T85" s="2">
        <f t="shared" si="94"/>
        <v>439.41</v>
      </c>
      <c r="U85" s="34">
        <f t="shared" si="95"/>
        <v>2407</v>
      </c>
      <c r="V85" s="57">
        <f t="shared" si="61"/>
        <v>58455</v>
      </c>
      <c r="W85" s="16">
        <f t="shared" si="63"/>
        <v>36</v>
      </c>
      <c r="X85" s="170">
        <v>20000</v>
      </c>
      <c r="Y85" s="171">
        <v>220000</v>
      </c>
      <c r="Z85" s="652">
        <v>1.42</v>
      </c>
      <c r="AA85" s="652">
        <v>1.4</v>
      </c>
      <c r="AB85" s="652">
        <v>1.35</v>
      </c>
      <c r="AC85" s="741"/>
      <c r="AD85" s="741"/>
      <c r="AE85" s="16">
        <f>IF($C$10&gt;48,AB85,IF($C$94&gt;36,AA85,Z85))</f>
        <v>1.42</v>
      </c>
      <c r="AI85" s="2">
        <f t="shared" si="59"/>
        <v>569.86</v>
      </c>
      <c r="AJ85" s="34">
        <f t="shared" si="60"/>
        <v>2407</v>
      </c>
      <c r="AK85" s="57">
        <f t="shared" si="62"/>
        <v>58455</v>
      </c>
      <c r="AL85" s="130">
        <f t="shared" si="85"/>
        <v>0</v>
      </c>
      <c r="AM85" s="769">
        <f t="shared" si="88"/>
        <v>77</v>
      </c>
      <c r="AN85" s="770">
        <f t="shared" si="76"/>
        <v>47658</v>
      </c>
      <c r="AO85" s="105">
        <f t="shared" si="92"/>
        <v>0</v>
      </c>
      <c r="AP85" s="105">
        <f t="shared" si="77"/>
        <v>0</v>
      </c>
      <c r="AQ85" s="105">
        <f t="shared" si="51"/>
        <v>0</v>
      </c>
      <c r="AR85" s="105">
        <f t="shared" si="78"/>
        <v>0</v>
      </c>
      <c r="AS85" s="105">
        <f t="shared" si="52"/>
        <v>0</v>
      </c>
      <c r="AT85" s="105">
        <f t="shared" si="53"/>
        <v>0</v>
      </c>
      <c r="AU85" s="105">
        <f t="shared" si="54"/>
        <v>0</v>
      </c>
      <c r="AV85" s="105">
        <f t="shared" si="55"/>
        <v>0</v>
      </c>
      <c r="AW85" s="105">
        <f t="shared" si="56"/>
        <v>0</v>
      </c>
      <c r="AX85" s="108">
        <f t="shared" si="89"/>
        <v>0</v>
      </c>
      <c r="AY85" s="108">
        <f t="shared" si="79"/>
        <v>0</v>
      </c>
      <c r="AZ85" s="759">
        <f t="shared" si="70"/>
        <v>47658</v>
      </c>
      <c r="BA85" s="108">
        <f t="shared" si="80"/>
        <v>0</v>
      </c>
      <c r="BB85" s="2" t="e">
        <f t="shared" si="64"/>
        <v>#VALUE!</v>
      </c>
    </row>
    <row r="86" spans="1:54" s="16" customFormat="1" ht="12.6" thickBot="1" x14ac:dyDescent="0.3">
      <c r="A86" s="2"/>
      <c r="B86" s="2"/>
      <c r="C86" s="1"/>
      <c r="D86" s="1"/>
      <c r="E86" s="767">
        <f t="shared" si="86"/>
        <v>78</v>
      </c>
      <c r="F86" s="768">
        <f t="shared" si="71"/>
        <v>47688</v>
      </c>
      <c r="G86" s="24">
        <f t="shared" si="69"/>
        <v>0</v>
      </c>
      <c r="H86" s="24">
        <f t="shared" si="72"/>
        <v>0</v>
      </c>
      <c r="I86" s="24">
        <f t="shared" si="84"/>
        <v>44144.790000000023</v>
      </c>
      <c r="J86" s="24">
        <f t="shared" si="67"/>
        <v>0</v>
      </c>
      <c r="K86" s="24">
        <f t="shared" si="73"/>
        <v>0</v>
      </c>
      <c r="L86" s="24">
        <f t="shared" si="81"/>
        <v>0</v>
      </c>
      <c r="M86" s="24">
        <f t="shared" si="30"/>
        <v>0</v>
      </c>
      <c r="N86" s="24">
        <f t="shared" si="20"/>
        <v>0</v>
      </c>
      <c r="O86" s="24">
        <f t="shared" si="82"/>
        <v>0</v>
      </c>
      <c r="P86" s="24">
        <f t="shared" si="83"/>
        <v>0</v>
      </c>
      <c r="Q86" s="24">
        <f t="shared" si="74"/>
        <v>0</v>
      </c>
      <c r="R86" s="36">
        <f t="shared" si="90"/>
        <v>0</v>
      </c>
      <c r="S86" s="36">
        <f t="shared" si="75"/>
        <v>0</v>
      </c>
      <c r="T86" s="2">
        <f t="shared" si="94"/>
        <v>413.78</v>
      </c>
      <c r="U86" s="34">
        <f t="shared" si="95"/>
        <v>2407</v>
      </c>
      <c r="V86" s="57">
        <f t="shared" si="61"/>
        <v>58820</v>
      </c>
      <c r="W86" s="16">
        <f t="shared" si="63"/>
        <v>37</v>
      </c>
      <c r="X86" s="170">
        <v>20000</v>
      </c>
      <c r="Y86" s="171">
        <v>220000</v>
      </c>
      <c r="Z86" s="652">
        <v>1.42</v>
      </c>
      <c r="AA86" s="652">
        <v>1.4</v>
      </c>
      <c r="AB86" s="652">
        <v>1.35</v>
      </c>
      <c r="AC86" s="741"/>
      <c r="AD86" s="741"/>
      <c r="AE86" s="16">
        <f>IF($C$10&gt;48,AB86,IF($C$94&gt;36,AA86,Z86))</f>
        <v>1.42</v>
      </c>
      <c r="AI86" s="2">
        <f t="shared" si="59"/>
        <v>531.01</v>
      </c>
      <c r="AJ86" s="34">
        <f t="shared" si="60"/>
        <v>2407</v>
      </c>
      <c r="AK86" s="57">
        <f t="shared" si="62"/>
        <v>58820</v>
      </c>
      <c r="AL86" s="130">
        <f t="shared" si="85"/>
        <v>0</v>
      </c>
      <c r="AM86" s="769">
        <f t="shared" si="88"/>
        <v>78</v>
      </c>
      <c r="AN86" s="770">
        <f t="shared" si="76"/>
        <v>47688</v>
      </c>
      <c r="AO86" s="105">
        <f t="shared" si="92"/>
        <v>0</v>
      </c>
      <c r="AP86" s="105">
        <f t="shared" si="77"/>
        <v>0</v>
      </c>
      <c r="AQ86" s="105">
        <f t="shared" si="51"/>
        <v>0</v>
      </c>
      <c r="AR86" s="105">
        <f t="shared" si="78"/>
        <v>0</v>
      </c>
      <c r="AS86" s="105">
        <f t="shared" si="52"/>
        <v>0</v>
      </c>
      <c r="AT86" s="105">
        <f t="shared" si="53"/>
        <v>0</v>
      </c>
      <c r="AU86" s="105">
        <f t="shared" si="54"/>
        <v>0</v>
      </c>
      <c r="AV86" s="105">
        <f t="shared" si="55"/>
        <v>0</v>
      </c>
      <c r="AW86" s="105">
        <f t="shared" si="56"/>
        <v>0</v>
      </c>
      <c r="AX86" s="108">
        <f t="shared" si="89"/>
        <v>0</v>
      </c>
      <c r="AY86" s="108">
        <f t="shared" si="79"/>
        <v>0</v>
      </c>
      <c r="AZ86" s="759">
        <f t="shared" si="70"/>
        <v>47688</v>
      </c>
      <c r="BA86" s="108">
        <f t="shared" si="80"/>
        <v>0</v>
      </c>
      <c r="BB86" s="2" t="e">
        <f t="shared" si="64"/>
        <v>#VALUE!</v>
      </c>
    </row>
    <row r="87" spans="1:54" s="16" customFormat="1" ht="12.6" thickBot="1" x14ac:dyDescent="0.3">
      <c r="A87" s="2"/>
      <c r="B87" s="13">
        <f>H87</f>
        <v>0</v>
      </c>
      <c r="C87" s="801">
        <f>K87</f>
        <v>0</v>
      </c>
      <c r="D87" s="1"/>
      <c r="E87" s="767">
        <f t="shared" si="86"/>
        <v>79</v>
      </c>
      <c r="F87" s="768">
        <f t="shared" si="71"/>
        <v>47719</v>
      </c>
      <c r="G87" s="24">
        <f t="shared" si="69"/>
        <v>0</v>
      </c>
      <c r="H87" s="24">
        <f t="shared" si="72"/>
        <v>0</v>
      </c>
      <c r="I87" s="24">
        <f t="shared" si="84"/>
        <v>44144.790000000023</v>
      </c>
      <c r="J87" s="24">
        <f t="shared" si="67"/>
        <v>0</v>
      </c>
      <c r="K87" s="24">
        <f t="shared" si="73"/>
        <v>0</v>
      </c>
      <c r="L87" s="24">
        <f t="shared" si="81"/>
        <v>0</v>
      </c>
      <c r="M87" s="24">
        <f t="shared" ref="M87:M150" si="96">O86-L86</f>
        <v>0</v>
      </c>
      <c r="N87" s="24">
        <f t="shared" ref="N87:N150" si="97">H87+O87</f>
        <v>0</v>
      </c>
      <c r="O87" s="24">
        <f t="shared" si="82"/>
        <v>0</v>
      </c>
      <c r="P87" s="24">
        <f t="shared" si="83"/>
        <v>0</v>
      </c>
      <c r="Q87" s="24">
        <f t="shared" si="74"/>
        <v>0</v>
      </c>
      <c r="R87" s="36">
        <f t="shared" si="90"/>
        <v>0</v>
      </c>
      <c r="S87" s="36">
        <f t="shared" si="75"/>
        <v>0</v>
      </c>
      <c r="T87" s="2">
        <f t="shared" si="94"/>
        <v>350.11</v>
      </c>
      <c r="U87" s="34">
        <f t="shared" si="95"/>
        <v>2407</v>
      </c>
      <c r="V87" s="57">
        <f t="shared" si="61"/>
        <v>59185</v>
      </c>
      <c r="W87" s="16">
        <f t="shared" si="63"/>
        <v>38</v>
      </c>
      <c r="X87" s="170">
        <v>20000</v>
      </c>
      <c r="Y87" s="171">
        <v>220000</v>
      </c>
      <c r="Z87" s="652">
        <v>1.42</v>
      </c>
      <c r="AA87" s="652">
        <v>1.4</v>
      </c>
      <c r="AB87" s="652">
        <v>1.35</v>
      </c>
      <c r="AC87" s="741"/>
      <c r="AD87" s="741"/>
      <c r="AE87" s="16">
        <f>IF($C$10&gt;48,AB87,IF($C$94&gt;36,AA87,Z87))</f>
        <v>1.42</v>
      </c>
      <c r="AI87" s="2">
        <f t="shared" si="59"/>
        <v>443.79</v>
      </c>
      <c r="AJ87" s="34">
        <f t="shared" si="60"/>
        <v>2407</v>
      </c>
      <c r="AK87" s="57">
        <f t="shared" si="62"/>
        <v>59185</v>
      </c>
      <c r="AL87" s="130">
        <f t="shared" si="85"/>
        <v>0</v>
      </c>
      <c r="AM87" s="769">
        <f t="shared" si="88"/>
        <v>79</v>
      </c>
      <c r="AN87" s="770">
        <f t="shared" si="76"/>
        <v>47719</v>
      </c>
      <c r="AO87" s="105">
        <f t="shared" si="92"/>
        <v>0</v>
      </c>
      <c r="AP87" s="105">
        <f t="shared" si="77"/>
        <v>0</v>
      </c>
      <c r="AQ87" s="105">
        <f t="shared" si="51"/>
        <v>0</v>
      </c>
      <c r="AR87" s="105">
        <f t="shared" si="78"/>
        <v>0</v>
      </c>
      <c r="AS87" s="105">
        <f t="shared" si="52"/>
        <v>0</v>
      </c>
      <c r="AT87" s="105">
        <f t="shared" si="53"/>
        <v>0</v>
      </c>
      <c r="AU87" s="105">
        <f t="shared" si="54"/>
        <v>0</v>
      </c>
      <c r="AV87" s="105">
        <f t="shared" si="55"/>
        <v>0</v>
      </c>
      <c r="AW87" s="105">
        <f t="shared" si="56"/>
        <v>0</v>
      </c>
      <c r="AX87" s="108">
        <f t="shared" si="89"/>
        <v>0</v>
      </c>
      <c r="AY87" s="108">
        <f t="shared" si="79"/>
        <v>0</v>
      </c>
      <c r="AZ87" s="759">
        <f t="shared" si="70"/>
        <v>47719</v>
      </c>
      <c r="BA87" s="108">
        <f t="shared" si="80"/>
        <v>0</v>
      </c>
      <c r="BB87" s="2" t="e">
        <f t="shared" si="64"/>
        <v>#VALUE!</v>
      </c>
    </row>
    <row r="88" spans="1:54" s="16" customFormat="1" ht="12.6" thickBot="1" x14ac:dyDescent="0.3">
      <c r="A88" s="2"/>
      <c r="B88" s="2"/>
      <c r="C88" s="1"/>
      <c r="D88" s="1"/>
      <c r="E88" s="767">
        <f t="shared" si="86"/>
        <v>80</v>
      </c>
      <c r="F88" s="768">
        <f t="shared" si="71"/>
        <v>47750</v>
      </c>
      <c r="G88" s="24">
        <f t="shared" si="69"/>
        <v>0</v>
      </c>
      <c r="H88" s="24">
        <f t="shared" si="72"/>
        <v>0</v>
      </c>
      <c r="I88" s="24">
        <f t="shared" si="84"/>
        <v>44144.790000000023</v>
      </c>
      <c r="J88" s="24">
        <f t="shared" si="67"/>
        <v>0</v>
      </c>
      <c r="K88" s="24">
        <f t="shared" si="73"/>
        <v>0</v>
      </c>
      <c r="L88" s="24">
        <f t="shared" si="81"/>
        <v>0</v>
      </c>
      <c r="M88" s="24">
        <f t="shared" si="96"/>
        <v>0</v>
      </c>
      <c r="N88" s="24">
        <f t="shared" si="97"/>
        <v>0</v>
      </c>
      <c r="O88" s="24">
        <f t="shared" si="82"/>
        <v>0</v>
      </c>
      <c r="P88" s="24">
        <f t="shared" si="83"/>
        <v>0</v>
      </c>
      <c r="Q88" s="24">
        <f t="shared" si="74"/>
        <v>0</v>
      </c>
      <c r="R88" s="36">
        <f t="shared" si="90"/>
        <v>0</v>
      </c>
      <c r="S88" s="36">
        <f t="shared" si="75"/>
        <v>0</v>
      </c>
      <c r="T88" s="2">
        <f t="shared" si="94"/>
        <v>360.18</v>
      </c>
      <c r="U88" s="34">
        <f t="shared" si="95"/>
        <v>2407</v>
      </c>
      <c r="V88" s="57">
        <f t="shared" si="61"/>
        <v>59550</v>
      </c>
      <c r="W88" s="16">
        <f t="shared" si="63"/>
        <v>39</v>
      </c>
      <c r="X88" s="170">
        <v>220001</v>
      </c>
      <c r="Y88" s="171">
        <v>500000</v>
      </c>
      <c r="Z88" s="652">
        <v>0.97</v>
      </c>
      <c r="AA88" s="652">
        <v>0.95</v>
      </c>
      <c r="AB88" s="652">
        <v>0.93</v>
      </c>
      <c r="AC88" s="741"/>
      <c r="AD88" s="741"/>
      <c r="AE88" s="16">
        <f>IF($C$10&gt;48,AB88,IF($C$94&gt;36,AA88,Z88))</f>
        <v>0.97</v>
      </c>
      <c r="AI88" s="2">
        <f>IF(AND(AM48&gt;=$T$14,AM48&lt;=$T$14+5),0,IF($C$9&gt;$AC$52,ROUND(AW46*$AI$46/(DATEVALUE(CONCATENATE("01/01/",YEAR(AN48)+1))-DATEVALUE(CONCATENATE("01/01/",YEAR(AN48))))*(AN48-AN46),2),0))</f>
        <v>885.12</v>
      </c>
      <c r="AJ88" s="34">
        <f t="shared" ref="AJ88:AJ119" si="98">IF(AI88=0,IF(AI87=0,0,$AJ$46),AO48)</f>
        <v>2407</v>
      </c>
      <c r="AK88" s="57">
        <f t="shared" si="62"/>
        <v>59550</v>
      </c>
      <c r="AL88" s="130">
        <f t="shared" si="85"/>
        <v>0</v>
      </c>
      <c r="AM88" s="769">
        <f t="shared" si="88"/>
        <v>80</v>
      </c>
      <c r="AN88" s="770">
        <f t="shared" si="76"/>
        <v>47750</v>
      </c>
      <c r="AO88" s="105">
        <f t="shared" si="92"/>
        <v>0</v>
      </c>
      <c r="AP88" s="105">
        <f t="shared" si="77"/>
        <v>0</v>
      </c>
      <c r="AQ88" s="105">
        <f t="shared" si="51"/>
        <v>0</v>
      </c>
      <c r="AR88" s="105">
        <f t="shared" si="78"/>
        <v>0</v>
      </c>
      <c r="AS88" s="105">
        <f t="shared" si="52"/>
        <v>0</v>
      </c>
      <c r="AT88" s="105">
        <f t="shared" si="53"/>
        <v>0</v>
      </c>
      <c r="AU88" s="105">
        <f t="shared" si="54"/>
        <v>0</v>
      </c>
      <c r="AV88" s="105">
        <f t="shared" si="55"/>
        <v>0</v>
      </c>
      <c r="AW88" s="105">
        <f t="shared" si="56"/>
        <v>0</v>
      </c>
      <c r="AX88" s="108">
        <f t="shared" si="89"/>
        <v>0</v>
      </c>
      <c r="AY88" s="108">
        <f t="shared" si="79"/>
        <v>0</v>
      </c>
      <c r="AZ88" s="759">
        <f t="shared" si="70"/>
        <v>47750</v>
      </c>
      <c r="BA88" s="108">
        <f t="shared" si="80"/>
        <v>0</v>
      </c>
      <c r="BB88" s="2" t="e">
        <f t="shared" si="64"/>
        <v>#VALUE!</v>
      </c>
    </row>
    <row r="89" spans="1:54" s="16" customFormat="1" ht="12.6" thickBot="1" x14ac:dyDescent="0.3">
      <c r="A89" s="2"/>
      <c r="B89" s="2"/>
      <c r="C89" s="1"/>
      <c r="D89" s="1"/>
      <c r="E89" s="767">
        <f t="shared" si="86"/>
        <v>81</v>
      </c>
      <c r="F89" s="768">
        <f t="shared" si="71"/>
        <v>47780</v>
      </c>
      <c r="G89" s="24">
        <f t="shared" si="69"/>
        <v>0</v>
      </c>
      <c r="H89" s="24">
        <f t="shared" si="72"/>
        <v>0</v>
      </c>
      <c r="I89" s="24">
        <f t="shared" si="84"/>
        <v>44144.790000000023</v>
      </c>
      <c r="J89" s="24">
        <f t="shared" si="67"/>
        <v>0</v>
      </c>
      <c r="K89" s="24">
        <f t="shared" si="73"/>
        <v>0</v>
      </c>
      <c r="L89" s="24">
        <f t="shared" si="81"/>
        <v>0</v>
      </c>
      <c r="M89" s="24">
        <f t="shared" si="96"/>
        <v>0</v>
      </c>
      <c r="N89" s="24">
        <f t="shared" si="97"/>
        <v>0</v>
      </c>
      <c r="O89" s="24">
        <f t="shared" si="82"/>
        <v>0</v>
      </c>
      <c r="P89" s="24">
        <f t="shared" si="83"/>
        <v>0</v>
      </c>
      <c r="Q89" s="24">
        <f t="shared" si="74"/>
        <v>0</v>
      </c>
      <c r="R89" s="36">
        <f t="shared" si="90"/>
        <v>0</v>
      </c>
      <c r="S89" s="36">
        <f t="shared" si="75"/>
        <v>0</v>
      </c>
      <c r="T89" s="2">
        <f t="shared" si="94"/>
        <v>322.20999999999998</v>
      </c>
      <c r="U89" s="34">
        <f t="shared" si="95"/>
        <v>2407</v>
      </c>
      <c r="V89" s="57">
        <f t="shared" si="61"/>
        <v>59915</v>
      </c>
      <c r="W89" s="16">
        <f t="shared" si="63"/>
        <v>40</v>
      </c>
      <c r="X89" s="171">
        <v>500001</v>
      </c>
      <c r="Y89" s="171">
        <v>1000000</v>
      </c>
      <c r="Z89" s="652">
        <v>1.52</v>
      </c>
      <c r="AA89" s="652">
        <v>1.52</v>
      </c>
      <c r="AB89" s="652">
        <v>1.52</v>
      </c>
      <c r="AC89" s="652">
        <v>1.52</v>
      </c>
      <c r="AD89" s="652">
        <v>1.52</v>
      </c>
      <c r="AE89" s="16">
        <f>IF($C$10&gt;72,AD89,IF($C$10&gt;60,AC89,IF($C$10&gt;48,AB89,IF($C$94&gt;36,AA89,Z89))))</f>
        <v>1.52</v>
      </c>
      <c r="AI89" s="2">
        <f t="shared" ref="AI89:AI120" si="99">IF(AND(AM49&gt;=$T$14,AM49&lt;=$T$14+5),0,IF($C$9&gt;$AC$52,ROUND(AW48*$AI$46/(DATEVALUE(CONCATENATE("01/01/",YEAR(AN49)+1))-DATEVALUE(CONCATENATE("01/01/",YEAR(AN49))))*(AN49-AN48),2),0))</f>
        <v>365.88</v>
      </c>
      <c r="AJ89" s="34">
        <f t="shared" si="98"/>
        <v>2407</v>
      </c>
      <c r="AK89" s="57">
        <f t="shared" si="62"/>
        <v>59915</v>
      </c>
      <c r="AL89" s="130">
        <f t="shared" si="85"/>
        <v>0</v>
      </c>
      <c r="AM89" s="769">
        <f t="shared" si="88"/>
        <v>81</v>
      </c>
      <c r="AN89" s="770">
        <f t="shared" si="76"/>
        <v>47780</v>
      </c>
      <c r="AO89" s="105">
        <f t="shared" si="92"/>
        <v>0</v>
      </c>
      <c r="AP89" s="105">
        <f t="shared" si="77"/>
        <v>0</v>
      </c>
      <c r="AQ89" s="105">
        <f t="shared" si="51"/>
        <v>0</v>
      </c>
      <c r="AR89" s="105">
        <f t="shared" si="78"/>
        <v>0</v>
      </c>
      <c r="AS89" s="105">
        <f t="shared" si="52"/>
        <v>0</v>
      </c>
      <c r="AT89" s="105">
        <f t="shared" si="53"/>
        <v>0</v>
      </c>
      <c r="AU89" s="105">
        <f t="shared" si="54"/>
        <v>0</v>
      </c>
      <c r="AV89" s="105">
        <f t="shared" si="55"/>
        <v>0</v>
      </c>
      <c r="AW89" s="105">
        <f t="shared" si="56"/>
        <v>0</v>
      </c>
      <c r="AX89" s="108">
        <f t="shared" si="89"/>
        <v>0</v>
      </c>
      <c r="AY89" s="108">
        <f t="shared" si="79"/>
        <v>0</v>
      </c>
      <c r="AZ89" s="759">
        <f t="shared" si="70"/>
        <v>47780</v>
      </c>
      <c r="BA89" s="108">
        <f t="shared" si="80"/>
        <v>0</v>
      </c>
      <c r="BB89" s="2" t="e">
        <f t="shared" si="64"/>
        <v>#VALUE!</v>
      </c>
    </row>
    <row r="90" spans="1:54" s="16" customFormat="1" ht="12.6" thickBot="1" x14ac:dyDescent="0.3">
      <c r="A90" s="2"/>
      <c r="B90" s="2"/>
      <c r="C90" s="1"/>
      <c r="D90" s="1"/>
      <c r="E90" s="767">
        <f t="shared" si="86"/>
        <v>82</v>
      </c>
      <c r="F90" s="768">
        <f t="shared" si="71"/>
        <v>47811</v>
      </c>
      <c r="G90" s="24">
        <f t="shared" si="69"/>
        <v>0</v>
      </c>
      <c r="H90" s="24">
        <f t="shared" si="72"/>
        <v>0</v>
      </c>
      <c r="I90" s="24">
        <f t="shared" si="84"/>
        <v>44144.790000000023</v>
      </c>
      <c r="J90" s="24">
        <f t="shared" si="67"/>
        <v>0</v>
      </c>
      <c r="K90" s="24">
        <f t="shared" si="73"/>
        <v>0</v>
      </c>
      <c r="L90" s="24">
        <f t="shared" si="81"/>
        <v>0</v>
      </c>
      <c r="M90" s="24">
        <f t="shared" si="96"/>
        <v>0</v>
      </c>
      <c r="N90" s="24">
        <f t="shared" si="97"/>
        <v>0</v>
      </c>
      <c r="O90" s="24">
        <f t="shared" si="82"/>
        <v>0</v>
      </c>
      <c r="P90" s="24">
        <f t="shared" si="83"/>
        <v>0</v>
      </c>
      <c r="Q90" s="24">
        <f t="shared" si="74"/>
        <v>0</v>
      </c>
      <c r="R90" s="36">
        <f t="shared" si="90"/>
        <v>0</v>
      </c>
      <c r="S90" s="36">
        <f t="shared" si="75"/>
        <v>0</v>
      </c>
      <c r="T90" s="2">
        <f t="shared" si="94"/>
        <v>304.94</v>
      </c>
      <c r="U90" s="34">
        <f t="shared" si="95"/>
        <v>2407</v>
      </c>
      <c r="V90" s="57">
        <f t="shared" si="61"/>
        <v>60280</v>
      </c>
      <c r="W90" s="16">
        <f t="shared" si="63"/>
        <v>41</v>
      </c>
      <c r="X90" s="171">
        <v>1000001</v>
      </c>
      <c r="Y90" s="171">
        <v>5000000</v>
      </c>
      <c r="Z90" s="652">
        <v>1.25</v>
      </c>
      <c r="AA90" s="652">
        <v>1.25</v>
      </c>
      <c r="AB90" s="652">
        <v>1.25</v>
      </c>
      <c r="AC90" s="652">
        <v>1.25</v>
      </c>
      <c r="AD90" s="652">
        <v>1.25</v>
      </c>
      <c r="AE90" s="16">
        <f>IF($C$10&gt;72,AD90,IF($C$10&gt;60,AC90,IF($C$10&gt;48,AB90,IF($C$94&gt;36,AA90,Z90))))</f>
        <v>1.25</v>
      </c>
      <c r="AI90" s="2">
        <f t="shared" si="99"/>
        <v>312.31</v>
      </c>
      <c r="AJ90" s="34">
        <f t="shared" si="98"/>
        <v>2407</v>
      </c>
      <c r="AK90" s="57">
        <f t="shared" si="62"/>
        <v>60280</v>
      </c>
      <c r="AL90" s="130">
        <f t="shared" si="85"/>
        <v>0</v>
      </c>
      <c r="AM90" s="769">
        <f t="shared" si="88"/>
        <v>82</v>
      </c>
      <c r="AN90" s="770">
        <f t="shared" si="76"/>
        <v>47811</v>
      </c>
      <c r="AO90" s="105">
        <f t="shared" si="92"/>
        <v>0</v>
      </c>
      <c r="AP90" s="105">
        <f t="shared" si="77"/>
        <v>0</v>
      </c>
      <c r="AQ90" s="105">
        <f t="shared" si="51"/>
        <v>0</v>
      </c>
      <c r="AR90" s="105">
        <f t="shared" si="78"/>
        <v>0</v>
      </c>
      <c r="AS90" s="105">
        <f t="shared" si="52"/>
        <v>0</v>
      </c>
      <c r="AT90" s="105">
        <f t="shared" si="53"/>
        <v>0</v>
      </c>
      <c r="AU90" s="105">
        <f t="shared" si="54"/>
        <v>0</v>
      </c>
      <c r="AV90" s="105">
        <f t="shared" si="55"/>
        <v>0</v>
      </c>
      <c r="AW90" s="105">
        <f t="shared" si="56"/>
        <v>0</v>
      </c>
      <c r="AX90" s="108">
        <f t="shared" si="89"/>
        <v>0</v>
      </c>
      <c r="AY90" s="108">
        <f t="shared" si="79"/>
        <v>0</v>
      </c>
      <c r="AZ90" s="759">
        <f t="shared" si="70"/>
        <v>47811</v>
      </c>
      <c r="BA90" s="108">
        <f t="shared" si="80"/>
        <v>0</v>
      </c>
      <c r="BB90" s="2" t="e">
        <f t="shared" si="64"/>
        <v>#VALUE!</v>
      </c>
    </row>
    <row r="91" spans="1:54" s="16" customFormat="1" ht="12" x14ac:dyDescent="0.25">
      <c r="A91" s="2"/>
      <c r="B91" s="2"/>
      <c r="C91" s="1"/>
      <c r="D91" s="1"/>
      <c r="E91" s="767">
        <f t="shared" si="86"/>
        <v>83</v>
      </c>
      <c r="F91" s="768">
        <f t="shared" si="71"/>
        <v>47841</v>
      </c>
      <c r="G91" s="24">
        <f t="shared" si="69"/>
        <v>0</v>
      </c>
      <c r="H91" s="24">
        <f t="shared" si="72"/>
        <v>0</v>
      </c>
      <c r="I91" s="24">
        <f t="shared" si="84"/>
        <v>44144.790000000023</v>
      </c>
      <c r="J91" s="24">
        <f t="shared" si="67"/>
        <v>0</v>
      </c>
      <c r="K91" s="24">
        <f t="shared" si="73"/>
        <v>0</v>
      </c>
      <c r="L91" s="24">
        <f t="shared" si="81"/>
        <v>0</v>
      </c>
      <c r="M91" s="24">
        <f t="shared" si="96"/>
        <v>0</v>
      </c>
      <c r="N91" s="24">
        <f t="shared" si="97"/>
        <v>0</v>
      </c>
      <c r="O91" s="24">
        <f t="shared" si="82"/>
        <v>0</v>
      </c>
      <c r="P91" s="24">
        <f t="shared" si="83"/>
        <v>0</v>
      </c>
      <c r="Q91" s="24">
        <f t="shared" si="74"/>
        <v>0</v>
      </c>
      <c r="R91" s="36">
        <f t="shared" si="90"/>
        <v>0</v>
      </c>
      <c r="S91" s="36">
        <f t="shared" si="75"/>
        <v>0</v>
      </c>
      <c r="T91" s="2">
        <f t="shared" si="94"/>
        <v>267.66000000000003</v>
      </c>
      <c r="U91" s="34">
        <f t="shared" si="95"/>
        <v>2407</v>
      </c>
      <c r="V91" s="57">
        <f t="shared" si="61"/>
        <v>60645</v>
      </c>
      <c r="W91" s="16">
        <f t="shared" si="63"/>
        <v>42</v>
      </c>
      <c r="AI91" s="2">
        <f t="shared" si="99"/>
        <v>278.42</v>
      </c>
      <c r="AJ91" s="34">
        <f t="shared" si="98"/>
        <v>2407</v>
      </c>
      <c r="AK91" s="57">
        <f t="shared" si="62"/>
        <v>60645</v>
      </c>
      <c r="AL91" s="130">
        <f t="shared" si="85"/>
        <v>0</v>
      </c>
      <c r="AM91" s="769">
        <f t="shared" si="88"/>
        <v>83</v>
      </c>
      <c r="AN91" s="770">
        <f t="shared" si="76"/>
        <v>47841</v>
      </c>
      <c r="AO91" s="105">
        <f t="shared" si="92"/>
        <v>0</v>
      </c>
      <c r="AP91" s="105">
        <f t="shared" si="77"/>
        <v>0</v>
      </c>
      <c r="AQ91" s="105">
        <f t="shared" si="51"/>
        <v>0</v>
      </c>
      <c r="AR91" s="105">
        <f t="shared" si="78"/>
        <v>0</v>
      </c>
      <c r="AS91" s="105">
        <f t="shared" si="52"/>
        <v>0</v>
      </c>
      <c r="AT91" s="105">
        <f t="shared" si="53"/>
        <v>0</v>
      </c>
      <c r="AU91" s="105">
        <f t="shared" si="54"/>
        <v>0</v>
      </c>
      <c r="AV91" s="105">
        <f t="shared" si="55"/>
        <v>0</v>
      </c>
      <c r="AW91" s="105">
        <f t="shared" si="56"/>
        <v>0</v>
      </c>
      <c r="AX91" s="108">
        <f t="shared" si="89"/>
        <v>0</v>
      </c>
      <c r="AY91" s="108">
        <f t="shared" si="79"/>
        <v>0</v>
      </c>
      <c r="AZ91" s="759">
        <f t="shared" si="70"/>
        <v>47841</v>
      </c>
      <c r="BA91" s="108">
        <f t="shared" si="80"/>
        <v>0</v>
      </c>
      <c r="BB91" s="2" t="e">
        <f t="shared" si="64"/>
        <v>#VALUE!</v>
      </c>
    </row>
    <row r="92" spans="1:54" s="16" customFormat="1" ht="12" x14ac:dyDescent="0.25">
      <c r="A92" s="2"/>
      <c r="B92" s="2"/>
      <c r="C92" s="1"/>
      <c r="D92" s="1"/>
      <c r="E92" s="767">
        <f t="shared" si="86"/>
        <v>84</v>
      </c>
      <c r="F92" s="768">
        <f t="shared" si="71"/>
        <v>47872</v>
      </c>
      <c r="G92" s="24">
        <f t="shared" si="69"/>
        <v>0</v>
      </c>
      <c r="H92" s="24">
        <f t="shared" si="72"/>
        <v>0</v>
      </c>
      <c r="I92" s="24">
        <f t="shared" si="84"/>
        <v>44144.790000000023</v>
      </c>
      <c r="J92" s="24">
        <f t="shared" si="67"/>
        <v>0</v>
      </c>
      <c r="K92" s="24">
        <f t="shared" si="73"/>
        <v>0</v>
      </c>
      <c r="L92" s="24">
        <f t="shared" si="81"/>
        <v>0</v>
      </c>
      <c r="M92" s="24">
        <f t="shared" si="96"/>
        <v>0</v>
      </c>
      <c r="N92" s="24">
        <f t="shared" si="97"/>
        <v>0</v>
      </c>
      <c r="O92" s="24">
        <f t="shared" si="82"/>
        <v>0</v>
      </c>
      <c r="P92" s="24">
        <f t="shared" si="83"/>
        <v>0</v>
      </c>
      <c r="Q92" s="24">
        <f t="shared" si="74"/>
        <v>0</v>
      </c>
      <c r="R92" s="36">
        <f t="shared" si="90"/>
        <v>0</v>
      </c>
      <c r="S92" s="36">
        <f t="shared" si="75"/>
        <v>0</v>
      </c>
      <c r="T92" s="2">
        <f t="shared" si="94"/>
        <v>247.46</v>
      </c>
      <c r="U92" s="34">
        <f t="shared" si="95"/>
        <v>2407</v>
      </c>
      <c r="V92" s="57">
        <f t="shared" si="61"/>
        <v>61010</v>
      </c>
      <c r="W92" s="16">
        <f t="shared" si="63"/>
        <v>43</v>
      </c>
      <c r="X92" s="903" t="s">
        <v>115</v>
      </c>
      <c r="Y92" s="903"/>
      <c r="Z92" s="145" t="s">
        <v>456</v>
      </c>
      <c r="AA92" s="145" t="s">
        <v>457</v>
      </c>
      <c r="AB92" s="145" t="s">
        <v>458</v>
      </c>
      <c r="AC92" s="145" t="s">
        <v>459</v>
      </c>
      <c r="AD92" s="145" t="s">
        <v>460</v>
      </c>
      <c r="AI92" s="2">
        <f t="shared" si="99"/>
        <v>233.4</v>
      </c>
      <c r="AJ92" s="34">
        <f t="shared" si="98"/>
        <v>2407</v>
      </c>
      <c r="AK92" s="57">
        <f t="shared" si="62"/>
        <v>61010</v>
      </c>
      <c r="AL92" s="130">
        <f t="shared" si="85"/>
        <v>0</v>
      </c>
      <c r="AM92" s="769">
        <f t="shared" si="88"/>
        <v>84</v>
      </c>
      <c r="AN92" s="770">
        <f t="shared" si="76"/>
        <v>47872</v>
      </c>
      <c r="AO92" s="105">
        <f t="shared" si="92"/>
        <v>0</v>
      </c>
      <c r="AP92" s="105">
        <f t="shared" si="77"/>
        <v>0</v>
      </c>
      <c r="AQ92" s="105">
        <f t="shared" si="51"/>
        <v>0</v>
      </c>
      <c r="AR92" s="105">
        <f t="shared" si="78"/>
        <v>0</v>
      </c>
      <c r="AS92" s="105">
        <f t="shared" si="52"/>
        <v>0</v>
      </c>
      <c r="AT92" s="105">
        <f t="shared" si="53"/>
        <v>0</v>
      </c>
      <c r="AU92" s="105">
        <f t="shared" si="54"/>
        <v>0</v>
      </c>
      <c r="AV92" s="105">
        <f t="shared" si="55"/>
        <v>0</v>
      </c>
      <c r="AW92" s="105">
        <f t="shared" si="56"/>
        <v>0</v>
      </c>
      <c r="AX92" s="108">
        <f t="shared" si="89"/>
        <v>0</v>
      </c>
      <c r="AY92" s="108">
        <f t="shared" si="79"/>
        <v>0</v>
      </c>
      <c r="AZ92" s="759">
        <f t="shared" si="70"/>
        <v>47872</v>
      </c>
      <c r="BA92" s="108">
        <f t="shared" si="80"/>
        <v>0</v>
      </c>
      <c r="BB92" s="2" t="e">
        <f t="shared" si="64"/>
        <v>#VALUE!</v>
      </c>
    </row>
    <row r="93" spans="1:54" s="16" customFormat="1" ht="12" x14ac:dyDescent="0.25">
      <c r="A93" s="2"/>
      <c r="B93" s="2"/>
      <c r="C93" s="1"/>
      <c r="D93" s="1"/>
      <c r="E93" s="767">
        <f t="shared" si="86"/>
        <v>85</v>
      </c>
      <c r="F93" s="768">
        <f t="shared" si="71"/>
        <v>47903</v>
      </c>
      <c r="G93" s="24">
        <f t="shared" si="69"/>
        <v>0</v>
      </c>
      <c r="H93" s="24">
        <f t="shared" si="72"/>
        <v>0</v>
      </c>
      <c r="I93" s="24">
        <f t="shared" si="84"/>
        <v>44144.790000000023</v>
      </c>
      <c r="J93" s="24">
        <f t="shared" si="67"/>
        <v>0</v>
      </c>
      <c r="K93" s="24">
        <f t="shared" si="73"/>
        <v>0</v>
      </c>
      <c r="L93" s="24">
        <f t="shared" si="81"/>
        <v>0</v>
      </c>
      <c r="M93" s="24">
        <f t="shared" si="96"/>
        <v>0</v>
      </c>
      <c r="N93" s="24">
        <f t="shared" si="97"/>
        <v>0</v>
      </c>
      <c r="O93" s="24">
        <f t="shared" si="82"/>
        <v>0</v>
      </c>
      <c r="P93" s="24">
        <f t="shared" si="83"/>
        <v>0</v>
      </c>
      <c r="Q93" s="24">
        <f t="shared" si="74"/>
        <v>0</v>
      </c>
      <c r="R93" s="36">
        <f t="shared" si="90"/>
        <v>0</v>
      </c>
      <c r="S93" s="36">
        <f t="shared" si="75"/>
        <v>0</v>
      </c>
      <c r="T93" s="2">
        <f t="shared" si="94"/>
        <v>217.94</v>
      </c>
      <c r="U93" s="34">
        <f t="shared" si="95"/>
        <v>2407</v>
      </c>
      <c r="V93" s="57">
        <f t="shared" si="61"/>
        <v>61375</v>
      </c>
      <c r="W93" s="16">
        <f t="shared" si="63"/>
        <v>44</v>
      </c>
      <c r="X93" s="133" t="s">
        <v>96</v>
      </c>
      <c r="Y93" s="133" t="s">
        <v>97</v>
      </c>
      <c r="Z93" s="133" t="s">
        <v>98</v>
      </c>
      <c r="AA93" s="741"/>
      <c r="AB93" s="741"/>
      <c r="AC93" s="741"/>
      <c r="AD93" s="741"/>
      <c r="AI93" s="2">
        <f t="shared" si="99"/>
        <v>181.39</v>
      </c>
      <c r="AJ93" s="34">
        <f t="shared" si="98"/>
        <v>2407</v>
      </c>
      <c r="AK93" s="57">
        <f t="shared" si="62"/>
        <v>61375</v>
      </c>
      <c r="AL93" s="130">
        <f t="shared" si="85"/>
        <v>0</v>
      </c>
      <c r="AM93" s="769">
        <f t="shared" si="88"/>
        <v>85</v>
      </c>
      <c r="AN93" s="770">
        <f t="shared" si="76"/>
        <v>47903</v>
      </c>
      <c r="AO93" s="105">
        <f t="shared" si="92"/>
        <v>0</v>
      </c>
      <c r="AP93" s="105">
        <f t="shared" si="77"/>
        <v>0</v>
      </c>
      <c r="AQ93" s="105">
        <f t="shared" si="51"/>
        <v>0</v>
      </c>
      <c r="AR93" s="105">
        <f t="shared" si="78"/>
        <v>0</v>
      </c>
      <c r="AS93" s="105">
        <f t="shared" si="52"/>
        <v>0</v>
      </c>
      <c r="AT93" s="105">
        <f t="shared" si="53"/>
        <v>0</v>
      </c>
      <c r="AU93" s="105">
        <f t="shared" si="54"/>
        <v>0</v>
      </c>
      <c r="AV93" s="105">
        <f t="shared" si="55"/>
        <v>0</v>
      </c>
      <c r="AW93" s="105">
        <f t="shared" si="56"/>
        <v>0</v>
      </c>
      <c r="AX93" s="108">
        <f t="shared" si="89"/>
        <v>0</v>
      </c>
      <c r="AY93" s="108">
        <f t="shared" si="79"/>
        <v>0</v>
      </c>
      <c r="AZ93" s="759">
        <f t="shared" si="70"/>
        <v>47903</v>
      </c>
      <c r="BA93" s="108">
        <f t="shared" si="80"/>
        <v>0</v>
      </c>
      <c r="BB93" s="2" t="e">
        <f>IF(AND(E48&gt;=$T$14,E48&lt;=$T$14+5),0,IF($C$9&gt;$AC$52,ROUND(AW46*IF($D$23="",0,$D$23)/(DATEVALUE(CONCATENATE("01/01/",YEAR(AN48)+1))-DATEVALUE(CONCATENATE("01/01/",YEAR(AN48))))*(AN48-AN46),2),0))</f>
        <v>#VALUE!</v>
      </c>
    </row>
    <row r="94" spans="1:54" s="16" customFormat="1" ht="12.6" thickBot="1" x14ac:dyDescent="0.3">
      <c r="A94" s="2"/>
      <c r="B94" s="2"/>
      <c r="C94" s="1"/>
      <c r="D94" s="1"/>
      <c r="E94" s="767">
        <f t="shared" si="86"/>
        <v>86</v>
      </c>
      <c r="F94" s="768">
        <f t="shared" si="71"/>
        <v>47931</v>
      </c>
      <c r="G94" s="24">
        <f t="shared" si="69"/>
        <v>0</v>
      </c>
      <c r="H94" s="24">
        <f t="shared" si="72"/>
        <v>0</v>
      </c>
      <c r="I94" s="24">
        <f t="shared" si="84"/>
        <v>44144.790000000023</v>
      </c>
      <c r="J94" s="24">
        <f t="shared" si="67"/>
        <v>0</v>
      </c>
      <c r="K94" s="24">
        <f t="shared" si="73"/>
        <v>0</v>
      </c>
      <c r="L94" s="24">
        <f t="shared" si="81"/>
        <v>0</v>
      </c>
      <c r="M94" s="24">
        <f t="shared" si="96"/>
        <v>0</v>
      </c>
      <c r="N94" s="24">
        <f t="shared" si="97"/>
        <v>0</v>
      </c>
      <c r="O94" s="24">
        <f t="shared" si="82"/>
        <v>0</v>
      </c>
      <c r="P94" s="24">
        <f t="shared" si="83"/>
        <v>0</v>
      </c>
      <c r="Q94" s="24">
        <f t="shared" si="74"/>
        <v>0</v>
      </c>
      <c r="R94" s="36">
        <f t="shared" si="90"/>
        <v>0</v>
      </c>
      <c r="S94" s="36">
        <f t="shared" si="75"/>
        <v>0</v>
      </c>
      <c r="T94" s="2">
        <f t="shared" si="94"/>
        <v>181.76</v>
      </c>
      <c r="U94" s="34">
        <f t="shared" si="95"/>
        <v>2407</v>
      </c>
      <c r="V94" s="57">
        <f t="shared" si="61"/>
        <v>61740</v>
      </c>
      <c r="W94" s="16">
        <f t="shared" si="63"/>
        <v>45</v>
      </c>
      <c r="X94" s="170">
        <v>20000</v>
      </c>
      <c r="Y94" s="171">
        <v>220000</v>
      </c>
      <c r="Z94" s="652">
        <v>1.7</v>
      </c>
      <c r="AA94" s="652">
        <v>1.7</v>
      </c>
      <c r="AB94" s="652">
        <v>1.7</v>
      </c>
      <c r="AC94" s="741"/>
      <c r="AD94" s="741"/>
      <c r="AI94" s="2">
        <f t="shared" si="99"/>
        <v>140.37</v>
      </c>
      <c r="AJ94" s="34">
        <f t="shared" si="98"/>
        <v>2407</v>
      </c>
      <c r="AK94" s="57">
        <f t="shared" si="62"/>
        <v>61740</v>
      </c>
      <c r="AL94" s="130">
        <f t="shared" si="85"/>
        <v>0</v>
      </c>
      <c r="AM94" s="769">
        <f t="shared" si="88"/>
        <v>86</v>
      </c>
      <c r="AN94" s="770">
        <f t="shared" si="76"/>
        <v>47931</v>
      </c>
      <c r="AO94" s="105">
        <f t="shared" si="92"/>
        <v>0</v>
      </c>
      <c r="AP94" s="105">
        <f t="shared" si="77"/>
        <v>0</v>
      </c>
      <c r="AQ94" s="105">
        <f t="shared" si="51"/>
        <v>0</v>
      </c>
      <c r="AR94" s="105">
        <f t="shared" si="78"/>
        <v>0</v>
      </c>
      <c r="AS94" s="105">
        <f t="shared" si="52"/>
        <v>0</v>
      </c>
      <c r="AT94" s="105">
        <f t="shared" si="53"/>
        <v>0</v>
      </c>
      <c r="AU94" s="105">
        <f t="shared" si="54"/>
        <v>0</v>
      </c>
      <c r="AV94" s="105">
        <f t="shared" si="55"/>
        <v>0</v>
      </c>
      <c r="AW94" s="105">
        <f t="shared" si="56"/>
        <v>0</v>
      </c>
      <c r="AX94" s="108">
        <f t="shared" si="89"/>
        <v>0</v>
      </c>
      <c r="AY94" s="108">
        <f t="shared" si="79"/>
        <v>0</v>
      </c>
      <c r="AZ94" s="759">
        <f t="shared" si="70"/>
        <v>47931</v>
      </c>
      <c r="BA94" s="108">
        <f t="shared" si="80"/>
        <v>0</v>
      </c>
      <c r="BB94" s="2" t="e">
        <f t="shared" ref="BB94:BB125" si="100">IF(AND(E49&gt;=$T$14,E49&lt;=$T$14+5),0,IF($C$9&gt;$AC$52,ROUND(AW48*IF($D$23="",0,$D$23)/(DATEVALUE(CONCATENATE("01/01/",YEAR(AN49)+1))-DATEVALUE(CONCATENATE("01/01/",YEAR(AN49))))*(AN49-AN48),2),0))</f>
        <v>#VALUE!</v>
      </c>
    </row>
    <row r="95" spans="1:54" s="16" customFormat="1" ht="12.6" thickBot="1" x14ac:dyDescent="0.3">
      <c r="A95" s="2"/>
      <c r="B95" s="2"/>
      <c r="C95" s="1"/>
      <c r="D95" s="1"/>
      <c r="E95" s="767">
        <f t="shared" si="86"/>
        <v>87</v>
      </c>
      <c r="F95" s="768">
        <f t="shared" si="71"/>
        <v>47962</v>
      </c>
      <c r="G95" s="24">
        <f t="shared" si="69"/>
        <v>0</v>
      </c>
      <c r="H95" s="24">
        <f t="shared" si="72"/>
        <v>0</v>
      </c>
      <c r="I95" s="24">
        <f t="shared" si="84"/>
        <v>44144.790000000023</v>
      </c>
      <c r="J95" s="24">
        <f t="shared" si="67"/>
        <v>0</v>
      </c>
      <c r="K95" s="24">
        <f t="shared" si="73"/>
        <v>0</v>
      </c>
      <c r="L95" s="24">
        <f t="shared" si="81"/>
        <v>0</v>
      </c>
      <c r="M95" s="24">
        <f t="shared" si="96"/>
        <v>0</v>
      </c>
      <c r="N95" s="24">
        <f t="shared" si="97"/>
        <v>0</v>
      </c>
      <c r="O95" s="24">
        <f t="shared" si="82"/>
        <v>0</v>
      </c>
      <c r="P95" s="24">
        <f t="shared" si="83"/>
        <v>0</v>
      </c>
      <c r="Q95" s="24">
        <f t="shared" si="74"/>
        <v>0</v>
      </c>
      <c r="R95" s="36">
        <f t="shared" si="90"/>
        <v>0</v>
      </c>
      <c r="S95" s="36">
        <f t="shared" si="75"/>
        <v>0</v>
      </c>
      <c r="T95" s="2">
        <f t="shared" si="94"/>
        <v>156.94999999999999</v>
      </c>
      <c r="U95" s="34">
        <f t="shared" si="95"/>
        <v>2407</v>
      </c>
      <c r="V95" s="57">
        <f t="shared" si="61"/>
        <v>62105</v>
      </c>
      <c r="W95" s="16">
        <f t="shared" si="63"/>
        <v>46</v>
      </c>
      <c r="X95" s="170">
        <v>20000</v>
      </c>
      <c r="Y95" s="171">
        <v>220000</v>
      </c>
      <c r="Z95" s="652">
        <v>1.7</v>
      </c>
      <c r="AA95" s="652">
        <v>1.7</v>
      </c>
      <c r="AB95" s="652">
        <v>1.7</v>
      </c>
      <c r="AC95" s="741"/>
      <c r="AD95" s="741"/>
      <c r="AI95" s="2">
        <f t="shared" si="99"/>
        <v>89.45</v>
      </c>
      <c r="AJ95" s="34">
        <f t="shared" si="98"/>
        <v>2407</v>
      </c>
      <c r="AK95" s="57">
        <f t="shared" si="62"/>
        <v>62105</v>
      </c>
      <c r="AL95" s="130">
        <f t="shared" si="85"/>
        <v>0</v>
      </c>
      <c r="AM95" s="769">
        <f t="shared" si="88"/>
        <v>87</v>
      </c>
      <c r="AN95" s="770">
        <f t="shared" si="76"/>
        <v>47962</v>
      </c>
      <c r="AO95" s="105">
        <f t="shared" si="92"/>
        <v>0</v>
      </c>
      <c r="AP95" s="105">
        <f t="shared" si="77"/>
        <v>0</v>
      </c>
      <c r="AQ95" s="105">
        <f t="shared" si="51"/>
        <v>0</v>
      </c>
      <c r="AR95" s="105">
        <f t="shared" si="78"/>
        <v>0</v>
      </c>
      <c r="AS95" s="105">
        <f t="shared" si="52"/>
        <v>0</v>
      </c>
      <c r="AT95" s="105">
        <f t="shared" si="53"/>
        <v>0</v>
      </c>
      <c r="AU95" s="105">
        <f t="shared" si="54"/>
        <v>0</v>
      </c>
      <c r="AV95" s="105">
        <f t="shared" si="55"/>
        <v>0</v>
      </c>
      <c r="AW95" s="105">
        <f t="shared" si="56"/>
        <v>0</v>
      </c>
      <c r="AX95" s="108">
        <f t="shared" si="89"/>
        <v>0</v>
      </c>
      <c r="AY95" s="108">
        <f t="shared" si="79"/>
        <v>0</v>
      </c>
      <c r="AZ95" s="759">
        <f t="shared" si="70"/>
        <v>47962</v>
      </c>
      <c r="BA95" s="108">
        <f t="shared" si="80"/>
        <v>0</v>
      </c>
      <c r="BB95" s="2" t="e">
        <f t="shared" si="100"/>
        <v>#VALUE!</v>
      </c>
    </row>
    <row r="96" spans="1:54" s="16" customFormat="1" ht="12.6" thickBot="1" x14ac:dyDescent="0.3">
      <c r="A96" s="2"/>
      <c r="B96" s="2"/>
      <c r="C96" s="1"/>
      <c r="D96" s="1"/>
      <c r="E96" s="767">
        <f t="shared" si="86"/>
        <v>88</v>
      </c>
      <c r="F96" s="768">
        <f t="shared" si="71"/>
        <v>47992</v>
      </c>
      <c r="G96" s="24">
        <f t="shared" si="69"/>
        <v>0</v>
      </c>
      <c r="H96" s="24">
        <f t="shared" si="72"/>
        <v>0</v>
      </c>
      <c r="I96" s="24">
        <f t="shared" si="84"/>
        <v>44144.790000000023</v>
      </c>
      <c r="J96" s="24">
        <f t="shared" si="67"/>
        <v>0</v>
      </c>
      <c r="K96" s="24">
        <f t="shared" si="73"/>
        <v>0</v>
      </c>
      <c r="L96" s="24">
        <f t="shared" si="81"/>
        <v>0</v>
      </c>
      <c r="M96" s="24">
        <f t="shared" si="96"/>
        <v>0</v>
      </c>
      <c r="N96" s="24">
        <f t="shared" si="97"/>
        <v>0</v>
      </c>
      <c r="O96" s="24">
        <f t="shared" si="82"/>
        <v>0</v>
      </c>
      <c r="P96" s="24">
        <f t="shared" si="83"/>
        <v>0</v>
      </c>
      <c r="Q96" s="24">
        <f t="shared" si="74"/>
        <v>0</v>
      </c>
      <c r="R96" s="36">
        <f t="shared" si="90"/>
        <v>0</v>
      </c>
      <c r="S96" s="36">
        <f t="shared" si="75"/>
        <v>0</v>
      </c>
      <c r="T96" s="2">
        <f t="shared" si="94"/>
        <v>121.54</v>
      </c>
      <c r="U96" s="34">
        <f t="shared" si="95"/>
        <v>2407</v>
      </c>
      <c r="V96" s="57">
        <f t="shared" si="61"/>
        <v>62470</v>
      </c>
      <c r="W96" s="16">
        <f t="shared" si="63"/>
        <v>47</v>
      </c>
      <c r="X96" s="170">
        <v>20000</v>
      </c>
      <c r="Y96" s="171">
        <v>220000</v>
      </c>
      <c r="Z96" s="652">
        <v>1.7</v>
      </c>
      <c r="AA96" s="652">
        <v>1.7</v>
      </c>
      <c r="AB96" s="652">
        <v>1.7</v>
      </c>
      <c r="AC96" s="741"/>
      <c r="AD96" s="741"/>
      <c r="AI96" s="2">
        <f t="shared" si="99"/>
        <v>43.3</v>
      </c>
      <c r="AJ96" s="34">
        <f t="shared" si="98"/>
        <v>2096.619999999999</v>
      </c>
      <c r="AK96" s="57">
        <f t="shared" si="62"/>
        <v>62470</v>
      </c>
      <c r="AL96" s="130">
        <f t="shared" si="85"/>
        <v>0</v>
      </c>
      <c r="AM96" s="769">
        <f t="shared" si="88"/>
        <v>88</v>
      </c>
      <c r="AN96" s="770">
        <f t="shared" si="76"/>
        <v>47992</v>
      </c>
      <c r="AO96" s="105">
        <f t="shared" si="92"/>
        <v>0</v>
      </c>
      <c r="AP96" s="105">
        <f t="shared" si="77"/>
        <v>0</v>
      </c>
      <c r="AQ96" s="105">
        <f t="shared" si="51"/>
        <v>0</v>
      </c>
      <c r="AR96" s="105">
        <f t="shared" si="78"/>
        <v>0</v>
      </c>
      <c r="AS96" s="105">
        <f t="shared" si="52"/>
        <v>0</v>
      </c>
      <c r="AT96" s="105">
        <f t="shared" si="53"/>
        <v>0</v>
      </c>
      <c r="AU96" s="105">
        <f t="shared" si="54"/>
        <v>0</v>
      </c>
      <c r="AV96" s="105">
        <f t="shared" si="55"/>
        <v>0</v>
      </c>
      <c r="AW96" s="105">
        <f t="shared" si="56"/>
        <v>0</v>
      </c>
      <c r="AX96" s="108">
        <f t="shared" si="89"/>
        <v>0</v>
      </c>
      <c r="AY96" s="108">
        <f t="shared" si="79"/>
        <v>0</v>
      </c>
      <c r="AZ96" s="759">
        <f t="shared" si="70"/>
        <v>47992</v>
      </c>
      <c r="BA96" s="108">
        <f t="shared" si="80"/>
        <v>0</v>
      </c>
      <c r="BB96" s="2" t="e">
        <f t="shared" si="100"/>
        <v>#VALUE!</v>
      </c>
    </row>
    <row r="97" spans="1:1207" s="16" customFormat="1" ht="12.6" thickBot="1" x14ac:dyDescent="0.3">
      <c r="A97" s="2"/>
      <c r="B97" s="2"/>
      <c r="C97" s="1"/>
      <c r="D97" s="1"/>
      <c r="E97" s="767">
        <f t="shared" si="86"/>
        <v>89</v>
      </c>
      <c r="F97" s="768">
        <f t="shared" si="71"/>
        <v>48023</v>
      </c>
      <c r="G97" s="24">
        <f t="shared" si="69"/>
        <v>0</v>
      </c>
      <c r="H97" s="24">
        <f t="shared" si="72"/>
        <v>0</v>
      </c>
      <c r="I97" s="24">
        <f t="shared" si="84"/>
        <v>44144.790000000023</v>
      </c>
      <c r="J97" s="24">
        <f t="shared" si="67"/>
        <v>0</v>
      </c>
      <c r="K97" s="24">
        <f t="shared" si="73"/>
        <v>0</v>
      </c>
      <c r="L97" s="24">
        <f t="shared" si="81"/>
        <v>0</v>
      </c>
      <c r="M97" s="24">
        <f t="shared" si="96"/>
        <v>0</v>
      </c>
      <c r="N97" s="24">
        <f t="shared" si="97"/>
        <v>0</v>
      </c>
      <c r="O97" s="24">
        <f t="shared" si="82"/>
        <v>0</v>
      </c>
      <c r="P97" s="24">
        <f t="shared" si="83"/>
        <v>0</v>
      </c>
      <c r="Q97" s="24">
        <f t="shared" si="74"/>
        <v>0</v>
      </c>
      <c r="R97" s="36">
        <f t="shared" si="90"/>
        <v>0</v>
      </c>
      <c r="S97" s="36">
        <f t="shared" si="75"/>
        <v>0</v>
      </c>
      <c r="T97" s="2">
        <f t="shared" si="94"/>
        <v>93.25</v>
      </c>
      <c r="U97" s="34">
        <f t="shared" si="95"/>
        <v>-6282.6464016736481</v>
      </c>
      <c r="V97" s="57">
        <f t="shared" si="61"/>
        <v>62835</v>
      </c>
      <c r="W97" s="16">
        <f t="shared" si="63"/>
        <v>48</v>
      </c>
      <c r="X97" s="170">
        <v>220001</v>
      </c>
      <c r="Y97" s="171">
        <v>500000</v>
      </c>
      <c r="Z97" s="652">
        <v>0.97</v>
      </c>
      <c r="AA97" s="652">
        <v>0.95</v>
      </c>
      <c r="AB97" s="652">
        <v>0.93</v>
      </c>
      <c r="AC97" s="741"/>
      <c r="AD97" s="741"/>
      <c r="AI97" s="2">
        <f t="shared" si="99"/>
        <v>0</v>
      </c>
      <c r="AJ97" s="34">
        <f t="shared" si="98"/>
        <v>0</v>
      </c>
      <c r="AK97" s="57">
        <f t="shared" si="62"/>
        <v>62470</v>
      </c>
      <c r="AL97" s="130">
        <f t="shared" si="85"/>
        <v>0</v>
      </c>
      <c r="AM97" s="769">
        <f t="shared" si="88"/>
        <v>89</v>
      </c>
      <c r="AN97" s="770">
        <f t="shared" si="76"/>
        <v>48023</v>
      </c>
      <c r="AO97" s="105">
        <f t="shared" si="92"/>
        <v>0</v>
      </c>
      <c r="AP97" s="105">
        <f t="shared" si="77"/>
        <v>0</v>
      </c>
      <c r="AQ97" s="105">
        <f t="shared" si="51"/>
        <v>0</v>
      </c>
      <c r="AR97" s="105">
        <f t="shared" si="78"/>
        <v>0</v>
      </c>
      <c r="AS97" s="105">
        <f t="shared" si="52"/>
        <v>0</v>
      </c>
      <c r="AT97" s="105">
        <f t="shared" si="53"/>
        <v>0</v>
      </c>
      <c r="AU97" s="105">
        <f t="shared" si="54"/>
        <v>0</v>
      </c>
      <c r="AV97" s="105">
        <f t="shared" si="55"/>
        <v>0</v>
      </c>
      <c r="AW97" s="105">
        <f t="shared" si="56"/>
        <v>0</v>
      </c>
      <c r="AX97" s="108">
        <f t="shared" si="89"/>
        <v>0</v>
      </c>
      <c r="AY97" s="108">
        <f t="shared" si="79"/>
        <v>0</v>
      </c>
      <c r="AZ97" s="759">
        <f t="shared" si="70"/>
        <v>48023</v>
      </c>
      <c r="BA97" s="108">
        <f t="shared" si="80"/>
        <v>0</v>
      </c>
      <c r="BB97" s="2" t="e">
        <f t="shared" si="100"/>
        <v>#VALUE!</v>
      </c>
    </row>
    <row r="98" spans="1:1207" s="16" customFormat="1" ht="12.6" thickBot="1" x14ac:dyDescent="0.3">
      <c r="A98" s="2"/>
      <c r="B98" s="2"/>
      <c r="C98" s="1"/>
      <c r="D98" s="1"/>
      <c r="E98" s="767">
        <f t="shared" si="86"/>
        <v>90</v>
      </c>
      <c r="F98" s="768">
        <f t="shared" si="71"/>
        <v>48053</v>
      </c>
      <c r="G98" s="24">
        <f t="shared" si="69"/>
        <v>0</v>
      </c>
      <c r="H98" s="24">
        <f t="shared" si="72"/>
        <v>0</v>
      </c>
      <c r="I98" s="24">
        <f t="shared" si="84"/>
        <v>44144.790000000023</v>
      </c>
      <c r="J98" s="24">
        <f t="shared" si="67"/>
        <v>0</v>
      </c>
      <c r="K98" s="24">
        <f t="shared" si="73"/>
        <v>0</v>
      </c>
      <c r="L98" s="24">
        <f t="shared" si="81"/>
        <v>0</v>
      </c>
      <c r="M98" s="24">
        <f t="shared" si="96"/>
        <v>0</v>
      </c>
      <c r="N98" s="24">
        <f t="shared" si="97"/>
        <v>0</v>
      </c>
      <c r="O98" s="24">
        <f t="shared" si="82"/>
        <v>0</v>
      </c>
      <c r="P98" s="24">
        <f t="shared" si="83"/>
        <v>0</v>
      </c>
      <c r="Q98" s="24">
        <f t="shared" si="74"/>
        <v>0</v>
      </c>
      <c r="R98" s="36">
        <f t="shared" si="90"/>
        <v>0</v>
      </c>
      <c r="S98" s="36">
        <f t="shared" si="75"/>
        <v>0</v>
      </c>
      <c r="T98" s="2">
        <f t="shared" si="94"/>
        <v>0</v>
      </c>
      <c r="U98" s="34">
        <f t="shared" si="95"/>
        <v>0</v>
      </c>
      <c r="V98" s="57">
        <f t="shared" si="61"/>
        <v>62835</v>
      </c>
      <c r="W98" s="16">
        <f t="shared" si="63"/>
        <v>49</v>
      </c>
      <c r="X98" s="171">
        <v>500001</v>
      </c>
      <c r="Y98" s="171">
        <v>1000000</v>
      </c>
      <c r="Z98" s="652">
        <v>1.26</v>
      </c>
      <c r="AA98" s="652">
        <v>1.26</v>
      </c>
      <c r="AB98" s="652">
        <v>1.26</v>
      </c>
      <c r="AC98" s="652">
        <v>1.26</v>
      </c>
      <c r="AD98" s="652">
        <v>1.26</v>
      </c>
      <c r="AI98" s="2">
        <f t="shared" si="99"/>
        <v>0</v>
      </c>
      <c r="AJ98" s="34">
        <f t="shared" si="98"/>
        <v>0</v>
      </c>
      <c r="AK98" s="57">
        <f t="shared" si="62"/>
        <v>62470</v>
      </c>
      <c r="AL98" s="130">
        <f t="shared" si="85"/>
        <v>0</v>
      </c>
      <c r="AM98" s="769">
        <f t="shared" si="88"/>
        <v>90</v>
      </c>
      <c r="AN98" s="770">
        <f t="shared" si="76"/>
        <v>48053</v>
      </c>
      <c r="AO98" s="105">
        <f t="shared" si="92"/>
        <v>0</v>
      </c>
      <c r="AP98" s="105">
        <f t="shared" si="77"/>
        <v>0</v>
      </c>
      <c r="AQ98" s="105">
        <f t="shared" si="51"/>
        <v>0</v>
      </c>
      <c r="AR98" s="105">
        <f t="shared" si="78"/>
        <v>0</v>
      </c>
      <c r="AS98" s="105">
        <f t="shared" si="52"/>
        <v>0</v>
      </c>
      <c r="AT98" s="105">
        <f t="shared" si="53"/>
        <v>0</v>
      </c>
      <c r="AU98" s="105">
        <f t="shared" si="54"/>
        <v>0</v>
      </c>
      <c r="AV98" s="105">
        <f t="shared" si="55"/>
        <v>0</v>
      </c>
      <c r="AW98" s="105">
        <f t="shared" si="56"/>
        <v>0</v>
      </c>
      <c r="AX98" s="108">
        <f t="shared" si="89"/>
        <v>0</v>
      </c>
      <c r="AY98" s="108">
        <f t="shared" si="79"/>
        <v>0</v>
      </c>
      <c r="AZ98" s="759">
        <f t="shared" si="70"/>
        <v>48053</v>
      </c>
      <c r="BA98" s="108">
        <f t="shared" si="80"/>
        <v>0</v>
      </c>
      <c r="BB98" s="2" t="e">
        <f t="shared" si="100"/>
        <v>#VALUE!</v>
      </c>
    </row>
    <row r="99" spans="1:1207" s="16" customFormat="1" ht="12.6" thickBot="1" x14ac:dyDescent="0.3">
      <c r="A99" s="2"/>
      <c r="B99" s="2"/>
      <c r="C99" s="1"/>
      <c r="D99" s="1"/>
      <c r="E99" s="767">
        <f t="shared" si="86"/>
        <v>91</v>
      </c>
      <c r="F99" s="768">
        <f t="shared" si="71"/>
        <v>48084</v>
      </c>
      <c r="G99" s="24">
        <f t="shared" si="69"/>
        <v>0</v>
      </c>
      <c r="H99" s="24">
        <f t="shared" si="72"/>
        <v>0</v>
      </c>
      <c r="I99" s="24">
        <f t="shared" si="84"/>
        <v>44144.790000000023</v>
      </c>
      <c r="J99" s="24">
        <f t="shared" si="67"/>
        <v>0</v>
      </c>
      <c r="K99" s="24">
        <f t="shared" si="73"/>
        <v>0</v>
      </c>
      <c r="L99" s="24">
        <f t="shared" si="81"/>
        <v>0</v>
      </c>
      <c r="M99" s="24">
        <f t="shared" si="96"/>
        <v>0</v>
      </c>
      <c r="N99" s="24">
        <f t="shared" si="97"/>
        <v>0</v>
      </c>
      <c r="O99" s="24">
        <f t="shared" si="82"/>
        <v>0</v>
      </c>
      <c r="P99" s="24">
        <f t="shared" si="83"/>
        <v>0</v>
      </c>
      <c r="Q99" s="24">
        <f t="shared" si="74"/>
        <v>0</v>
      </c>
      <c r="R99" s="36">
        <f t="shared" si="90"/>
        <v>0</v>
      </c>
      <c r="S99" s="36">
        <f t="shared" si="75"/>
        <v>0</v>
      </c>
      <c r="T99" s="2">
        <f t="shared" si="94"/>
        <v>0</v>
      </c>
      <c r="U99" s="34">
        <f t="shared" si="95"/>
        <v>0</v>
      </c>
      <c r="V99" s="57">
        <f t="shared" si="61"/>
        <v>62835</v>
      </c>
      <c r="W99" s="16">
        <f t="shared" si="63"/>
        <v>50</v>
      </c>
      <c r="X99" s="171">
        <v>1000001</v>
      </c>
      <c r="Y99" s="171">
        <v>5000000</v>
      </c>
      <c r="Z99" s="652">
        <v>0.83</v>
      </c>
      <c r="AA99" s="652">
        <v>0.83</v>
      </c>
      <c r="AB99" s="652">
        <v>0.83</v>
      </c>
      <c r="AC99" s="652">
        <v>0.83</v>
      </c>
      <c r="AD99" s="652">
        <v>0.83</v>
      </c>
      <c r="AI99" s="2">
        <f t="shared" si="99"/>
        <v>0</v>
      </c>
      <c r="AJ99" s="34">
        <f t="shared" si="98"/>
        <v>0</v>
      </c>
      <c r="AK99" s="57">
        <f t="shared" si="62"/>
        <v>62470</v>
      </c>
      <c r="AL99" s="130">
        <f t="shared" si="85"/>
        <v>0</v>
      </c>
      <c r="AM99" s="769">
        <f t="shared" si="88"/>
        <v>91</v>
      </c>
      <c r="AN99" s="770">
        <f t="shared" si="76"/>
        <v>48084</v>
      </c>
      <c r="AO99" s="105">
        <f t="shared" si="92"/>
        <v>0</v>
      </c>
      <c r="AP99" s="105">
        <f t="shared" si="77"/>
        <v>0</v>
      </c>
      <c r="AQ99" s="105">
        <f t="shared" si="51"/>
        <v>0</v>
      </c>
      <c r="AR99" s="105">
        <f t="shared" si="78"/>
        <v>0</v>
      </c>
      <c r="AS99" s="105">
        <f t="shared" si="52"/>
        <v>0</v>
      </c>
      <c r="AT99" s="105">
        <f t="shared" si="53"/>
        <v>0</v>
      </c>
      <c r="AU99" s="105">
        <f t="shared" si="54"/>
        <v>0</v>
      </c>
      <c r="AV99" s="105">
        <f t="shared" si="55"/>
        <v>0</v>
      </c>
      <c r="AW99" s="105">
        <f t="shared" si="56"/>
        <v>0</v>
      </c>
      <c r="AX99" s="108">
        <f t="shared" si="89"/>
        <v>0</v>
      </c>
      <c r="AY99" s="108">
        <f t="shared" si="79"/>
        <v>0</v>
      </c>
      <c r="AZ99" s="759">
        <f t="shared" si="70"/>
        <v>48084</v>
      </c>
      <c r="BA99" s="108">
        <f t="shared" si="80"/>
        <v>0</v>
      </c>
      <c r="BB99" s="2" t="e">
        <f t="shared" si="100"/>
        <v>#VALUE!</v>
      </c>
    </row>
    <row r="100" spans="1:1207" s="16" customFormat="1" ht="12" x14ac:dyDescent="0.25">
      <c r="A100" s="2"/>
      <c r="B100" s="2"/>
      <c r="C100" s="1"/>
      <c r="D100" s="1"/>
      <c r="E100" s="767">
        <f t="shared" si="86"/>
        <v>92</v>
      </c>
      <c r="F100" s="768">
        <f t="shared" si="71"/>
        <v>48115</v>
      </c>
      <c r="G100" s="24">
        <f t="shared" si="69"/>
        <v>0</v>
      </c>
      <c r="H100" s="24">
        <f t="shared" si="72"/>
        <v>0</v>
      </c>
      <c r="I100" s="24">
        <f t="shared" si="84"/>
        <v>44144.790000000023</v>
      </c>
      <c r="J100" s="24">
        <f t="shared" ref="J100:J131" si="101">IF(AND(E100=$C$10,$C$22&lt;&gt;"Нет"),MIN((I100-I100/$C$19*$C$23),Q99+H100-G99),0)</f>
        <v>0</v>
      </c>
      <c r="K100" s="24">
        <f t="shared" si="73"/>
        <v>0</v>
      </c>
      <c r="L100" s="24">
        <f t="shared" si="81"/>
        <v>0</v>
      </c>
      <c r="M100" s="24">
        <f t="shared" si="96"/>
        <v>0</v>
      </c>
      <c r="N100" s="24">
        <f t="shared" si="97"/>
        <v>0</v>
      </c>
      <c r="O100" s="24">
        <f t="shared" si="82"/>
        <v>0</v>
      </c>
      <c r="P100" s="24">
        <f t="shared" si="83"/>
        <v>0</v>
      </c>
      <c r="Q100" s="24">
        <f t="shared" si="74"/>
        <v>0</v>
      </c>
      <c r="R100" s="36">
        <f t="shared" si="90"/>
        <v>0</v>
      </c>
      <c r="S100" s="36">
        <f t="shared" si="75"/>
        <v>0</v>
      </c>
      <c r="T100" s="2">
        <f t="shared" si="94"/>
        <v>0</v>
      </c>
      <c r="U100" s="34">
        <f t="shared" si="95"/>
        <v>0</v>
      </c>
      <c r="V100" s="57">
        <f t="shared" si="61"/>
        <v>62835</v>
      </c>
      <c r="W100" s="16">
        <f t="shared" si="63"/>
        <v>51</v>
      </c>
      <c r="AI100" s="2">
        <f t="shared" si="99"/>
        <v>0</v>
      </c>
      <c r="AJ100" s="34">
        <f t="shared" si="98"/>
        <v>0</v>
      </c>
      <c r="AK100" s="57">
        <f t="shared" si="62"/>
        <v>62470</v>
      </c>
      <c r="AL100" s="130">
        <f t="shared" si="85"/>
        <v>0</v>
      </c>
      <c r="AM100" s="769">
        <f t="shared" si="88"/>
        <v>92</v>
      </c>
      <c r="AN100" s="770">
        <f t="shared" si="76"/>
        <v>48115</v>
      </c>
      <c r="AO100" s="105">
        <f t="shared" si="92"/>
        <v>0</v>
      </c>
      <c r="AP100" s="105">
        <f t="shared" si="77"/>
        <v>0</v>
      </c>
      <c r="AQ100" s="105">
        <f t="shared" si="51"/>
        <v>0</v>
      </c>
      <c r="AR100" s="105">
        <f t="shared" si="78"/>
        <v>0</v>
      </c>
      <c r="AS100" s="105">
        <f t="shared" si="52"/>
        <v>0</v>
      </c>
      <c r="AT100" s="105">
        <f t="shared" si="53"/>
        <v>0</v>
      </c>
      <c r="AU100" s="105">
        <f t="shared" si="54"/>
        <v>0</v>
      </c>
      <c r="AV100" s="105">
        <f t="shared" si="55"/>
        <v>0</v>
      </c>
      <c r="AW100" s="105">
        <f t="shared" si="56"/>
        <v>0</v>
      </c>
      <c r="AX100" s="108">
        <f t="shared" si="89"/>
        <v>0</v>
      </c>
      <c r="AY100" s="108">
        <f t="shared" si="79"/>
        <v>0</v>
      </c>
      <c r="AZ100" s="759">
        <f t="shared" si="70"/>
        <v>48115</v>
      </c>
      <c r="BA100" s="108">
        <f t="shared" si="80"/>
        <v>0</v>
      </c>
      <c r="BB100" s="2" t="e">
        <f t="shared" si="100"/>
        <v>#VALUE!</v>
      </c>
    </row>
    <row r="101" spans="1:1207" s="16" customFormat="1" ht="12" x14ac:dyDescent="0.25">
      <c r="A101" s="2"/>
      <c r="B101" s="2"/>
      <c r="C101" s="1"/>
      <c r="D101" s="1"/>
      <c r="E101" s="767">
        <f t="shared" si="86"/>
        <v>93</v>
      </c>
      <c r="F101" s="768">
        <f t="shared" si="71"/>
        <v>48145</v>
      </c>
      <c r="G101" s="24">
        <f t="shared" ref="G101:G132" si="102">IF(AND(E101&gt;=$T$14,E101&lt;=$T$14+5),$T$15,IF(AND(Q100+L101+H101&gt;G100,G100&lt;&gt;0),$C$29,IF(Q100=0,0,Q100+L101+H101+H102)))+IF(AND(E101=$C$10,$C$22&lt;&gt;"Нет"),MIN((I101-I101/$C$19*$C$23),Q100+H101-G100),0)</f>
        <v>0</v>
      </c>
      <c r="H101" s="24">
        <f t="shared" si="72"/>
        <v>0</v>
      </c>
      <c r="I101" s="24">
        <f t="shared" si="84"/>
        <v>44144.790000000023</v>
      </c>
      <c r="J101" s="24">
        <f t="shared" si="101"/>
        <v>0</v>
      </c>
      <c r="K101" s="24">
        <f t="shared" si="73"/>
        <v>0</v>
      </c>
      <c r="L101" s="24">
        <f t="shared" si="81"/>
        <v>0</v>
      </c>
      <c r="M101" s="24">
        <f t="shared" si="96"/>
        <v>0</v>
      </c>
      <c r="N101" s="24">
        <f t="shared" si="97"/>
        <v>0</v>
      </c>
      <c r="O101" s="24">
        <f t="shared" si="82"/>
        <v>0</v>
      </c>
      <c r="P101" s="24">
        <f t="shared" si="83"/>
        <v>0</v>
      </c>
      <c r="Q101" s="24">
        <f t="shared" si="74"/>
        <v>0</v>
      </c>
      <c r="R101" s="36">
        <f t="shared" si="90"/>
        <v>0</v>
      </c>
      <c r="S101" s="36">
        <f t="shared" si="75"/>
        <v>0</v>
      </c>
      <c r="T101" s="2">
        <f t="shared" si="94"/>
        <v>0</v>
      </c>
      <c r="U101" s="34">
        <f t="shared" si="95"/>
        <v>0</v>
      </c>
      <c r="V101" s="57">
        <f t="shared" si="61"/>
        <v>62835</v>
      </c>
      <c r="W101" s="16">
        <f t="shared" si="63"/>
        <v>52</v>
      </c>
      <c r="AI101" s="2">
        <f t="shared" si="99"/>
        <v>0</v>
      </c>
      <c r="AJ101" s="34">
        <f t="shared" si="98"/>
        <v>0</v>
      </c>
      <c r="AK101" s="57">
        <f t="shared" si="62"/>
        <v>62470</v>
      </c>
      <c r="AL101" s="130">
        <f t="shared" si="85"/>
        <v>0</v>
      </c>
      <c r="AM101" s="769">
        <f t="shared" si="88"/>
        <v>93</v>
      </c>
      <c r="AN101" s="770">
        <f t="shared" si="76"/>
        <v>48145</v>
      </c>
      <c r="AO101" s="105">
        <f t="shared" si="92"/>
        <v>0</v>
      </c>
      <c r="AP101" s="105">
        <f t="shared" si="77"/>
        <v>0</v>
      </c>
      <c r="AQ101" s="105">
        <f t="shared" si="51"/>
        <v>0</v>
      </c>
      <c r="AR101" s="105">
        <f t="shared" si="78"/>
        <v>0</v>
      </c>
      <c r="AS101" s="105">
        <f t="shared" si="52"/>
        <v>0</v>
      </c>
      <c r="AT101" s="105">
        <f t="shared" si="53"/>
        <v>0</v>
      </c>
      <c r="AU101" s="105">
        <f t="shared" si="54"/>
        <v>0</v>
      </c>
      <c r="AV101" s="105">
        <f t="shared" si="55"/>
        <v>0</v>
      </c>
      <c r="AW101" s="105">
        <f t="shared" si="56"/>
        <v>0</v>
      </c>
      <c r="AX101" s="108">
        <f t="shared" si="89"/>
        <v>0</v>
      </c>
      <c r="AY101" s="108">
        <f t="shared" si="79"/>
        <v>0</v>
      </c>
      <c r="AZ101" s="759">
        <f t="shared" si="70"/>
        <v>48145</v>
      </c>
      <c r="BA101" s="108">
        <f t="shared" si="80"/>
        <v>0</v>
      </c>
      <c r="BB101" s="2" t="e">
        <f t="shared" si="100"/>
        <v>#VALUE!</v>
      </c>
    </row>
    <row r="102" spans="1:1207" s="16" customFormat="1" ht="12" x14ac:dyDescent="0.25">
      <c r="A102" s="2"/>
      <c r="B102" s="2"/>
      <c r="C102" s="1"/>
      <c r="D102" s="1"/>
      <c r="E102" s="767">
        <f t="shared" si="86"/>
        <v>94</v>
      </c>
      <c r="F102" s="768">
        <f t="shared" si="71"/>
        <v>48176</v>
      </c>
      <c r="G102" s="24">
        <f t="shared" si="102"/>
        <v>0</v>
      </c>
      <c r="H102" s="24">
        <f t="shared" si="72"/>
        <v>0</v>
      </c>
      <c r="I102" s="24">
        <f t="shared" si="84"/>
        <v>44144.790000000023</v>
      </c>
      <c r="J102" s="24">
        <f t="shared" si="101"/>
        <v>0</v>
      </c>
      <c r="K102" s="24">
        <f t="shared" si="73"/>
        <v>0</v>
      </c>
      <c r="L102" s="24">
        <f t="shared" si="81"/>
        <v>0</v>
      </c>
      <c r="M102" s="24">
        <f t="shared" si="96"/>
        <v>0</v>
      </c>
      <c r="N102" s="24">
        <f t="shared" si="97"/>
        <v>0</v>
      </c>
      <c r="O102" s="24">
        <f t="shared" si="82"/>
        <v>0</v>
      </c>
      <c r="P102" s="24">
        <f t="shared" si="83"/>
        <v>0</v>
      </c>
      <c r="Q102" s="24">
        <f t="shared" si="74"/>
        <v>0</v>
      </c>
      <c r="R102" s="36">
        <f t="shared" si="90"/>
        <v>0</v>
      </c>
      <c r="S102" s="36">
        <f t="shared" si="75"/>
        <v>0</v>
      </c>
      <c r="T102" s="2">
        <f t="shared" si="94"/>
        <v>0</v>
      </c>
      <c r="U102" s="34">
        <f t="shared" si="95"/>
        <v>0</v>
      </c>
      <c r="V102" s="57">
        <f t="shared" si="61"/>
        <v>62835</v>
      </c>
      <c r="W102" s="16">
        <f t="shared" si="63"/>
        <v>53</v>
      </c>
      <c r="AI102" s="2">
        <f t="shared" si="99"/>
        <v>0</v>
      </c>
      <c r="AJ102" s="34">
        <f t="shared" si="98"/>
        <v>0</v>
      </c>
      <c r="AK102" s="57">
        <f t="shared" si="62"/>
        <v>62470</v>
      </c>
      <c r="AL102" s="130">
        <f t="shared" si="85"/>
        <v>0</v>
      </c>
      <c r="AM102" s="769">
        <f t="shared" si="88"/>
        <v>94</v>
      </c>
      <c r="AN102" s="770">
        <f t="shared" si="76"/>
        <v>48176</v>
      </c>
      <c r="AO102" s="105">
        <f t="shared" si="92"/>
        <v>0</v>
      </c>
      <c r="AP102" s="105">
        <f t="shared" si="77"/>
        <v>0</v>
      </c>
      <c r="AQ102" s="105">
        <f t="shared" si="51"/>
        <v>0</v>
      </c>
      <c r="AR102" s="105">
        <f t="shared" si="78"/>
        <v>0</v>
      </c>
      <c r="AS102" s="105">
        <f t="shared" si="52"/>
        <v>0</v>
      </c>
      <c r="AT102" s="105">
        <f t="shared" si="53"/>
        <v>0</v>
      </c>
      <c r="AU102" s="105">
        <f t="shared" si="54"/>
        <v>0</v>
      </c>
      <c r="AV102" s="105">
        <f t="shared" si="55"/>
        <v>0</v>
      </c>
      <c r="AW102" s="105">
        <f t="shared" si="56"/>
        <v>0</v>
      </c>
      <c r="AX102" s="108">
        <f t="shared" si="89"/>
        <v>0</v>
      </c>
      <c r="AY102" s="108">
        <f t="shared" si="79"/>
        <v>0</v>
      </c>
      <c r="AZ102" s="759">
        <f t="shared" si="70"/>
        <v>48176</v>
      </c>
      <c r="BA102" s="108">
        <f t="shared" si="80"/>
        <v>0</v>
      </c>
      <c r="BB102" s="2" t="e">
        <f t="shared" si="100"/>
        <v>#VALUE!</v>
      </c>
    </row>
    <row r="103" spans="1:1207" s="16" customFormat="1" ht="12" x14ac:dyDescent="0.25">
      <c r="A103" s="2"/>
      <c r="B103" s="2"/>
      <c r="C103" s="1"/>
      <c r="D103" s="1"/>
      <c r="E103" s="767">
        <f t="shared" si="86"/>
        <v>95</v>
      </c>
      <c r="F103" s="768">
        <f t="shared" si="71"/>
        <v>48206</v>
      </c>
      <c r="G103" s="24">
        <f t="shared" si="102"/>
        <v>0</v>
      </c>
      <c r="H103" s="24">
        <f t="shared" si="72"/>
        <v>0</v>
      </c>
      <c r="I103" s="24">
        <f t="shared" si="84"/>
        <v>44144.790000000023</v>
      </c>
      <c r="J103" s="24">
        <f t="shared" si="101"/>
        <v>0</v>
      </c>
      <c r="K103" s="24">
        <f t="shared" si="73"/>
        <v>0</v>
      </c>
      <c r="L103" s="24">
        <f t="shared" si="81"/>
        <v>0</v>
      </c>
      <c r="M103" s="24">
        <f t="shared" si="96"/>
        <v>0</v>
      </c>
      <c r="N103" s="24">
        <f t="shared" si="97"/>
        <v>0</v>
      </c>
      <c r="O103" s="24">
        <f t="shared" si="82"/>
        <v>0</v>
      </c>
      <c r="P103" s="24">
        <f t="shared" si="83"/>
        <v>0</v>
      </c>
      <c r="Q103" s="24">
        <f t="shared" si="74"/>
        <v>0</v>
      </c>
      <c r="R103" s="36">
        <f t="shared" si="90"/>
        <v>0</v>
      </c>
      <c r="S103" s="36">
        <f t="shared" si="75"/>
        <v>0</v>
      </c>
      <c r="T103" s="2">
        <f t="shared" si="94"/>
        <v>0</v>
      </c>
      <c r="U103" s="34">
        <f t="shared" si="95"/>
        <v>0</v>
      </c>
      <c r="V103" s="57">
        <f t="shared" si="61"/>
        <v>62835</v>
      </c>
      <c r="W103" s="16">
        <f t="shared" si="63"/>
        <v>54</v>
      </c>
      <c r="AI103" s="2">
        <f t="shared" si="99"/>
        <v>0</v>
      </c>
      <c r="AJ103" s="34">
        <f t="shared" si="98"/>
        <v>0</v>
      </c>
      <c r="AK103" s="57">
        <f t="shared" si="62"/>
        <v>62470</v>
      </c>
      <c r="AL103" s="130">
        <f t="shared" si="85"/>
        <v>0</v>
      </c>
      <c r="AM103" s="769">
        <f t="shared" si="88"/>
        <v>95</v>
      </c>
      <c r="AN103" s="770">
        <f t="shared" si="76"/>
        <v>48206</v>
      </c>
      <c r="AO103" s="105">
        <f t="shared" si="92"/>
        <v>0</v>
      </c>
      <c r="AP103" s="105">
        <f t="shared" si="77"/>
        <v>0</v>
      </c>
      <c r="AQ103" s="105">
        <f t="shared" si="51"/>
        <v>0</v>
      </c>
      <c r="AR103" s="105">
        <f t="shared" si="78"/>
        <v>0</v>
      </c>
      <c r="AS103" s="105">
        <f t="shared" si="52"/>
        <v>0</v>
      </c>
      <c r="AT103" s="105">
        <f t="shared" si="53"/>
        <v>0</v>
      </c>
      <c r="AU103" s="105">
        <f t="shared" si="54"/>
        <v>0</v>
      </c>
      <c r="AV103" s="105">
        <f t="shared" si="55"/>
        <v>0</v>
      </c>
      <c r="AW103" s="105">
        <f t="shared" si="56"/>
        <v>0</v>
      </c>
      <c r="AX103" s="108">
        <f t="shared" si="89"/>
        <v>0</v>
      </c>
      <c r="AY103" s="108">
        <f t="shared" si="79"/>
        <v>0</v>
      </c>
      <c r="AZ103" s="759">
        <f t="shared" si="70"/>
        <v>48206</v>
      </c>
      <c r="BA103" s="108">
        <f t="shared" si="80"/>
        <v>0</v>
      </c>
      <c r="BB103" s="2" t="e">
        <f t="shared" si="100"/>
        <v>#VALUE!</v>
      </c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2"/>
      <c r="LX103" s="2"/>
      <c r="LY103" s="2"/>
      <c r="LZ103" s="2"/>
      <c r="MA103" s="2"/>
      <c r="MB103" s="2"/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  <c r="MQ103" s="2"/>
      <c r="MR103" s="2"/>
      <c r="MS103" s="2"/>
      <c r="MT103" s="2"/>
      <c r="MU103" s="2"/>
      <c r="MV103" s="2"/>
      <c r="MW103" s="2"/>
      <c r="MX103" s="2"/>
      <c r="MY103" s="2"/>
      <c r="MZ103" s="2"/>
      <c r="NA103" s="2"/>
      <c r="NB103" s="2"/>
      <c r="NC103" s="2"/>
      <c r="ND103" s="2"/>
      <c r="NE103" s="2"/>
      <c r="NF103" s="2"/>
      <c r="NG103" s="2"/>
      <c r="NH103" s="2"/>
      <c r="NI103" s="2"/>
      <c r="NJ103" s="2"/>
      <c r="NK103" s="2"/>
      <c r="NL103" s="2"/>
      <c r="NM103" s="2"/>
      <c r="NN103" s="2"/>
      <c r="NO103" s="2"/>
      <c r="NP103" s="2"/>
      <c r="NQ103" s="2"/>
      <c r="NR103" s="2"/>
      <c r="NS103" s="2"/>
      <c r="NT103" s="2"/>
      <c r="NU103" s="2"/>
      <c r="NV103" s="2"/>
      <c r="NW103" s="2"/>
      <c r="NX103" s="2"/>
      <c r="NY103" s="2"/>
      <c r="NZ103" s="2"/>
      <c r="OA103" s="2"/>
      <c r="OB103" s="2"/>
      <c r="OC103" s="2"/>
      <c r="OD103" s="2"/>
      <c r="OE103" s="2"/>
      <c r="OF103" s="2"/>
      <c r="OG103" s="2"/>
      <c r="OH103" s="2"/>
      <c r="OI103" s="2"/>
      <c r="OJ103" s="2"/>
      <c r="OK103" s="2"/>
      <c r="OL103" s="2"/>
      <c r="OM103" s="2"/>
      <c r="ON103" s="2"/>
      <c r="OO103" s="2"/>
      <c r="OP103" s="2"/>
      <c r="OQ103" s="2"/>
      <c r="OR103" s="2"/>
      <c r="OS103" s="2"/>
      <c r="OT103" s="2"/>
      <c r="OU103" s="2"/>
      <c r="OV103" s="2"/>
      <c r="OW103" s="2"/>
      <c r="OX103" s="2"/>
      <c r="OY103" s="2"/>
      <c r="OZ103" s="2"/>
      <c r="PA103" s="2"/>
      <c r="PB103" s="2"/>
      <c r="PC103" s="2"/>
      <c r="PD103" s="2"/>
      <c r="PE103" s="2"/>
      <c r="PF103" s="2"/>
      <c r="PG103" s="2"/>
      <c r="PH103" s="2"/>
      <c r="PI103" s="2"/>
      <c r="PJ103" s="2"/>
      <c r="PK103" s="2"/>
      <c r="PL103" s="2"/>
      <c r="PM103" s="2"/>
      <c r="PN103" s="2"/>
      <c r="PO103" s="2"/>
      <c r="PP103" s="2"/>
      <c r="PQ103" s="2"/>
      <c r="PR103" s="2"/>
      <c r="PS103" s="2"/>
      <c r="PT103" s="2"/>
      <c r="PU103" s="2"/>
      <c r="PV103" s="2"/>
      <c r="PW103" s="2"/>
      <c r="PX103" s="2"/>
      <c r="PY103" s="2"/>
      <c r="PZ103" s="2"/>
      <c r="QA103" s="2"/>
      <c r="QB103" s="2"/>
      <c r="QC103" s="2"/>
      <c r="QD103" s="2"/>
      <c r="QE103" s="2"/>
      <c r="QF103" s="2"/>
      <c r="QG103" s="2"/>
      <c r="QH103" s="2"/>
      <c r="QI103" s="2"/>
      <c r="QJ103" s="2"/>
      <c r="QK103" s="2"/>
      <c r="QL103" s="2"/>
      <c r="QM103" s="2"/>
      <c r="QN103" s="2"/>
      <c r="QO103" s="2"/>
      <c r="QP103" s="2"/>
      <c r="QQ103" s="2"/>
      <c r="QR103" s="2"/>
      <c r="QS103" s="2"/>
      <c r="QT103" s="2"/>
      <c r="QU103" s="2"/>
      <c r="QV103" s="2"/>
      <c r="QW103" s="2"/>
      <c r="QX103" s="2"/>
      <c r="QY103" s="2"/>
      <c r="QZ103" s="2"/>
      <c r="RA103" s="2"/>
      <c r="RB103" s="2"/>
      <c r="RC103" s="2"/>
      <c r="RD103" s="2"/>
      <c r="RE103" s="2"/>
      <c r="RF103" s="2"/>
      <c r="RG103" s="2"/>
      <c r="RH103" s="2"/>
      <c r="RI103" s="2"/>
      <c r="RJ103" s="2"/>
      <c r="RK103" s="2"/>
      <c r="RL103" s="2"/>
      <c r="RM103" s="2"/>
      <c r="RN103" s="2"/>
      <c r="RO103" s="2"/>
      <c r="RP103" s="2"/>
      <c r="RQ103" s="2"/>
      <c r="RR103" s="2"/>
      <c r="RS103" s="2"/>
      <c r="RT103" s="2"/>
      <c r="RU103" s="2"/>
      <c r="RV103" s="2"/>
      <c r="RW103" s="2"/>
      <c r="RX103" s="2"/>
      <c r="RY103" s="2"/>
      <c r="RZ103" s="2"/>
      <c r="SA103" s="2"/>
      <c r="SB103" s="2"/>
      <c r="SC103" s="2"/>
      <c r="SD103" s="2"/>
      <c r="SE103" s="2"/>
      <c r="SF103" s="2"/>
      <c r="SG103" s="2"/>
      <c r="SH103" s="2"/>
      <c r="SI103" s="2"/>
      <c r="SJ103" s="2"/>
      <c r="SK103" s="2"/>
      <c r="SL103" s="2"/>
      <c r="SM103" s="2"/>
      <c r="SN103" s="2"/>
      <c r="SO103" s="2"/>
      <c r="SP103" s="2"/>
      <c r="SQ103" s="2"/>
      <c r="SR103" s="2"/>
      <c r="SS103" s="2"/>
      <c r="ST103" s="2"/>
      <c r="SU103" s="2"/>
      <c r="SV103" s="2"/>
      <c r="SW103" s="2"/>
      <c r="SX103" s="2"/>
      <c r="SY103" s="2"/>
      <c r="SZ103" s="2"/>
      <c r="TA103" s="2"/>
      <c r="TB103" s="2"/>
      <c r="TC103" s="2"/>
      <c r="TD103" s="2"/>
      <c r="TE103" s="2"/>
      <c r="TF103" s="2"/>
      <c r="TG103" s="2"/>
      <c r="TH103" s="2"/>
      <c r="TI103" s="2"/>
      <c r="TJ103" s="2"/>
      <c r="TK103" s="2"/>
      <c r="TL103" s="2"/>
      <c r="TM103" s="2"/>
      <c r="TN103" s="2"/>
      <c r="TO103" s="2"/>
      <c r="TP103" s="2"/>
      <c r="TQ103" s="2"/>
      <c r="TR103" s="2"/>
      <c r="TS103" s="2"/>
      <c r="TT103" s="2"/>
      <c r="TU103" s="2"/>
      <c r="TV103" s="2"/>
      <c r="TW103" s="2"/>
      <c r="TX103" s="2"/>
      <c r="TY103" s="2"/>
      <c r="TZ103" s="2"/>
      <c r="UA103" s="2"/>
      <c r="UB103" s="2"/>
      <c r="UC103" s="2"/>
      <c r="UD103" s="2"/>
      <c r="UE103" s="2"/>
      <c r="UF103" s="2"/>
      <c r="UG103" s="2"/>
      <c r="UH103" s="2"/>
      <c r="UI103" s="2"/>
      <c r="UJ103" s="2"/>
      <c r="UK103" s="2"/>
      <c r="UL103" s="2"/>
      <c r="UM103" s="2"/>
      <c r="UN103" s="2"/>
      <c r="UO103" s="2"/>
      <c r="UP103" s="2"/>
      <c r="UQ103" s="2"/>
      <c r="UR103" s="2"/>
      <c r="US103" s="2"/>
      <c r="UT103" s="2"/>
      <c r="UU103" s="2"/>
      <c r="UV103" s="2"/>
      <c r="UW103" s="2"/>
      <c r="UX103" s="2"/>
      <c r="UY103" s="2"/>
      <c r="UZ103" s="2"/>
      <c r="VA103" s="2"/>
      <c r="VB103" s="2"/>
      <c r="VC103" s="2"/>
      <c r="VD103" s="2"/>
      <c r="VE103" s="2"/>
      <c r="VF103" s="2"/>
      <c r="VG103" s="2"/>
      <c r="VH103" s="2"/>
      <c r="VI103" s="2"/>
      <c r="VJ103" s="2"/>
      <c r="VK103" s="2"/>
      <c r="VL103" s="2"/>
      <c r="VM103" s="2"/>
      <c r="VN103" s="2"/>
      <c r="VO103" s="2"/>
      <c r="VP103" s="2"/>
      <c r="VQ103" s="2"/>
      <c r="VR103" s="2"/>
      <c r="VS103" s="2"/>
      <c r="VT103" s="2"/>
      <c r="VU103" s="2"/>
      <c r="VV103" s="2"/>
      <c r="VW103" s="2"/>
      <c r="VX103" s="2"/>
      <c r="VY103" s="2"/>
      <c r="VZ103" s="2"/>
      <c r="WA103" s="2"/>
      <c r="WB103" s="2"/>
      <c r="WC103" s="2"/>
      <c r="WD103" s="2"/>
      <c r="WE103" s="2"/>
      <c r="WF103" s="2"/>
      <c r="WG103" s="2"/>
      <c r="WH103" s="2"/>
      <c r="WI103" s="2"/>
      <c r="WJ103" s="2"/>
      <c r="WK103" s="2"/>
      <c r="WL103" s="2"/>
      <c r="WM103" s="2"/>
      <c r="WN103" s="2"/>
      <c r="WO103" s="2"/>
      <c r="WP103" s="2"/>
      <c r="WQ103" s="2"/>
      <c r="WR103" s="2"/>
      <c r="WS103" s="2"/>
      <c r="WT103" s="2"/>
      <c r="WU103" s="2"/>
      <c r="WV103" s="2"/>
      <c r="WW103" s="2"/>
      <c r="WX103" s="2"/>
      <c r="WY103" s="2"/>
      <c r="WZ103" s="2"/>
      <c r="XA103" s="2"/>
      <c r="XB103" s="2"/>
      <c r="XC103" s="2"/>
      <c r="XD103" s="2"/>
      <c r="XE103" s="2"/>
      <c r="XF103" s="2"/>
      <c r="XG103" s="2"/>
      <c r="XH103" s="2"/>
      <c r="XI103" s="2"/>
      <c r="XJ103" s="2"/>
      <c r="XK103" s="2"/>
      <c r="XL103" s="2"/>
      <c r="XM103" s="2"/>
      <c r="XN103" s="2"/>
      <c r="XO103" s="2"/>
      <c r="XP103" s="2"/>
      <c r="XQ103" s="2"/>
      <c r="XR103" s="2"/>
      <c r="XS103" s="2"/>
      <c r="XT103" s="2"/>
      <c r="XU103" s="2"/>
      <c r="XV103" s="2"/>
      <c r="XW103" s="2"/>
      <c r="XX103" s="2"/>
      <c r="XY103" s="2"/>
      <c r="XZ103" s="2"/>
      <c r="YA103" s="2"/>
      <c r="YB103" s="2"/>
      <c r="YC103" s="2"/>
      <c r="YD103" s="2"/>
      <c r="YE103" s="2"/>
      <c r="YF103" s="2"/>
      <c r="YG103" s="2"/>
      <c r="YH103" s="2"/>
      <c r="YI103" s="2"/>
      <c r="YJ103" s="2"/>
      <c r="YK103" s="2"/>
      <c r="YL103" s="2"/>
      <c r="YM103" s="2"/>
      <c r="YN103" s="2"/>
      <c r="YO103" s="2"/>
      <c r="YP103" s="2"/>
      <c r="YQ103" s="2"/>
      <c r="YR103" s="2"/>
      <c r="YS103" s="2"/>
      <c r="YT103" s="2"/>
      <c r="YU103" s="2"/>
      <c r="YV103" s="2"/>
      <c r="YW103" s="2"/>
      <c r="YX103" s="2"/>
      <c r="YY103" s="2"/>
      <c r="YZ103" s="2"/>
      <c r="ZA103" s="2"/>
      <c r="ZB103" s="2"/>
      <c r="ZC103" s="2"/>
      <c r="ZD103" s="2"/>
      <c r="ZE103" s="2"/>
      <c r="ZF103" s="2"/>
      <c r="ZG103" s="2"/>
      <c r="ZH103" s="2"/>
      <c r="ZI103" s="2"/>
      <c r="ZJ103" s="2"/>
      <c r="ZK103" s="2"/>
      <c r="ZL103" s="2"/>
      <c r="ZM103" s="2"/>
      <c r="ZN103" s="2"/>
      <c r="ZO103" s="2"/>
      <c r="ZP103" s="2"/>
      <c r="ZQ103" s="2"/>
      <c r="ZR103" s="2"/>
      <c r="ZS103" s="2"/>
      <c r="ZT103" s="2"/>
      <c r="ZU103" s="2"/>
      <c r="ZV103" s="2"/>
      <c r="ZW103" s="2"/>
      <c r="ZX103" s="2"/>
      <c r="ZY103" s="2"/>
      <c r="ZZ103" s="2"/>
      <c r="AAA103" s="2"/>
      <c r="AAB103" s="2"/>
      <c r="AAC103" s="2"/>
      <c r="AAD103" s="2"/>
      <c r="AAE103" s="2"/>
      <c r="AAF103" s="2"/>
      <c r="AAG103" s="2"/>
      <c r="AAH103" s="2"/>
      <c r="AAI103" s="2"/>
      <c r="AAJ103" s="2"/>
      <c r="AAK103" s="2"/>
      <c r="AAL103" s="2"/>
      <c r="AAM103" s="2"/>
      <c r="AAN103" s="2"/>
      <c r="AAO103" s="2"/>
      <c r="AAP103" s="2"/>
      <c r="AAQ103" s="2"/>
      <c r="AAR103" s="2"/>
      <c r="AAS103" s="2"/>
      <c r="AAT103" s="2"/>
      <c r="AAU103" s="2"/>
      <c r="AAV103" s="2"/>
      <c r="AAW103" s="2"/>
      <c r="AAX103" s="2"/>
      <c r="AAY103" s="2"/>
      <c r="AAZ103" s="2"/>
      <c r="ABA103" s="2"/>
      <c r="ABB103" s="2"/>
      <c r="ABC103" s="2"/>
      <c r="ABD103" s="2"/>
      <c r="ABE103" s="2"/>
      <c r="ABF103" s="2"/>
      <c r="ABG103" s="2"/>
      <c r="ABH103" s="2"/>
      <c r="ABI103" s="2"/>
      <c r="ABJ103" s="2"/>
      <c r="ABK103" s="2"/>
      <c r="ABL103" s="2"/>
      <c r="ABM103" s="2"/>
      <c r="ABN103" s="2"/>
      <c r="ABO103" s="2"/>
      <c r="ABP103" s="2"/>
      <c r="ABQ103" s="2"/>
      <c r="ABR103" s="2"/>
      <c r="ABS103" s="2"/>
      <c r="ABT103" s="2"/>
      <c r="ABU103" s="2"/>
      <c r="ABV103" s="2"/>
      <c r="ABW103" s="2"/>
      <c r="ABX103" s="2"/>
      <c r="ABY103" s="2"/>
      <c r="ABZ103" s="2"/>
      <c r="ACA103" s="2"/>
      <c r="ACB103" s="2"/>
      <c r="ACC103" s="2"/>
      <c r="ACD103" s="2"/>
      <c r="ACE103" s="2"/>
      <c r="ACF103" s="2"/>
      <c r="ACG103" s="2"/>
      <c r="ACH103" s="2"/>
      <c r="ACI103" s="2"/>
      <c r="ACJ103" s="2"/>
      <c r="ACK103" s="2"/>
      <c r="ACL103" s="2"/>
      <c r="ACM103" s="2"/>
      <c r="ACN103" s="2"/>
      <c r="ACO103" s="2"/>
      <c r="ACP103" s="2"/>
      <c r="ACQ103" s="2"/>
      <c r="ACR103" s="2"/>
      <c r="ACS103" s="2"/>
      <c r="ACT103" s="2"/>
      <c r="ACU103" s="2"/>
      <c r="ACV103" s="2"/>
      <c r="ACW103" s="2"/>
      <c r="ACX103" s="2"/>
      <c r="ACY103" s="2"/>
      <c r="ACZ103" s="2"/>
      <c r="ADA103" s="2"/>
      <c r="ADB103" s="2"/>
      <c r="ADC103" s="2"/>
      <c r="ADD103" s="2"/>
      <c r="ADE103" s="2"/>
      <c r="ADF103" s="2"/>
      <c r="ADG103" s="2"/>
      <c r="ADH103" s="2"/>
      <c r="ADI103" s="2"/>
      <c r="ADJ103" s="2"/>
      <c r="ADK103" s="2"/>
      <c r="ADL103" s="2"/>
      <c r="ADM103" s="2"/>
      <c r="ADN103" s="2"/>
      <c r="ADO103" s="2"/>
      <c r="ADP103" s="2"/>
      <c r="ADQ103" s="2"/>
      <c r="ADR103" s="2"/>
      <c r="ADS103" s="2"/>
      <c r="ADT103" s="2"/>
      <c r="ADU103" s="2"/>
      <c r="ADV103" s="2"/>
      <c r="ADW103" s="2"/>
      <c r="ADX103" s="2"/>
      <c r="ADY103" s="2"/>
      <c r="ADZ103" s="2"/>
      <c r="AEA103" s="2"/>
      <c r="AEB103" s="2"/>
      <c r="AEC103" s="2"/>
      <c r="AED103" s="2"/>
      <c r="AEE103" s="2"/>
      <c r="AEF103" s="2"/>
      <c r="AEG103" s="2"/>
      <c r="AEH103" s="2"/>
      <c r="AEI103" s="2"/>
      <c r="AEJ103" s="2"/>
      <c r="AEK103" s="2"/>
      <c r="AEL103" s="2"/>
      <c r="AEM103" s="2"/>
      <c r="AEN103" s="2"/>
      <c r="AEO103" s="2"/>
      <c r="AEP103" s="2"/>
      <c r="AEQ103" s="2"/>
      <c r="AER103" s="2"/>
      <c r="AES103" s="2"/>
      <c r="AET103" s="2"/>
      <c r="AEU103" s="2"/>
      <c r="AEV103" s="2"/>
      <c r="AEW103" s="2"/>
      <c r="AEX103" s="2"/>
      <c r="AEY103" s="2"/>
      <c r="AEZ103" s="2"/>
      <c r="AFA103" s="2"/>
      <c r="AFB103" s="2"/>
      <c r="AFC103" s="2"/>
      <c r="AFD103" s="2"/>
      <c r="AFE103" s="2"/>
      <c r="AFF103" s="2"/>
      <c r="AFG103" s="2"/>
      <c r="AFH103" s="2"/>
      <c r="AFI103" s="2"/>
      <c r="AFJ103" s="2"/>
      <c r="AFK103" s="2"/>
      <c r="AFL103" s="2"/>
      <c r="AFM103" s="2"/>
      <c r="AFN103" s="2"/>
      <c r="AFO103" s="2"/>
      <c r="AFP103" s="2"/>
      <c r="AFQ103" s="2"/>
      <c r="AFR103" s="2"/>
      <c r="AFS103" s="2"/>
      <c r="AFT103" s="2"/>
      <c r="AFU103" s="2"/>
      <c r="AFV103" s="2"/>
      <c r="AFW103" s="2"/>
      <c r="AFX103" s="2"/>
      <c r="AFY103" s="2"/>
      <c r="AFZ103" s="2"/>
      <c r="AGA103" s="2"/>
      <c r="AGB103" s="2"/>
      <c r="AGC103" s="2"/>
      <c r="AGD103" s="2"/>
      <c r="AGE103" s="2"/>
      <c r="AGF103" s="2"/>
      <c r="AGG103" s="2"/>
      <c r="AGH103" s="2"/>
      <c r="AGI103" s="2"/>
      <c r="AGJ103" s="2"/>
      <c r="AGK103" s="2"/>
      <c r="AGL103" s="2"/>
      <c r="AGM103" s="2"/>
      <c r="AGN103" s="2"/>
      <c r="AGO103" s="2"/>
      <c r="AGP103" s="2"/>
      <c r="AGQ103" s="2"/>
      <c r="AGR103" s="2"/>
      <c r="AGS103" s="2"/>
      <c r="AGT103" s="2"/>
      <c r="AGU103" s="2"/>
      <c r="AGV103" s="2"/>
      <c r="AGW103" s="2"/>
      <c r="AGX103" s="2"/>
      <c r="AGY103" s="2"/>
      <c r="AGZ103" s="2"/>
      <c r="AHA103" s="2"/>
      <c r="AHB103" s="2"/>
      <c r="AHC103" s="2"/>
      <c r="AHD103" s="2"/>
      <c r="AHE103" s="2"/>
      <c r="AHF103" s="2"/>
      <c r="AHG103" s="2"/>
      <c r="AHH103" s="2"/>
      <c r="AHI103" s="2"/>
      <c r="AHJ103" s="2"/>
      <c r="AHK103" s="2"/>
      <c r="AHL103" s="2"/>
      <c r="AHM103" s="2"/>
      <c r="AHN103" s="2"/>
      <c r="AHO103" s="2"/>
      <c r="AHP103" s="2"/>
      <c r="AHQ103" s="2"/>
      <c r="AHR103" s="2"/>
      <c r="AHS103" s="2"/>
      <c r="AHT103" s="2"/>
      <c r="AHU103" s="2"/>
      <c r="AHV103" s="2"/>
      <c r="AHW103" s="2"/>
      <c r="AHX103" s="2"/>
      <c r="AHY103" s="2"/>
      <c r="AHZ103" s="2"/>
      <c r="AIA103" s="2"/>
      <c r="AIB103" s="2"/>
      <c r="AIC103" s="2"/>
      <c r="AID103" s="2"/>
      <c r="AIE103" s="2"/>
      <c r="AIF103" s="2"/>
      <c r="AIG103" s="2"/>
      <c r="AIH103" s="2"/>
      <c r="AII103" s="2"/>
      <c r="AIJ103" s="2"/>
      <c r="AIK103" s="2"/>
      <c r="AIL103" s="2"/>
      <c r="AIM103" s="2"/>
      <c r="AIN103" s="2"/>
      <c r="AIO103" s="2"/>
      <c r="AIP103" s="2"/>
      <c r="AIQ103" s="2"/>
      <c r="AIR103" s="2"/>
      <c r="AIS103" s="2"/>
      <c r="AIT103" s="2"/>
      <c r="AIU103" s="2"/>
      <c r="AIV103" s="2"/>
      <c r="AIW103" s="2"/>
      <c r="AIX103" s="2"/>
      <c r="AIY103" s="2"/>
      <c r="AIZ103" s="2"/>
      <c r="AJA103" s="2"/>
      <c r="AJB103" s="2"/>
      <c r="AJC103" s="2"/>
      <c r="AJD103" s="2"/>
      <c r="AJE103" s="2"/>
      <c r="AJF103" s="2"/>
      <c r="AJG103" s="2"/>
      <c r="AJH103" s="2"/>
      <c r="AJI103" s="2"/>
      <c r="AJJ103" s="2"/>
      <c r="AJK103" s="2"/>
      <c r="AJL103" s="2"/>
      <c r="AJM103" s="2"/>
      <c r="AJN103" s="2"/>
      <c r="AJO103" s="2"/>
      <c r="AJP103" s="2"/>
      <c r="AJQ103" s="2"/>
      <c r="AJR103" s="2"/>
      <c r="AJS103" s="2"/>
      <c r="AJT103" s="2"/>
      <c r="AJU103" s="2"/>
      <c r="AJV103" s="2"/>
      <c r="AJW103" s="2"/>
      <c r="AJX103" s="2"/>
      <c r="AJY103" s="2"/>
      <c r="AJZ103" s="2"/>
      <c r="AKA103" s="2"/>
      <c r="AKB103" s="2"/>
      <c r="AKC103" s="2"/>
      <c r="AKD103" s="2"/>
      <c r="AKE103" s="2"/>
      <c r="AKF103" s="2"/>
      <c r="AKG103" s="2"/>
      <c r="AKH103" s="2"/>
      <c r="AKI103" s="2"/>
      <c r="AKJ103" s="2"/>
      <c r="AKK103" s="2"/>
      <c r="AKL103" s="2"/>
      <c r="AKM103" s="2"/>
      <c r="AKN103" s="2"/>
      <c r="AKO103" s="2"/>
      <c r="AKP103" s="2"/>
      <c r="AKQ103" s="2"/>
      <c r="AKR103" s="2"/>
      <c r="AKS103" s="2"/>
      <c r="AKT103" s="2"/>
      <c r="AKU103" s="2"/>
      <c r="AKV103" s="2"/>
      <c r="AKW103" s="2"/>
      <c r="AKX103" s="2"/>
      <c r="AKY103" s="2"/>
      <c r="AKZ103" s="2"/>
      <c r="ALA103" s="2"/>
      <c r="ALB103" s="2"/>
      <c r="ALC103" s="2"/>
      <c r="ALD103" s="2"/>
      <c r="ALE103" s="2"/>
      <c r="ALF103" s="2"/>
      <c r="ALG103" s="2"/>
      <c r="ALH103" s="2"/>
      <c r="ALI103" s="2"/>
      <c r="ALJ103" s="2"/>
      <c r="ALK103" s="2"/>
      <c r="ALL103" s="2"/>
      <c r="ALM103" s="2"/>
      <c r="ALN103" s="2"/>
      <c r="ALO103" s="2"/>
      <c r="ALP103" s="2"/>
      <c r="ALQ103" s="2"/>
      <c r="ALR103" s="2"/>
      <c r="ALS103" s="2"/>
      <c r="ALT103" s="2"/>
      <c r="ALU103" s="2"/>
      <c r="ALV103" s="2"/>
      <c r="ALW103" s="2"/>
      <c r="ALX103" s="2"/>
      <c r="ALY103" s="2"/>
      <c r="ALZ103" s="2"/>
      <c r="AMA103" s="2"/>
      <c r="AMB103" s="2"/>
      <c r="AMC103" s="2"/>
      <c r="AMD103" s="2"/>
      <c r="AME103" s="2"/>
      <c r="AMF103" s="2"/>
      <c r="AMG103" s="2"/>
      <c r="AMH103" s="2"/>
      <c r="AMI103" s="2"/>
      <c r="AMJ103" s="2"/>
      <c r="AMK103" s="2"/>
      <c r="AML103" s="2"/>
      <c r="AMM103" s="2"/>
      <c r="AMN103" s="2"/>
      <c r="AMO103" s="2"/>
      <c r="AMP103" s="2"/>
      <c r="AMQ103" s="2"/>
      <c r="AMR103" s="2"/>
      <c r="AMS103" s="2"/>
      <c r="AMT103" s="2"/>
      <c r="AMU103" s="2"/>
      <c r="AMV103" s="2"/>
      <c r="AMW103" s="2"/>
      <c r="AMX103" s="2"/>
      <c r="AMY103" s="2"/>
      <c r="AMZ103" s="2"/>
      <c r="ANA103" s="2"/>
      <c r="ANB103" s="2"/>
      <c r="ANC103" s="2"/>
      <c r="AND103" s="2"/>
      <c r="ANE103" s="2"/>
      <c r="ANF103" s="2"/>
      <c r="ANG103" s="2"/>
      <c r="ANH103" s="2"/>
      <c r="ANI103" s="2"/>
      <c r="ANJ103" s="2"/>
      <c r="ANK103" s="2"/>
      <c r="ANL103" s="2"/>
      <c r="ANM103" s="2"/>
      <c r="ANN103" s="2"/>
      <c r="ANO103" s="2"/>
      <c r="ANP103" s="2"/>
      <c r="ANQ103" s="2"/>
      <c r="ANR103" s="2"/>
      <c r="ANS103" s="2"/>
      <c r="ANT103" s="2"/>
      <c r="ANU103" s="2"/>
      <c r="ANV103" s="2"/>
      <c r="ANW103" s="2"/>
      <c r="ANX103" s="2"/>
      <c r="ANY103" s="2"/>
      <c r="ANZ103" s="2"/>
      <c r="AOA103" s="2"/>
      <c r="AOB103" s="2"/>
      <c r="AOC103" s="2"/>
      <c r="AOD103" s="2"/>
      <c r="AOE103" s="2"/>
      <c r="AOF103" s="2"/>
      <c r="AOG103" s="2"/>
      <c r="AOH103" s="2"/>
      <c r="AOI103" s="2"/>
      <c r="AOJ103" s="2"/>
      <c r="AOK103" s="2"/>
      <c r="AOL103" s="2"/>
      <c r="AOM103" s="2"/>
      <c r="AON103" s="2"/>
      <c r="AOO103" s="2"/>
      <c r="AOP103" s="2"/>
      <c r="AOQ103" s="2"/>
      <c r="AOR103" s="2"/>
      <c r="AOS103" s="2"/>
      <c r="AOT103" s="2"/>
      <c r="AOU103" s="2"/>
      <c r="AOV103" s="2"/>
      <c r="AOW103" s="2"/>
      <c r="AOX103" s="2"/>
      <c r="AOY103" s="2"/>
      <c r="AOZ103" s="2"/>
      <c r="APA103" s="2"/>
      <c r="APB103" s="2"/>
      <c r="APC103" s="2"/>
      <c r="APD103" s="2"/>
      <c r="APE103" s="2"/>
      <c r="APF103" s="2"/>
      <c r="APG103" s="2"/>
      <c r="APH103" s="2"/>
      <c r="API103" s="2"/>
      <c r="APJ103" s="2"/>
      <c r="APK103" s="2"/>
      <c r="APL103" s="2"/>
      <c r="APM103" s="2"/>
      <c r="APN103" s="2"/>
      <c r="APO103" s="2"/>
      <c r="APP103" s="2"/>
      <c r="APQ103" s="2"/>
      <c r="APR103" s="2"/>
      <c r="APS103" s="2"/>
      <c r="APT103" s="2"/>
      <c r="APU103" s="2"/>
      <c r="APV103" s="2"/>
      <c r="APW103" s="2"/>
      <c r="APX103" s="2"/>
      <c r="APY103" s="2"/>
      <c r="APZ103" s="2"/>
      <c r="AQA103" s="2"/>
      <c r="AQB103" s="2"/>
      <c r="AQC103" s="2"/>
      <c r="AQD103" s="2"/>
      <c r="AQE103" s="2"/>
      <c r="AQF103" s="2"/>
      <c r="AQG103" s="2"/>
      <c r="AQH103" s="2"/>
      <c r="AQI103" s="2"/>
      <c r="AQJ103" s="2"/>
      <c r="AQK103" s="2"/>
      <c r="AQL103" s="2"/>
      <c r="AQM103" s="2"/>
      <c r="AQN103" s="2"/>
      <c r="AQO103" s="2"/>
      <c r="AQP103" s="2"/>
      <c r="AQQ103" s="2"/>
      <c r="AQR103" s="2"/>
      <c r="AQS103" s="2"/>
      <c r="AQT103" s="2"/>
      <c r="AQU103" s="2"/>
      <c r="AQV103" s="2"/>
      <c r="AQW103" s="2"/>
      <c r="AQX103" s="2"/>
      <c r="AQY103" s="2"/>
      <c r="AQZ103" s="2"/>
      <c r="ARA103" s="2"/>
      <c r="ARB103" s="2"/>
      <c r="ARC103" s="2"/>
      <c r="ARD103" s="2"/>
      <c r="ARE103" s="2"/>
      <c r="ARF103" s="2"/>
      <c r="ARG103" s="2"/>
      <c r="ARH103" s="2"/>
      <c r="ARI103" s="2"/>
      <c r="ARJ103" s="2"/>
      <c r="ARK103" s="2"/>
      <c r="ARL103" s="2"/>
      <c r="ARM103" s="2"/>
      <c r="ARN103" s="2"/>
      <c r="ARO103" s="2"/>
      <c r="ARP103" s="2"/>
      <c r="ARQ103" s="2"/>
      <c r="ARR103" s="2"/>
      <c r="ARS103" s="2"/>
      <c r="ART103" s="2"/>
      <c r="ARU103" s="2"/>
      <c r="ARV103" s="2"/>
      <c r="ARW103" s="2"/>
      <c r="ARX103" s="2"/>
      <c r="ARY103" s="2"/>
      <c r="ARZ103" s="2"/>
      <c r="ASA103" s="2"/>
      <c r="ASB103" s="2"/>
      <c r="ASC103" s="2"/>
      <c r="ASD103" s="2"/>
      <c r="ASE103" s="2"/>
      <c r="ASF103" s="2"/>
      <c r="ASG103" s="2"/>
      <c r="ASH103" s="2"/>
      <c r="ASI103" s="2"/>
      <c r="ASJ103" s="2"/>
      <c r="ASK103" s="2"/>
      <c r="ASL103" s="2"/>
      <c r="ASM103" s="2"/>
      <c r="ASN103" s="2"/>
      <c r="ASO103" s="2"/>
      <c r="ASP103" s="2"/>
      <c r="ASQ103" s="2"/>
      <c r="ASR103" s="2"/>
      <c r="ASS103" s="2"/>
      <c r="AST103" s="2"/>
      <c r="ASU103" s="2"/>
      <c r="ASV103" s="2"/>
      <c r="ASW103" s="2"/>
      <c r="ASX103" s="2"/>
      <c r="ASY103" s="2"/>
      <c r="ASZ103" s="2"/>
      <c r="ATA103" s="2"/>
      <c r="ATB103" s="2"/>
      <c r="ATC103" s="2"/>
      <c r="ATD103" s="2"/>
      <c r="ATE103" s="2"/>
      <c r="ATF103" s="2"/>
      <c r="ATG103" s="2"/>
      <c r="ATH103" s="2"/>
      <c r="ATI103" s="2"/>
      <c r="ATJ103" s="2"/>
      <c r="ATK103" s="2"/>
    </row>
    <row r="104" spans="1:1207" ht="12" x14ac:dyDescent="0.25">
      <c r="E104" s="767">
        <f t="shared" si="86"/>
        <v>96</v>
      </c>
      <c r="F104" s="768">
        <f t="shared" si="71"/>
        <v>48237</v>
      </c>
      <c r="G104" s="24">
        <f t="shared" si="102"/>
        <v>0</v>
      </c>
      <c r="H104" s="24">
        <f t="shared" si="72"/>
        <v>0</v>
      </c>
      <c r="I104" s="24">
        <f t="shared" si="84"/>
        <v>44144.790000000023</v>
      </c>
      <c r="J104" s="24">
        <f t="shared" si="101"/>
        <v>0</v>
      </c>
      <c r="K104" s="24">
        <f t="shared" si="73"/>
        <v>0</v>
      </c>
      <c r="L104" s="24">
        <f t="shared" si="81"/>
        <v>0</v>
      </c>
      <c r="M104" s="24">
        <f t="shared" si="96"/>
        <v>0</v>
      </c>
      <c r="N104" s="24">
        <f t="shared" si="97"/>
        <v>0</v>
      </c>
      <c r="O104" s="24">
        <f t="shared" si="82"/>
        <v>0</v>
      </c>
      <c r="P104" s="24">
        <f t="shared" si="83"/>
        <v>0</v>
      </c>
      <c r="Q104" s="24">
        <f t="shared" si="74"/>
        <v>0</v>
      </c>
      <c r="R104" s="36">
        <f t="shared" si="90"/>
        <v>0</v>
      </c>
      <c r="S104" s="36">
        <f t="shared" si="75"/>
        <v>0</v>
      </c>
      <c r="T104" s="2">
        <f t="shared" si="94"/>
        <v>0</v>
      </c>
      <c r="U104" s="34">
        <f t="shared" si="95"/>
        <v>0</v>
      </c>
      <c r="V104" s="57">
        <f t="shared" si="61"/>
        <v>62835</v>
      </c>
      <c r="W104" s="16">
        <f t="shared" si="63"/>
        <v>55</v>
      </c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2">
        <f t="shared" si="99"/>
        <v>0</v>
      </c>
      <c r="AJ104" s="34">
        <f t="shared" si="98"/>
        <v>0</v>
      </c>
      <c r="AK104" s="57">
        <f t="shared" si="62"/>
        <v>62470</v>
      </c>
      <c r="AL104" s="130">
        <f t="shared" si="85"/>
        <v>0</v>
      </c>
      <c r="AM104" s="769">
        <f t="shared" si="88"/>
        <v>96</v>
      </c>
      <c r="AN104" s="770">
        <f t="shared" si="76"/>
        <v>48237</v>
      </c>
      <c r="AO104" s="105">
        <f t="shared" si="92"/>
        <v>0</v>
      </c>
      <c r="AP104" s="105">
        <f t="shared" si="77"/>
        <v>0</v>
      </c>
      <c r="AQ104" s="105">
        <f t="shared" si="51"/>
        <v>0</v>
      </c>
      <c r="AR104" s="105">
        <f t="shared" si="78"/>
        <v>0</v>
      </c>
      <c r="AS104" s="105">
        <f t="shared" si="52"/>
        <v>0</v>
      </c>
      <c r="AT104" s="105">
        <f t="shared" si="53"/>
        <v>0</v>
      </c>
      <c r="AU104" s="105">
        <f t="shared" si="54"/>
        <v>0</v>
      </c>
      <c r="AV104" s="105">
        <f t="shared" si="55"/>
        <v>0</v>
      </c>
      <c r="AW104" s="105">
        <f t="shared" si="56"/>
        <v>0</v>
      </c>
      <c r="AX104" s="108">
        <f t="shared" si="89"/>
        <v>0</v>
      </c>
      <c r="AY104" s="108">
        <f t="shared" si="79"/>
        <v>0</v>
      </c>
      <c r="AZ104" s="759">
        <f t="shared" si="70"/>
        <v>48237</v>
      </c>
      <c r="BA104" s="108">
        <f t="shared" si="80"/>
        <v>0</v>
      </c>
      <c r="BB104" s="2" t="e">
        <f t="shared" si="100"/>
        <v>#VALUE!</v>
      </c>
    </row>
    <row r="105" spans="1:1207" ht="12" x14ac:dyDescent="0.25">
      <c r="E105" s="767">
        <f t="shared" si="86"/>
        <v>97</v>
      </c>
      <c r="F105" s="768">
        <f t="shared" si="71"/>
        <v>48268</v>
      </c>
      <c r="G105" s="24">
        <f t="shared" si="102"/>
        <v>0</v>
      </c>
      <c r="H105" s="24">
        <f t="shared" ref="H105:H136" si="103">IF(AND(E105&gt;=$T$14,E105&lt;=$T$14+5),0,IF($C$9&gt;$AC$52,ROUND(Q104*$C$19*((F105-DATE(YEAR(F105),MONTH(F105),1)+1)/(DATE(YEAR(F105)+1,1,1)-DATE(YEAR(F105),1,1))+(EOMONTH(F104,0)-F104)/(DATE(YEAR(F104)+1,1,1)-DATE(YEAR(F104),1,1))),2),0))</f>
        <v>0</v>
      </c>
      <c r="I105" s="24">
        <f t="shared" si="84"/>
        <v>44144.790000000023</v>
      </c>
      <c r="J105" s="24">
        <f t="shared" si="101"/>
        <v>0</v>
      </c>
      <c r="K105" s="24">
        <f t="shared" si="73"/>
        <v>0</v>
      </c>
      <c r="L105" s="24">
        <f t="shared" si="81"/>
        <v>0</v>
      </c>
      <c r="M105" s="24">
        <f t="shared" si="96"/>
        <v>0</v>
      </c>
      <c r="N105" s="24">
        <f t="shared" si="97"/>
        <v>0</v>
      </c>
      <c r="O105" s="24">
        <f t="shared" si="82"/>
        <v>0</v>
      </c>
      <c r="P105" s="24">
        <f t="shared" si="83"/>
        <v>0</v>
      </c>
      <c r="Q105" s="24">
        <f t="shared" si="74"/>
        <v>0</v>
      </c>
      <c r="R105" s="36">
        <f t="shared" si="90"/>
        <v>0</v>
      </c>
      <c r="S105" s="36">
        <f t="shared" ref="S105:S136" si="104">IF(ISERR(CEILING(FLOOR(NPER($C$19/12,-$AA$56,Q104),0.1),1))=TRUE,0,CEILING(FLOOR(NPER($C$19/12,-$AA$56,Q104),0.1),1))</f>
        <v>0</v>
      </c>
      <c r="T105" s="2">
        <f t="shared" si="94"/>
        <v>0</v>
      </c>
      <c r="U105" s="34">
        <f t="shared" si="95"/>
        <v>0</v>
      </c>
      <c r="V105" s="57">
        <f t="shared" si="61"/>
        <v>62835</v>
      </c>
      <c r="W105" s="16">
        <f t="shared" si="63"/>
        <v>56</v>
      </c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2">
        <f t="shared" si="99"/>
        <v>0</v>
      </c>
      <c r="AJ105" s="34">
        <f t="shared" si="98"/>
        <v>0</v>
      </c>
      <c r="AK105" s="57">
        <f t="shared" si="62"/>
        <v>62470</v>
      </c>
      <c r="AL105" s="130">
        <f t="shared" si="85"/>
        <v>0</v>
      </c>
      <c r="AM105" s="769">
        <f t="shared" si="88"/>
        <v>97</v>
      </c>
      <c r="AN105" s="770">
        <f t="shared" ref="AN105:AN129" si="105">IF((OR(DAY($AA$55)=29,DAY($AA$55)=30,DAY($AA$55)=31)),(EDATE($C$9-3,AM105)),(IF((OR(DAY($AA$55)=1,DAY($AA$55)=2,DAY($AA$55)=3)),(EDATE($C$9,AM105)+3),EDATE($C$9,AM105))))</f>
        <v>48268</v>
      </c>
      <c r="AO105" s="105">
        <f t="shared" si="92"/>
        <v>0</v>
      </c>
      <c r="AP105" s="105">
        <f t="shared" ref="AP105:AP129" si="106">IF(AND(E105&gt;=$T$14,E105&lt;=$T$14+5),0,IF($C$9&gt;$AC$52,ROUND(AW104*$D$19*((AN105-DATE(YEAR(AN105),MONTH(AN105),1)+1)/(DATE(YEAR(AN105)+1,1,1)-DATE(YEAR(AN105),1,1))+(EOMONTH(AN104,0)-AN104)/(DATE(YEAR(AN104)+1,1,1)-DATE(YEAR(AN104),1,1))),2),0))</f>
        <v>0</v>
      </c>
      <c r="AQ105" s="105">
        <f t="shared" si="51"/>
        <v>0</v>
      </c>
      <c r="AR105" s="105">
        <f t="shared" ref="AR105:AR129" si="107">IF(AT105&gt;$D$29,$D$29-AP105,IF(AY105=0,0,AV105)+BN154)</f>
        <v>0</v>
      </c>
      <c r="AS105" s="105">
        <f t="shared" si="52"/>
        <v>0</v>
      </c>
      <c r="AT105" s="105">
        <f t="shared" si="53"/>
        <v>0</v>
      </c>
      <c r="AU105" s="105">
        <f t="shared" si="54"/>
        <v>0</v>
      </c>
      <c r="AV105" s="105">
        <f t="shared" si="55"/>
        <v>0</v>
      </c>
      <c r="AW105" s="105">
        <f t="shared" si="56"/>
        <v>0</v>
      </c>
      <c r="AX105" s="108">
        <f t="shared" si="89"/>
        <v>0</v>
      </c>
      <c r="AY105" s="108">
        <f t="shared" ref="AY105:AY129" si="108">IF(ISERR(CEILING(FLOOR(NPER($D$19/12,-$AC$56,AW104),0.1),1))=TRUE,0,CEILING(FLOOR(NPER($D$19/12,-$AC$56,AW104),0.1),1))</f>
        <v>0</v>
      </c>
      <c r="AZ105" s="759">
        <f t="shared" si="70"/>
        <v>48268</v>
      </c>
      <c r="BA105" s="108">
        <f t="shared" si="80"/>
        <v>0</v>
      </c>
      <c r="BB105" s="2" t="e">
        <f t="shared" si="100"/>
        <v>#VALUE!</v>
      </c>
    </row>
    <row r="106" spans="1:1207" ht="12" x14ac:dyDescent="0.25">
      <c r="E106" s="767">
        <f t="shared" si="86"/>
        <v>98</v>
      </c>
      <c r="F106" s="768">
        <f t="shared" si="71"/>
        <v>48297</v>
      </c>
      <c r="G106" s="24">
        <f t="shared" si="102"/>
        <v>0</v>
      </c>
      <c r="H106" s="24">
        <f t="shared" si="103"/>
        <v>0</v>
      </c>
      <c r="I106" s="24">
        <f t="shared" si="84"/>
        <v>44144.790000000023</v>
      </c>
      <c r="J106" s="24">
        <f t="shared" si="101"/>
        <v>0</v>
      </c>
      <c r="K106" s="24">
        <f t="shared" si="73"/>
        <v>0</v>
      </c>
      <c r="L106" s="24">
        <f t="shared" ref="L106:L137" si="109">IF(N106&gt;$C$29,$C$29-H106,IF(S106=0,0,O106))</f>
        <v>0</v>
      </c>
      <c r="M106" s="24">
        <f t="shared" si="96"/>
        <v>0</v>
      </c>
      <c r="N106" s="24">
        <f t="shared" si="97"/>
        <v>0</v>
      </c>
      <c r="O106" s="24">
        <f t="shared" si="82"/>
        <v>0</v>
      </c>
      <c r="P106" s="24">
        <f t="shared" si="83"/>
        <v>0</v>
      </c>
      <c r="Q106" s="24">
        <f t="shared" si="74"/>
        <v>0</v>
      </c>
      <c r="R106" s="36">
        <f t="shared" si="90"/>
        <v>0</v>
      </c>
      <c r="S106" s="36">
        <f t="shared" si="104"/>
        <v>0</v>
      </c>
      <c r="T106" s="2">
        <f t="shared" si="94"/>
        <v>0</v>
      </c>
      <c r="U106" s="34">
        <f t="shared" si="95"/>
        <v>0</v>
      </c>
      <c r="V106" s="57">
        <f t="shared" si="61"/>
        <v>62835</v>
      </c>
      <c r="W106" s="16">
        <f t="shared" si="63"/>
        <v>57</v>
      </c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2">
        <f t="shared" si="99"/>
        <v>0</v>
      </c>
      <c r="AJ106" s="34">
        <f t="shared" si="98"/>
        <v>0</v>
      </c>
      <c r="AK106" s="57">
        <f t="shared" si="62"/>
        <v>62470</v>
      </c>
      <c r="AL106" s="130">
        <f t="shared" si="85"/>
        <v>0</v>
      </c>
      <c r="AM106" s="769">
        <f t="shared" si="88"/>
        <v>98</v>
      </c>
      <c r="AN106" s="770">
        <f t="shared" si="105"/>
        <v>48297</v>
      </c>
      <c r="AO106" s="105">
        <f t="shared" si="92"/>
        <v>0</v>
      </c>
      <c r="AP106" s="105">
        <f t="shared" si="106"/>
        <v>0</v>
      </c>
      <c r="AQ106" s="105">
        <f t="shared" si="51"/>
        <v>0</v>
      </c>
      <c r="AR106" s="105">
        <f t="shared" si="107"/>
        <v>0</v>
      </c>
      <c r="AS106" s="105">
        <f t="shared" si="52"/>
        <v>0</v>
      </c>
      <c r="AT106" s="105">
        <f t="shared" si="53"/>
        <v>0</v>
      </c>
      <c r="AU106" s="105">
        <f t="shared" si="54"/>
        <v>0</v>
      </c>
      <c r="AV106" s="105">
        <f t="shared" si="55"/>
        <v>0</v>
      </c>
      <c r="AW106" s="105">
        <f t="shared" si="56"/>
        <v>0</v>
      </c>
      <c r="AX106" s="108">
        <f t="shared" si="89"/>
        <v>0</v>
      </c>
      <c r="AY106" s="108">
        <f t="shared" si="108"/>
        <v>0</v>
      </c>
      <c r="AZ106" s="759">
        <f t="shared" si="70"/>
        <v>48297</v>
      </c>
      <c r="BA106" s="108">
        <f t="shared" si="80"/>
        <v>0</v>
      </c>
      <c r="BB106" s="2" t="e">
        <f t="shared" si="100"/>
        <v>#VALUE!</v>
      </c>
    </row>
    <row r="107" spans="1:1207" ht="12" x14ac:dyDescent="0.25">
      <c r="E107" s="767">
        <f t="shared" si="86"/>
        <v>99</v>
      </c>
      <c r="F107" s="768">
        <f t="shared" si="71"/>
        <v>48328</v>
      </c>
      <c r="G107" s="24">
        <f t="shared" si="102"/>
        <v>0</v>
      </c>
      <c r="H107" s="24">
        <f t="shared" si="103"/>
        <v>0</v>
      </c>
      <c r="I107" s="24">
        <f t="shared" si="84"/>
        <v>44144.790000000023</v>
      </c>
      <c r="J107" s="24">
        <f t="shared" si="101"/>
        <v>0</v>
      </c>
      <c r="K107" s="24">
        <f t="shared" si="73"/>
        <v>0</v>
      </c>
      <c r="L107" s="24">
        <f t="shared" si="109"/>
        <v>0</v>
      </c>
      <c r="M107" s="24">
        <f t="shared" si="96"/>
        <v>0</v>
      </c>
      <c r="N107" s="24">
        <f t="shared" si="97"/>
        <v>0</v>
      </c>
      <c r="O107" s="24">
        <f t="shared" si="82"/>
        <v>0</v>
      </c>
      <c r="P107" s="24">
        <f t="shared" si="83"/>
        <v>0</v>
      </c>
      <c r="Q107" s="24">
        <f t="shared" si="74"/>
        <v>0</v>
      </c>
      <c r="R107" s="36">
        <f t="shared" si="90"/>
        <v>0</v>
      </c>
      <c r="S107" s="36">
        <f t="shared" si="104"/>
        <v>0</v>
      </c>
      <c r="T107" s="2">
        <f t="shared" si="94"/>
        <v>0</v>
      </c>
      <c r="U107" s="34">
        <f t="shared" si="95"/>
        <v>0</v>
      </c>
      <c r="V107" s="57">
        <f t="shared" si="61"/>
        <v>62835</v>
      </c>
      <c r="W107" s="16">
        <f t="shared" si="63"/>
        <v>58</v>
      </c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2">
        <f t="shared" si="99"/>
        <v>0</v>
      </c>
      <c r="AJ107" s="34">
        <f t="shared" si="98"/>
        <v>0</v>
      </c>
      <c r="AK107" s="57">
        <f t="shared" si="62"/>
        <v>62470</v>
      </c>
      <c r="AL107" s="130">
        <f t="shared" si="85"/>
        <v>0</v>
      </c>
      <c r="AM107" s="769">
        <f t="shared" si="88"/>
        <v>99</v>
      </c>
      <c r="AN107" s="770">
        <f t="shared" si="105"/>
        <v>48328</v>
      </c>
      <c r="AO107" s="105">
        <f t="shared" si="92"/>
        <v>0</v>
      </c>
      <c r="AP107" s="105">
        <f t="shared" si="106"/>
        <v>0</v>
      </c>
      <c r="AQ107" s="105">
        <f t="shared" si="51"/>
        <v>0</v>
      </c>
      <c r="AR107" s="105">
        <f t="shared" si="107"/>
        <v>0</v>
      </c>
      <c r="AS107" s="105">
        <f t="shared" si="52"/>
        <v>0</v>
      </c>
      <c r="AT107" s="105">
        <f t="shared" si="53"/>
        <v>0</v>
      </c>
      <c r="AU107" s="105">
        <f t="shared" si="54"/>
        <v>0</v>
      </c>
      <c r="AV107" s="105">
        <f t="shared" si="55"/>
        <v>0</v>
      </c>
      <c r="AW107" s="105">
        <f t="shared" si="56"/>
        <v>0</v>
      </c>
      <c r="AX107" s="108">
        <f t="shared" si="89"/>
        <v>0</v>
      </c>
      <c r="AY107" s="108">
        <f t="shared" si="108"/>
        <v>0</v>
      </c>
      <c r="AZ107" s="759">
        <f t="shared" si="70"/>
        <v>48328</v>
      </c>
      <c r="BA107" s="108">
        <f t="shared" si="80"/>
        <v>0</v>
      </c>
      <c r="BB107" s="2" t="e">
        <f t="shared" si="100"/>
        <v>#VALUE!</v>
      </c>
    </row>
    <row r="108" spans="1:1207" ht="12" x14ac:dyDescent="0.25">
      <c r="E108" s="767">
        <f t="shared" si="86"/>
        <v>100</v>
      </c>
      <c r="F108" s="768">
        <f t="shared" si="71"/>
        <v>48358</v>
      </c>
      <c r="G108" s="24">
        <f t="shared" si="102"/>
        <v>0</v>
      </c>
      <c r="H108" s="24">
        <f t="shared" si="103"/>
        <v>0</v>
      </c>
      <c r="I108" s="24">
        <f t="shared" si="84"/>
        <v>44144.790000000023</v>
      </c>
      <c r="J108" s="24">
        <f t="shared" si="101"/>
        <v>0</v>
      </c>
      <c r="K108" s="24">
        <f t="shared" si="73"/>
        <v>0</v>
      </c>
      <c r="L108" s="24">
        <f t="shared" si="109"/>
        <v>0</v>
      </c>
      <c r="M108" s="24">
        <f t="shared" si="96"/>
        <v>0</v>
      </c>
      <c r="N108" s="24">
        <f t="shared" si="97"/>
        <v>0</v>
      </c>
      <c r="O108" s="24">
        <f t="shared" si="82"/>
        <v>0</v>
      </c>
      <c r="P108" s="24">
        <f t="shared" si="83"/>
        <v>0</v>
      </c>
      <c r="Q108" s="24">
        <f t="shared" si="74"/>
        <v>0</v>
      </c>
      <c r="R108" s="36">
        <f t="shared" si="90"/>
        <v>0</v>
      </c>
      <c r="S108" s="36">
        <f t="shared" si="104"/>
        <v>0</v>
      </c>
      <c r="T108" s="2">
        <f t="shared" si="94"/>
        <v>0</v>
      </c>
      <c r="U108" s="34">
        <f t="shared" si="95"/>
        <v>0</v>
      </c>
      <c r="V108" s="57">
        <f t="shared" si="61"/>
        <v>62835</v>
      </c>
      <c r="W108" s="16">
        <f t="shared" si="63"/>
        <v>59</v>
      </c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2">
        <f t="shared" si="99"/>
        <v>0</v>
      </c>
      <c r="AJ108" s="34">
        <f t="shared" si="98"/>
        <v>0</v>
      </c>
      <c r="AK108" s="57">
        <f t="shared" si="62"/>
        <v>62470</v>
      </c>
      <c r="AL108" s="130">
        <f t="shared" si="85"/>
        <v>0</v>
      </c>
      <c r="AM108" s="769">
        <f t="shared" si="88"/>
        <v>100</v>
      </c>
      <c r="AN108" s="770">
        <f t="shared" si="105"/>
        <v>48358</v>
      </c>
      <c r="AO108" s="105">
        <f t="shared" si="92"/>
        <v>0</v>
      </c>
      <c r="AP108" s="105">
        <f t="shared" si="106"/>
        <v>0</v>
      </c>
      <c r="AQ108" s="105">
        <f t="shared" si="51"/>
        <v>0</v>
      </c>
      <c r="AR108" s="105">
        <f t="shared" si="107"/>
        <v>0</v>
      </c>
      <c r="AS108" s="105">
        <f t="shared" si="52"/>
        <v>0</v>
      </c>
      <c r="AT108" s="105">
        <f t="shared" si="53"/>
        <v>0</v>
      </c>
      <c r="AU108" s="105">
        <f t="shared" si="54"/>
        <v>0</v>
      </c>
      <c r="AV108" s="105">
        <f t="shared" si="55"/>
        <v>0</v>
      </c>
      <c r="AW108" s="105">
        <f t="shared" si="56"/>
        <v>0</v>
      </c>
      <c r="AX108" s="108">
        <f t="shared" si="89"/>
        <v>0</v>
      </c>
      <c r="AY108" s="108">
        <f t="shared" si="108"/>
        <v>0</v>
      </c>
      <c r="AZ108" s="759">
        <f t="shared" ref="AZ108:BA110" si="110">F158</f>
        <v>49880</v>
      </c>
      <c r="BA108" s="108">
        <f t="shared" si="110"/>
        <v>0</v>
      </c>
      <c r="BB108" s="2" t="e">
        <f t="shared" si="100"/>
        <v>#VALUE!</v>
      </c>
    </row>
    <row r="109" spans="1:1207" ht="12" x14ac:dyDescent="0.25">
      <c r="E109" s="767">
        <f t="shared" si="86"/>
        <v>101</v>
      </c>
      <c r="F109" s="768">
        <f t="shared" si="71"/>
        <v>48389</v>
      </c>
      <c r="G109" s="24">
        <f t="shared" si="102"/>
        <v>0</v>
      </c>
      <c r="H109" s="24">
        <f t="shared" si="103"/>
        <v>0</v>
      </c>
      <c r="I109" s="24">
        <f t="shared" si="84"/>
        <v>44144.790000000023</v>
      </c>
      <c r="J109" s="24">
        <f t="shared" si="101"/>
        <v>0</v>
      </c>
      <c r="K109" s="24">
        <f t="shared" si="73"/>
        <v>0</v>
      </c>
      <c r="L109" s="24">
        <f t="shared" si="109"/>
        <v>0</v>
      </c>
      <c r="M109" s="24">
        <f t="shared" si="96"/>
        <v>0</v>
      </c>
      <c r="N109" s="24">
        <f t="shared" si="97"/>
        <v>0</v>
      </c>
      <c r="O109" s="24">
        <f t="shared" si="82"/>
        <v>0</v>
      </c>
      <c r="P109" s="24">
        <f t="shared" si="83"/>
        <v>0</v>
      </c>
      <c r="Q109" s="24">
        <f t="shared" si="74"/>
        <v>0</v>
      </c>
      <c r="R109" s="36">
        <f t="shared" si="90"/>
        <v>0</v>
      </c>
      <c r="S109" s="36">
        <f t="shared" si="104"/>
        <v>0</v>
      </c>
      <c r="T109" s="2">
        <f t="shared" si="94"/>
        <v>0</v>
      </c>
      <c r="U109" s="34">
        <f t="shared" si="95"/>
        <v>0</v>
      </c>
      <c r="V109" s="57">
        <f t="shared" si="61"/>
        <v>62835</v>
      </c>
      <c r="W109" s="16">
        <f t="shared" si="63"/>
        <v>60</v>
      </c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2">
        <f t="shared" si="99"/>
        <v>0</v>
      </c>
      <c r="AJ109" s="34">
        <f t="shared" si="98"/>
        <v>0</v>
      </c>
      <c r="AK109" s="57">
        <f>IF(AI109=0,AK108,AK108+365)</f>
        <v>62470</v>
      </c>
      <c r="AL109" s="130">
        <f t="shared" si="85"/>
        <v>0</v>
      </c>
      <c r="AM109" s="769">
        <f t="shared" si="88"/>
        <v>101</v>
      </c>
      <c r="AN109" s="770">
        <f t="shared" si="105"/>
        <v>48389</v>
      </c>
      <c r="AO109" s="105">
        <f t="shared" si="92"/>
        <v>0</v>
      </c>
      <c r="AP109" s="105">
        <f t="shared" si="106"/>
        <v>0</v>
      </c>
      <c r="AQ109" s="105">
        <f t="shared" si="51"/>
        <v>0</v>
      </c>
      <c r="AR109" s="105">
        <f t="shared" si="107"/>
        <v>0</v>
      </c>
      <c r="AS109" s="105">
        <f t="shared" si="52"/>
        <v>0</v>
      </c>
      <c r="AT109" s="105">
        <f t="shared" si="53"/>
        <v>0</v>
      </c>
      <c r="AU109" s="105">
        <f t="shared" si="54"/>
        <v>0</v>
      </c>
      <c r="AV109" s="105">
        <f t="shared" si="55"/>
        <v>0</v>
      </c>
      <c r="AW109" s="105">
        <f t="shared" si="56"/>
        <v>0</v>
      </c>
      <c r="AX109" s="108">
        <f t="shared" si="89"/>
        <v>0</v>
      </c>
      <c r="AY109" s="108">
        <f t="shared" si="108"/>
        <v>0</v>
      </c>
      <c r="AZ109" s="759">
        <f t="shared" si="110"/>
        <v>49911</v>
      </c>
      <c r="BA109" s="108">
        <f t="shared" si="110"/>
        <v>0</v>
      </c>
      <c r="BB109" s="2" t="e">
        <f t="shared" si="100"/>
        <v>#VALUE!</v>
      </c>
    </row>
    <row r="110" spans="1:1207" ht="12" x14ac:dyDescent="0.25">
      <c r="E110" s="767">
        <f t="shared" si="86"/>
        <v>102</v>
      </c>
      <c r="F110" s="768">
        <f t="shared" si="71"/>
        <v>48419</v>
      </c>
      <c r="G110" s="24">
        <f t="shared" si="102"/>
        <v>0</v>
      </c>
      <c r="H110" s="24">
        <f t="shared" si="103"/>
        <v>0</v>
      </c>
      <c r="I110" s="24">
        <f t="shared" si="84"/>
        <v>44144.790000000023</v>
      </c>
      <c r="J110" s="24">
        <f t="shared" si="101"/>
        <v>0</v>
      </c>
      <c r="K110" s="24">
        <f t="shared" si="73"/>
        <v>0</v>
      </c>
      <c r="L110" s="24">
        <f t="shared" si="109"/>
        <v>0</v>
      </c>
      <c r="M110" s="24">
        <f t="shared" si="96"/>
        <v>0</v>
      </c>
      <c r="N110" s="24">
        <f t="shared" si="97"/>
        <v>0</v>
      </c>
      <c r="O110" s="24">
        <f t="shared" si="82"/>
        <v>0</v>
      </c>
      <c r="P110" s="24">
        <f t="shared" si="83"/>
        <v>0</v>
      </c>
      <c r="Q110" s="24">
        <f t="shared" si="74"/>
        <v>0</v>
      </c>
      <c r="R110" s="36">
        <f t="shared" si="90"/>
        <v>0</v>
      </c>
      <c r="S110" s="36">
        <f t="shared" si="104"/>
        <v>0</v>
      </c>
      <c r="T110" s="2">
        <f t="shared" si="94"/>
        <v>0</v>
      </c>
      <c r="U110" s="34">
        <f t="shared" si="95"/>
        <v>0</v>
      </c>
      <c r="V110" s="57">
        <f t="shared" si="61"/>
        <v>62835</v>
      </c>
      <c r="W110" s="16">
        <f t="shared" si="63"/>
        <v>61</v>
      </c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2">
        <f t="shared" si="99"/>
        <v>0</v>
      </c>
      <c r="AJ110" s="34">
        <f t="shared" si="98"/>
        <v>0</v>
      </c>
      <c r="AK110" s="57">
        <f>IF(AI110=0,AK109,AK109+365)</f>
        <v>62470</v>
      </c>
      <c r="AL110" s="130"/>
      <c r="AM110" s="769">
        <f t="shared" si="88"/>
        <v>102</v>
      </c>
      <c r="AN110" s="770">
        <f t="shared" si="105"/>
        <v>48419</v>
      </c>
      <c r="AO110" s="105">
        <f t="shared" si="92"/>
        <v>0</v>
      </c>
      <c r="AP110" s="105">
        <f t="shared" si="106"/>
        <v>0</v>
      </c>
      <c r="AQ110" s="105">
        <f t="shared" si="51"/>
        <v>0</v>
      </c>
      <c r="AR110" s="105">
        <f t="shared" si="107"/>
        <v>0</v>
      </c>
      <c r="AS110" s="105">
        <f t="shared" si="52"/>
        <v>0</v>
      </c>
      <c r="AT110" s="105">
        <f t="shared" si="53"/>
        <v>0</v>
      </c>
      <c r="AU110" s="105">
        <f t="shared" si="54"/>
        <v>0</v>
      </c>
      <c r="AV110" s="105">
        <f t="shared" si="55"/>
        <v>0</v>
      </c>
      <c r="AW110" s="105">
        <f t="shared" si="56"/>
        <v>0</v>
      </c>
      <c r="AX110" s="108">
        <f t="shared" si="89"/>
        <v>0</v>
      </c>
      <c r="AY110" s="108">
        <f t="shared" si="108"/>
        <v>0</v>
      </c>
      <c r="AZ110" s="759" t="str">
        <f t="shared" si="110"/>
        <v>Итого</v>
      </c>
      <c r="BA110" s="108">
        <f t="shared" si="110"/>
        <v>119775.79</v>
      </c>
      <c r="BB110" s="2" t="e">
        <f t="shared" si="100"/>
        <v>#VALUE!</v>
      </c>
    </row>
    <row r="111" spans="1:1207" ht="12" x14ac:dyDescent="0.25">
      <c r="E111" s="767">
        <f t="shared" si="86"/>
        <v>103</v>
      </c>
      <c r="F111" s="768">
        <f t="shared" si="71"/>
        <v>48450</v>
      </c>
      <c r="G111" s="24">
        <f t="shared" si="102"/>
        <v>0</v>
      </c>
      <c r="H111" s="24">
        <f t="shared" si="103"/>
        <v>0</v>
      </c>
      <c r="I111" s="24">
        <f t="shared" si="84"/>
        <v>44144.790000000023</v>
      </c>
      <c r="J111" s="24">
        <f t="shared" si="101"/>
        <v>0</v>
      </c>
      <c r="K111" s="24">
        <f t="shared" si="73"/>
        <v>0</v>
      </c>
      <c r="L111" s="24">
        <f t="shared" si="109"/>
        <v>0</v>
      </c>
      <c r="M111" s="24">
        <f t="shared" si="96"/>
        <v>0</v>
      </c>
      <c r="N111" s="24">
        <f t="shared" si="97"/>
        <v>0</v>
      </c>
      <c r="O111" s="24">
        <f t="shared" si="82"/>
        <v>0</v>
      </c>
      <c r="P111" s="24">
        <f t="shared" si="83"/>
        <v>0</v>
      </c>
      <c r="Q111" s="24">
        <f t="shared" si="74"/>
        <v>0</v>
      </c>
      <c r="R111" s="36">
        <f t="shared" si="90"/>
        <v>0</v>
      </c>
      <c r="S111" s="36">
        <f t="shared" si="104"/>
        <v>0</v>
      </c>
      <c r="T111" s="2">
        <f t="shared" si="94"/>
        <v>0</v>
      </c>
      <c r="U111" s="34">
        <f t="shared" si="95"/>
        <v>0</v>
      </c>
      <c r="V111" s="57">
        <f t="shared" si="61"/>
        <v>62835</v>
      </c>
      <c r="W111" s="16">
        <f t="shared" si="63"/>
        <v>62</v>
      </c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2">
        <f t="shared" si="99"/>
        <v>0</v>
      </c>
      <c r="AJ111" s="34">
        <f t="shared" si="98"/>
        <v>0</v>
      </c>
      <c r="AK111" s="57">
        <f t="shared" ref="AK111:AK149" si="111">IF(AI111=0,AK110,AK110+365)</f>
        <v>62470</v>
      </c>
      <c r="AL111" s="130"/>
      <c r="AM111" s="769">
        <f t="shared" si="88"/>
        <v>103</v>
      </c>
      <c r="AN111" s="770">
        <f t="shared" si="105"/>
        <v>48450</v>
      </c>
      <c r="AO111" s="105">
        <f t="shared" si="92"/>
        <v>0</v>
      </c>
      <c r="AP111" s="105">
        <f t="shared" si="106"/>
        <v>0</v>
      </c>
      <c r="AQ111" s="105">
        <f t="shared" si="51"/>
        <v>0</v>
      </c>
      <c r="AR111" s="105">
        <f t="shared" si="107"/>
        <v>0</v>
      </c>
      <c r="AS111" s="105">
        <f t="shared" si="52"/>
        <v>0</v>
      </c>
      <c r="AT111" s="105">
        <f t="shared" si="53"/>
        <v>0</v>
      </c>
      <c r="AU111" s="105">
        <f t="shared" si="54"/>
        <v>0</v>
      </c>
      <c r="AV111" s="105">
        <f t="shared" si="55"/>
        <v>0</v>
      </c>
      <c r="AW111" s="105">
        <f t="shared" si="56"/>
        <v>0</v>
      </c>
      <c r="AX111" s="108">
        <f t="shared" si="89"/>
        <v>0</v>
      </c>
      <c r="AY111" s="108">
        <f t="shared" si="108"/>
        <v>0</v>
      </c>
      <c r="AZ111" s="759"/>
      <c r="BA111" s="108">
        <f>G161</f>
        <v>0</v>
      </c>
      <c r="BB111" s="2" t="e">
        <f t="shared" si="100"/>
        <v>#VALUE!</v>
      </c>
    </row>
    <row r="112" spans="1:1207" ht="12" x14ac:dyDescent="0.25">
      <c r="E112" s="767">
        <f t="shared" si="86"/>
        <v>104</v>
      </c>
      <c r="F112" s="768">
        <f t="shared" si="71"/>
        <v>48481</v>
      </c>
      <c r="G112" s="24">
        <f t="shared" si="102"/>
        <v>0</v>
      </c>
      <c r="H112" s="24">
        <f t="shared" si="103"/>
        <v>0</v>
      </c>
      <c r="I112" s="24">
        <f t="shared" si="84"/>
        <v>44144.790000000023</v>
      </c>
      <c r="J112" s="24">
        <f t="shared" si="101"/>
        <v>0</v>
      </c>
      <c r="K112" s="24">
        <f t="shared" si="73"/>
        <v>0</v>
      </c>
      <c r="L112" s="24">
        <f t="shared" si="109"/>
        <v>0</v>
      </c>
      <c r="M112" s="24">
        <f t="shared" si="96"/>
        <v>0</v>
      </c>
      <c r="N112" s="24">
        <f t="shared" si="97"/>
        <v>0</v>
      </c>
      <c r="O112" s="24">
        <f t="shared" si="82"/>
        <v>0</v>
      </c>
      <c r="P112" s="24">
        <f t="shared" si="83"/>
        <v>0</v>
      </c>
      <c r="Q112" s="24">
        <f t="shared" si="74"/>
        <v>0</v>
      </c>
      <c r="R112" s="36">
        <f t="shared" si="90"/>
        <v>0</v>
      </c>
      <c r="S112" s="36">
        <f t="shared" si="104"/>
        <v>0</v>
      </c>
      <c r="T112" s="2">
        <f t="shared" si="94"/>
        <v>0</v>
      </c>
      <c r="U112" s="34">
        <f t="shared" si="95"/>
        <v>0</v>
      </c>
      <c r="V112" s="57">
        <f t="shared" si="61"/>
        <v>62835</v>
      </c>
      <c r="W112" s="16">
        <f t="shared" si="63"/>
        <v>63</v>
      </c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2">
        <f t="shared" si="99"/>
        <v>0</v>
      </c>
      <c r="AJ112" s="34">
        <f t="shared" si="98"/>
        <v>0</v>
      </c>
      <c r="AK112" s="57">
        <f t="shared" si="111"/>
        <v>62470</v>
      </c>
      <c r="AL112" s="130"/>
      <c r="AM112" s="769">
        <f t="shared" si="88"/>
        <v>104</v>
      </c>
      <c r="AN112" s="770">
        <f t="shared" si="105"/>
        <v>48481</v>
      </c>
      <c r="AO112" s="105">
        <f t="shared" ref="AO112:AO129" si="112">IF(AX111=1,AR112+AP112+AQ112,IF(AW111+AR112+AP112&gt;AO111,$D$29,IF(AW111=0,0,AW111+AR112+AP112+AP144)))</f>
        <v>0</v>
      </c>
      <c r="AP112" s="105">
        <f t="shared" si="106"/>
        <v>0</v>
      </c>
      <c r="AQ112" s="105">
        <f t="shared" ref="AQ112:AQ129" si="113">IF(AY112=0,0,IF(AY112=1,AW111,IF(AW111+AR112+AP112&gt;AO111,AO112-AP112-AR112,AW111)))</f>
        <v>0</v>
      </c>
      <c r="AR112" s="105">
        <f t="shared" si="107"/>
        <v>0</v>
      </c>
      <c r="AS112" s="105">
        <f t="shared" ref="AS112:AS129" si="114">AU111-AR111</f>
        <v>0</v>
      </c>
      <c r="AT112" s="105">
        <f t="shared" ref="AT112:AT129" si="115">AP112+AU112</f>
        <v>0</v>
      </c>
      <c r="AU112" s="105">
        <f t="shared" ref="AU112:AU129" si="116">IF(AY112=0,0,0)</f>
        <v>0</v>
      </c>
      <c r="AV112" s="105">
        <f t="shared" ref="AV112:AV129" si="117">IF(AY112=0,0,0)</f>
        <v>0</v>
      </c>
      <c r="AW112" s="105">
        <f t="shared" ref="AW112:AW129" si="118">IF(OR(AY112=1,AW111=0),0,AW111-AQ112)</f>
        <v>0</v>
      </c>
      <c r="AX112" s="108">
        <f t="shared" si="89"/>
        <v>0</v>
      </c>
      <c r="AY112" s="108">
        <f t="shared" si="108"/>
        <v>0</v>
      </c>
      <c r="AZ112" s="759"/>
      <c r="BA112" s="108">
        <f>G162</f>
        <v>0</v>
      </c>
      <c r="BB112" s="2" t="e">
        <f t="shared" si="100"/>
        <v>#VALUE!</v>
      </c>
    </row>
    <row r="113" spans="5:54" ht="12" x14ac:dyDescent="0.25">
      <c r="E113" s="767">
        <f t="shared" si="86"/>
        <v>105</v>
      </c>
      <c r="F113" s="768">
        <f t="shared" si="71"/>
        <v>48511</v>
      </c>
      <c r="G113" s="24">
        <f t="shared" si="102"/>
        <v>0</v>
      </c>
      <c r="H113" s="24">
        <f t="shared" si="103"/>
        <v>0</v>
      </c>
      <c r="I113" s="24">
        <f t="shared" si="84"/>
        <v>44144.790000000023</v>
      </c>
      <c r="J113" s="24">
        <f t="shared" si="101"/>
        <v>0</v>
      </c>
      <c r="K113" s="24">
        <f t="shared" si="73"/>
        <v>0</v>
      </c>
      <c r="L113" s="24">
        <f t="shared" si="109"/>
        <v>0</v>
      </c>
      <c r="M113" s="24">
        <f t="shared" si="96"/>
        <v>0</v>
      </c>
      <c r="N113" s="24">
        <f t="shared" si="97"/>
        <v>0</v>
      </c>
      <c r="O113" s="24">
        <f t="shared" si="82"/>
        <v>0</v>
      </c>
      <c r="P113" s="24">
        <f t="shared" si="83"/>
        <v>0</v>
      </c>
      <c r="Q113" s="24">
        <f t="shared" si="74"/>
        <v>0</v>
      </c>
      <c r="R113" s="36">
        <f t="shared" si="90"/>
        <v>0</v>
      </c>
      <c r="S113" s="36">
        <f t="shared" si="104"/>
        <v>0</v>
      </c>
      <c r="T113" s="2">
        <f t="shared" si="94"/>
        <v>0</v>
      </c>
      <c r="U113" s="34">
        <f t="shared" si="95"/>
        <v>0</v>
      </c>
      <c r="V113" s="57">
        <f t="shared" si="61"/>
        <v>62835</v>
      </c>
      <c r="W113" s="16">
        <f t="shared" si="63"/>
        <v>64</v>
      </c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2">
        <f t="shared" si="99"/>
        <v>0</v>
      </c>
      <c r="AJ113" s="34">
        <f t="shared" si="98"/>
        <v>0</v>
      </c>
      <c r="AK113" s="57">
        <f t="shared" si="111"/>
        <v>62470</v>
      </c>
      <c r="AL113" s="130"/>
      <c r="AM113" s="769">
        <f t="shared" si="88"/>
        <v>105</v>
      </c>
      <c r="AN113" s="770">
        <f t="shared" si="105"/>
        <v>48511</v>
      </c>
      <c r="AO113" s="105">
        <f t="shared" si="112"/>
        <v>0</v>
      </c>
      <c r="AP113" s="105">
        <f t="shared" si="106"/>
        <v>0</v>
      </c>
      <c r="AQ113" s="105">
        <f t="shared" si="113"/>
        <v>0</v>
      </c>
      <c r="AR113" s="105">
        <f t="shared" si="107"/>
        <v>0</v>
      </c>
      <c r="AS113" s="105">
        <f t="shared" si="114"/>
        <v>0</v>
      </c>
      <c r="AT113" s="105">
        <f t="shared" si="115"/>
        <v>0</v>
      </c>
      <c r="AU113" s="105">
        <f t="shared" si="116"/>
        <v>0</v>
      </c>
      <c r="AV113" s="105">
        <f t="shared" si="117"/>
        <v>0</v>
      </c>
      <c r="AW113" s="105">
        <f t="shared" si="118"/>
        <v>0</v>
      </c>
      <c r="AX113" s="108">
        <f t="shared" si="89"/>
        <v>0</v>
      </c>
      <c r="AY113" s="108">
        <f t="shared" si="108"/>
        <v>0</v>
      </c>
      <c r="AZ113" s="759"/>
      <c r="BA113" s="108">
        <f>G163</f>
        <v>0</v>
      </c>
      <c r="BB113" s="2" t="e">
        <f t="shared" si="100"/>
        <v>#VALUE!</v>
      </c>
    </row>
    <row r="114" spans="5:54" ht="12" x14ac:dyDescent="0.25">
      <c r="E114" s="767">
        <f t="shared" si="86"/>
        <v>106</v>
      </c>
      <c r="F114" s="768">
        <f t="shared" si="71"/>
        <v>48542</v>
      </c>
      <c r="G114" s="24">
        <f t="shared" si="102"/>
        <v>0</v>
      </c>
      <c r="H114" s="24">
        <f t="shared" si="103"/>
        <v>0</v>
      </c>
      <c r="I114" s="24">
        <f t="shared" si="84"/>
        <v>44144.790000000023</v>
      </c>
      <c r="J114" s="24">
        <f t="shared" si="101"/>
        <v>0</v>
      </c>
      <c r="K114" s="24">
        <f t="shared" si="73"/>
        <v>0</v>
      </c>
      <c r="L114" s="24">
        <f t="shared" si="109"/>
        <v>0</v>
      </c>
      <c r="M114" s="24">
        <f t="shared" si="96"/>
        <v>0</v>
      </c>
      <c r="N114" s="24">
        <f t="shared" si="97"/>
        <v>0</v>
      </c>
      <c r="O114" s="24">
        <f t="shared" si="82"/>
        <v>0</v>
      </c>
      <c r="P114" s="24">
        <f t="shared" si="83"/>
        <v>0</v>
      </c>
      <c r="Q114" s="24">
        <f t="shared" si="74"/>
        <v>0</v>
      </c>
      <c r="R114" s="36">
        <f t="shared" si="90"/>
        <v>0</v>
      </c>
      <c r="S114" s="36">
        <f t="shared" si="104"/>
        <v>0</v>
      </c>
      <c r="T114" s="2">
        <f t="shared" ref="T114:T145" si="119">IF(AND(E73&gt;=$T$14,E73&lt;=$T$14+5),0,IF($C$9&gt;$AC$52,ROUND(Q72*$T$46/(DATEVALUE(CONCATENATE("01/01/",YEAR(F73)+1))-DATEVALUE(CONCATENATE("01/01/",YEAR(F73))))*(F73-F72),2),0))</f>
        <v>0</v>
      </c>
      <c r="U114" s="34">
        <f t="shared" ref="U114:U145" si="120">IF(U113&lt;0,0,IF(T114=0,IF(T113=0,0,$U$46),G73)-IF(AND(T114&gt;0,T115=0),$C$26,0))</f>
        <v>0</v>
      </c>
      <c r="V114" s="57">
        <f t="shared" si="61"/>
        <v>62835</v>
      </c>
      <c r="W114" s="16">
        <f t="shared" si="63"/>
        <v>65</v>
      </c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2">
        <f t="shared" si="99"/>
        <v>0</v>
      </c>
      <c r="AJ114" s="34">
        <f t="shared" si="98"/>
        <v>0</v>
      </c>
      <c r="AK114" s="57">
        <f t="shared" si="111"/>
        <v>62470</v>
      </c>
      <c r="AL114" s="130"/>
      <c r="AM114" s="769">
        <f t="shared" si="88"/>
        <v>106</v>
      </c>
      <c r="AN114" s="770">
        <f t="shared" si="105"/>
        <v>48542</v>
      </c>
      <c r="AO114" s="105">
        <f t="shared" si="112"/>
        <v>0</v>
      </c>
      <c r="AP114" s="105">
        <f t="shared" si="106"/>
        <v>0</v>
      </c>
      <c r="AQ114" s="105">
        <f t="shared" si="113"/>
        <v>0</v>
      </c>
      <c r="AR114" s="105">
        <f t="shared" si="107"/>
        <v>0</v>
      </c>
      <c r="AS114" s="105">
        <f t="shared" si="114"/>
        <v>0</v>
      </c>
      <c r="AT114" s="105">
        <f t="shared" si="115"/>
        <v>0</v>
      </c>
      <c r="AU114" s="105">
        <f t="shared" si="116"/>
        <v>0</v>
      </c>
      <c r="AV114" s="105">
        <f t="shared" si="117"/>
        <v>0</v>
      </c>
      <c r="AW114" s="105">
        <f t="shared" si="118"/>
        <v>0</v>
      </c>
      <c r="AX114" s="108">
        <f t="shared" si="89"/>
        <v>0</v>
      </c>
      <c r="AY114" s="108">
        <f t="shared" si="108"/>
        <v>0</v>
      </c>
      <c r="AZ114" s="759"/>
      <c r="BA114" s="108">
        <f>G164</f>
        <v>0</v>
      </c>
      <c r="BB114" s="2" t="e">
        <f t="shared" si="100"/>
        <v>#VALUE!</v>
      </c>
    </row>
    <row r="115" spans="5:54" ht="12" x14ac:dyDescent="0.25">
      <c r="E115" s="767">
        <f t="shared" si="86"/>
        <v>107</v>
      </c>
      <c r="F115" s="768">
        <f t="shared" si="71"/>
        <v>48572</v>
      </c>
      <c r="G115" s="24">
        <f t="shared" si="102"/>
        <v>0</v>
      </c>
      <c r="H115" s="24">
        <f t="shared" si="103"/>
        <v>0</v>
      </c>
      <c r="I115" s="24">
        <f t="shared" si="84"/>
        <v>44144.790000000023</v>
      </c>
      <c r="J115" s="24">
        <f t="shared" si="101"/>
        <v>0</v>
      </c>
      <c r="K115" s="24">
        <f t="shared" si="73"/>
        <v>0</v>
      </c>
      <c r="L115" s="24">
        <f t="shared" si="109"/>
        <v>0</v>
      </c>
      <c r="M115" s="24">
        <f t="shared" si="96"/>
        <v>0</v>
      </c>
      <c r="N115" s="24">
        <f t="shared" si="97"/>
        <v>0</v>
      </c>
      <c r="O115" s="24">
        <f t="shared" si="82"/>
        <v>0</v>
      </c>
      <c r="P115" s="24">
        <f t="shared" si="83"/>
        <v>0</v>
      </c>
      <c r="Q115" s="24">
        <f t="shared" si="74"/>
        <v>0</v>
      </c>
      <c r="R115" s="36">
        <f t="shared" si="90"/>
        <v>0</v>
      </c>
      <c r="S115" s="36">
        <f t="shared" si="104"/>
        <v>0</v>
      </c>
      <c r="T115" s="2">
        <f t="shared" si="119"/>
        <v>0</v>
      </c>
      <c r="U115" s="34">
        <f t="shared" si="120"/>
        <v>0</v>
      </c>
      <c r="V115" s="57">
        <f t="shared" ref="V115:V178" si="121">IF(T115=0,V114,V114+365)</f>
        <v>62835</v>
      </c>
      <c r="W115" s="16">
        <f t="shared" si="63"/>
        <v>66</v>
      </c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2">
        <f t="shared" si="99"/>
        <v>0</v>
      </c>
      <c r="AJ115" s="34">
        <f t="shared" si="98"/>
        <v>0</v>
      </c>
      <c r="AK115" s="57">
        <f t="shared" si="111"/>
        <v>62470</v>
      </c>
      <c r="AL115" s="130"/>
      <c r="AM115" s="769">
        <f t="shared" si="88"/>
        <v>107</v>
      </c>
      <c r="AN115" s="770">
        <f t="shared" si="105"/>
        <v>48572</v>
      </c>
      <c r="AO115" s="105">
        <f t="shared" si="112"/>
        <v>0</v>
      </c>
      <c r="AP115" s="105">
        <f t="shared" si="106"/>
        <v>0</v>
      </c>
      <c r="AQ115" s="105">
        <f t="shared" si="113"/>
        <v>0</v>
      </c>
      <c r="AR115" s="105">
        <f t="shared" si="107"/>
        <v>0</v>
      </c>
      <c r="AS115" s="105">
        <f t="shared" si="114"/>
        <v>0</v>
      </c>
      <c r="AT115" s="105">
        <f t="shared" si="115"/>
        <v>0</v>
      </c>
      <c r="AU115" s="105">
        <f t="shared" si="116"/>
        <v>0</v>
      </c>
      <c r="AV115" s="105">
        <f t="shared" si="117"/>
        <v>0</v>
      </c>
      <c r="AW115" s="105">
        <f t="shared" si="118"/>
        <v>0</v>
      </c>
      <c r="AX115" s="108">
        <f t="shared" si="89"/>
        <v>0</v>
      </c>
      <c r="AY115" s="108">
        <f t="shared" si="108"/>
        <v>0</v>
      </c>
      <c r="AZ115" s="759"/>
      <c r="BA115" s="108">
        <f>G165</f>
        <v>0</v>
      </c>
      <c r="BB115" s="2" t="e">
        <f t="shared" si="100"/>
        <v>#VALUE!</v>
      </c>
    </row>
    <row r="116" spans="5:54" ht="12" x14ac:dyDescent="0.25">
      <c r="E116" s="767">
        <f t="shared" si="86"/>
        <v>108</v>
      </c>
      <c r="F116" s="768">
        <f t="shared" si="71"/>
        <v>48603</v>
      </c>
      <c r="G116" s="24">
        <f t="shared" si="102"/>
        <v>0</v>
      </c>
      <c r="H116" s="24">
        <f t="shared" si="103"/>
        <v>0</v>
      </c>
      <c r="I116" s="24">
        <f t="shared" si="84"/>
        <v>44144.790000000023</v>
      </c>
      <c r="J116" s="24">
        <f t="shared" si="101"/>
        <v>0</v>
      </c>
      <c r="K116" s="24">
        <f t="shared" si="73"/>
        <v>0</v>
      </c>
      <c r="L116" s="24">
        <f t="shared" si="109"/>
        <v>0</v>
      </c>
      <c r="M116" s="24">
        <f t="shared" si="96"/>
        <v>0</v>
      </c>
      <c r="N116" s="24">
        <f t="shared" si="97"/>
        <v>0</v>
      </c>
      <c r="O116" s="24">
        <f t="shared" si="82"/>
        <v>0</v>
      </c>
      <c r="P116" s="24">
        <f t="shared" si="83"/>
        <v>0</v>
      </c>
      <c r="Q116" s="24">
        <f t="shared" si="74"/>
        <v>0</v>
      </c>
      <c r="R116" s="36">
        <f t="shared" si="90"/>
        <v>0</v>
      </c>
      <c r="S116" s="36">
        <f t="shared" si="104"/>
        <v>0</v>
      </c>
      <c r="T116" s="2">
        <f t="shared" si="119"/>
        <v>0</v>
      </c>
      <c r="U116" s="34">
        <f t="shared" si="120"/>
        <v>0</v>
      </c>
      <c r="V116" s="57">
        <f t="shared" si="121"/>
        <v>62835</v>
      </c>
      <c r="W116" s="16">
        <f>W115+1</f>
        <v>67</v>
      </c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2">
        <f t="shared" si="99"/>
        <v>0</v>
      </c>
      <c r="AJ116" s="34">
        <f t="shared" si="98"/>
        <v>0</v>
      </c>
      <c r="AK116" s="57">
        <f t="shared" si="111"/>
        <v>62470</v>
      </c>
      <c r="AL116" s="130"/>
      <c r="AM116" s="769">
        <f t="shared" si="88"/>
        <v>108</v>
      </c>
      <c r="AN116" s="770">
        <f t="shared" si="105"/>
        <v>48603</v>
      </c>
      <c r="AO116" s="105">
        <f t="shared" si="112"/>
        <v>0</v>
      </c>
      <c r="AP116" s="105">
        <f t="shared" si="106"/>
        <v>0</v>
      </c>
      <c r="AQ116" s="105">
        <f t="shared" si="113"/>
        <v>0</v>
      </c>
      <c r="AR116" s="105">
        <f t="shared" si="107"/>
        <v>0</v>
      </c>
      <c r="AS116" s="105">
        <f t="shared" si="114"/>
        <v>0</v>
      </c>
      <c r="AT116" s="105">
        <f t="shared" si="115"/>
        <v>0</v>
      </c>
      <c r="AU116" s="105">
        <f t="shared" si="116"/>
        <v>0</v>
      </c>
      <c r="AV116" s="105">
        <f t="shared" si="117"/>
        <v>0</v>
      </c>
      <c r="AW116" s="105">
        <f t="shared" si="118"/>
        <v>0</v>
      </c>
      <c r="AX116" s="108">
        <f t="shared" si="89"/>
        <v>0</v>
      </c>
      <c r="AY116" s="108">
        <f t="shared" si="108"/>
        <v>0</v>
      </c>
      <c r="AZ116" s="795" t="s">
        <v>67</v>
      </c>
      <c r="BA116" s="152" t="e">
        <f>XIRR(BA7:BA115,AZ7:AZ115)</f>
        <v>#VALUE!</v>
      </c>
      <c r="BB116" s="2" t="e">
        <f t="shared" si="100"/>
        <v>#VALUE!</v>
      </c>
    </row>
    <row r="117" spans="5:54" ht="12" x14ac:dyDescent="0.25">
      <c r="E117" s="767">
        <f t="shared" si="86"/>
        <v>109</v>
      </c>
      <c r="F117" s="768">
        <f t="shared" si="71"/>
        <v>48634</v>
      </c>
      <c r="G117" s="24">
        <f t="shared" si="102"/>
        <v>0</v>
      </c>
      <c r="H117" s="24">
        <f t="shared" si="103"/>
        <v>0</v>
      </c>
      <c r="I117" s="24">
        <f t="shared" si="84"/>
        <v>44144.790000000023</v>
      </c>
      <c r="J117" s="24">
        <f t="shared" si="101"/>
        <v>0</v>
      </c>
      <c r="K117" s="24">
        <f t="shared" si="73"/>
        <v>0</v>
      </c>
      <c r="L117" s="24">
        <f t="shared" si="109"/>
        <v>0</v>
      </c>
      <c r="M117" s="24">
        <f t="shared" si="96"/>
        <v>0</v>
      </c>
      <c r="N117" s="24">
        <f t="shared" si="97"/>
        <v>0</v>
      </c>
      <c r="O117" s="24">
        <f t="shared" si="82"/>
        <v>0</v>
      </c>
      <c r="P117" s="24">
        <f t="shared" si="83"/>
        <v>0</v>
      </c>
      <c r="Q117" s="24">
        <f t="shared" si="74"/>
        <v>0</v>
      </c>
      <c r="R117" s="36">
        <f t="shared" si="90"/>
        <v>0</v>
      </c>
      <c r="S117" s="36">
        <f t="shared" si="104"/>
        <v>0</v>
      </c>
      <c r="T117" s="2">
        <f t="shared" si="119"/>
        <v>0</v>
      </c>
      <c r="U117" s="34">
        <f t="shared" si="120"/>
        <v>0</v>
      </c>
      <c r="V117" s="57">
        <f t="shared" si="121"/>
        <v>62835</v>
      </c>
      <c r="W117" s="16">
        <f>W116+1</f>
        <v>68</v>
      </c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2">
        <f t="shared" si="99"/>
        <v>0</v>
      </c>
      <c r="AJ117" s="34">
        <f t="shared" si="98"/>
        <v>0</v>
      </c>
      <c r="AK117" s="57">
        <f t="shared" si="111"/>
        <v>62470</v>
      </c>
      <c r="AL117" s="130"/>
      <c r="AM117" s="769">
        <f t="shared" si="88"/>
        <v>109</v>
      </c>
      <c r="AN117" s="770">
        <f t="shared" si="105"/>
        <v>48634</v>
      </c>
      <c r="AO117" s="105">
        <f t="shared" si="112"/>
        <v>0</v>
      </c>
      <c r="AP117" s="105">
        <f t="shared" si="106"/>
        <v>0</v>
      </c>
      <c r="AQ117" s="105">
        <f t="shared" si="113"/>
        <v>0</v>
      </c>
      <c r="AR117" s="105">
        <f t="shared" si="107"/>
        <v>0</v>
      </c>
      <c r="AS117" s="105">
        <f t="shared" si="114"/>
        <v>0</v>
      </c>
      <c r="AT117" s="105">
        <f t="shared" si="115"/>
        <v>0</v>
      </c>
      <c r="AU117" s="105">
        <f t="shared" si="116"/>
        <v>0</v>
      </c>
      <c r="AV117" s="105">
        <f t="shared" si="117"/>
        <v>0</v>
      </c>
      <c r="AW117" s="105">
        <f t="shared" si="118"/>
        <v>0</v>
      </c>
      <c r="AX117" s="108">
        <f t="shared" si="89"/>
        <v>0</v>
      </c>
      <c r="AY117" s="108">
        <f t="shared" si="108"/>
        <v>0</v>
      </c>
      <c r="BB117" s="2" t="e">
        <f t="shared" si="100"/>
        <v>#VALUE!</v>
      </c>
    </row>
    <row r="118" spans="5:54" ht="12" x14ac:dyDescent="0.25">
      <c r="E118" s="767">
        <f t="shared" si="86"/>
        <v>110</v>
      </c>
      <c r="F118" s="768">
        <f t="shared" si="71"/>
        <v>48662</v>
      </c>
      <c r="G118" s="24">
        <f t="shared" si="102"/>
        <v>0</v>
      </c>
      <c r="H118" s="24">
        <f t="shared" si="103"/>
        <v>0</v>
      </c>
      <c r="I118" s="24">
        <f t="shared" si="84"/>
        <v>44144.790000000023</v>
      </c>
      <c r="J118" s="24">
        <f t="shared" si="101"/>
        <v>0</v>
      </c>
      <c r="K118" s="24">
        <f t="shared" si="73"/>
        <v>0</v>
      </c>
      <c r="L118" s="24">
        <f t="shared" si="109"/>
        <v>0</v>
      </c>
      <c r="M118" s="24">
        <f t="shared" si="96"/>
        <v>0</v>
      </c>
      <c r="N118" s="24">
        <f t="shared" si="97"/>
        <v>0</v>
      </c>
      <c r="O118" s="24">
        <f t="shared" si="82"/>
        <v>0</v>
      </c>
      <c r="P118" s="24">
        <f t="shared" si="83"/>
        <v>0</v>
      </c>
      <c r="Q118" s="24">
        <f t="shared" si="74"/>
        <v>0</v>
      </c>
      <c r="R118" s="36">
        <f t="shared" si="90"/>
        <v>0</v>
      </c>
      <c r="S118" s="36">
        <f t="shared" si="104"/>
        <v>0</v>
      </c>
      <c r="T118" s="2">
        <f t="shared" si="119"/>
        <v>0</v>
      </c>
      <c r="U118" s="34">
        <f t="shared" si="120"/>
        <v>0</v>
      </c>
      <c r="V118" s="57">
        <f t="shared" si="121"/>
        <v>62835</v>
      </c>
      <c r="W118" s="16">
        <f t="shared" ref="W118:W180" si="122">W117+1</f>
        <v>69</v>
      </c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2">
        <f t="shared" si="99"/>
        <v>0</v>
      </c>
      <c r="AJ118" s="34">
        <f t="shared" si="98"/>
        <v>0</v>
      </c>
      <c r="AK118" s="57">
        <f t="shared" si="111"/>
        <v>62470</v>
      </c>
      <c r="AL118" s="130"/>
      <c r="AM118" s="769">
        <f t="shared" si="88"/>
        <v>110</v>
      </c>
      <c r="AN118" s="770">
        <f t="shared" si="105"/>
        <v>48662</v>
      </c>
      <c r="AO118" s="105">
        <f t="shared" si="112"/>
        <v>0</v>
      </c>
      <c r="AP118" s="105">
        <f t="shared" si="106"/>
        <v>0</v>
      </c>
      <c r="AQ118" s="105">
        <f t="shared" si="113"/>
        <v>0</v>
      </c>
      <c r="AR118" s="105">
        <f t="shared" si="107"/>
        <v>0</v>
      </c>
      <c r="AS118" s="105">
        <f t="shared" si="114"/>
        <v>0</v>
      </c>
      <c r="AT118" s="105">
        <f t="shared" si="115"/>
        <v>0</v>
      </c>
      <c r="AU118" s="105">
        <f t="shared" si="116"/>
        <v>0</v>
      </c>
      <c r="AV118" s="105">
        <f t="shared" si="117"/>
        <v>0</v>
      </c>
      <c r="AW118" s="105">
        <f t="shared" si="118"/>
        <v>0</v>
      </c>
      <c r="AX118" s="108">
        <f t="shared" si="89"/>
        <v>0</v>
      </c>
      <c r="AY118" s="108">
        <f t="shared" si="108"/>
        <v>0</v>
      </c>
      <c r="BB118" s="2" t="e">
        <f t="shared" si="100"/>
        <v>#VALUE!</v>
      </c>
    </row>
    <row r="119" spans="5:54" ht="12" x14ac:dyDescent="0.25">
      <c r="E119" s="767">
        <f t="shared" si="86"/>
        <v>111</v>
      </c>
      <c r="F119" s="768">
        <f t="shared" si="71"/>
        <v>48693</v>
      </c>
      <c r="G119" s="24">
        <f t="shared" si="102"/>
        <v>0</v>
      </c>
      <c r="H119" s="24">
        <f t="shared" si="103"/>
        <v>0</v>
      </c>
      <c r="I119" s="24">
        <f t="shared" si="84"/>
        <v>44144.790000000023</v>
      </c>
      <c r="J119" s="24">
        <f t="shared" si="101"/>
        <v>0</v>
      </c>
      <c r="K119" s="24">
        <f t="shared" si="73"/>
        <v>0</v>
      </c>
      <c r="L119" s="24">
        <f t="shared" si="109"/>
        <v>0</v>
      </c>
      <c r="M119" s="24">
        <f t="shared" si="96"/>
        <v>0</v>
      </c>
      <c r="N119" s="24">
        <f t="shared" si="97"/>
        <v>0</v>
      </c>
      <c r="O119" s="24">
        <f t="shared" si="82"/>
        <v>0</v>
      </c>
      <c r="P119" s="24">
        <f t="shared" si="83"/>
        <v>0</v>
      </c>
      <c r="Q119" s="24">
        <f t="shared" si="74"/>
        <v>0</v>
      </c>
      <c r="R119" s="36">
        <f t="shared" si="90"/>
        <v>0</v>
      </c>
      <c r="S119" s="36">
        <f t="shared" si="104"/>
        <v>0</v>
      </c>
      <c r="T119" s="2">
        <f t="shared" si="119"/>
        <v>0</v>
      </c>
      <c r="U119" s="34">
        <f t="shared" si="120"/>
        <v>0</v>
      </c>
      <c r="V119" s="57">
        <f t="shared" si="121"/>
        <v>62835</v>
      </c>
      <c r="W119" s="16">
        <f t="shared" si="122"/>
        <v>70</v>
      </c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2">
        <f t="shared" si="99"/>
        <v>0</v>
      </c>
      <c r="AJ119" s="34">
        <f t="shared" si="98"/>
        <v>0</v>
      </c>
      <c r="AK119" s="57">
        <f t="shared" si="111"/>
        <v>62470</v>
      </c>
      <c r="AL119" s="130"/>
      <c r="AM119" s="769">
        <f t="shared" si="88"/>
        <v>111</v>
      </c>
      <c r="AN119" s="770">
        <f t="shared" si="105"/>
        <v>48693</v>
      </c>
      <c r="AO119" s="105">
        <f t="shared" si="112"/>
        <v>0</v>
      </c>
      <c r="AP119" s="105">
        <f t="shared" si="106"/>
        <v>0</v>
      </c>
      <c r="AQ119" s="105">
        <f t="shared" si="113"/>
        <v>0</v>
      </c>
      <c r="AR119" s="105">
        <f t="shared" si="107"/>
        <v>0</v>
      </c>
      <c r="AS119" s="105">
        <f t="shared" si="114"/>
        <v>0</v>
      </c>
      <c r="AT119" s="105">
        <f t="shared" si="115"/>
        <v>0</v>
      </c>
      <c r="AU119" s="105">
        <f t="shared" si="116"/>
        <v>0</v>
      </c>
      <c r="AV119" s="105">
        <f t="shared" si="117"/>
        <v>0</v>
      </c>
      <c r="AW119" s="105">
        <f t="shared" si="118"/>
        <v>0</v>
      </c>
      <c r="AX119" s="108">
        <f t="shared" si="89"/>
        <v>0</v>
      </c>
      <c r="AY119" s="108">
        <f t="shared" si="108"/>
        <v>0</v>
      </c>
      <c r="BB119" s="2" t="e">
        <f t="shared" si="100"/>
        <v>#VALUE!</v>
      </c>
    </row>
    <row r="120" spans="5:54" ht="12" x14ac:dyDescent="0.25">
      <c r="E120" s="767">
        <f t="shared" si="86"/>
        <v>112</v>
      </c>
      <c r="F120" s="768">
        <f t="shared" si="71"/>
        <v>48723</v>
      </c>
      <c r="G120" s="24">
        <f t="shared" si="102"/>
        <v>0</v>
      </c>
      <c r="H120" s="24">
        <f t="shared" si="103"/>
        <v>0</v>
      </c>
      <c r="I120" s="24">
        <f t="shared" si="84"/>
        <v>44144.790000000023</v>
      </c>
      <c r="J120" s="24">
        <f t="shared" si="101"/>
        <v>0</v>
      </c>
      <c r="K120" s="24">
        <f t="shared" si="73"/>
        <v>0</v>
      </c>
      <c r="L120" s="24">
        <f t="shared" si="109"/>
        <v>0</v>
      </c>
      <c r="M120" s="24">
        <f t="shared" si="96"/>
        <v>0</v>
      </c>
      <c r="N120" s="24">
        <f t="shared" si="97"/>
        <v>0</v>
      </c>
      <c r="O120" s="24">
        <f t="shared" si="82"/>
        <v>0</v>
      </c>
      <c r="P120" s="24">
        <f t="shared" si="83"/>
        <v>0</v>
      </c>
      <c r="Q120" s="24">
        <f t="shared" si="74"/>
        <v>0</v>
      </c>
      <c r="R120" s="36">
        <f t="shared" si="90"/>
        <v>0</v>
      </c>
      <c r="S120" s="36">
        <f t="shared" si="104"/>
        <v>0</v>
      </c>
      <c r="T120" s="2">
        <f t="shared" si="119"/>
        <v>0</v>
      </c>
      <c r="U120" s="34">
        <f t="shared" si="120"/>
        <v>0</v>
      </c>
      <c r="V120" s="57">
        <f t="shared" si="121"/>
        <v>62835</v>
      </c>
      <c r="W120" s="16">
        <f t="shared" si="122"/>
        <v>71</v>
      </c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2">
        <f t="shared" si="99"/>
        <v>0</v>
      </c>
      <c r="AJ120" s="34">
        <f t="shared" ref="AJ120:AJ149" si="123">IF(AI120=0,IF(AI119=0,0,$AJ$46),AO80)</f>
        <v>0</v>
      </c>
      <c r="AK120" s="57">
        <f t="shared" si="111"/>
        <v>62470</v>
      </c>
      <c r="AL120" s="130"/>
      <c r="AM120" s="769">
        <f t="shared" si="88"/>
        <v>112</v>
      </c>
      <c r="AN120" s="770">
        <f t="shared" si="105"/>
        <v>48723</v>
      </c>
      <c r="AO120" s="105">
        <f t="shared" si="112"/>
        <v>0</v>
      </c>
      <c r="AP120" s="105">
        <f t="shared" si="106"/>
        <v>0</v>
      </c>
      <c r="AQ120" s="105">
        <f t="shared" si="113"/>
        <v>0</v>
      </c>
      <c r="AR120" s="105">
        <f t="shared" si="107"/>
        <v>0</v>
      </c>
      <c r="AS120" s="105">
        <f t="shared" si="114"/>
        <v>0</v>
      </c>
      <c r="AT120" s="105">
        <f t="shared" si="115"/>
        <v>0</v>
      </c>
      <c r="AU120" s="105">
        <f t="shared" si="116"/>
        <v>0</v>
      </c>
      <c r="AV120" s="105">
        <f t="shared" si="117"/>
        <v>0</v>
      </c>
      <c r="AW120" s="105">
        <f t="shared" si="118"/>
        <v>0</v>
      </c>
      <c r="AX120" s="108">
        <f t="shared" si="89"/>
        <v>0</v>
      </c>
      <c r="AY120" s="108">
        <f t="shared" si="108"/>
        <v>0</v>
      </c>
      <c r="BB120" s="2" t="e">
        <f t="shared" si="100"/>
        <v>#VALUE!</v>
      </c>
    </row>
    <row r="121" spans="5:54" ht="12" x14ac:dyDescent="0.25">
      <c r="E121" s="767">
        <f t="shared" si="86"/>
        <v>113</v>
      </c>
      <c r="F121" s="768">
        <f t="shared" si="71"/>
        <v>48754</v>
      </c>
      <c r="G121" s="24">
        <f t="shared" si="102"/>
        <v>0</v>
      </c>
      <c r="H121" s="24">
        <f t="shared" si="103"/>
        <v>0</v>
      </c>
      <c r="I121" s="24">
        <f t="shared" si="84"/>
        <v>44144.790000000023</v>
      </c>
      <c r="J121" s="24">
        <f t="shared" si="101"/>
        <v>0</v>
      </c>
      <c r="K121" s="24">
        <f t="shared" si="73"/>
        <v>0</v>
      </c>
      <c r="L121" s="24">
        <f t="shared" si="109"/>
        <v>0</v>
      </c>
      <c r="M121" s="24">
        <f t="shared" si="96"/>
        <v>0</v>
      </c>
      <c r="N121" s="24">
        <f t="shared" si="97"/>
        <v>0</v>
      </c>
      <c r="O121" s="24">
        <f t="shared" si="82"/>
        <v>0</v>
      </c>
      <c r="P121" s="24">
        <f t="shared" si="83"/>
        <v>0</v>
      </c>
      <c r="Q121" s="24">
        <f t="shared" si="74"/>
        <v>0</v>
      </c>
      <c r="R121" s="36">
        <f t="shared" si="90"/>
        <v>0</v>
      </c>
      <c r="S121" s="36">
        <f t="shared" si="104"/>
        <v>0</v>
      </c>
      <c r="T121" s="2">
        <f t="shared" si="119"/>
        <v>0</v>
      </c>
      <c r="U121" s="34">
        <f t="shared" si="120"/>
        <v>0</v>
      </c>
      <c r="V121" s="57">
        <f t="shared" si="121"/>
        <v>62835</v>
      </c>
      <c r="W121" s="16">
        <f t="shared" si="122"/>
        <v>72</v>
      </c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2">
        <f t="shared" ref="AI121:AI149" si="124">IF(AND(AM81&gt;=$T$14,AM81&lt;=$T$14+5),0,IF($C$9&gt;$AC$52,ROUND(AW80*$AI$46/(DATEVALUE(CONCATENATE("01/01/",YEAR(AN81)+1))-DATEVALUE(CONCATENATE("01/01/",YEAR(AN81))))*(AN81-AN80),2),0))</f>
        <v>0</v>
      </c>
      <c r="AJ121" s="34">
        <f t="shared" si="123"/>
        <v>0</v>
      </c>
      <c r="AK121" s="57">
        <f t="shared" si="111"/>
        <v>62470</v>
      </c>
      <c r="AL121" s="130"/>
      <c r="AM121" s="769">
        <f t="shared" si="88"/>
        <v>113</v>
      </c>
      <c r="AN121" s="770">
        <f t="shared" si="105"/>
        <v>48754</v>
      </c>
      <c r="AO121" s="105">
        <f t="shared" si="112"/>
        <v>0</v>
      </c>
      <c r="AP121" s="105">
        <f t="shared" si="106"/>
        <v>0</v>
      </c>
      <c r="AQ121" s="105">
        <f t="shared" si="113"/>
        <v>0</v>
      </c>
      <c r="AR121" s="105">
        <f t="shared" si="107"/>
        <v>0</v>
      </c>
      <c r="AS121" s="105">
        <f t="shared" si="114"/>
        <v>0</v>
      </c>
      <c r="AT121" s="105">
        <f t="shared" si="115"/>
        <v>0</v>
      </c>
      <c r="AU121" s="105">
        <f t="shared" si="116"/>
        <v>0</v>
      </c>
      <c r="AV121" s="105">
        <f t="shared" si="117"/>
        <v>0</v>
      </c>
      <c r="AW121" s="105">
        <f t="shared" si="118"/>
        <v>0</v>
      </c>
      <c r="AX121" s="108">
        <f t="shared" si="89"/>
        <v>0</v>
      </c>
      <c r="AY121" s="108">
        <f t="shared" si="108"/>
        <v>0</v>
      </c>
      <c r="BB121" s="2" t="e">
        <f t="shared" si="100"/>
        <v>#VALUE!</v>
      </c>
    </row>
    <row r="122" spans="5:54" ht="12" x14ac:dyDescent="0.25">
      <c r="E122" s="767">
        <f t="shared" si="86"/>
        <v>114</v>
      </c>
      <c r="F122" s="768">
        <f t="shared" si="71"/>
        <v>48784</v>
      </c>
      <c r="G122" s="24">
        <f t="shared" si="102"/>
        <v>0</v>
      </c>
      <c r="H122" s="24">
        <f t="shared" si="103"/>
        <v>0</v>
      </c>
      <c r="I122" s="24">
        <f t="shared" si="84"/>
        <v>44144.790000000023</v>
      </c>
      <c r="J122" s="24">
        <f t="shared" si="101"/>
        <v>0</v>
      </c>
      <c r="K122" s="24">
        <f t="shared" si="73"/>
        <v>0</v>
      </c>
      <c r="L122" s="24">
        <f t="shared" si="109"/>
        <v>0</v>
      </c>
      <c r="M122" s="24">
        <f t="shared" si="96"/>
        <v>0</v>
      </c>
      <c r="N122" s="24">
        <f t="shared" si="97"/>
        <v>0</v>
      </c>
      <c r="O122" s="24">
        <f t="shared" si="82"/>
        <v>0</v>
      </c>
      <c r="P122" s="24">
        <f t="shared" si="83"/>
        <v>0</v>
      </c>
      <c r="Q122" s="24">
        <f t="shared" si="74"/>
        <v>0</v>
      </c>
      <c r="R122" s="36">
        <f t="shared" si="90"/>
        <v>0</v>
      </c>
      <c r="S122" s="36">
        <f t="shared" si="104"/>
        <v>0</v>
      </c>
      <c r="T122" s="2">
        <f t="shared" si="119"/>
        <v>0</v>
      </c>
      <c r="U122" s="34">
        <f t="shared" si="120"/>
        <v>0</v>
      </c>
      <c r="V122" s="57">
        <f t="shared" si="121"/>
        <v>62835</v>
      </c>
      <c r="W122" s="16">
        <f t="shared" si="122"/>
        <v>73</v>
      </c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2">
        <f t="shared" si="124"/>
        <v>0</v>
      </c>
      <c r="AJ122" s="34">
        <f t="shared" si="123"/>
        <v>0</v>
      </c>
      <c r="AK122" s="57">
        <f t="shared" si="111"/>
        <v>62470</v>
      </c>
      <c r="AL122" s="130"/>
      <c r="AM122" s="769">
        <f t="shared" si="88"/>
        <v>114</v>
      </c>
      <c r="AN122" s="770">
        <f t="shared" si="105"/>
        <v>48784</v>
      </c>
      <c r="AO122" s="105">
        <f t="shared" si="112"/>
        <v>0</v>
      </c>
      <c r="AP122" s="105">
        <f t="shared" si="106"/>
        <v>0</v>
      </c>
      <c r="AQ122" s="105">
        <f t="shared" si="113"/>
        <v>0</v>
      </c>
      <c r="AR122" s="105">
        <f t="shared" si="107"/>
        <v>0</v>
      </c>
      <c r="AS122" s="105">
        <f t="shared" si="114"/>
        <v>0</v>
      </c>
      <c r="AT122" s="105">
        <f t="shared" si="115"/>
        <v>0</v>
      </c>
      <c r="AU122" s="105">
        <f t="shared" si="116"/>
        <v>0</v>
      </c>
      <c r="AV122" s="105">
        <f t="shared" si="117"/>
        <v>0</v>
      </c>
      <c r="AW122" s="105">
        <f t="shared" si="118"/>
        <v>0</v>
      </c>
      <c r="AX122" s="108">
        <f t="shared" si="89"/>
        <v>0</v>
      </c>
      <c r="AY122" s="108">
        <f t="shared" si="108"/>
        <v>0</v>
      </c>
      <c r="BB122" s="2" t="e">
        <f t="shared" si="100"/>
        <v>#VALUE!</v>
      </c>
    </row>
    <row r="123" spans="5:54" ht="12" x14ac:dyDescent="0.25">
      <c r="E123" s="767">
        <f t="shared" si="86"/>
        <v>115</v>
      </c>
      <c r="F123" s="768">
        <f t="shared" si="71"/>
        <v>48815</v>
      </c>
      <c r="G123" s="24">
        <f t="shared" si="102"/>
        <v>0</v>
      </c>
      <c r="H123" s="24">
        <f t="shared" si="103"/>
        <v>0</v>
      </c>
      <c r="I123" s="24">
        <f t="shared" si="84"/>
        <v>44144.790000000023</v>
      </c>
      <c r="J123" s="24">
        <f t="shared" si="101"/>
        <v>0</v>
      </c>
      <c r="K123" s="24">
        <f t="shared" si="73"/>
        <v>0</v>
      </c>
      <c r="L123" s="24">
        <f t="shared" si="109"/>
        <v>0</v>
      </c>
      <c r="M123" s="24">
        <f t="shared" si="96"/>
        <v>0</v>
      </c>
      <c r="N123" s="24">
        <f t="shared" si="97"/>
        <v>0</v>
      </c>
      <c r="O123" s="24">
        <f t="shared" si="82"/>
        <v>0</v>
      </c>
      <c r="P123" s="24">
        <f t="shared" si="83"/>
        <v>0</v>
      </c>
      <c r="Q123" s="24">
        <f t="shared" si="74"/>
        <v>0</v>
      </c>
      <c r="R123" s="36">
        <f t="shared" si="90"/>
        <v>0</v>
      </c>
      <c r="S123" s="36">
        <f t="shared" si="104"/>
        <v>0</v>
      </c>
      <c r="T123" s="2">
        <f t="shared" si="119"/>
        <v>0</v>
      </c>
      <c r="U123" s="34">
        <f t="shared" si="120"/>
        <v>0</v>
      </c>
      <c r="V123" s="57">
        <f t="shared" si="121"/>
        <v>62835</v>
      </c>
      <c r="W123" s="16">
        <f t="shared" si="122"/>
        <v>74</v>
      </c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2">
        <f t="shared" si="124"/>
        <v>0</v>
      </c>
      <c r="AJ123" s="34">
        <f t="shared" si="123"/>
        <v>0</v>
      </c>
      <c r="AK123" s="57">
        <f t="shared" si="111"/>
        <v>62470</v>
      </c>
      <c r="AL123" s="130"/>
      <c r="AM123" s="769">
        <f t="shared" si="88"/>
        <v>115</v>
      </c>
      <c r="AN123" s="770">
        <f t="shared" si="105"/>
        <v>48815</v>
      </c>
      <c r="AO123" s="105">
        <f t="shared" si="112"/>
        <v>0</v>
      </c>
      <c r="AP123" s="105">
        <f t="shared" si="106"/>
        <v>0</v>
      </c>
      <c r="AQ123" s="105">
        <f t="shared" si="113"/>
        <v>0</v>
      </c>
      <c r="AR123" s="105">
        <f t="shared" si="107"/>
        <v>0</v>
      </c>
      <c r="AS123" s="105">
        <f t="shared" si="114"/>
        <v>0</v>
      </c>
      <c r="AT123" s="105">
        <f t="shared" si="115"/>
        <v>0</v>
      </c>
      <c r="AU123" s="105">
        <f t="shared" si="116"/>
        <v>0</v>
      </c>
      <c r="AV123" s="105">
        <f t="shared" si="117"/>
        <v>0</v>
      </c>
      <c r="AW123" s="105">
        <f t="shared" si="118"/>
        <v>0</v>
      </c>
      <c r="AX123" s="108">
        <f t="shared" si="89"/>
        <v>0</v>
      </c>
      <c r="AY123" s="108">
        <f t="shared" si="108"/>
        <v>0</v>
      </c>
      <c r="BB123" s="2" t="e">
        <f t="shared" si="100"/>
        <v>#VALUE!</v>
      </c>
    </row>
    <row r="124" spans="5:54" ht="12" x14ac:dyDescent="0.25">
      <c r="E124" s="767">
        <f t="shared" si="86"/>
        <v>116</v>
      </c>
      <c r="F124" s="768">
        <f t="shared" si="71"/>
        <v>48846</v>
      </c>
      <c r="G124" s="24">
        <f t="shared" si="102"/>
        <v>0</v>
      </c>
      <c r="H124" s="24">
        <f t="shared" si="103"/>
        <v>0</v>
      </c>
      <c r="I124" s="24">
        <f t="shared" si="84"/>
        <v>44144.790000000023</v>
      </c>
      <c r="J124" s="24">
        <f t="shared" si="101"/>
        <v>0</v>
      </c>
      <c r="K124" s="24">
        <f t="shared" si="73"/>
        <v>0</v>
      </c>
      <c r="L124" s="24">
        <f t="shared" si="109"/>
        <v>0</v>
      </c>
      <c r="M124" s="24">
        <f t="shared" si="96"/>
        <v>0</v>
      </c>
      <c r="N124" s="24">
        <f t="shared" si="97"/>
        <v>0</v>
      </c>
      <c r="O124" s="24">
        <f t="shared" si="82"/>
        <v>0</v>
      </c>
      <c r="P124" s="24">
        <f t="shared" si="83"/>
        <v>0</v>
      </c>
      <c r="Q124" s="24">
        <f t="shared" si="74"/>
        <v>0</v>
      </c>
      <c r="R124" s="36">
        <f t="shared" si="90"/>
        <v>0</v>
      </c>
      <c r="S124" s="36">
        <f t="shared" si="104"/>
        <v>0</v>
      </c>
      <c r="T124" s="2">
        <f t="shared" si="119"/>
        <v>0</v>
      </c>
      <c r="U124" s="34">
        <f t="shared" si="120"/>
        <v>0</v>
      </c>
      <c r="V124" s="57">
        <f t="shared" si="121"/>
        <v>62835</v>
      </c>
      <c r="W124" s="16">
        <f t="shared" si="122"/>
        <v>75</v>
      </c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2">
        <f t="shared" si="124"/>
        <v>0</v>
      </c>
      <c r="AJ124" s="34">
        <f t="shared" si="123"/>
        <v>0</v>
      </c>
      <c r="AK124" s="57">
        <f t="shared" si="111"/>
        <v>62470</v>
      </c>
      <c r="AL124" s="130"/>
      <c r="AM124" s="769">
        <f t="shared" si="88"/>
        <v>116</v>
      </c>
      <c r="AN124" s="770">
        <f t="shared" si="105"/>
        <v>48846</v>
      </c>
      <c r="AO124" s="105">
        <f t="shared" si="112"/>
        <v>0</v>
      </c>
      <c r="AP124" s="105">
        <f t="shared" si="106"/>
        <v>0</v>
      </c>
      <c r="AQ124" s="105">
        <f t="shared" si="113"/>
        <v>0</v>
      </c>
      <c r="AR124" s="105">
        <f t="shared" si="107"/>
        <v>0</v>
      </c>
      <c r="AS124" s="105">
        <f t="shared" si="114"/>
        <v>0</v>
      </c>
      <c r="AT124" s="105">
        <f t="shared" si="115"/>
        <v>0</v>
      </c>
      <c r="AU124" s="105">
        <f t="shared" si="116"/>
        <v>0</v>
      </c>
      <c r="AV124" s="105">
        <f t="shared" si="117"/>
        <v>0</v>
      </c>
      <c r="AW124" s="105">
        <f t="shared" si="118"/>
        <v>0</v>
      </c>
      <c r="AX124" s="108">
        <f t="shared" si="89"/>
        <v>0</v>
      </c>
      <c r="AY124" s="108">
        <f t="shared" si="108"/>
        <v>0</v>
      </c>
      <c r="BB124" s="2" t="e">
        <f t="shared" si="100"/>
        <v>#VALUE!</v>
      </c>
    </row>
    <row r="125" spans="5:54" ht="12" x14ac:dyDescent="0.25">
      <c r="E125" s="767">
        <f t="shared" si="86"/>
        <v>117</v>
      </c>
      <c r="F125" s="768">
        <f t="shared" si="71"/>
        <v>48876</v>
      </c>
      <c r="G125" s="24">
        <f t="shared" si="102"/>
        <v>0</v>
      </c>
      <c r="H125" s="24">
        <f t="shared" si="103"/>
        <v>0</v>
      </c>
      <c r="I125" s="24">
        <f t="shared" si="84"/>
        <v>44144.790000000023</v>
      </c>
      <c r="J125" s="24">
        <f t="shared" si="101"/>
        <v>0</v>
      </c>
      <c r="K125" s="24">
        <f t="shared" si="73"/>
        <v>0</v>
      </c>
      <c r="L125" s="24">
        <f t="shared" si="109"/>
        <v>0</v>
      </c>
      <c r="M125" s="24">
        <f t="shared" si="96"/>
        <v>0</v>
      </c>
      <c r="N125" s="24">
        <f t="shared" si="97"/>
        <v>0</v>
      </c>
      <c r="O125" s="24">
        <f t="shared" si="82"/>
        <v>0</v>
      </c>
      <c r="P125" s="24">
        <f t="shared" si="83"/>
        <v>0</v>
      </c>
      <c r="Q125" s="24">
        <f t="shared" si="74"/>
        <v>0</v>
      </c>
      <c r="R125" s="36">
        <f t="shared" si="90"/>
        <v>0</v>
      </c>
      <c r="S125" s="36">
        <f t="shared" si="104"/>
        <v>0</v>
      </c>
      <c r="T125" s="2">
        <f t="shared" si="119"/>
        <v>0</v>
      </c>
      <c r="U125" s="34">
        <f t="shared" si="120"/>
        <v>0</v>
      </c>
      <c r="V125" s="57">
        <f t="shared" si="121"/>
        <v>62835</v>
      </c>
      <c r="W125" s="16">
        <f t="shared" si="122"/>
        <v>76</v>
      </c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2">
        <f t="shared" si="124"/>
        <v>0</v>
      </c>
      <c r="AJ125" s="34">
        <f t="shared" si="123"/>
        <v>0</v>
      </c>
      <c r="AK125" s="57">
        <f t="shared" si="111"/>
        <v>62470</v>
      </c>
      <c r="AL125" s="130"/>
      <c r="AM125" s="769">
        <f t="shared" si="88"/>
        <v>117</v>
      </c>
      <c r="AN125" s="770">
        <f t="shared" si="105"/>
        <v>48876</v>
      </c>
      <c r="AO125" s="105">
        <f t="shared" si="112"/>
        <v>0</v>
      </c>
      <c r="AP125" s="105">
        <f t="shared" si="106"/>
        <v>0</v>
      </c>
      <c r="AQ125" s="105">
        <f t="shared" si="113"/>
        <v>0</v>
      </c>
      <c r="AR125" s="105">
        <f t="shared" si="107"/>
        <v>0</v>
      </c>
      <c r="AS125" s="105">
        <f t="shared" si="114"/>
        <v>0</v>
      </c>
      <c r="AT125" s="105">
        <f t="shared" si="115"/>
        <v>0</v>
      </c>
      <c r="AU125" s="105">
        <f t="shared" si="116"/>
        <v>0</v>
      </c>
      <c r="AV125" s="105">
        <f t="shared" si="117"/>
        <v>0</v>
      </c>
      <c r="AW125" s="105">
        <f t="shared" si="118"/>
        <v>0</v>
      </c>
      <c r="AX125" s="108">
        <f t="shared" si="89"/>
        <v>0</v>
      </c>
      <c r="AY125" s="108">
        <f t="shared" si="108"/>
        <v>0</v>
      </c>
      <c r="BB125" s="2" t="e">
        <f t="shared" si="100"/>
        <v>#VALUE!</v>
      </c>
    </row>
    <row r="126" spans="5:54" ht="12" x14ac:dyDescent="0.25">
      <c r="E126" s="767">
        <f t="shared" si="86"/>
        <v>118</v>
      </c>
      <c r="F126" s="768">
        <f t="shared" si="71"/>
        <v>48907</v>
      </c>
      <c r="G126" s="24">
        <f t="shared" si="102"/>
        <v>0</v>
      </c>
      <c r="H126" s="24">
        <f t="shared" si="103"/>
        <v>0</v>
      </c>
      <c r="I126" s="24">
        <f t="shared" si="84"/>
        <v>44144.790000000023</v>
      </c>
      <c r="J126" s="24">
        <f t="shared" si="101"/>
        <v>0</v>
      </c>
      <c r="K126" s="24">
        <f t="shared" si="73"/>
        <v>0</v>
      </c>
      <c r="L126" s="24">
        <f t="shared" si="109"/>
        <v>0</v>
      </c>
      <c r="M126" s="24">
        <f t="shared" si="96"/>
        <v>0</v>
      </c>
      <c r="N126" s="24">
        <f t="shared" si="97"/>
        <v>0</v>
      </c>
      <c r="O126" s="24">
        <f t="shared" si="82"/>
        <v>0</v>
      </c>
      <c r="P126" s="24">
        <f t="shared" si="83"/>
        <v>0</v>
      </c>
      <c r="Q126" s="24">
        <f t="shared" si="74"/>
        <v>0</v>
      </c>
      <c r="R126" s="36">
        <f t="shared" si="90"/>
        <v>0</v>
      </c>
      <c r="S126" s="36">
        <f t="shared" si="104"/>
        <v>0</v>
      </c>
      <c r="T126" s="2">
        <f t="shared" si="119"/>
        <v>0</v>
      </c>
      <c r="U126" s="34">
        <f t="shared" si="120"/>
        <v>0</v>
      </c>
      <c r="V126" s="57">
        <f t="shared" si="121"/>
        <v>62835</v>
      </c>
      <c r="W126" s="16">
        <f t="shared" si="122"/>
        <v>77</v>
      </c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2">
        <f t="shared" si="124"/>
        <v>0</v>
      </c>
      <c r="AJ126" s="34">
        <f t="shared" si="123"/>
        <v>0</v>
      </c>
      <c r="AK126" s="57">
        <f t="shared" si="111"/>
        <v>62470</v>
      </c>
      <c r="AL126" s="130"/>
      <c r="AM126" s="769">
        <f t="shared" si="88"/>
        <v>118</v>
      </c>
      <c r="AN126" s="770">
        <f t="shared" si="105"/>
        <v>48907</v>
      </c>
      <c r="AO126" s="105">
        <f t="shared" si="112"/>
        <v>0</v>
      </c>
      <c r="AP126" s="105">
        <f t="shared" si="106"/>
        <v>0</v>
      </c>
      <c r="AQ126" s="105">
        <f t="shared" si="113"/>
        <v>0</v>
      </c>
      <c r="AR126" s="105">
        <f t="shared" si="107"/>
        <v>0</v>
      </c>
      <c r="AS126" s="105">
        <f t="shared" si="114"/>
        <v>0</v>
      </c>
      <c r="AT126" s="105">
        <f t="shared" si="115"/>
        <v>0</v>
      </c>
      <c r="AU126" s="105">
        <f t="shared" si="116"/>
        <v>0</v>
      </c>
      <c r="AV126" s="105">
        <f t="shared" si="117"/>
        <v>0</v>
      </c>
      <c r="AW126" s="105">
        <f t="shared" si="118"/>
        <v>0</v>
      </c>
      <c r="AX126" s="108">
        <f t="shared" si="89"/>
        <v>0</v>
      </c>
      <c r="AY126" s="108">
        <f t="shared" si="108"/>
        <v>0</v>
      </c>
      <c r="BB126" s="2" t="e">
        <f t="shared" ref="BB126:BB152" si="125">IF(AND(E81&gt;=$T$14,E81&lt;=$T$14+5),0,IF($C$9&gt;$AC$52,ROUND(AW80*IF($D$23="",0,$D$23)/(DATEVALUE(CONCATENATE("01/01/",YEAR(AN81)+1))-DATEVALUE(CONCATENATE("01/01/",YEAR(AN81))))*(AN81-AN80),2),0))</f>
        <v>#VALUE!</v>
      </c>
    </row>
    <row r="127" spans="5:54" ht="12" x14ac:dyDescent="0.25">
      <c r="E127" s="767">
        <f t="shared" si="86"/>
        <v>119</v>
      </c>
      <c r="F127" s="768">
        <f t="shared" si="71"/>
        <v>48937</v>
      </c>
      <c r="G127" s="24">
        <f t="shared" si="102"/>
        <v>0</v>
      </c>
      <c r="H127" s="24">
        <f t="shared" si="103"/>
        <v>0</v>
      </c>
      <c r="I127" s="24">
        <f t="shared" si="84"/>
        <v>44144.790000000023</v>
      </c>
      <c r="J127" s="24">
        <f t="shared" si="101"/>
        <v>0</v>
      </c>
      <c r="K127" s="24">
        <f t="shared" si="73"/>
        <v>0</v>
      </c>
      <c r="L127" s="24">
        <f t="shared" si="109"/>
        <v>0</v>
      </c>
      <c r="M127" s="24">
        <f t="shared" si="96"/>
        <v>0</v>
      </c>
      <c r="N127" s="24">
        <f t="shared" si="97"/>
        <v>0</v>
      </c>
      <c r="O127" s="24">
        <f t="shared" si="82"/>
        <v>0</v>
      </c>
      <c r="P127" s="24">
        <f t="shared" si="83"/>
        <v>0</v>
      </c>
      <c r="Q127" s="24">
        <f t="shared" si="74"/>
        <v>0</v>
      </c>
      <c r="R127" s="36">
        <f t="shared" si="90"/>
        <v>0</v>
      </c>
      <c r="S127" s="36">
        <f t="shared" si="104"/>
        <v>0</v>
      </c>
      <c r="T127" s="2">
        <f t="shared" si="119"/>
        <v>0</v>
      </c>
      <c r="U127" s="34">
        <f t="shared" si="120"/>
        <v>0</v>
      </c>
      <c r="V127" s="57">
        <f t="shared" si="121"/>
        <v>62835</v>
      </c>
      <c r="W127" s="16">
        <f t="shared" si="122"/>
        <v>78</v>
      </c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2">
        <f t="shared" si="124"/>
        <v>0</v>
      </c>
      <c r="AJ127" s="34">
        <f t="shared" si="123"/>
        <v>0</v>
      </c>
      <c r="AK127" s="57">
        <f t="shared" si="111"/>
        <v>62470</v>
      </c>
      <c r="AL127" s="130"/>
      <c r="AM127" s="769">
        <f t="shared" si="88"/>
        <v>119</v>
      </c>
      <c r="AN127" s="770">
        <f t="shared" si="105"/>
        <v>48937</v>
      </c>
      <c r="AO127" s="105">
        <f t="shared" si="112"/>
        <v>0</v>
      </c>
      <c r="AP127" s="105">
        <f t="shared" si="106"/>
        <v>0</v>
      </c>
      <c r="AQ127" s="105">
        <f t="shared" si="113"/>
        <v>0</v>
      </c>
      <c r="AR127" s="105">
        <f t="shared" si="107"/>
        <v>0</v>
      </c>
      <c r="AS127" s="105">
        <f t="shared" si="114"/>
        <v>0</v>
      </c>
      <c r="AT127" s="105">
        <f t="shared" si="115"/>
        <v>0</v>
      </c>
      <c r="AU127" s="105">
        <f t="shared" si="116"/>
        <v>0</v>
      </c>
      <c r="AV127" s="105">
        <f t="shared" si="117"/>
        <v>0</v>
      </c>
      <c r="AW127" s="105">
        <f t="shared" si="118"/>
        <v>0</v>
      </c>
      <c r="AX127" s="108">
        <f t="shared" si="89"/>
        <v>0</v>
      </c>
      <c r="AY127" s="108">
        <f t="shared" si="108"/>
        <v>0</v>
      </c>
      <c r="BB127" s="2" t="e">
        <f t="shared" si="125"/>
        <v>#VALUE!</v>
      </c>
    </row>
    <row r="128" spans="5:54" ht="12" x14ac:dyDescent="0.25">
      <c r="E128" s="767">
        <f t="shared" si="86"/>
        <v>120</v>
      </c>
      <c r="F128" s="768">
        <f t="shared" si="71"/>
        <v>48968</v>
      </c>
      <c r="G128" s="24">
        <f t="shared" si="102"/>
        <v>0</v>
      </c>
      <c r="H128" s="24">
        <f t="shared" si="103"/>
        <v>0</v>
      </c>
      <c r="I128" s="24">
        <f t="shared" si="84"/>
        <v>44144.790000000023</v>
      </c>
      <c r="J128" s="24">
        <f t="shared" si="101"/>
        <v>0</v>
      </c>
      <c r="K128" s="24">
        <f t="shared" si="73"/>
        <v>0</v>
      </c>
      <c r="L128" s="24">
        <f t="shared" si="109"/>
        <v>0</v>
      </c>
      <c r="M128" s="24">
        <f t="shared" si="96"/>
        <v>0</v>
      </c>
      <c r="N128" s="24">
        <f t="shared" si="97"/>
        <v>0</v>
      </c>
      <c r="O128" s="24">
        <f t="shared" si="82"/>
        <v>0</v>
      </c>
      <c r="P128" s="24">
        <f t="shared" si="83"/>
        <v>0</v>
      </c>
      <c r="Q128" s="24">
        <f t="shared" si="74"/>
        <v>0</v>
      </c>
      <c r="R128" s="36">
        <f t="shared" si="90"/>
        <v>0</v>
      </c>
      <c r="S128" s="36">
        <f t="shared" si="104"/>
        <v>0</v>
      </c>
      <c r="T128" s="2">
        <f t="shared" si="119"/>
        <v>0</v>
      </c>
      <c r="U128" s="34">
        <f t="shared" si="120"/>
        <v>0</v>
      </c>
      <c r="V128" s="57">
        <f t="shared" si="121"/>
        <v>62835</v>
      </c>
      <c r="W128" s="16">
        <f t="shared" si="122"/>
        <v>79</v>
      </c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2">
        <f t="shared" si="124"/>
        <v>0</v>
      </c>
      <c r="AJ128" s="34">
        <f t="shared" si="123"/>
        <v>0</v>
      </c>
      <c r="AK128" s="57">
        <f t="shared" si="111"/>
        <v>62470</v>
      </c>
      <c r="AM128" s="769">
        <f t="shared" si="88"/>
        <v>120</v>
      </c>
      <c r="AN128" s="770">
        <f t="shared" si="105"/>
        <v>48968</v>
      </c>
      <c r="AO128" s="105">
        <f t="shared" si="112"/>
        <v>0</v>
      </c>
      <c r="AP128" s="105">
        <f t="shared" si="106"/>
        <v>0</v>
      </c>
      <c r="AQ128" s="105">
        <f t="shared" si="113"/>
        <v>0</v>
      </c>
      <c r="AR128" s="105">
        <f t="shared" si="107"/>
        <v>0</v>
      </c>
      <c r="AS128" s="105">
        <f t="shared" si="114"/>
        <v>0</v>
      </c>
      <c r="AT128" s="105">
        <f t="shared" si="115"/>
        <v>0</v>
      </c>
      <c r="AU128" s="105">
        <f t="shared" si="116"/>
        <v>0</v>
      </c>
      <c r="AV128" s="105">
        <f t="shared" si="117"/>
        <v>0</v>
      </c>
      <c r="AW128" s="105">
        <f t="shared" si="118"/>
        <v>0</v>
      </c>
      <c r="AX128" s="108">
        <f t="shared" si="89"/>
        <v>0</v>
      </c>
      <c r="AY128" s="108">
        <f t="shared" si="108"/>
        <v>0</v>
      </c>
      <c r="BB128" s="2" t="e">
        <f t="shared" si="125"/>
        <v>#VALUE!</v>
      </c>
    </row>
    <row r="129" spans="5:54" ht="12" x14ac:dyDescent="0.25">
      <c r="E129" s="767">
        <f t="shared" si="86"/>
        <v>121</v>
      </c>
      <c r="F129" s="768">
        <f t="shared" si="71"/>
        <v>48999</v>
      </c>
      <c r="G129" s="24">
        <f t="shared" si="102"/>
        <v>0</v>
      </c>
      <c r="H129" s="24">
        <f t="shared" si="103"/>
        <v>0</v>
      </c>
      <c r="I129" s="24">
        <f t="shared" si="84"/>
        <v>44144.790000000023</v>
      </c>
      <c r="J129" s="24">
        <f t="shared" si="101"/>
        <v>0</v>
      </c>
      <c r="K129" s="24">
        <f t="shared" si="73"/>
        <v>0</v>
      </c>
      <c r="L129" s="24">
        <f t="shared" si="109"/>
        <v>0</v>
      </c>
      <c r="M129" s="24">
        <f t="shared" si="96"/>
        <v>0</v>
      </c>
      <c r="N129" s="24">
        <f t="shared" si="97"/>
        <v>0</v>
      </c>
      <c r="O129" s="24">
        <f t="shared" si="82"/>
        <v>0</v>
      </c>
      <c r="P129" s="24">
        <f t="shared" si="83"/>
        <v>0</v>
      </c>
      <c r="Q129" s="24">
        <f t="shared" si="74"/>
        <v>0</v>
      </c>
      <c r="R129" s="36">
        <f t="shared" si="90"/>
        <v>0</v>
      </c>
      <c r="S129" s="36">
        <f t="shared" si="104"/>
        <v>0</v>
      </c>
      <c r="T129" s="2">
        <f t="shared" si="119"/>
        <v>0</v>
      </c>
      <c r="U129" s="34">
        <f t="shared" si="120"/>
        <v>0</v>
      </c>
      <c r="V129" s="57">
        <f t="shared" si="121"/>
        <v>62835</v>
      </c>
      <c r="W129" s="16">
        <f t="shared" si="122"/>
        <v>80</v>
      </c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60"/>
      <c r="AI129" s="2">
        <f t="shared" si="124"/>
        <v>0</v>
      </c>
      <c r="AJ129" s="34">
        <f t="shared" si="123"/>
        <v>0</v>
      </c>
      <c r="AK129" s="57">
        <f t="shared" si="111"/>
        <v>62470</v>
      </c>
      <c r="AM129" s="769">
        <f t="shared" si="88"/>
        <v>121</v>
      </c>
      <c r="AN129" s="770">
        <f t="shared" si="105"/>
        <v>48999</v>
      </c>
      <c r="AO129" s="105">
        <f t="shared" si="112"/>
        <v>0</v>
      </c>
      <c r="AP129" s="105">
        <f t="shared" si="106"/>
        <v>0</v>
      </c>
      <c r="AQ129" s="105">
        <f t="shared" si="113"/>
        <v>0</v>
      </c>
      <c r="AR129" s="105">
        <f t="shared" si="107"/>
        <v>0</v>
      </c>
      <c r="AS129" s="105">
        <f t="shared" si="114"/>
        <v>0</v>
      </c>
      <c r="AT129" s="105">
        <f t="shared" si="115"/>
        <v>0</v>
      </c>
      <c r="AU129" s="105">
        <f t="shared" si="116"/>
        <v>0</v>
      </c>
      <c r="AV129" s="105">
        <f t="shared" si="117"/>
        <v>0</v>
      </c>
      <c r="AW129" s="105">
        <f t="shared" si="118"/>
        <v>0</v>
      </c>
      <c r="AX129" s="108">
        <f t="shared" si="89"/>
        <v>0</v>
      </c>
      <c r="AY129" s="108">
        <f t="shared" si="108"/>
        <v>0</v>
      </c>
      <c r="BB129" s="2" t="e">
        <f t="shared" si="125"/>
        <v>#VALUE!</v>
      </c>
    </row>
    <row r="130" spans="5:54" ht="12" x14ac:dyDescent="0.25">
      <c r="E130" s="767">
        <f t="shared" si="86"/>
        <v>122</v>
      </c>
      <c r="F130" s="768">
        <f t="shared" si="71"/>
        <v>49027</v>
      </c>
      <c r="G130" s="24">
        <f t="shared" si="102"/>
        <v>0</v>
      </c>
      <c r="H130" s="24">
        <f t="shared" si="103"/>
        <v>0</v>
      </c>
      <c r="I130" s="24">
        <f t="shared" si="84"/>
        <v>44144.790000000023</v>
      </c>
      <c r="J130" s="24">
        <f t="shared" si="101"/>
        <v>0</v>
      </c>
      <c r="K130" s="24">
        <f t="shared" si="73"/>
        <v>0</v>
      </c>
      <c r="L130" s="24">
        <f t="shared" si="109"/>
        <v>0</v>
      </c>
      <c r="M130" s="24">
        <f t="shared" si="96"/>
        <v>0</v>
      </c>
      <c r="N130" s="24">
        <f t="shared" si="97"/>
        <v>0</v>
      </c>
      <c r="O130" s="24">
        <f t="shared" si="82"/>
        <v>0</v>
      </c>
      <c r="P130" s="24">
        <f t="shared" si="83"/>
        <v>0</v>
      </c>
      <c r="Q130" s="24">
        <f t="shared" si="74"/>
        <v>0</v>
      </c>
      <c r="R130" s="36">
        <f t="shared" si="90"/>
        <v>0</v>
      </c>
      <c r="S130" s="36">
        <f t="shared" si="104"/>
        <v>0</v>
      </c>
      <c r="T130" s="2">
        <f t="shared" si="119"/>
        <v>0</v>
      </c>
      <c r="U130" s="34">
        <f t="shared" si="120"/>
        <v>0</v>
      </c>
      <c r="V130" s="57">
        <f t="shared" si="121"/>
        <v>62835</v>
      </c>
      <c r="W130" s="16">
        <f t="shared" si="122"/>
        <v>81</v>
      </c>
      <c r="X130" s="16"/>
      <c r="Y130" s="16"/>
      <c r="Z130" s="16"/>
      <c r="AA130" s="16"/>
      <c r="AB130" s="16"/>
      <c r="AC130" s="16"/>
      <c r="AD130" s="16"/>
      <c r="AE130" s="16"/>
      <c r="AF130" s="16"/>
      <c r="AI130" s="2">
        <f t="shared" si="124"/>
        <v>0</v>
      </c>
      <c r="AJ130" s="34">
        <f t="shared" si="123"/>
        <v>0</v>
      </c>
      <c r="AK130" s="57">
        <f t="shared" si="111"/>
        <v>62470</v>
      </c>
      <c r="BB130" s="2" t="e">
        <f t="shared" si="125"/>
        <v>#VALUE!</v>
      </c>
    </row>
    <row r="131" spans="5:54" ht="12" x14ac:dyDescent="0.25">
      <c r="E131" s="767">
        <f t="shared" si="86"/>
        <v>123</v>
      </c>
      <c r="F131" s="768">
        <f t="shared" si="71"/>
        <v>49058</v>
      </c>
      <c r="G131" s="24">
        <f t="shared" si="102"/>
        <v>0</v>
      </c>
      <c r="H131" s="24">
        <f t="shared" si="103"/>
        <v>0</v>
      </c>
      <c r="I131" s="24">
        <f t="shared" si="84"/>
        <v>44144.790000000023</v>
      </c>
      <c r="J131" s="24">
        <f t="shared" si="101"/>
        <v>0</v>
      </c>
      <c r="K131" s="24">
        <f t="shared" si="73"/>
        <v>0</v>
      </c>
      <c r="L131" s="24">
        <f t="shared" si="109"/>
        <v>0</v>
      </c>
      <c r="M131" s="24">
        <f t="shared" si="96"/>
        <v>0</v>
      </c>
      <c r="N131" s="24">
        <f t="shared" si="97"/>
        <v>0</v>
      </c>
      <c r="O131" s="24">
        <f t="shared" si="82"/>
        <v>0</v>
      </c>
      <c r="P131" s="24">
        <f t="shared" si="83"/>
        <v>0</v>
      </c>
      <c r="Q131" s="24">
        <f t="shared" si="74"/>
        <v>0</v>
      </c>
      <c r="R131" s="36">
        <f t="shared" si="90"/>
        <v>0</v>
      </c>
      <c r="S131" s="36">
        <f t="shared" si="104"/>
        <v>0</v>
      </c>
      <c r="T131" s="2">
        <f t="shared" si="119"/>
        <v>0</v>
      </c>
      <c r="U131" s="34">
        <f t="shared" si="120"/>
        <v>0</v>
      </c>
      <c r="V131" s="57">
        <f t="shared" si="121"/>
        <v>62835</v>
      </c>
      <c r="W131" s="16">
        <f t="shared" si="122"/>
        <v>82</v>
      </c>
      <c r="X131" s="16"/>
      <c r="Y131" s="16"/>
      <c r="Z131" s="16"/>
      <c r="AA131" s="16"/>
      <c r="AB131" s="796"/>
      <c r="AC131" s="796"/>
      <c r="AD131" s="796"/>
      <c r="AE131" s="796"/>
      <c r="AI131" s="2">
        <f t="shared" si="124"/>
        <v>0</v>
      </c>
      <c r="AJ131" s="34">
        <f t="shared" si="123"/>
        <v>0</v>
      </c>
      <c r="AK131" s="57">
        <f t="shared" si="111"/>
        <v>62470</v>
      </c>
      <c r="AM131" s="797"/>
      <c r="AN131" s="795" t="s">
        <v>7</v>
      </c>
      <c r="AO131" s="798">
        <f>(SUM(AO9:AO129)-IF(CODE(C18)=209,BN58,0))</f>
        <v>115225.62</v>
      </c>
      <c r="AP131" s="798">
        <f>(SUM(AP9:AP129)-IF(CODE(D18)=209,BO58,0))</f>
        <v>42594.62000000001</v>
      </c>
      <c r="AQ131" s="798">
        <f>SUM(AQ9:AQ129)</f>
        <v>72630.999999999985</v>
      </c>
      <c r="AR131" s="105">
        <f>IF(AT131&gt;$D$29,$D$29-AP131,IF(AY110=0,0,AV131)+BN158)</f>
        <v>0</v>
      </c>
      <c r="AS131" s="799"/>
      <c r="AT131" s="799"/>
      <c r="AU131" s="799"/>
      <c r="AV131" s="799"/>
      <c r="AW131" s="799"/>
      <c r="BB131" s="2" t="e">
        <f t="shared" si="125"/>
        <v>#VALUE!</v>
      </c>
    </row>
    <row r="132" spans="5:54" x14ac:dyDescent="0.25">
      <c r="E132" s="767">
        <f t="shared" si="86"/>
        <v>124</v>
      </c>
      <c r="F132" s="768">
        <f t="shared" si="71"/>
        <v>49088</v>
      </c>
      <c r="G132" s="24">
        <f t="shared" si="102"/>
        <v>0</v>
      </c>
      <c r="H132" s="24">
        <f t="shared" si="103"/>
        <v>0</v>
      </c>
      <c r="I132" s="24">
        <f t="shared" si="84"/>
        <v>44144.790000000023</v>
      </c>
      <c r="J132" s="24">
        <f t="shared" ref="J132:J159" si="126">IF(AND(E132=$C$10,$C$22&lt;&gt;"Нет"),MIN((I132-I132/$C$19*$C$23),Q131+H132-G131),0)</f>
        <v>0</v>
      </c>
      <c r="K132" s="24">
        <f t="shared" si="73"/>
        <v>0</v>
      </c>
      <c r="L132" s="24">
        <f t="shared" si="109"/>
        <v>0</v>
      </c>
      <c r="M132" s="24">
        <f t="shared" si="96"/>
        <v>0</v>
      </c>
      <c r="N132" s="24">
        <f t="shared" si="97"/>
        <v>0</v>
      </c>
      <c r="O132" s="24">
        <f t="shared" si="82"/>
        <v>0</v>
      </c>
      <c r="P132" s="24">
        <f t="shared" si="83"/>
        <v>0</v>
      </c>
      <c r="Q132" s="24">
        <f t="shared" si="74"/>
        <v>0</v>
      </c>
      <c r="R132" s="36">
        <f t="shared" si="90"/>
        <v>0</v>
      </c>
      <c r="S132" s="36">
        <f t="shared" si="104"/>
        <v>0</v>
      </c>
      <c r="T132" s="2">
        <f t="shared" si="119"/>
        <v>0</v>
      </c>
      <c r="U132" s="34">
        <f t="shared" si="120"/>
        <v>0</v>
      </c>
      <c r="V132" s="57">
        <f t="shared" si="121"/>
        <v>62835</v>
      </c>
      <c r="W132" s="16">
        <f t="shared" si="122"/>
        <v>83</v>
      </c>
      <c r="AI132" s="2">
        <f t="shared" si="124"/>
        <v>0</v>
      </c>
      <c r="AJ132" s="34">
        <f t="shared" si="123"/>
        <v>0</v>
      </c>
      <c r="AK132" s="57">
        <f t="shared" si="111"/>
        <v>62470</v>
      </c>
      <c r="BB132" s="2" t="e">
        <f t="shared" si="125"/>
        <v>#VALUE!</v>
      </c>
    </row>
    <row r="133" spans="5:54" x14ac:dyDescent="0.25">
      <c r="E133" s="767">
        <f t="shared" si="86"/>
        <v>125</v>
      </c>
      <c r="F133" s="768">
        <f t="shared" si="71"/>
        <v>49119</v>
      </c>
      <c r="G133" s="24">
        <f t="shared" ref="G133:G159" si="127">IF(AND(E133&gt;=$T$14,E133&lt;=$T$14+5),$T$15,IF(AND(Q132+L133+H133&gt;G132,G132&lt;&gt;0),$C$29,IF(Q132=0,0,Q132+L133+H133+H134)))+IF(AND(E133=$C$10,$C$22&lt;&gt;"Нет"),MIN((I133-I133/$C$19*$C$23),Q132+H133-G132),0)</f>
        <v>0</v>
      </c>
      <c r="H133" s="24">
        <f t="shared" si="103"/>
        <v>0</v>
      </c>
      <c r="I133" s="24">
        <f t="shared" si="84"/>
        <v>44144.790000000023</v>
      </c>
      <c r="J133" s="24">
        <f t="shared" si="126"/>
        <v>0</v>
      </c>
      <c r="K133" s="24">
        <f t="shared" si="73"/>
        <v>0</v>
      </c>
      <c r="L133" s="24">
        <f t="shared" si="109"/>
        <v>0</v>
      </c>
      <c r="M133" s="24">
        <f t="shared" si="96"/>
        <v>0</v>
      </c>
      <c r="N133" s="24">
        <f t="shared" si="97"/>
        <v>0</v>
      </c>
      <c r="O133" s="24">
        <f t="shared" si="82"/>
        <v>0</v>
      </c>
      <c r="P133" s="24">
        <f t="shared" si="83"/>
        <v>0</v>
      </c>
      <c r="Q133" s="24">
        <f t="shared" si="74"/>
        <v>0</v>
      </c>
      <c r="R133" s="36">
        <f t="shared" si="90"/>
        <v>0</v>
      </c>
      <c r="S133" s="36">
        <f t="shared" si="104"/>
        <v>0</v>
      </c>
      <c r="T133" s="2">
        <f t="shared" si="119"/>
        <v>0</v>
      </c>
      <c r="U133" s="34">
        <f t="shared" si="120"/>
        <v>0</v>
      </c>
      <c r="V133" s="57">
        <f t="shared" si="121"/>
        <v>62835</v>
      </c>
      <c r="W133" s="16">
        <f t="shared" si="122"/>
        <v>84</v>
      </c>
      <c r="AI133" s="2">
        <f t="shared" si="124"/>
        <v>0</v>
      </c>
      <c r="AJ133" s="34">
        <f t="shared" si="123"/>
        <v>0</v>
      </c>
      <c r="AK133" s="57">
        <f t="shared" si="111"/>
        <v>62470</v>
      </c>
      <c r="BB133" s="2" t="e">
        <f t="shared" si="125"/>
        <v>#VALUE!</v>
      </c>
    </row>
    <row r="134" spans="5:54" x14ac:dyDescent="0.25">
      <c r="E134" s="767">
        <f t="shared" si="86"/>
        <v>126</v>
      </c>
      <c r="F134" s="768">
        <f t="shared" si="71"/>
        <v>49149</v>
      </c>
      <c r="G134" s="24">
        <f t="shared" si="127"/>
        <v>0</v>
      </c>
      <c r="H134" s="24">
        <f t="shared" si="103"/>
        <v>0</v>
      </c>
      <c r="I134" s="24">
        <f t="shared" si="84"/>
        <v>44144.790000000023</v>
      </c>
      <c r="J134" s="24">
        <f t="shared" si="126"/>
        <v>0</v>
      </c>
      <c r="K134" s="24">
        <f t="shared" si="73"/>
        <v>0</v>
      </c>
      <c r="L134" s="24">
        <f t="shared" si="109"/>
        <v>0</v>
      </c>
      <c r="M134" s="24">
        <f t="shared" si="96"/>
        <v>0</v>
      </c>
      <c r="N134" s="24">
        <f t="shared" si="97"/>
        <v>0</v>
      </c>
      <c r="O134" s="24">
        <f t="shared" si="82"/>
        <v>0</v>
      </c>
      <c r="P134" s="24">
        <f t="shared" si="83"/>
        <v>0</v>
      </c>
      <c r="Q134" s="24">
        <f t="shared" si="74"/>
        <v>0</v>
      </c>
      <c r="R134" s="36">
        <f t="shared" si="90"/>
        <v>0</v>
      </c>
      <c r="S134" s="36">
        <f t="shared" si="104"/>
        <v>0</v>
      </c>
      <c r="T134" s="2">
        <f t="shared" si="119"/>
        <v>0</v>
      </c>
      <c r="U134" s="34">
        <f t="shared" si="120"/>
        <v>0</v>
      </c>
      <c r="V134" s="57">
        <f t="shared" si="121"/>
        <v>62835</v>
      </c>
      <c r="W134" s="16">
        <f t="shared" si="122"/>
        <v>85</v>
      </c>
      <c r="AI134" s="2">
        <f t="shared" si="124"/>
        <v>0</v>
      </c>
      <c r="AJ134" s="34">
        <f t="shared" si="123"/>
        <v>0</v>
      </c>
      <c r="AK134" s="57">
        <f t="shared" si="111"/>
        <v>62470</v>
      </c>
      <c r="BB134" s="2" t="e">
        <f t="shared" si="125"/>
        <v>#VALUE!</v>
      </c>
    </row>
    <row r="135" spans="5:54" x14ac:dyDescent="0.25">
      <c r="E135" s="767">
        <f t="shared" si="86"/>
        <v>127</v>
      </c>
      <c r="F135" s="768">
        <f t="shared" si="71"/>
        <v>49180</v>
      </c>
      <c r="G135" s="24">
        <f t="shared" si="127"/>
        <v>0</v>
      </c>
      <c r="H135" s="24">
        <f t="shared" si="103"/>
        <v>0</v>
      </c>
      <c r="I135" s="24">
        <f t="shared" si="84"/>
        <v>44144.790000000023</v>
      </c>
      <c r="J135" s="24">
        <f t="shared" si="126"/>
        <v>0</v>
      </c>
      <c r="K135" s="24">
        <f t="shared" si="73"/>
        <v>0</v>
      </c>
      <c r="L135" s="24">
        <f t="shared" si="109"/>
        <v>0</v>
      </c>
      <c r="M135" s="24">
        <f t="shared" si="96"/>
        <v>0</v>
      </c>
      <c r="N135" s="24">
        <f t="shared" si="97"/>
        <v>0</v>
      </c>
      <c r="O135" s="24">
        <f t="shared" si="82"/>
        <v>0</v>
      </c>
      <c r="P135" s="24">
        <f t="shared" si="83"/>
        <v>0</v>
      </c>
      <c r="Q135" s="24">
        <f t="shared" si="74"/>
        <v>0</v>
      </c>
      <c r="R135" s="36">
        <f t="shared" si="90"/>
        <v>0</v>
      </c>
      <c r="S135" s="36">
        <f t="shared" si="104"/>
        <v>0</v>
      </c>
      <c r="T135" s="2">
        <f t="shared" si="119"/>
        <v>0</v>
      </c>
      <c r="U135" s="34">
        <f t="shared" si="120"/>
        <v>0</v>
      </c>
      <c r="V135" s="57">
        <f t="shared" si="121"/>
        <v>62835</v>
      </c>
      <c r="W135" s="16">
        <f t="shared" si="122"/>
        <v>86</v>
      </c>
      <c r="AI135" s="2">
        <f t="shared" si="124"/>
        <v>0</v>
      </c>
      <c r="AJ135" s="34">
        <f t="shared" si="123"/>
        <v>0</v>
      </c>
      <c r="AK135" s="57">
        <f t="shared" si="111"/>
        <v>62470</v>
      </c>
      <c r="BB135" s="2" t="e">
        <f t="shared" si="125"/>
        <v>#VALUE!</v>
      </c>
    </row>
    <row r="136" spans="5:54" x14ac:dyDescent="0.25">
      <c r="E136" s="767">
        <f t="shared" si="86"/>
        <v>128</v>
      </c>
      <c r="F136" s="768">
        <f t="shared" si="71"/>
        <v>49211</v>
      </c>
      <c r="G136" s="24">
        <f t="shared" si="127"/>
        <v>0</v>
      </c>
      <c r="H136" s="24">
        <f t="shared" si="103"/>
        <v>0</v>
      </c>
      <c r="I136" s="24">
        <f t="shared" si="84"/>
        <v>44144.790000000023</v>
      </c>
      <c r="J136" s="24">
        <f t="shared" si="126"/>
        <v>0</v>
      </c>
      <c r="K136" s="24">
        <f t="shared" si="73"/>
        <v>0</v>
      </c>
      <c r="L136" s="24">
        <f t="shared" si="109"/>
        <v>0</v>
      </c>
      <c r="M136" s="24">
        <f t="shared" si="96"/>
        <v>0</v>
      </c>
      <c r="N136" s="24">
        <f t="shared" si="97"/>
        <v>0</v>
      </c>
      <c r="O136" s="24">
        <f t="shared" si="82"/>
        <v>0</v>
      </c>
      <c r="P136" s="24">
        <f t="shared" si="83"/>
        <v>0</v>
      </c>
      <c r="Q136" s="24">
        <f t="shared" si="74"/>
        <v>0</v>
      </c>
      <c r="R136" s="36">
        <f t="shared" si="90"/>
        <v>0</v>
      </c>
      <c r="S136" s="36">
        <f t="shared" si="104"/>
        <v>0</v>
      </c>
      <c r="T136" s="2">
        <f t="shared" si="119"/>
        <v>0</v>
      </c>
      <c r="U136" s="34">
        <f t="shared" si="120"/>
        <v>0</v>
      </c>
      <c r="V136" s="57">
        <f t="shared" si="121"/>
        <v>62835</v>
      </c>
      <c r="W136" s="16">
        <f t="shared" si="122"/>
        <v>87</v>
      </c>
      <c r="AI136" s="2">
        <f t="shared" si="124"/>
        <v>0</v>
      </c>
      <c r="AJ136" s="34">
        <f t="shared" si="123"/>
        <v>0</v>
      </c>
      <c r="AK136" s="57">
        <f t="shared" si="111"/>
        <v>62470</v>
      </c>
      <c r="BB136" s="2" t="e">
        <f t="shared" si="125"/>
        <v>#VALUE!</v>
      </c>
    </row>
    <row r="137" spans="5:54" x14ac:dyDescent="0.25">
      <c r="E137" s="767">
        <f t="shared" si="86"/>
        <v>129</v>
      </c>
      <c r="F137" s="768">
        <f t="shared" ref="F137:F159" si="128">IF(DAY($AA$55)=29,DATE(YEAR($F$8),MONTH($F$8)+E137+1,1),IF(DAY($AA$55)=30,DATE(YEAR($F$8),MONTH($F$8)+E137+1,2),IF(DAY($AA$55)=31,DATE(YEAR($F$8),MONTH($F$8)+E137+1,3),DATE(YEAR($F$8),MONTH($F$8)+E137,DAY($F$8)))))</f>
        <v>49241</v>
      </c>
      <c r="G137" s="24">
        <f t="shared" si="127"/>
        <v>0</v>
      </c>
      <c r="H137" s="24">
        <f t="shared" ref="H137:H159" si="129">IF(AND(E137&gt;=$T$14,E137&lt;=$T$14+5),0,IF($C$9&gt;$AC$52,ROUND(Q136*$C$19*((F137-DATE(YEAR(F137),MONTH(F137),1)+1)/(DATE(YEAR(F137)+1,1,1)-DATE(YEAR(F137),1,1))+(EOMONTH(F136,0)-F136)/(DATE(YEAR(F136)+1,1,1)-DATE(YEAR(F136),1,1))),2),0))</f>
        <v>0</v>
      </c>
      <c r="I137" s="24">
        <f t="shared" si="84"/>
        <v>44144.790000000023</v>
      </c>
      <c r="J137" s="24">
        <f t="shared" si="126"/>
        <v>0</v>
      </c>
      <c r="K137" s="24">
        <f t="shared" ref="K137:K159" si="130">IF(S137=0,0,IF(S137=1,Q136,IF(Q136+L137+H137&gt;G136,G137-H137-L137,Q136)))</f>
        <v>0</v>
      </c>
      <c r="L137" s="24">
        <f t="shared" si="109"/>
        <v>0</v>
      </c>
      <c r="M137" s="24">
        <f t="shared" si="96"/>
        <v>0</v>
      </c>
      <c r="N137" s="24">
        <f t="shared" si="97"/>
        <v>0</v>
      </c>
      <c r="O137" s="24">
        <f t="shared" si="82"/>
        <v>0</v>
      </c>
      <c r="P137" s="24">
        <f t="shared" si="83"/>
        <v>0</v>
      </c>
      <c r="Q137" s="24">
        <f t="shared" ref="Q137:Q159" si="131">IF(OR(S137=1,Q136=0),0,Q136-K137)</f>
        <v>0</v>
      </c>
      <c r="R137" s="36">
        <f t="shared" si="90"/>
        <v>0</v>
      </c>
      <c r="S137" s="36">
        <f t="shared" ref="S137:S159" si="132">IF(ISERR(CEILING(FLOOR(NPER($C$19/12,-$AA$56,Q136),0.1),1))=TRUE,0,CEILING(FLOOR(NPER($C$19/12,-$AA$56,Q136),0.1),1))</f>
        <v>0</v>
      </c>
      <c r="T137" s="2">
        <f t="shared" si="119"/>
        <v>0</v>
      </c>
      <c r="U137" s="34">
        <f t="shared" si="120"/>
        <v>0</v>
      </c>
      <c r="V137" s="57">
        <f t="shared" si="121"/>
        <v>62835</v>
      </c>
      <c r="W137" s="16">
        <f t="shared" si="122"/>
        <v>88</v>
      </c>
      <c r="AI137" s="2">
        <f t="shared" si="124"/>
        <v>0</v>
      </c>
      <c r="AJ137" s="34">
        <f t="shared" si="123"/>
        <v>0</v>
      </c>
      <c r="AK137" s="57">
        <f t="shared" si="111"/>
        <v>62470</v>
      </c>
      <c r="BB137" s="2" t="e">
        <f t="shared" si="125"/>
        <v>#VALUE!</v>
      </c>
    </row>
    <row r="138" spans="5:54" x14ac:dyDescent="0.25">
      <c r="E138" s="767">
        <f t="shared" si="86"/>
        <v>130</v>
      </c>
      <c r="F138" s="768">
        <f t="shared" si="128"/>
        <v>49272</v>
      </c>
      <c r="G138" s="24">
        <f t="shared" si="127"/>
        <v>0</v>
      </c>
      <c r="H138" s="24">
        <f t="shared" si="129"/>
        <v>0</v>
      </c>
      <c r="I138" s="24">
        <f t="shared" si="84"/>
        <v>44144.790000000023</v>
      </c>
      <c r="J138" s="24">
        <f t="shared" si="126"/>
        <v>0</v>
      </c>
      <c r="K138" s="24">
        <f t="shared" si="130"/>
        <v>0</v>
      </c>
      <c r="L138" s="24">
        <f t="shared" ref="L138:L159" si="133">IF(N138&gt;$C$29,$C$29-H138,IF(S138=0,0,O138))</f>
        <v>0</v>
      </c>
      <c r="M138" s="24">
        <f t="shared" si="96"/>
        <v>0</v>
      </c>
      <c r="N138" s="24">
        <f t="shared" si="97"/>
        <v>0</v>
      </c>
      <c r="O138" s="24">
        <f t="shared" ref="O138:O156" si="134">IF(S138=0,0,0)</f>
        <v>0</v>
      </c>
      <c r="P138" s="24">
        <f t="shared" ref="P138:P159" si="135">IF(S138=0,0,0)</f>
        <v>0</v>
      </c>
      <c r="Q138" s="24">
        <f t="shared" si="131"/>
        <v>0</v>
      </c>
      <c r="R138" s="36">
        <f t="shared" si="90"/>
        <v>0</v>
      </c>
      <c r="S138" s="36">
        <f t="shared" si="132"/>
        <v>0</v>
      </c>
      <c r="T138" s="2">
        <f t="shared" si="119"/>
        <v>0</v>
      </c>
      <c r="U138" s="34">
        <f t="shared" si="120"/>
        <v>0</v>
      </c>
      <c r="V138" s="57">
        <f t="shared" si="121"/>
        <v>62835</v>
      </c>
      <c r="W138" s="16">
        <f t="shared" si="122"/>
        <v>89</v>
      </c>
      <c r="AI138" s="2">
        <f t="shared" si="124"/>
        <v>0</v>
      </c>
      <c r="AJ138" s="34">
        <f t="shared" si="123"/>
        <v>0</v>
      </c>
      <c r="AK138" s="57">
        <f t="shared" si="111"/>
        <v>62470</v>
      </c>
      <c r="BB138" s="2" t="e">
        <f t="shared" si="125"/>
        <v>#VALUE!</v>
      </c>
    </row>
    <row r="139" spans="5:54" x14ac:dyDescent="0.25">
      <c r="E139" s="767">
        <f t="shared" si="86"/>
        <v>131</v>
      </c>
      <c r="F139" s="768">
        <f t="shared" si="128"/>
        <v>49302</v>
      </c>
      <c r="G139" s="24">
        <f t="shared" si="127"/>
        <v>0</v>
      </c>
      <c r="H139" s="24">
        <f t="shared" si="129"/>
        <v>0</v>
      </c>
      <c r="I139" s="24">
        <f t="shared" ref="I139:I159" si="136">H139+I138</f>
        <v>44144.790000000023</v>
      </c>
      <c r="J139" s="24">
        <f t="shared" si="126"/>
        <v>0</v>
      </c>
      <c r="K139" s="24">
        <f t="shared" si="130"/>
        <v>0</v>
      </c>
      <c r="L139" s="24">
        <f t="shared" si="133"/>
        <v>0</v>
      </c>
      <c r="M139" s="24">
        <f t="shared" si="96"/>
        <v>0</v>
      </c>
      <c r="N139" s="24">
        <f t="shared" si="97"/>
        <v>0</v>
      </c>
      <c r="O139" s="24">
        <f t="shared" si="134"/>
        <v>0</v>
      </c>
      <c r="P139" s="24">
        <f t="shared" si="135"/>
        <v>0</v>
      </c>
      <c r="Q139" s="24">
        <f t="shared" si="131"/>
        <v>0</v>
      </c>
      <c r="R139" s="36">
        <f t="shared" si="90"/>
        <v>0</v>
      </c>
      <c r="S139" s="36">
        <f t="shared" si="132"/>
        <v>0</v>
      </c>
      <c r="T139" s="2">
        <f t="shared" si="119"/>
        <v>0</v>
      </c>
      <c r="U139" s="34">
        <f t="shared" si="120"/>
        <v>0</v>
      </c>
      <c r="V139" s="57">
        <f t="shared" si="121"/>
        <v>62835</v>
      </c>
      <c r="W139" s="16">
        <f t="shared" si="122"/>
        <v>90</v>
      </c>
      <c r="AI139" s="2">
        <f t="shared" si="124"/>
        <v>0</v>
      </c>
      <c r="AJ139" s="34">
        <f t="shared" si="123"/>
        <v>0</v>
      </c>
      <c r="AK139" s="57">
        <f t="shared" si="111"/>
        <v>62470</v>
      </c>
      <c r="BB139" s="2" t="e">
        <f t="shared" si="125"/>
        <v>#VALUE!</v>
      </c>
    </row>
    <row r="140" spans="5:54" x14ac:dyDescent="0.25">
      <c r="E140" s="767">
        <f t="shared" ref="E140:E159" si="137">E139+1</f>
        <v>132</v>
      </c>
      <c r="F140" s="768">
        <f t="shared" si="128"/>
        <v>49333</v>
      </c>
      <c r="G140" s="24">
        <f t="shared" si="127"/>
        <v>0</v>
      </c>
      <c r="H140" s="24">
        <f t="shared" si="129"/>
        <v>0</v>
      </c>
      <c r="I140" s="24">
        <f t="shared" si="136"/>
        <v>44144.790000000023</v>
      </c>
      <c r="J140" s="24">
        <f t="shared" si="126"/>
        <v>0</v>
      </c>
      <c r="K140" s="24">
        <f t="shared" si="130"/>
        <v>0</v>
      </c>
      <c r="L140" s="24">
        <f t="shared" si="133"/>
        <v>0</v>
      </c>
      <c r="M140" s="24">
        <f t="shared" si="96"/>
        <v>0</v>
      </c>
      <c r="N140" s="24">
        <f t="shared" si="97"/>
        <v>0</v>
      </c>
      <c r="O140" s="24">
        <f t="shared" si="134"/>
        <v>0</v>
      </c>
      <c r="P140" s="24">
        <f t="shared" si="135"/>
        <v>0</v>
      </c>
      <c r="Q140" s="24">
        <f t="shared" si="131"/>
        <v>0</v>
      </c>
      <c r="R140" s="36">
        <f t="shared" si="90"/>
        <v>0</v>
      </c>
      <c r="S140" s="36">
        <f t="shared" si="132"/>
        <v>0</v>
      </c>
      <c r="T140" s="2">
        <f t="shared" si="119"/>
        <v>0</v>
      </c>
      <c r="U140" s="34">
        <f t="shared" si="120"/>
        <v>0</v>
      </c>
      <c r="V140" s="57">
        <f t="shared" si="121"/>
        <v>62835</v>
      </c>
      <c r="W140" s="16">
        <f t="shared" si="122"/>
        <v>91</v>
      </c>
      <c r="AI140" s="2">
        <f t="shared" si="124"/>
        <v>0</v>
      </c>
      <c r="AJ140" s="34">
        <f t="shared" si="123"/>
        <v>0</v>
      </c>
      <c r="AK140" s="57">
        <f t="shared" si="111"/>
        <v>62470</v>
      </c>
      <c r="BB140" s="2" t="e">
        <f t="shared" si="125"/>
        <v>#VALUE!</v>
      </c>
    </row>
    <row r="141" spans="5:54" x14ac:dyDescent="0.25">
      <c r="E141" s="767">
        <f t="shared" si="137"/>
        <v>133</v>
      </c>
      <c r="F141" s="768">
        <f t="shared" si="128"/>
        <v>49364</v>
      </c>
      <c r="G141" s="24">
        <f t="shared" si="127"/>
        <v>0</v>
      </c>
      <c r="H141" s="24">
        <f t="shared" si="129"/>
        <v>0</v>
      </c>
      <c r="I141" s="24">
        <f t="shared" si="136"/>
        <v>44144.790000000023</v>
      </c>
      <c r="J141" s="24">
        <f t="shared" si="126"/>
        <v>0</v>
      </c>
      <c r="K141" s="24">
        <f t="shared" si="130"/>
        <v>0</v>
      </c>
      <c r="L141" s="24">
        <f t="shared" si="133"/>
        <v>0</v>
      </c>
      <c r="M141" s="24">
        <f t="shared" si="96"/>
        <v>0</v>
      </c>
      <c r="N141" s="24">
        <f t="shared" si="97"/>
        <v>0</v>
      </c>
      <c r="O141" s="24">
        <f t="shared" si="134"/>
        <v>0</v>
      </c>
      <c r="P141" s="24">
        <f t="shared" si="135"/>
        <v>0</v>
      </c>
      <c r="Q141" s="24">
        <f t="shared" si="131"/>
        <v>0</v>
      </c>
      <c r="R141" s="36">
        <f t="shared" si="90"/>
        <v>0</v>
      </c>
      <c r="S141" s="36">
        <f t="shared" si="132"/>
        <v>0</v>
      </c>
      <c r="T141" s="2">
        <f t="shared" si="119"/>
        <v>0</v>
      </c>
      <c r="U141" s="34">
        <f t="shared" si="120"/>
        <v>0</v>
      </c>
      <c r="V141" s="57">
        <f t="shared" si="121"/>
        <v>62835</v>
      </c>
      <c r="W141" s="16">
        <f t="shared" si="122"/>
        <v>92</v>
      </c>
      <c r="AI141" s="2">
        <f t="shared" si="124"/>
        <v>0</v>
      </c>
      <c r="AJ141" s="34">
        <f t="shared" si="123"/>
        <v>0</v>
      </c>
      <c r="AK141" s="57">
        <f t="shared" si="111"/>
        <v>62470</v>
      </c>
      <c r="BB141" s="2" t="e">
        <f t="shared" si="125"/>
        <v>#VALUE!</v>
      </c>
    </row>
    <row r="142" spans="5:54" x14ac:dyDescent="0.25">
      <c r="E142" s="767">
        <f t="shared" si="137"/>
        <v>134</v>
      </c>
      <c r="F142" s="768">
        <f t="shared" si="128"/>
        <v>49392</v>
      </c>
      <c r="G142" s="24">
        <f t="shared" si="127"/>
        <v>0</v>
      </c>
      <c r="H142" s="24">
        <f t="shared" si="129"/>
        <v>0</v>
      </c>
      <c r="I142" s="24">
        <f t="shared" si="136"/>
        <v>44144.790000000023</v>
      </c>
      <c r="J142" s="24">
        <f t="shared" si="126"/>
        <v>0</v>
      </c>
      <c r="K142" s="24">
        <f t="shared" si="130"/>
        <v>0</v>
      </c>
      <c r="L142" s="24">
        <f t="shared" si="133"/>
        <v>0</v>
      </c>
      <c r="M142" s="24">
        <f t="shared" si="96"/>
        <v>0</v>
      </c>
      <c r="N142" s="24">
        <f t="shared" si="97"/>
        <v>0</v>
      </c>
      <c r="O142" s="24">
        <f t="shared" si="134"/>
        <v>0</v>
      </c>
      <c r="P142" s="24">
        <f t="shared" si="135"/>
        <v>0</v>
      </c>
      <c r="Q142" s="24">
        <f t="shared" si="131"/>
        <v>0</v>
      </c>
      <c r="R142" s="36">
        <f t="shared" ref="R142:R159" si="138">IF((R141-1)&lt;0,0,R141-1)</f>
        <v>0</v>
      </c>
      <c r="S142" s="36">
        <f t="shared" si="132"/>
        <v>0</v>
      </c>
      <c r="T142" s="2">
        <f t="shared" si="119"/>
        <v>0</v>
      </c>
      <c r="U142" s="34">
        <f t="shared" si="120"/>
        <v>0</v>
      </c>
      <c r="V142" s="57">
        <f t="shared" si="121"/>
        <v>62835</v>
      </c>
      <c r="W142" s="16">
        <f t="shared" si="122"/>
        <v>93</v>
      </c>
      <c r="AI142" s="2">
        <f t="shared" si="124"/>
        <v>0</v>
      </c>
      <c r="AJ142" s="34">
        <f t="shared" si="123"/>
        <v>0</v>
      </c>
      <c r="AK142" s="57">
        <f t="shared" si="111"/>
        <v>62470</v>
      </c>
      <c r="BB142" s="2" t="e">
        <f t="shared" si="125"/>
        <v>#VALUE!</v>
      </c>
    </row>
    <row r="143" spans="5:54" x14ac:dyDescent="0.25">
      <c r="E143" s="767">
        <f t="shared" si="137"/>
        <v>135</v>
      </c>
      <c r="F143" s="768">
        <f t="shared" si="128"/>
        <v>49423</v>
      </c>
      <c r="G143" s="24">
        <f t="shared" si="127"/>
        <v>0</v>
      </c>
      <c r="H143" s="24">
        <f t="shared" si="129"/>
        <v>0</v>
      </c>
      <c r="I143" s="24">
        <f t="shared" si="136"/>
        <v>44144.790000000023</v>
      </c>
      <c r="J143" s="24">
        <f t="shared" si="126"/>
        <v>0</v>
      </c>
      <c r="K143" s="24">
        <f t="shared" si="130"/>
        <v>0</v>
      </c>
      <c r="L143" s="24">
        <f t="shared" si="133"/>
        <v>0</v>
      </c>
      <c r="M143" s="24">
        <f t="shared" si="96"/>
        <v>0</v>
      </c>
      <c r="N143" s="24">
        <f t="shared" si="97"/>
        <v>0</v>
      </c>
      <c r="O143" s="24">
        <f t="shared" si="134"/>
        <v>0</v>
      </c>
      <c r="P143" s="24">
        <f t="shared" si="135"/>
        <v>0</v>
      </c>
      <c r="Q143" s="24">
        <f t="shared" si="131"/>
        <v>0</v>
      </c>
      <c r="R143" s="36">
        <f t="shared" si="138"/>
        <v>0</v>
      </c>
      <c r="S143" s="36">
        <f t="shared" si="132"/>
        <v>0</v>
      </c>
      <c r="T143" s="2">
        <f t="shared" si="119"/>
        <v>0</v>
      </c>
      <c r="U143" s="34">
        <f t="shared" si="120"/>
        <v>0</v>
      </c>
      <c r="V143" s="57">
        <f t="shared" si="121"/>
        <v>62835</v>
      </c>
      <c r="W143" s="16">
        <f t="shared" si="122"/>
        <v>94</v>
      </c>
      <c r="AI143" s="2">
        <f t="shared" si="124"/>
        <v>0</v>
      </c>
      <c r="AJ143" s="34">
        <f t="shared" si="123"/>
        <v>0</v>
      </c>
      <c r="AK143" s="57">
        <f t="shared" si="111"/>
        <v>62470</v>
      </c>
      <c r="BB143" s="2" t="e">
        <f t="shared" si="125"/>
        <v>#VALUE!</v>
      </c>
    </row>
    <row r="144" spans="5:54" x14ac:dyDescent="0.25">
      <c r="E144" s="767">
        <f t="shared" si="137"/>
        <v>136</v>
      </c>
      <c r="F144" s="768">
        <f t="shared" si="128"/>
        <v>49453</v>
      </c>
      <c r="G144" s="24">
        <f t="shared" si="127"/>
        <v>0</v>
      </c>
      <c r="H144" s="24">
        <f t="shared" si="129"/>
        <v>0</v>
      </c>
      <c r="I144" s="24">
        <f t="shared" si="136"/>
        <v>44144.790000000023</v>
      </c>
      <c r="J144" s="24">
        <f t="shared" si="126"/>
        <v>0</v>
      </c>
      <c r="K144" s="24">
        <f t="shared" si="130"/>
        <v>0</v>
      </c>
      <c r="L144" s="24">
        <f t="shared" si="133"/>
        <v>0</v>
      </c>
      <c r="M144" s="24">
        <f t="shared" si="96"/>
        <v>0</v>
      </c>
      <c r="N144" s="24">
        <f t="shared" si="97"/>
        <v>0</v>
      </c>
      <c r="O144" s="24">
        <f t="shared" si="134"/>
        <v>0</v>
      </c>
      <c r="P144" s="24">
        <f t="shared" si="135"/>
        <v>0</v>
      </c>
      <c r="Q144" s="24">
        <f t="shared" si="131"/>
        <v>0</v>
      </c>
      <c r="R144" s="36">
        <f t="shared" si="138"/>
        <v>0</v>
      </c>
      <c r="S144" s="36">
        <f t="shared" si="132"/>
        <v>0</v>
      </c>
      <c r="T144" s="2">
        <f t="shared" si="119"/>
        <v>0</v>
      </c>
      <c r="U144" s="34">
        <f t="shared" si="120"/>
        <v>0</v>
      </c>
      <c r="V144" s="57">
        <f t="shared" si="121"/>
        <v>62835</v>
      </c>
      <c r="W144" s="16">
        <f t="shared" si="122"/>
        <v>95</v>
      </c>
      <c r="AI144" s="2">
        <f t="shared" si="124"/>
        <v>0</v>
      </c>
      <c r="AJ144" s="34">
        <f t="shared" si="123"/>
        <v>0</v>
      </c>
      <c r="AK144" s="57">
        <f t="shared" si="111"/>
        <v>62470</v>
      </c>
      <c r="BB144" s="2" t="e">
        <f t="shared" si="125"/>
        <v>#VALUE!</v>
      </c>
    </row>
    <row r="145" spans="5:54" x14ac:dyDescent="0.25">
      <c r="E145" s="767">
        <f t="shared" si="137"/>
        <v>137</v>
      </c>
      <c r="F145" s="768">
        <f t="shared" si="128"/>
        <v>49484</v>
      </c>
      <c r="G145" s="24">
        <f t="shared" si="127"/>
        <v>0</v>
      </c>
      <c r="H145" s="24">
        <f t="shared" si="129"/>
        <v>0</v>
      </c>
      <c r="I145" s="24">
        <f t="shared" si="136"/>
        <v>44144.790000000023</v>
      </c>
      <c r="J145" s="24">
        <f t="shared" si="126"/>
        <v>0</v>
      </c>
      <c r="K145" s="24">
        <f t="shared" si="130"/>
        <v>0</v>
      </c>
      <c r="L145" s="24">
        <f t="shared" si="133"/>
        <v>0</v>
      </c>
      <c r="M145" s="24">
        <f t="shared" si="96"/>
        <v>0</v>
      </c>
      <c r="N145" s="24">
        <f t="shared" si="97"/>
        <v>0</v>
      </c>
      <c r="O145" s="24">
        <f t="shared" si="134"/>
        <v>0</v>
      </c>
      <c r="P145" s="24">
        <f t="shared" si="135"/>
        <v>0</v>
      </c>
      <c r="Q145" s="24">
        <f t="shared" si="131"/>
        <v>0</v>
      </c>
      <c r="R145" s="36">
        <f t="shared" si="138"/>
        <v>0</v>
      </c>
      <c r="S145" s="36">
        <f t="shared" si="132"/>
        <v>0</v>
      </c>
      <c r="T145" s="2">
        <f t="shared" si="119"/>
        <v>0</v>
      </c>
      <c r="U145" s="34">
        <f t="shared" si="120"/>
        <v>0</v>
      </c>
      <c r="V145" s="57">
        <f t="shared" si="121"/>
        <v>62835</v>
      </c>
      <c r="W145" s="16">
        <f t="shared" si="122"/>
        <v>96</v>
      </c>
      <c r="AI145" s="2">
        <f t="shared" si="124"/>
        <v>0</v>
      </c>
      <c r="AJ145" s="34">
        <f t="shared" si="123"/>
        <v>0</v>
      </c>
      <c r="AK145" s="57">
        <f t="shared" si="111"/>
        <v>62470</v>
      </c>
      <c r="BB145" s="2" t="e">
        <f t="shared" si="125"/>
        <v>#VALUE!</v>
      </c>
    </row>
    <row r="146" spans="5:54" x14ac:dyDescent="0.25">
      <c r="E146" s="767">
        <f t="shared" si="137"/>
        <v>138</v>
      </c>
      <c r="F146" s="768">
        <f t="shared" si="128"/>
        <v>49514</v>
      </c>
      <c r="G146" s="24">
        <f t="shared" si="127"/>
        <v>0</v>
      </c>
      <c r="H146" s="24">
        <f t="shared" si="129"/>
        <v>0</v>
      </c>
      <c r="I146" s="24">
        <f t="shared" si="136"/>
        <v>44144.790000000023</v>
      </c>
      <c r="J146" s="24">
        <f t="shared" si="126"/>
        <v>0</v>
      </c>
      <c r="K146" s="24">
        <f t="shared" si="130"/>
        <v>0</v>
      </c>
      <c r="L146" s="24">
        <f t="shared" si="133"/>
        <v>0</v>
      </c>
      <c r="M146" s="24">
        <f t="shared" si="96"/>
        <v>0</v>
      </c>
      <c r="N146" s="24">
        <f t="shared" si="97"/>
        <v>0</v>
      </c>
      <c r="O146" s="24">
        <f t="shared" si="134"/>
        <v>0</v>
      </c>
      <c r="P146" s="24">
        <f t="shared" si="135"/>
        <v>0</v>
      </c>
      <c r="Q146" s="24">
        <f t="shared" si="131"/>
        <v>0</v>
      </c>
      <c r="R146" s="36">
        <f t="shared" si="138"/>
        <v>0</v>
      </c>
      <c r="S146" s="36">
        <f t="shared" si="132"/>
        <v>0</v>
      </c>
      <c r="T146" s="2">
        <f t="shared" ref="T146:T177" si="139">IF(AND(E105&gt;=$T$14,E105&lt;=$T$14+5),0,IF($C$9&gt;$AC$52,ROUND(Q104*$T$46/(DATEVALUE(CONCATENATE("01/01/",YEAR(F105)+1))-DATEVALUE(CONCATENATE("01/01/",YEAR(F105))))*(F105-F104),2),0))</f>
        <v>0</v>
      </c>
      <c r="U146" s="34">
        <f t="shared" ref="U146:U177" si="140">IF(U145&lt;0,0,IF(T146=0,IF(T145=0,0,$U$46),G105)-IF(AND(T146&gt;0,T147=0),$C$26,0))</f>
        <v>0</v>
      </c>
      <c r="V146" s="57">
        <f t="shared" si="121"/>
        <v>62835</v>
      </c>
      <c r="W146" s="16">
        <f t="shared" si="122"/>
        <v>97</v>
      </c>
      <c r="AI146" s="2">
        <f t="shared" si="124"/>
        <v>0</v>
      </c>
      <c r="AJ146" s="34">
        <f t="shared" si="123"/>
        <v>0</v>
      </c>
      <c r="AK146" s="57">
        <f t="shared" si="111"/>
        <v>62470</v>
      </c>
      <c r="BB146" s="2" t="e">
        <f t="shared" si="125"/>
        <v>#VALUE!</v>
      </c>
    </row>
    <row r="147" spans="5:54" x14ac:dyDescent="0.25">
      <c r="E147" s="767">
        <f t="shared" si="137"/>
        <v>139</v>
      </c>
      <c r="F147" s="768">
        <f t="shared" si="128"/>
        <v>49545</v>
      </c>
      <c r="G147" s="24">
        <f t="shared" si="127"/>
        <v>0</v>
      </c>
      <c r="H147" s="24">
        <f t="shared" si="129"/>
        <v>0</v>
      </c>
      <c r="I147" s="24">
        <f t="shared" si="136"/>
        <v>44144.790000000023</v>
      </c>
      <c r="J147" s="24">
        <f t="shared" si="126"/>
        <v>0</v>
      </c>
      <c r="K147" s="24">
        <f t="shared" si="130"/>
        <v>0</v>
      </c>
      <c r="L147" s="24">
        <f t="shared" si="133"/>
        <v>0</v>
      </c>
      <c r="M147" s="24">
        <f t="shared" si="96"/>
        <v>0</v>
      </c>
      <c r="N147" s="24">
        <f t="shared" si="97"/>
        <v>0</v>
      </c>
      <c r="O147" s="24">
        <f t="shared" si="134"/>
        <v>0</v>
      </c>
      <c r="P147" s="24">
        <f t="shared" si="135"/>
        <v>0</v>
      </c>
      <c r="Q147" s="24">
        <f t="shared" si="131"/>
        <v>0</v>
      </c>
      <c r="R147" s="36">
        <f t="shared" si="138"/>
        <v>0</v>
      </c>
      <c r="S147" s="36">
        <f t="shared" si="132"/>
        <v>0</v>
      </c>
      <c r="T147" s="2">
        <f t="shared" si="139"/>
        <v>0</v>
      </c>
      <c r="U147" s="34">
        <f t="shared" si="140"/>
        <v>0</v>
      </c>
      <c r="V147" s="57">
        <f t="shared" si="121"/>
        <v>62835</v>
      </c>
      <c r="W147" s="16">
        <f t="shared" si="122"/>
        <v>98</v>
      </c>
      <c r="AI147" s="2">
        <f t="shared" si="124"/>
        <v>0</v>
      </c>
      <c r="AJ147" s="34">
        <f t="shared" si="123"/>
        <v>0</v>
      </c>
      <c r="AK147" s="57">
        <f t="shared" si="111"/>
        <v>62470</v>
      </c>
      <c r="BB147" s="2" t="e">
        <f t="shared" si="125"/>
        <v>#VALUE!</v>
      </c>
    </row>
    <row r="148" spans="5:54" x14ac:dyDescent="0.25">
      <c r="E148" s="767">
        <f t="shared" si="137"/>
        <v>140</v>
      </c>
      <c r="F148" s="768">
        <f t="shared" si="128"/>
        <v>49576</v>
      </c>
      <c r="G148" s="24">
        <f t="shared" si="127"/>
        <v>0</v>
      </c>
      <c r="H148" s="24">
        <f t="shared" si="129"/>
        <v>0</v>
      </c>
      <c r="I148" s="24">
        <f t="shared" si="136"/>
        <v>44144.790000000023</v>
      </c>
      <c r="J148" s="24">
        <f t="shared" si="126"/>
        <v>0</v>
      </c>
      <c r="K148" s="24">
        <f t="shared" si="130"/>
        <v>0</v>
      </c>
      <c r="L148" s="24">
        <f t="shared" si="133"/>
        <v>0</v>
      </c>
      <c r="M148" s="24">
        <f t="shared" si="96"/>
        <v>0</v>
      </c>
      <c r="N148" s="24">
        <f t="shared" si="97"/>
        <v>0</v>
      </c>
      <c r="O148" s="24">
        <f t="shared" si="134"/>
        <v>0</v>
      </c>
      <c r="P148" s="24">
        <f t="shared" si="135"/>
        <v>0</v>
      </c>
      <c r="Q148" s="24">
        <f t="shared" si="131"/>
        <v>0</v>
      </c>
      <c r="R148" s="36">
        <f t="shared" si="138"/>
        <v>0</v>
      </c>
      <c r="S148" s="36">
        <f t="shared" si="132"/>
        <v>0</v>
      </c>
      <c r="T148" s="2">
        <f t="shared" si="139"/>
        <v>0</v>
      </c>
      <c r="U148" s="34">
        <f t="shared" si="140"/>
        <v>0</v>
      </c>
      <c r="V148" s="57">
        <f t="shared" si="121"/>
        <v>62835</v>
      </c>
      <c r="W148" s="16">
        <f t="shared" si="122"/>
        <v>99</v>
      </c>
      <c r="AI148" s="2">
        <f t="shared" si="124"/>
        <v>0</v>
      </c>
      <c r="AJ148" s="34">
        <f t="shared" si="123"/>
        <v>0</v>
      </c>
      <c r="AK148" s="57">
        <f t="shared" si="111"/>
        <v>62470</v>
      </c>
      <c r="BB148" s="2" t="e">
        <f t="shared" si="125"/>
        <v>#VALUE!</v>
      </c>
    </row>
    <row r="149" spans="5:54" x14ac:dyDescent="0.25">
      <c r="E149" s="767">
        <f t="shared" si="137"/>
        <v>141</v>
      </c>
      <c r="F149" s="768">
        <f t="shared" si="128"/>
        <v>49606</v>
      </c>
      <c r="G149" s="24">
        <f t="shared" si="127"/>
        <v>0</v>
      </c>
      <c r="H149" s="24">
        <f t="shared" si="129"/>
        <v>0</v>
      </c>
      <c r="I149" s="24">
        <f t="shared" si="136"/>
        <v>44144.790000000023</v>
      </c>
      <c r="J149" s="24">
        <f t="shared" si="126"/>
        <v>0</v>
      </c>
      <c r="K149" s="24">
        <f t="shared" si="130"/>
        <v>0</v>
      </c>
      <c r="L149" s="24">
        <f t="shared" si="133"/>
        <v>0</v>
      </c>
      <c r="M149" s="24">
        <f t="shared" si="96"/>
        <v>0</v>
      </c>
      <c r="N149" s="24">
        <f t="shared" si="97"/>
        <v>0</v>
      </c>
      <c r="O149" s="24">
        <f t="shared" si="134"/>
        <v>0</v>
      </c>
      <c r="P149" s="24">
        <f t="shared" si="135"/>
        <v>0</v>
      </c>
      <c r="Q149" s="24">
        <f t="shared" si="131"/>
        <v>0</v>
      </c>
      <c r="R149" s="36">
        <f t="shared" si="138"/>
        <v>0</v>
      </c>
      <c r="S149" s="36">
        <f t="shared" si="132"/>
        <v>0</v>
      </c>
      <c r="T149" s="2">
        <f t="shared" si="139"/>
        <v>0</v>
      </c>
      <c r="U149" s="34">
        <f t="shared" si="140"/>
        <v>0</v>
      </c>
      <c r="V149" s="57">
        <f t="shared" si="121"/>
        <v>62835</v>
      </c>
      <c r="W149" s="16">
        <f t="shared" si="122"/>
        <v>100</v>
      </c>
      <c r="AI149" s="2">
        <f t="shared" si="124"/>
        <v>0</v>
      </c>
      <c r="AJ149" s="34">
        <f t="shared" si="123"/>
        <v>0</v>
      </c>
      <c r="AK149" s="57">
        <f t="shared" si="111"/>
        <v>62470</v>
      </c>
      <c r="BB149" s="2" t="e">
        <f t="shared" si="125"/>
        <v>#VALUE!</v>
      </c>
    </row>
    <row r="150" spans="5:54" x14ac:dyDescent="0.25">
      <c r="E150" s="767">
        <f t="shared" si="137"/>
        <v>142</v>
      </c>
      <c r="F150" s="768">
        <f t="shared" si="128"/>
        <v>49637</v>
      </c>
      <c r="G150" s="24">
        <f t="shared" si="127"/>
        <v>0</v>
      </c>
      <c r="H150" s="24">
        <f t="shared" si="129"/>
        <v>0</v>
      </c>
      <c r="I150" s="24">
        <f t="shared" si="136"/>
        <v>44144.790000000023</v>
      </c>
      <c r="J150" s="24">
        <f t="shared" si="126"/>
        <v>0</v>
      </c>
      <c r="K150" s="24">
        <f t="shared" si="130"/>
        <v>0</v>
      </c>
      <c r="L150" s="24">
        <f t="shared" si="133"/>
        <v>0</v>
      </c>
      <c r="M150" s="24">
        <f t="shared" si="96"/>
        <v>0</v>
      </c>
      <c r="N150" s="24">
        <f t="shared" si="97"/>
        <v>0</v>
      </c>
      <c r="O150" s="24">
        <f t="shared" si="134"/>
        <v>0</v>
      </c>
      <c r="P150" s="24">
        <f t="shared" si="135"/>
        <v>0</v>
      </c>
      <c r="Q150" s="24">
        <f t="shared" si="131"/>
        <v>0</v>
      </c>
      <c r="R150" s="36">
        <f t="shared" si="138"/>
        <v>0</v>
      </c>
      <c r="S150" s="36">
        <f t="shared" si="132"/>
        <v>0</v>
      </c>
      <c r="T150" s="2">
        <f t="shared" si="139"/>
        <v>0</v>
      </c>
      <c r="U150" s="34">
        <f t="shared" si="140"/>
        <v>0</v>
      </c>
      <c r="V150" s="57">
        <f t="shared" si="121"/>
        <v>62835</v>
      </c>
      <c r="W150" s="16">
        <f t="shared" si="122"/>
        <v>101</v>
      </c>
      <c r="AI150" s="35">
        <f>SUM(AI50:AI149)</f>
        <v>42635.440000000017</v>
      </c>
      <c r="AJ150" s="35">
        <f>SUM(AJ50:AJ149)</f>
        <v>112818.62</v>
      </c>
      <c r="AK150" s="154">
        <f>XIRR(AJ48:AJ149,AK48:AK149)*12</f>
        <v>0.36173032522201537</v>
      </c>
      <c r="BB150" s="2" t="e">
        <f t="shared" si="125"/>
        <v>#VALUE!</v>
      </c>
    </row>
    <row r="151" spans="5:54" x14ac:dyDescent="0.25">
      <c r="E151" s="767">
        <f t="shared" si="137"/>
        <v>143</v>
      </c>
      <c r="F151" s="768">
        <f t="shared" si="128"/>
        <v>49667</v>
      </c>
      <c r="G151" s="24">
        <f t="shared" si="127"/>
        <v>0</v>
      </c>
      <c r="H151" s="24">
        <f t="shared" si="129"/>
        <v>0</v>
      </c>
      <c r="I151" s="24">
        <f t="shared" si="136"/>
        <v>44144.790000000023</v>
      </c>
      <c r="J151" s="24">
        <f t="shared" si="126"/>
        <v>0</v>
      </c>
      <c r="K151" s="24">
        <f t="shared" si="130"/>
        <v>0</v>
      </c>
      <c r="L151" s="24">
        <f t="shared" si="133"/>
        <v>0</v>
      </c>
      <c r="M151" s="24">
        <f t="shared" ref="M151:M159" si="141">O150-L150</f>
        <v>0</v>
      </c>
      <c r="N151" s="24">
        <f t="shared" ref="N151:N159" si="142">H151+O151</f>
        <v>0</v>
      </c>
      <c r="O151" s="24">
        <f t="shared" si="134"/>
        <v>0</v>
      </c>
      <c r="P151" s="24">
        <f t="shared" si="135"/>
        <v>0</v>
      </c>
      <c r="Q151" s="24">
        <f t="shared" si="131"/>
        <v>0</v>
      </c>
      <c r="R151" s="36">
        <f t="shared" si="138"/>
        <v>0</v>
      </c>
      <c r="S151" s="36">
        <f t="shared" si="132"/>
        <v>0</v>
      </c>
      <c r="T151" s="2">
        <f t="shared" si="139"/>
        <v>0</v>
      </c>
      <c r="U151" s="34">
        <f t="shared" si="140"/>
        <v>0</v>
      </c>
      <c r="V151" s="57">
        <f t="shared" si="121"/>
        <v>62835</v>
      </c>
      <c r="W151" s="16">
        <f t="shared" si="122"/>
        <v>102</v>
      </c>
      <c r="BB151" s="2" t="e">
        <f t="shared" si="125"/>
        <v>#VALUE!</v>
      </c>
    </row>
    <row r="152" spans="5:54" x14ac:dyDescent="0.25">
      <c r="E152" s="767">
        <f t="shared" si="137"/>
        <v>144</v>
      </c>
      <c r="F152" s="768">
        <f t="shared" si="128"/>
        <v>49698</v>
      </c>
      <c r="G152" s="24">
        <f t="shared" si="127"/>
        <v>0</v>
      </c>
      <c r="H152" s="24">
        <f t="shared" si="129"/>
        <v>0</v>
      </c>
      <c r="I152" s="24">
        <f t="shared" si="136"/>
        <v>44144.790000000023</v>
      </c>
      <c r="J152" s="24">
        <f t="shared" si="126"/>
        <v>0</v>
      </c>
      <c r="K152" s="24">
        <f t="shared" si="130"/>
        <v>0</v>
      </c>
      <c r="L152" s="24">
        <f t="shared" si="133"/>
        <v>0</v>
      </c>
      <c r="M152" s="24">
        <f t="shared" si="141"/>
        <v>0</v>
      </c>
      <c r="N152" s="24">
        <f t="shared" si="142"/>
        <v>0</v>
      </c>
      <c r="O152" s="24">
        <f t="shared" si="134"/>
        <v>0</v>
      </c>
      <c r="P152" s="24">
        <f t="shared" si="135"/>
        <v>0</v>
      </c>
      <c r="Q152" s="24">
        <f t="shared" si="131"/>
        <v>0</v>
      </c>
      <c r="R152" s="36">
        <f t="shared" si="138"/>
        <v>0</v>
      </c>
      <c r="S152" s="36">
        <f t="shared" si="132"/>
        <v>0</v>
      </c>
      <c r="T152" s="2">
        <f t="shared" si="139"/>
        <v>0</v>
      </c>
      <c r="U152" s="34">
        <f t="shared" si="140"/>
        <v>0</v>
      </c>
      <c r="V152" s="57">
        <f t="shared" si="121"/>
        <v>62835</v>
      </c>
      <c r="W152" s="16">
        <f t="shared" si="122"/>
        <v>103</v>
      </c>
      <c r="BB152" s="2" t="e">
        <f t="shared" si="125"/>
        <v>#VALUE!</v>
      </c>
    </row>
    <row r="153" spans="5:54" x14ac:dyDescent="0.25">
      <c r="E153" s="767">
        <f t="shared" si="137"/>
        <v>145</v>
      </c>
      <c r="F153" s="768">
        <f t="shared" si="128"/>
        <v>49729</v>
      </c>
      <c r="G153" s="24">
        <f t="shared" si="127"/>
        <v>0</v>
      </c>
      <c r="H153" s="24">
        <f t="shared" si="129"/>
        <v>0</v>
      </c>
      <c r="I153" s="24">
        <f t="shared" si="136"/>
        <v>44144.790000000023</v>
      </c>
      <c r="J153" s="24">
        <f t="shared" si="126"/>
        <v>0</v>
      </c>
      <c r="K153" s="24">
        <f t="shared" si="130"/>
        <v>0</v>
      </c>
      <c r="L153" s="24">
        <f t="shared" si="133"/>
        <v>0</v>
      </c>
      <c r="M153" s="24">
        <f t="shared" si="141"/>
        <v>0</v>
      </c>
      <c r="N153" s="24">
        <f t="shared" si="142"/>
        <v>0</v>
      </c>
      <c r="O153" s="24">
        <f t="shared" si="134"/>
        <v>0</v>
      </c>
      <c r="P153" s="24">
        <f t="shared" si="135"/>
        <v>0</v>
      </c>
      <c r="Q153" s="24">
        <f t="shared" si="131"/>
        <v>0</v>
      </c>
      <c r="R153" s="36">
        <f t="shared" si="138"/>
        <v>0</v>
      </c>
      <c r="S153" s="36">
        <f t="shared" si="132"/>
        <v>0</v>
      </c>
      <c r="T153" s="2">
        <f t="shared" si="139"/>
        <v>0</v>
      </c>
      <c r="U153" s="34">
        <f t="shared" si="140"/>
        <v>0</v>
      </c>
      <c r="V153" s="57">
        <f t="shared" si="121"/>
        <v>62835</v>
      </c>
      <c r="W153" s="16">
        <f t="shared" si="122"/>
        <v>104</v>
      </c>
      <c r="BB153" s="2" t="e">
        <f>IF(AND(E158&gt;=$T$14,E158&lt;=$T$14+5),0,IF($C$9&gt;$AC$52,ROUND(AW107*IF($D$23="",0,$D$23)/(DATEVALUE(CONCATENATE("01/01/",YEAR(AN108)+1))-DATEVALUE(CONCATENATE("01/01/",YEAR(AN108))))*(AN108-AN107),2),0))</f>
        <v>#VALUE!</v>
      </c>
    </row>
    <row r="154" spans="5:54" x14ac:dyDescent="0.25">
      <c r="E154" s="767">
        <f t="shared" si="137"/>
        <v>146</v>
      </c>
      <c r="F154" s="768">
        <f t="shared" si="128"/>
        <v>49758</v>
      </c>
      <c r="G154" s="24">
        <f t="shared" si="127"/>
        <v>0</v>
      </c>
      <c r="H154" s="24">
        <f t="shared" si="129"/>
        <v>0</v>
      </c>
      <c r="I154" s="24">
        <f t="shared" si="136"/>
        <v>44144.790000000023</v>
      </c>
      <c r="J154" s="24">
        <f t="shared" si="126"/>
        <v>0</v>
      </c>
      <c r="K154" s="24">
        <f t="shared" si="130"/>
        <v>0</v>
      </c>
      <c r="L154" s="24">
        <f t="shared" si="133"/>
        <v>0</v>
      </c>
      <c r="M154" s="24">
        <f t="shared" si="141"/>
        <v>0</v>
      </c>
      <c r="N154" s="24">
        <f t="shared" si="142"/>
        <v>0</v>
      </c>
      <c r="O154" s="24">
        <f t="shared" si="134"/>
        <v>0</v>
      </c>
      <c r="P154" s="24">
        <f t="shared" si="135"/>
        <v>0</v>
      </c>
      <c r="Q154" s="24">
        <f t="shared" si="131"/>
        <v>0</v>
      </c>
      <c r="R154" s="36">
        <f t="shared" si="138"/>
        <v>0</v>
      </c>
      <c r="S154" s="36">
        <f t="shared" si="132"/>
        <v>0</v>
      </c>
      <c r="T154" s="2">
        <f t="shared" si="139"/>
        <v>0</v>
      </c>
      <c r="U154" s="34">
        <f t="shared" si="140"/>
        <v>0</v>
      </c>
      <c r="V154" s="57">
        <f t="shared" si="121"/>
        <v>62835</v>
      </c>
      <c r="W154" s="16">
        <f t="shared" si="122"/>
        <v>105</v>
      </c>
      <c r="BB154" s="2" t="e">
        <f>IF(AND(E159&gt;=$T$14,E159&lt;=$T$14+5),0,IF($C$9&gt;$AC$52,ROUND(AW108*IF($D$23="",0,$D$23)/(DATEVALUE(CONCATENATE("01/01/",YEAR(AN109)+1))-DATEVALUE(CONCATENATE("01/01/",YEAR(AN109))))*(AN109-AN108),2),0))</f>
        <v>#VALUE!</v>
      </c>
    </row>
    <row r="155" spans="5:54" x14ac:dyDescent="0.25">
      <c r="E155" s="767">
        <f t="shared" si="137"/>
        <v>147</v>
      </c>
      <c r="F155" s="768">
        <f t="shared" si="128"/>
        <v>49789</v>
      </c>
      <c r="G155" s="24">
        <f t="shared" si="127"/>
        <v>0</v>
      </c>
      <c r="H155" s="24">
        <f t="shared" si="129"/>
        <v>0</v>
      </c>
      <c r="I155" s="24">
        <f t="shared" si="136"/>
        <v>44144.790000000023</v>
      </c>
      <c r="J155" s="24">
        <f t="shared" si="126"/>
        <v>0</v>
      </c>
      <c r="K155" s="24">
        <f t="shared" si="130"/>
        <v>0</v>
      </c>
      <c r="L155" s="24">
        <f t="shared" si="133"/>
        <v>0</v>
      </c>
      <c r="M155" s="24">
        <f t="shared" si="141"/>
        <v>0</v>
      </c>
      <c r="N155" s="24">
        <f t="shared" si="142"/>
        <v>0</v>
      </c>
      <c r="O155" s="24">
        <f t="shared" si="134"/>
        <v>0</v>
      </c>
      <c r="P155" s="24">
        <f t="shared" si="135"/>
        <v>0</v>
      </c>
      <c r="Q155" s="24">
        <f t="shared" si="131"/>
        <v>0</v>
      </c>
      <c r="R155" s="36">
        <f t="shared" si="138"/>
        <v>0</v>
      </c>
      <c r="S155" s="36">
        <f t="shared" si="132"/>
        <v>0</v>
      </c>
      <c r="T155" s="2">
        <f t="shared" si="139"/>
        <v>0</v>
      </c>
      <c r="U155" s="34">
        <f t="shared" si="140"/>
        <v>0</v>
      </c>
      <c r="V155" s="57">
        <f t="shared" si="121"/>
        <v>62835</v>
      </c>
      <c r="W155" s="16">
        <f t="shared" si="122"/>
        <v>106</v>
      </c>
      <c r="BB155" s="35" t="e">
        <f>SUM(BB55:BB154)</f>
        <v>#VALUE!</v>
      </c>
    </row>
    <row r="156" spans="5:54" x14ac:dyDescent="0.25">
      <c r="E156" s="767">
        <f t="shared" si="137"/>
        <v>148</v>
      </c>
      <c r="F156" s="768">
        <f t="shared" si="128"/>
        <v>49819</v>
      </c>
      <c r="G156" s="24">
        <f t="shared" si="127"/>
        <v>0</v>
      </c>
      <c r="H156" s="24">
        <f t="shared" si="129"/>
        <v>0</v>
      </c>
      <c r="I156" s="24">
        <f t="shared" si="136"/>
        <v>44144.790000000023</v>
      </c>
      <c r="J156" s="24">
        <f t="shared" si="126"/>
        <v>0</v>
      </c>
      <c r="K156" s="24">
        <f t="shared" si="130"/>
        <v>0</v>
      </c>
      <c r="L156" s="24">
        <f t="shared" si="133"/>
        <v>0</v>
      </c>
      <c r="M156" s="24">
        <f t="shared" si="141"/>
        <v>0</v>
      </c>
      <c r="N156" s="24">
        <f t="shared" si="142"/>
        <v>0</v>
      </c>
      <c r="O156" s="24">
        <f t="shared" si="134"/>
        <v>0</v>
      </c>
      <c r="P156" s="24">
        <f t="shared" si="135"/>
        <v>0</v>
      </c>
      <c r="Q156" s="24">
        <f t="shared" si="131"/>
        <v>0</v>
      </c>
      <c r="R156" s="36">
        <f t="shared" si="138"/>
        <v>0</v>
      </c>
      <c r="S156" s="36">
        <f t="shared" si="132"/>
        <v>0</v>
      </c>
      <c r="T156" s="2">
        <f t="shared" si="139"/>
        <v>0</v>
      </c>
      <c r="U156" s="34">
        <f t="shared" si="140"/>
        <v>0</v>
      </c>
      <c r="V156" s="57">
        <f t="shared" si="121"/>
        <v>62835</v>
      </c>
      <c r="W156" s="16">
        <f t="shared" si="122"/>
        <v>107</v>
      </c>
    </row>
    <row r="157" spans="5:54" x14ac:dyDescent="0.25">
      <c r="E157" s="767">
        <f t="shared" si="137"/>
        <v>149</v>
      </c>
      <c r="F157" s="768">
        <f t="shared" si="128"/>
        <v>49850</v>
      </c>
      <c r="G157" s="24">
        <f t="shared" si="127"/>
        <v>0</v>
      </c>
      <c r="H157" s="24">
        <f t="shared" si="129"/>
        <v>0</v>
      </c>
      <c r="I157" s="24">
        <f t="shared" si="136"/>
        <v>44144.790000000023</v>
      </c>
      <c r="J157" s="24">
        <f t="shared" si="126"/>
        <v>0</v>
      </c>
      <c r="K157" s="24">
        <f t="shared" si="130"/>
        <v>0</v>
      </c>
      <c r="L157" s="24">
        <f t="shared" si="133"/>
        <v>0</v>
      </c>
      <c r="M157" s="24">
        <f t="shared" si="141"/>
        <v>0</v>
      </c>
      <c r="N157" s="24">
        <f t="shared" si="142"/>
        <v>0</v>
      </c>
      <c r="O157" s="24">
        <f>IF(S157=0,0,0)</f>
        <v>0</v>
      </c>
      <c r="P157" s="24">
        <f t="shared" si="135"/>
        <v>0</v>
      </c>
      <c r="Q157" s="24">
        <f t="shared" si="131"/>
        <v>0</v>
      </c>
      <c r="R157" s="36">
        <f t="shared" si="138"/>
        <v>0</v>
      </c>
      <c r="S157" s="36">
        <f t="shared" si="132"/>
        <v>0</v>
      </c>
      <c r="T157" s="2">
        <f t="shared" si="139"/>
        <v>0</v>
      </c>
      <c r="U157" s="34">
        <f t="shared" si="140"/>
        <v>0</v>
      </c>
      <c r="V157" s="57">
        <f t="shared" si="121"/>
        <v>62835</v>
      </c>
      <c r="W157" s="16">
        <f t="shared" si="122"/>
        <v>108</v>
      </c>
    </row>
    <row r="158" spans="5:54" x14ac:dyDescent="0.25">
      <c r="E158" s="767">
        <f t="shared" si="137"/>
        <v>150</v>
      </c>
      <c r="F158" s="768">
        <f t="shared" si="128"/>
        <v>49880</v>
      </c>
      <c r="G158" s="24">
        <f t="shared" si="127"/>
        <v>0</v>
      </c>
      <c r="H158" s="24">
        <f t="shared" si="129"/>
        <v>0</v>
      </c>
      <c r="I158" s="24">
        <f t="shared" si="136"/>
        <v>44144.790000000023</v>
      </c>
      <c r="J158" s="24">
        <f t="shared" si="126"/>
        <v>0</v>
      </c>
      <c r="K158" s="24">
        <f t="shared" si="130"/>
        <v>0</v>
      </c>
      <c r="L158" s="24">
        <f t="shared" si="133"/>
        <v>0</v>
      </c>
      <c r="M158" s="24">
        <f t="shared" si="141"/>
        <v>0</v>
      </c>
      <c r="N158" s="24">
        <f t="shared" si="142"/>
        <v>0</v>
      </c>
      <c r="O158" s="24">
        <f>IF(S158=0,0,0)</f>
        <v>0</v>
      </c>
      <c r="P158" s="24">
        <f t="shared" si="135"/>
        <v>0</v>
      </c>
      <c r="Q158" s="24">
        <f t="shared" si="131"/>
        <v>0</v>
      </c>
      <c r="R158" s="36">
        <f t="shared" si="138"/>
        <v>0</v>
      </c>
      <c r="S158" s="36">
        <f t="shared" si="132"/>
        <v>0</v>
      </c>
      <c r="T158" s="2">
        <f t="shared" si="139"/>
        <v>0</v>
      </c>
      <c r="U158" s="34">
        <f t="shared" si="140"/>
        <v>0</v>
      </c>
      <c r="V158" s="57">
        <f t="shared" si="121"/>
        <v>62835</v>
      </c>
      <c r="W158" s="16">
        <f t="shared" si="122"/>
        <v>109</v>
      </c>
    </row>
    <row r="159" spans="5:54" x14ac:dyDescent="0.25">
      <c r="E159" s="767">
        <f t="shared" si="137"/>
        <v>151</v>
      </c>
      <c r="F159" s="768">
        <f t="shared" si="128"/>
        <v>49911</v>
      </c>
      <c r="G159" s="24">
        <f t="shared" si="127"/>
        <v>0</v>
      </c>
      <c r="H159" s="24">
        <f t="shared" si="129"/>
        <v>0</v>
      </c>
      <c r="I159" s="24">
        <f t="shared" si="136"/>
        <v>44144.790000000023</v>
      </c>
      <c r="J159" s="24">
        <f t="shared" si="126"/>
        <v>0</v>
      </c>
      <c r="K159" s="24">
        <f t="shared" si="130"/>
        <v>0</v>
      </c>
      <c r="L159" s="24">
        <f t="shared" si="133"/>
        <v>0</v>
      </c>
      <c r="M159" s="24">
        <f t="shared" si="141"/>
        <v>0</v>
      </c>
      <c r="N159" s="24">
        <f t="shared" si="142"/>
        <v>0</v>
      </c>
      <c r="O159" s="24">
        <f>IF(S159=0,0,0)</f>
        <v>0</v>
      </c>
      <c r="P159" s="24">
        <f t="shared" si="135"/>
        <v>0</v>
      </c>
      <c r="Q159" s="24">
        <f t="shared" si="131"/>
        <v>0</v>
      </c>
      <c r="R159" s="36">
        <f t="shared" si="138"/>
        <v>0</v>
      </c>
      <c r="S159" s="36">
        <f t="shared" si="132"/>
        <v>0</v>
      </c>
      <c r="T159" s="2">
        <f t="shared" si="139"/>
        <v>0</v>
      </c>
      <c r="U159" s="34">
        <f t="shared" si="140"/>
        <v>0</v>
      </c>
      <c r="V159" s="57">
        <f t="shared" si="121"/>
        <v>62835</v>
      </c>
      <c r="W159" s="16">
        <f t="shared" si="122"/>
        <v>110</v>
      </c>
    </row>
    <row r="160" spans="5:54" x14ac:dyDescent="0.25">
      <c r="E160" s="797"/>
      <c r="F160" s="795" t="s">
        <v>7</v>
      </c>
      <c r="G160" s="798">
        <f>(SUM(G9:G159)-IF(CODE(C18)=209,AF52,0))</f>
        <v>119775.79</v>
      </c>
      <c r="H160" s="798">
        <f>(SUM(H9:H159)-IF(CODE(D18)=209,AG52,0))</f>
        <v>44144.790000000023</v>
      </c>
      <c r="I160" s="798"/>
      <c r="J160" s="798">
        <f>SUM(J9:J159)</f>
        <v>4239.7899999999954</v>
      </c>
      <c r="K160" s="798">
        <f>SUM(K9:K159)</f>
        <v>75631</v>
      </c>
      <c r="L160" s="799">
        <f>SUM(L9:L159)</f>
        <v>0</v>
      </c>
      <c r="M160" s="799"/>
      <c r="N160" s="799"/>
      <c r="O160" s="799"/>
      <c r="P160" s="799"/>
      <c r="Q160" s="799"/>
      <c r="R160" s="799"/>
      <c r="S160" s="51"/>
      <c r="T160" s="2">
        <f t="shared" si="139"/>
        <v>0</v>
      </c>
      <c r="U160" s="34">
        <f t="shared" si="140"/>
        <v>0</v>
      </c>
      <c r="V160" s="57">
        <f t="shared" si="121"/>
        <v>62835</v>
      </c>
      <c r="W160" s="16">
        <f t="shared" si="122"/>
        <v>111</v>
      </c>
    </row>
    <row r="161" spans="8:23" x14ac:dyDescent="0.25">
      <c r="T161" s="2">
        <f t="shared" si="139"/>
        <v>0</v>
      </c>
      <c r="U161" s="34">
        <f t="shared" si="140"/>
        <v>0</v>
      </c>
      <c r="V161" s="57">
        <f t="shared" si="121"/>
        <v>62835</v>
      </c>
      <c r="W161" s="16">
        <f t="shared" si="122"/>
        <v>112</v>
      </c>
    </row>
    <row r="162" spans="8:23" x14ac:dyDescent="0.25">
      <c r="H162" s="132"/>
      <c r="T162" s="2">
        <f t="shared" si="139"/>
        <v>0</v>
      </c>
      <c r="U162" s="34">
        <f t="shared" si="140"/>
        <v>0</v>
      </c>
      <c r="V162" s="57">
        <f t="shared" si="121"/>
        <v>62835</v>
      </c>
      <c r="W162" s="16">
        <f t="shared" si="122"/>
        <v>113</v>
      </c>
    </row>
    <row r="163" spans="8:23" x14ac:dyDescent="0.25">
      <c r="T163" s="2">
        <f t="shared" si="139"/>
        <v>0</v>
      </c>
      <c r="U163" s="34">
        <f t="shared" si="140"/>
        <v>0</v>
      </c>
      <c r="V163" s="57">
        <f t="shared" si="121"/>
        <v>62835</v>
      </c>
      <c r="W163" s="16">
        <f t="shared" si="122"/>
        <v>114</v>
      </c>
    </row>
    <row r="164" spans="8:23" x14ac:dyDescent="0.25">
      <c r="T164" s="2">
        <f t="shared" si="139"/>
        <v>0</v>
      </c>
      <c r="U164" s="34">
        <f t="shared" si="140"/>
        <v>0</v>
      </c>
      <c r="V164" s="57">
        <f t="shared" si="121"/>
        <v>62835</v>
      </c>
      <c r="W164" s="16">
        <f t="shared" si="122"/>
        <v>115</v>
      </c>
    </row>
    <row r="165" spans="8:23" x14ac:dyDescent="0.25">
      <c r="T165" s="2">
        <f t="shared" si="139"/>
        <v>0</v>
      </c>
      <c r="U165" s="34">
        <f t="shared" si="140"/>
        <v>0</v>
      </c>
      <c r="V165" s="57">
        <f t="shared" si="121"/>
        <v>62835</v>
      </c>
      <c r="W165" s="16">
        <f t="shared" si="122"/>
        <v>116</v>
      </c>
    </row>
    <row r="166" spans="8:23" x14ac:dyDescent="0.25">
      <c r="T166" s="2">
        <f t="shared" si="139"/>
        <v>0</v>
      </c>
      <c r="U166" s="34">
        <f t="shared" si="140"/>
        <v>0</v>
      </c>
      <c r="V166" s="57">
        <f t="shared" si="121"/>
        <v>62835</v>
      </c>
      <c r="W166" s="16">
        <f t="shared" si="122"/>
        <v>117</v>
      </c>
    </row>
    <row r="167" spans="8:23" x14ac:dyDescent="0.25">
      <c r="T167" s="2">
        <f t="shared" si="139"/>
        <v>0</v>
      </c>
      <c r="U167" s="34">
        <f t="shared" si="140"/>
        <v>0</v>
      </c>
      <c r="V167" s="57">
        <f t="shared" si="121"/>
        <v>62835</v>
      </c>
      <c r="W167" s="16">
        <f t="shared" si="122"/>
        <v>118</v>
      </c>
    </row>
    <row r="168" spans="8:23" x14ac:dyDescent="0.25">
      <c r="T168" s="2">
        <f t="shared" si="139"/>
        <v>0</v>
      </c>
      <c r="U168" s="34">
        <f t="shared" si="140"/>
        <v>0</v>
      </c>
      <c r="V168" s="57">
        <f t="shared" si="121"/>
        <v>62835</v>
      </c>
      <c r="W168" s="16">
        <f t="shared" si="122"/>
        <v>119</v>
      </c>
    </row>
    <row r="169" spans="8:23" x14ac:dyDescent="0.25">
      <c r="T169" s="2">
        <f t="shared" si="139"/>
        <v>0</v>
      </c>
      <c r="U169" s="34">
        <f t="shared" si="140"/>
        <v>0</v>
      </c>
      <c r="V169" s="57">
        <f t="shared" si="121"/>
        <v>62835</v>
      </c>
      <c r="W169" s="16">
        <f t="shared" si="122"/>
        <v>120</v>
      </c>
    </row>
    <row r="170" spans="8:23" x14ac:dyDescent="0.25">
      <c r="T170" s="2">
        <f t="shared" si="139"/>
        <v>0</v>
      </c>
      <c r="U170" s="34">
        <f t="shared" si="140"/>
        <v>0</v>
      </c>
      <c r="V170" s="57">
        <f t="shared" si="121"/>
        <v>62835</v>
      </c>
      <c r="W170" s="16">
        <f t="shared" si="122"/>
        <v>121</v>
      </c>
    </row>
    <row r="171" spans="8:23" x14ac:dyDescent="0.25">
      <c r="T171" s="2">
        <f t="shared" si="139"/>
        <v>0</v>
      </c>
      <c r="U171" s="34">
        <f t="shared" si="140"/>
        <v>0</v>
      </c>
      <c r="V171" s="57">
        <f t="shared" si="121"/>
        <v>62835</v>
      </c>
      <c r="W171" s="16">
        <f t="shared" si="122"/>
        <v>122</v>
      </c>
    </row>
    <row r="172" spans="8:23" x14ac:dyDescent="0.25">
      <c r="T172" s="2">
        <f t="shared" si="139"/>
        <v>0</v>
      </c>
      <c r="U172" s="34">
        <f t="shared" si="140"/>
        <v>0</v>
      </c>
      <c r="V172" s="57">
        <f t="shared" si="121"/>
        <v>62835</v>
      </c>
      <c r="W172" s="16">
        <f t="shared" si="122"/>
        <v>123</v>
      </c>
    </row>
    <row r="173" spans="8:23" x14ac:dyDescent="0.25">
      <c r="T173" s="2">
        <f t="shared" si="139"/>
        <v>0</v>
      </c>
      <c r="U173" s="34">
        <f t="shared" si="140"/>
        <v>0</v>
      </c>
      <c r="V173" s="57">
        <f t="shared" si="121"/>
        <v>62835</v>
      </c>
      <c r="W173" s="16">
        <f t="shared" si="122"/>
        <v>124</v>
      </c>
    </row>
    <row r="174" spans="8:23" x14ac:dyDescent="0.25">
      <c r="T174" s="2">
        <f t="shared" si="139"/>
        <v>0</v>
      </c>
      <c r="U174" s="34">
        <f t="shared" si="140"/>
        <v>0</v>
      </c>
      <c r="V174" s="57">
        <f t="shared" si="121"/>
        <v>62835</v>
      </c>
      <c r="W174" s="16">
        <f t="shared" si="122"/>
        <v>125</v>
      </c>
    </row>
    <row r="175" spans="8:23" x14ac:dyDescent="0.25">
      <c r="T175" s="2">
        <f t="shared" si="139"/>
        <v>0</v>
      </c>
      <c r="U175" s="34">
        <f t="shared" si="140"/>
        <v>0</v>
      </c>
      <c r="V175" s="57">
        <f t="shared" si="121"/>
        <v>62835</v>
      </c>
      <c r="W175" s="16">
        <f t="shared" si="122"/>
        <v>126</v>
      </c>
    </row>
    <row r="176" spans="8:23" x14ac:dyDescent="0.25">
      <c r="T176" s="2">
        <f t="shared" si="139"/>
        <v>0</v>
      </c>
      <c r="U176" s="34">
        <f t="shared" si="140"/>
        <v>0</v>
      </c>
      <c r="V176" s="57">
        <f t="shared" si="121"/>
        <v>62835</v>
      </c>
      <c r="W176" s="16">
        <f t="shared" si="122"/>
        <v>127</v>
      </c>
    </row>
    <row r="177" spans="20:23" x14ac:dyDescent="0.25">
      <c r="T177" s="2">
        <f t="shared" si="139"/>
        <v>0</v>
      </c>
      <c r="U177" s="34">
        <f t="shared" si="140"/>
        <v>0</v>
      </c>
      <c r="V177" s="57">
        <f t="shared" si="121"/>
        <v>62835</v>
      </c>
      <c r="W177" s="16">
        <f t="shared" si="122"/>
        <v>128</v>
      </c>
    </row>
    <row r="178" spans="20:23" x14ac:dyDescent="0.25">
      <c r="T178" s="2">
        <f t="shared" ref="T178:T180" si="143">IF(AND(E137&gt;=$T$14,E137&lt;=$T$14+5),0,IF($C$9&gt;$AC$52,ROUND(Q136*$T$46/(DATEVALUE(CONCATENATE("01/01/",YEAR(F137)+1))-DATEVALUE(CONCATENATE("01/01/",YEAR(F137))))*(F137-F136),2),0))</f>
        <v>0</v>
      </c>
      <c r="U178" s="34">
        <f t="shared" ref="U178:U180" si="144">IF(U177&lt;0,0,IF(T178=0,IF(T177=0,0,$U$46),G137)-IF(AND(T178&gt;0,T179=0),$C$26,0))</f>
        <v>0</v>
      </c>
      <c r="V178" s="57">
        <f t="shared" si="121"/>
        <v>62835</v>
      </c>
      <c r="W178" s="16">
        <f t="shared" si="122"/>
        <v>129</v>
      </c>
    </row>
    <row r="179" spans="20:23" x14ac:dyDescent="0.25">
      <c r="T179" s="2">
        <f t="shared" si="143"/>
        <v>0</v>
      </c>
      <c r="U179" s="34">
        <f t="shared" si="144"/>
        <v>0</v>
      </c>
      <c r="V179" s="57">
        <f t="shared" ref="V179:V180" si="145">IF(T179=0,V178,V178+365)</f>
        <v>62835</v>
      </c>
      <c r="W179" s="16">
        <f t="shared" si="122"/>
        <v>130</v>
      </c>
    </row>
    <row r="180" spans="20:23" x14ac:dyDescent="0.25">
      <c r="T180" s="2">
        <f t="shared" si="143"/>
        <v>0</v>
      </c>
      <c r="U180" s="34">
        <f t="shared" si="144"/>
        <v>0</v>
      </c>
      <c r="V180" s="57">
        <f t="shared" si="145"/>
        <v>62835</v>
      </c>
      <c r="W180" s="16">
        <f t="shared" si="122"/>
        <v>131</v>
      </c>
    </row>
    <row r="181" spans="20:23" x14ac:dyDescent="0.25">
      <c r="T181" s="35">
        <f>SUM(T50:T180)</f>
        <v>31215.879999999997</v>
      </c>
      <c r="U181" s="35">
        <f>SUM(U50:U180)</f>
        <v>106846.35359832636</v>
      </c>
      <c r="V181" s="154">
        <f>XIRR(U48:U180,V48:V180)*12</f>
        <v>0.29182780981063844</v>
      </c>
    </row>
    <row r="182" spans="20:23" x14ac:dyDescent="0.25">
      <c r="U182" s="34"/>
      <c r="V182" s="57"/>
    </row>
    <row r="183" spans="20:23" x14ac:dyDescent="0.25">
      <c r="U183" s="34"/>
      <c r="V183" s="57"/>
    </row>
    <row r="184" spans="20:23" x14ac:dyDescent="0.25">
      <c r="U184" s="34"/>
      <c r="V184" s="57"/>
    </row>
    <row r="185" spans="20:23" x14ac:dyDescent="0.25">
      <c r="U185" s="34"/>
      <c r="V185" s="57"/>
    </row>
  </sheetData>
  <mergeCells count="41">
    <mergeCell ref="A1:D2"/>
    <mergeCell ref="A3:D3"/>
    <mergeCell ref="A11:A12"/>
    <mergeCell ref="A9:B9"/>
    <mergeCell ref="E3:R4"/>
    <mergeCell ref="A10:B10"/>
    <mergeCell ref="BD10:BD11"/>
    <mergeCell ref="BE10:BE11"/>
    <mergeCell ref="A5:D5"/>
    <mergeCell ref="A6:B6"/>
    <mergeCell ref="BD6:BJ6"/>
    <mergeCell ref="BM6:BO6"/>
    <mergeCell ref="A7:B7"/>
    <mergeCell ref="BD7:BD8"/>
    <mergeCell ref="BE7:BE8"/>
    <mergeCell ref="BH7:BH8"/>
    <mergeCell ref="BI7:BI8"/>
    <mergeCell ref="BJ7:BJ8"/>
    <mergeCell ref="A8:B8"/>
    <mergeCell ref="BD33:BD35"/>
    <mergeCell ref="A18:B18"/>
    <mergeCell ref="A19:B19"/>
    <mergeCell ref="A20:B20"/>
    <mergeCell ref="A21:B21"/>
    <mergeCell ref="A22:A27"/>
    <mergeCell ref="X83:Y83"/>
    <mergeCell ref="X92:Y92"/>
    <mergeCell ref="A13:D16"/>
    <mergeCell ref="A28:B28"/>
    <mergeCell ref="A29:B29"/>
    <mergeCell ref="A30:B30"/>
    <mergeCell ref="A31:B31"/>
    <mergeCell ref="A32:B32"/>
    <mergeCell ref="A17:B17"/>
    <mergeCell ref="BM21:BO21"/>
    <mergeCell ref="BM16:BO16"/>
    <mergeCell ref="BE13:BE14"/>
    <mergeCell ref="BD13:BD14"/>
    <mergeCell ref="AM3:AX4"/>
    <mergeCell ref="BD3:BJ3"/>
    <mergeCell ref="BM11:BO11"/>
  </mergeCells>
  <dataValidations count="3">
    <dataValidation type="list" allowBlank="1" showInputMessage="1" showErrorMessage="1" sqref="B33:B35 D22" xr:uid="{00000000-0002-0000-0300-000000000000}">
      <formula1>$Z$30:$AA$30</formula1>
    </dataValidation>
    <dataValidation type="list" allowBlank="1" showInputMessage="1" showErrorMessage="1" sqref="D11" xr:uid="{00000000-0002-0000-0300-000001000000}">
      <formula1>$V$33:$W$33</formula1>
    </dataValidation>
    <dataValidation type="list" allowBlank="1" showInputMessage="1" showErrorMessage="1" sqref="C18:D18" xr:uid="{00000000-0002-0000-0300-000002000000}">
      <formula1>$T$3:$X$3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"/>
  <dimension ref="A1:ATK185"/>
  <sheetViews>
    <sheetView view="pageBreakPreview" zoomScale="85" zoomScaleNormal="90" zoomScaleSheetLayoutView="85" workbookViewId="0">
      <selection activeCell="Y59" sqref="Y59"/>
    </sheetView>
  </sheetViews>
  <sheetFormatPr defaultColWidth="8.88671875" defaultRowHeight="13.2" x14ac:dyDescent="0.25"/>
  <cols>
    <col min="1" max="1" width="24.6640625" style="2" customWidth="1"/>
    <col min="2" max="2" width="32.44140625" style="2" customWidth="1"/>
    <col min="3" max="3" width="34" style="1" customWidth="1"/>
    <col min="4" max="4" width="31.44140625" style="1" customWidth="1"/>
    <col min="5" max="5" width="7.109375" style="1" customWidth="1"/>
    <col min="6" max="6" width="10.6640625" style="1" customWidth="1"/>
    <col min="7" max="7" width="15.5546875" style="1" customWidth="1"/>
    <col min="8" max="8" width="15.5546875" style="2" customWidth="1"/>
    <col min="9" max="10" width="15.5546875" style="2" hidden="1" customWidth="1"/>
    <col min="11" max="11" width="15.5546875" style="1" hidden="1" customWidth="1"/>
    <col min="12" max="16" width="15" style="3" hidden="1" customWidth="1"/>
    <col min="17" max="17" width="14" style="2" customWidth="1"/>
    <col min="18" max="18" width="11.109375" style="2" customWidth="1"/>
    <col min="19" max="19" width="11.44140625" style="44" customWidth="1"/>
    <col min="20" max="20" width="17.6640625" style="2" customWidth="1"/>
    <col min="21" max="21" width="18.33203125" style="2" customWidth="1"/>
    <col min="22" max="22" width="13.109375" style="2" customWidth="1"/>
    <col min="23" max="23" width="20" style="2" customWidth="1"/>
    <col min="24" max="24" width="19.88671875" style="2" customWidth="1"/>
    <col min="25" max="25" width="17.5546875" style="2" customWidth="1"/>
    <col min="26" max="26" width="33.88671875" style="2" customWidth="1"/>
    <col min="27" max="27" width="19" style="2" customWidth="1"/>
    <col min="28" max="28" width="32.44140625" style="3" customWidth="1"/>
    <col min="29" max="29" width="31.109375" style="3" customWidth="1"/>
    <col min="30" max="30" width="14.44140625" style="3" customWidth="1"/>
    <col min="31" max="31" width="17" style="3" customWidth="1"/>
    <col min="32" max="32" width="13.44140625" style="2" customWidth="1"/>
    <col min="33" max="33" width="14.44140625" style="2" customWidth="1"/>
    <col min="34" max="34" width="14.44140625" style="57" customWidth="1"/>
    <col min="35" max="38" width="14.44140625" style="2" customWidth="1"/>
    <col min="39" max="39" width="6.33203125" style="2" customWidth="1"/>
    <col min="40" max="40" width="11.5546875" style="2" customWidth="1"/>
    <col min="41" max="41" width="14.44140625" style="2" customWidth="1"/>
    <col min="42" max="42" width="13.109375" style="2" customWidth="1"/>
    <col min="43" max="43" width="13.88671875" style="2" customWidth="1"/>
    <col min="44" max="44" width="12" style="2" hidden="1" customWidth="1"/>
    <col min="45" max="46" width="13.6640625" style="2" hidden="1" customWidth="1"/>
    <col min="47" max="48" width="8.88671875" style="2" hidden="1" customWidth="1"/>
    <col min="49" max="49" width="14" style="2" customWidth="1"/>
    <col min="50" max="51" width="8.88671875" style="2" hidden="1" customWidth="1"/>
    <col min="52" max="52" width="9.88671875" style="1" hidden="1" customWidth="1"/>
    <col min="53" max="53" width="11.44140625" style="2" hidden="1" customWidth="1"/>
    <col min="54" max="54" width="10.33203125" style="2" hidden="1" customWidth="1"/>
    <col min="55" max="55" width="12.44140625" style="2" hidden="1" customWidth="1"/>
    <col min="56" max="56" width="24.109375" style="2" customWidth="1"/>
    <col min="57" max="57" width="34.33203125" style="2" bestFit="1" customWidth="1"/>
    <col min="58" max="58" width="41.5546875" style="2" customWidth="1"/>
    <col min="59" max="59" width="4.5546875" style="2" customWidth="1"/>
    <col min="60" max="60" width="18" style="2" customWidth="1"/>
    <col min="61" max="61" width="11.33203125" style="2" bestFit="1" customWidth="1"/>
    <col min="62" max="62" width="7.88671875" style="2" customWidth="1"/>
    <col min="63" max="63" width="8.88671875" style="2" customWidth="1"/>
    <col min="64" max="64" width="11.33203125" style="2" bestFit="1" customWidth="1"/>
    <col min="65" max="65" width="12.6640625" style="2" customWidth="1"/>
    <col min="66" max="16384" width="8.88671875" style="2"/>
  </cols>
  <sheetData>
    <row r="1" spans="1:67" ht="12.75" customHeight="1" x14ac:dyDescent="0.2">
      <c r="A1" s="933" t="s">
        <v>41</v>
      </c>
      <c r="B1" s="933"/>
      <c r="C1" s="933"/>
      <c r="D1" s="933"/>
      <c r="E1" s="2"/>
      <c r="F1" s="2" t="b">
        <f>IF(C17=17.9%,$V$15)</f>
        <v>0</v>
      </c>
      <c r="G1" s="2"/>
      <c r="K1" s="2"/>
      <c r="L1" s="2"/>
      <c r="M1" s="2"/>
      <c r="N1" s="2"/>
      <c r="O1" s="2"/>
      <c r="P1" s="2"/>
      <c r="S1" s="2"/>
      <c r="AB1" s="2"/>
      <c r="AC1" s="2"/>
      <c r="AD1" s="2"/>
      <c r="AE1" s="2"/>
      <c r="AH1" s="62" t="s">
        <v>52</v>
      </c>
      <c r="AI1" s="86" t="str">
        <f>IF($C$18=$AD$3,$AD$4,IF($C$18=$AE$3,$AE$4,IF($C$18=$AF$3,$AF$4,IF($C$18=$AG$3,$AG$4,IF($C$18=$AH$3,$AH$4,IF($C$18=$AI$3,$AI$4,""))))))</f>
        <v/>
      </c>
      <c r="AK1" s="65"/>
      <c r="AZ1" s="2"/>
    </row>
    <row r="2" spans="1:67" ht="16.5" customHeight="1" x14ac:dyDescent="0.2">
      <c r="A2" s="933"/>
      <c r="B2" s="933"/>
      <c r="C2" s="933"/>
      <c r="D2" s="933"/>
      <c r="E2" s="2"/>
      <c r="F2" s="607">
        <f>AB81</f>
        <v>85200</v>
      </c>
      <c r="G2" s="607">
        <f>AD81</f>
        <v>102000</v>
      </c>
      <c r="H2" s="57">
        <f>DATE(YEAR($F$8),MONTH($F$8),1)</f>
        <v>45292</v>
      </c>
      <c r="I2" s="57"/>
      <c r="J2" s="57"/>
      <c r="K2" s="2"/>
      <c r="L2" s="2"/>
      <c r="M2" s="2"/>
      <c r="N2" s="2"/>
      <c r="O2" s="2"/>
      <c r="P2" s="2"/>
      <c r="S2" s="2"/>
      <c r="AB2" s="2"/>
      <c r="AC2" s="2"/>
      <c r="AD2" s="2"/>
      <c r="AE2" s="2"/>
      <c r="AZ2" s="2"/>
    </row>
    <row r="3" spans="1:67" ht="17.25" customHeight="1" thickBot="1" x14ac:dyDescent="0.35">
      <c r="A3" s="934" t="s">
        <v>412</v>
      </c>
      <c r="B3" s="934"/>
      <c r="C3" s="934"/>
      <c r="D3" s="934"/>
      <c r="E3" s="928" t="str">
        <f>"График платежей - Максимум + ГС "</f>
        <v xml:space="preserve">График платежей - Максимум + ГС </v>
      </c>
      <c r="F3" s="928"/>
      <c r="G3" s="928"/>
      <c r="H3" s="928"/>
      <c r="I3" s="928"/>
      <c r="J3" s="928"/>
      <c r="K3" s="928"/>
      <c r="L3" s="928"/>
      <c r="M3" s="928"/>
      <c r="N3" s="928"/>
      <c r="O3" s="928"/>
      <c r="P3" s="928"/>
      <c r="Q3" s="928"/>
      <c r="R3" s="928"/>
      <c r="S3" s="146"/>
      <c r="T3" s="63" t="s">
        <v>33</v>
      </c>
      <c r="U3" s="63" t="s">
        <v>71</v>
      </c>
      <c r="V3" s="63" t="s">
        <v>72</v>
      </c>
      <c r="W3" s="63" t="s">
        <v>73</v>
      </c>
      <c r="X3" s="63" t="s">
        <v>74</v>
      </c>
      <c r="Y3" s="63" t="s">
        <v>129</v>
      </c>
      <c r="Z3" s="63" t="s">
        <v>71</v>
      </c>
      <c r="AA3" s="63"/>
      <c r="AB3" s="63"/>
      <c r="AC3" s="63"/>
      <c r="AD3" s="87"/>
      <c r="AE3" s="87"/>
      <c r="AF3" s="87"/>
      <c r="AG3" s="87"/>
      <c r="AH3" s="87"/>
      <c r="AI3" s="87"/>
      <c r="AJ3" s="63"/>
      <c r="AK3" s="63"/>
      <c r="AL3" s="63"/>
      <c r="AM3" s="902" t="str">
        <f>"График платежей - Оптимум"</f>
        <v>График платежей - Оптимум</v>
      </c>
      <c r="AN3" s="902"/>
      <c r="AO3" s="902"/>
      <c r="AP3" s="902"/>
      <c r="AQ3" s="902"/>
      <c r="AR3" s="902"/>
      <c r="AS3" s="902"/>
      <c r="AT3" s="902"/>
      <c r="AU3" s="902"/>
      <c r="AV3" s="902"/>
      <c r="AW3" s="902"/>
      <c r="AX3" s="902"/>
      <c r="AY3" s="102"/>
      <c r="AZ3" s="102"/>
      <c r="BA3" s="102"/>
      <c r="BD3" s="826" t="s">
        <v>94</v>
      </c>
      <c r="BE3" s="826"/>
      <c r="BF3" s="826"/>
      <c r="BG3" s="826"/>
      <c r="BH3" s="826"/>
      <c r="BI3" s="826"/>
      <c r="BJ3" s="826"/>
    </row>
    <row r="4" spans="1:67" ht="13.5" hidden="1" customHeight="1" thickBot="1" x14ac:dyDescent="0.25">
      <c r="A4" s="311"/>
      <c r="B4" s="311"/>
      <c r="C4" s="311"/>
      <c r="D4" s="311"/>
      <c r="E4" s="928"/>
      <c r="F4" s="928"/>
      <c r="G4" s="928"/>
      <c r="H4" s="928"/>
      <c r="I4" s="928"/>
      <c r="J4" s="928"/>
      <c r="K4" s="928"/>
      <c r="L4" s="928"/>
      <c r="M4" s="928"/>
      <c r="N4" s="928"/>
      <c r="O4" s="928"/>
      <c r="P4" s="928"/>
      <c r="Q4" s="928"/>
      <c r="R4" s="928"/>
      <c r="S4" s="146"/>
      <c r="T4" s="147">
        <v>0.11899999999999999</v>
      </c>
      <c r="U4" s="147">
        <v>9.9000000000000005E-2</v>
      </c>
      <c r="V4" s="147">
        <v>9.9000000000000005E-2</v>
      </c>
      <c r="W4" s="147">
        <v>9.9000000000000005E-2</v>
      </c>
      <c r="X4" s="147">
        <v>9.9000000000000005E-2</v>
      </c>
      <c r="Y4" s="147"/>
      <c r="Z4" s="63" t="s">
        <v>72</v>
      </c>
      <c r="AA4" s="147">
        <f>IF(OR(C$8="Гарантия стандарт",C$8="Гарантия пакет"),$Y$4,$T$4)</f>
        <v>0.11899999999999999</v>
      </c>
      <c r="AB4" s="147">
        <f t="shared" ref="AB4:AB12" si="0">IF(OR($D$8="Гарантия стандарт",$D$8="Гарантия пакет"),Y4,T4)</f>
        <v>0.11899999999999999</v>
      </c>
      <c r="AC4" s="147"/>
      <c r="AD4" s="148"/>
      <c r="AE4" s="148"/>
      <c r="AF4" s="148"/>
      <c r="AG4" s="148"/>
      <c r="AH4" s="148"/>
      <c r="AI4" s="148"/>
      <c r="AJ4" s="147"/>
      <c r="AK4" s="147"/>
      <c r="AL4" s="147"/>
      <c r="AM4" s="902"/>
      <c r="AN4" s="902"/>
      <c r="AO4" s="902"/>
      <c r="AP4" s="902"/>
      <c r="AQ4" s="902"/>
      <c r="AR4" s="902"/>
      <c r="AS4" s="902"/>
      <c r="AT4" s="902"/>
      <c r="AU4" s="902"/>
      <c r="AV4" s="902"/>
      <c r="AW4" s="902"/>
      <c r="AX4" s="902"/>
      <c r="AY4" s="102"/>
      <c r="AZ4" s="102"/>
      <c r="BA4" s="102"/>
      <c r="BB4" s="57"/>
    </row>
    <row r="5" spans="1:67" ht="12" hidden="1" customHeight="1" thickBot="1" x14ac:dyDescent="0.25">
      <c r="A5" s="931"/>
      <c r="B5" s="931"/>
      <c r="C5" s="940"/>
      <c r="D5" s="940"/>
      <c r="E5" s="604"/>
      <c r="F5" s="604"/>
      <c r="G5" s="604"/>
      <c r="H5" s="604"/>
      <c r="I5" s="604"/>
      <c r="J5" s="604"/>
      <c r="K5" s="604"/>
      <c r="L5" s="604"/>
      <c r="M5" s="604"/>
      <c r="N5" s="604"/>
      <c r="O5" s="604"/>
      <c r="P5" s="604"/>
      <c r="Q5" s="604"/>
      <c r="R5" s="604"/>
      <c r="S5" s="49"/>
      <c r="T5" s="15">
        <v>0.129</v>
      </c>
      <c r="U5" s="15">
        <f>$T5-2%</f>
        <v>0.109</v>
      </c>
      <c r="V5" s="15">
        <f t="shared" ref="V5:X11" si="1">$T5-2%</f>
        <v>0.109</v>
      </c>
      <c r="W5" s="15">
        <f t="shared" si="1"/>
        <v>0.109</v>
      </c>
      <c r="X5" s="15">
        <f t="shared" si="1"/>
        <v>0.109</v>
      </c>
      <c r="Y5" s="15">
        <v>5.8999999999999997E-2</v>
      </c>
      <c r="Z5" s="63" t="s">
        <v>73</v>
      </c>
      <c r="AA5" s="147">
        <f>IF(OR($C$8="Гарантия стандарт",$C$8="Гарантия пакет"),Y5,T5)</f>
        <v>0.129</v>
      </c>
      <c r="AB5" s="147">
        <f t="shared" si="0"/>
        <v>0.129</v>
      </c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2"/>
      <c r="AZ5" s="604"/>
      <c r="BA5" s="102"/>
      <c r="BB5" s="57"/>
    </row>
    <row r="6" spans="1:67" ht="16.5" customHeight="1" thickBot="1" x14ac:dyDescent="0.3">
      <c r="A6" s="922" t="s">
        <v>413</v>
      </c>
      <c r="B6" s="923"/>
      <c r="C6" s="608" t="s">
        <v>414</v>
      </c>
      <c r="D6" s="608" t="s">
        <v>415</v>
      </c>
      <c r="E6" s="604"/>
      <c r="F6" s="604"/>
      <c r="G6" s="604"/>
      <c r="H6" s="604"/>
      <c r="I6" s="604"/>
      <c r="J6" s="604"/>
      <c r="K6" s="604"/>
      <c r="L6" s="604"/>
      <c r="M6" s="604"/>
      <c r="N6" s="604"/>
      <c r="O6" s="604"/>
      <c r="P6" s="604"/>
      <c r="Q6" s="604"/>
      <c r="R6" s="604"/>
      <c r="S6" s="49"/>
      <c r="T6" s="15">
        <v>0.129</v>
      </c>
      <c r="U6" s="15">
        <f>$T6-2%</f>
        <v>0.109</v>
      </c>
      <c r="V6" s="15">
        <f t="shared" si="1"/>
        <v>0.109</v>
      </c>
      <c r="W6" s="15">
        <f t="shared" si="1"/>
        <v>0.109</v>
      </c>
      <c r="X6" s="15">
        <f t="shared" si="1"/>
        <v>0.109</v>
      </c>
      <c r="Y6" s="15"/>
      <c r="Z6" s="63" t="s">
        <v>74</v>
      </c>
      <c r="AA6" s="147">
        <f t="shared" ref="AA6:AA11" si="2">IF(OR($C$8="Гарантия стандарт",$C$8="Гарантия пакет"),Y6,T6)</f>
        <v>0.129</v>
      </c>
      <c r="AB6" s="147">
        <f t="shared" si="0"/>
        <v>0.129</v>
      </c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2"/>
      <c r="AZ6" s="604"/>
      <c r="BA6" s="102"/>
      <c r="BB6" s="57"/>
      <c r="BD6" s="827" t="s">
        <v>95</v>
      </c>
      <c r="BE6" s="827"/>
      <c r="BF6" s="827"/>
      <c r="BG6" s="827"/>
      <c r="BH6" s="827"/>
      <c r="BI6" s="827"/>
      <c r="BJ6" s="827"/>
      <c r="BM6" s="924" t="s">
        <v>416</v>
      </c>
      <c r="BN6" s="925"/>
      <c r="BO6" s="926"/>
    </row>
    <row r="7" spans="1:67" ht="37.5" customHeight="1" thickBot="1" x14ac:dyDescent="0.65">
      <c r="A7" s="909" t="s">
        <v>417</v>
      </c>
      <c r="B7" s="911"/>
      <c r="C7" s="609">
        <f>Оптимистичный!C7</f>
        <v>60000</v>
      </c>
      <c r="D7" s="610">
        <f>C7</f>
        <v>60000</v>
      </c>
      <c r="E7" s="611" t="s">
        <v>3</v>
      </c>
      <c r="F7" s="612" t="s">
        <v>4</v>
      </c>
      <c r="G7" s="612" t="s">
        <v>5</v>
      </c>
      <c r="H7" s="613" t="s">
        <v>12</v>
      </c>
      <c r="I7" s="613"/>
      <c r="J7" s="613"/>
      <c r="K7" s="613" t="s">
        <v>26</v>
      </c>
      <c r="L7" s="613" t="s">
        <v>36</v>
      </c>
      <c r="M7" s="613" t="s">
        <v>39</v>
      </c>
      <c r="N7" s="613" t="s">
        <v>38</v>
      </c>
      <c r="O7" s="613" t="s">
        <v>37</v>
      </c>
      <c r="P7" s="613" t="s">
        <v>40</v>
      </c>
      <c r="Q7" s="612" t="s">
        <v>6</v>
      </c>
      <c r="R7" s="149" t="s">
        <v>32</v>
      </c>
      <c r="S7" s="150" t="s">
        <v>31</v>
      </c>
      <c r="T7" s="15">
        <v>0.13900000000000001</v>
      </c>
      <c r="U7" s="101">
        <f>$T7-2%</f>
        <v>0.11900000000000001</v>
      </c>
      <c r="V7" s="101">
        <f t="shared" si="1"/>
        <v>0.11900000000000001</v>
      </c>
      <c r="W7" s="101">
        <f t="shared" si="1"/>
        <v>0.11900000000000001</v>
      </c>
      <c r="X7" s="101">
        <f t="shared" si="1"/>
        <v>0.11900000000000001</v>
      </c>
      <c r="Y7" s="101">
        <v>7.9000000000000001E-2</v>
      </c>
      <c r="Z7" s="101"/>
      <c r="AA7" s="147">
        <f t="shared" si="2"/>
        <v>0.13900000000000001</v>
      </c>
      <c r="AB7" s="147">
        <f t="shared" si="0"/>
        <v>0.13900000000000001</v>
      </c>
      <c r="AC7" s="101"/>
      <c r="AD7" s="101"/>
      <c r="AE7" s="101"/>
      <c r="AF7" s="101"/>
      <c r="AG7" s="101"/>
      <c r="AH7" s="101"/>
      <c r="AI7" s="101"/>
      <c r="AJ7" s="101"/>
      <c r="AK7" s="101"/>
      <c r="AL7" s="151">
        <f>SUM(AL9:AL109)</f>
        <v>48</v>
      </c>
      <c r="AM7" s="160" t="s">
        <v>3</v>
      </c>
      <c r="AN7" s="161" t="s">
        <v>4</v>
      </c>
      <c r="AO7" s="161" t="s">
        <v>5</v>
      </c>
      <c r="AP7" s="162" t="s">
        <v>12</v>
      </c>
      <c r="AQ7" s="162" t="s">
        <v>26</v>
      </c>
      <c r="AR7" s="162" t="s">
        <v>36</v>
      </c>
      <c r="AS7" s="162" t="s">
        <v>39</v>
      </c>
      <c r="AT7" s="162" t="s">
        <v>38</v>
      </c>
      <c r="AU7" s="162" t="s">
        <v>37</v>
      </c>
      <c r="AV7" s="162" t="s">
        <v>40</v>
      </c>
      <c r="AW7" s="161" t="s">
        <v>6</v>
      </c>
      <c r="AX7" s="163" t="s">
        <v>32</v>
      </c>
      <c r="AY7" s="104" t="s">
        <v>31</v>
      </c>
      <c r="AZ7" s="153">
        <f>AZ8</f>
        <v>45315</v>
      </c>
      <c r="BA7" s="108">
        <f>G8</f>
        <v>-64999</v>
      </c>
      <c r="BB7" s="61"/>
      <c r="BD7" s="830" t="s">
        <v>84</v>
      </c>
      <c r="BE7" s="828" t="s">
        <v>85</v>
      </c>
      <c r="BF7" s="127" t="s">
        <v>86</v>
      </c>
      <c r="BG7" s="124" t="s">
        <v>88</v>
      </c>
      <c r="BH7" s="834" t="s">
        <v>9</v>
      </c>
      <c r="BI7" s="836" t="s">
        <v>89</v>
      </c>
      <c r="BJ7" s="832">
        <v>1</v>
      </c>
      <c r="BM7" s="685" t="s">
        <v>418</v>
      </c>
      <c r="BN7" s="686" t="s">
        <v>419</v>
      </c>
      <c r="BO7" s="686" t="s">
        <v>420</v>
      </c>
    </row>
    <row r="8" spans="1:67" ht="16.5" customHeight="1" thickBot="1" x14ac:dyDescent="0.65">
      <c r="A8" s="909" t="s">
        <v>421</v>
      </c>
      <c r="B8" s="911"/>
      <c r="C8" s="614" t="s">
        <v>35</v>
      </c>
      <c r="D8" s="615" t="s">
        <v>35</v>
      </c>
      <c r="E8" s="21"/>
      <c r="F8" s="22">
        <f>C9</f>
        <v>45315</v>
      </c>
      <c r="G8" s="23">
        <f>-C28</f>
        <v>-64999</v>
      </c>
      <c r="H8" s="24"/>
      <c r="I8" s="24"/>
      <c r="J8" s="24"/>
      <c r="K8" s="25"/>
      <c r="L8" s="25"/>
      <c r="M8" s="25"/>
      <c r="N8" s="25"/>
      <c r="O8" s="25"/>
      <c r="P8" s="25"/>
      <c r="Q8" s="56">
        <f>C28</f>
        <v>64999</v>
      </c>
      <c r="R8" s="25"/>
      <c r="S8" s="36"/>
      <c r="T8" s="15">
        <v>0.14899999999999999</v>
      </c>
      <c r="U8" s="735">
        <v>0.17899999999999999</v>
      </c>
      <c r="V8" s="735">
        <v>0.11899999999999999</v>
      </c>
      <c r="W8" s="15">
        <f t="shared" si="1"/>
        <v>0.129</v>
      </c>
      <c r="X8" s="15">
        <f t="shared" si="1"/>
        <v>0.129</v>
      </c>
      <c r="Y8" s="15">
        <v>8.8999999999999996E-2</v>
      </c>
      <c r="Z8" s="15"/>
      <c r="AA8" s="147">
        <f t="shared" si="2"/>
        <v>0.14899999999999999</v>
      </c>
      <c r="AB8" s="147">
        <f t="shared" si="0"/>
        <v>0.14899999999999999</v>
      </c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64"/>
      <c r="AN8" s="165">
        <f>C9</f>
        <v>45315</v>
      </c>
      <c r="AO8" s="23">
        <f>-D28</f>
        <v>-64999</v>
      </c>
      <c r="AP8" s="105"/>
      <c r="AQ8" s="106"/>
      <c r="AR8" s="106"/>
      <c r="AS8" s="106"/>
      <c r="AT8" s="106"/>
      <c r="AU8" s="106"/>
      <c r="AV8" s="106"/>
      <c r="AW8" s="107">
        <f>D28</f>
        <v>64999</v>
      </c>
      <c r="AX8" s="106"/>
      <c r="AY8" s="108"/>
      <c r="AZ8" s="22">
        <f t="shared" ref="AZ8:BA39" si="3">F8</f>
        <v>45315</v>
      </c>
      <c r="BA8" s="104">
        <f>$C$32</f>
        <v>0</v>
      </c>
      <c r="BC8" s="118" t="e">
        <f t="shared" ref="BC8:BC20" si="4">AW7+AR8+AP8</f>
        <v>#VALUE!</v>
      </c>
      <c r="BD8" s="831"/>
      <c r="BE8" s="829"/>
      <c r="BF8" s="606" t="s">
        <v>87</v>
      </c>
      <c r="BG8" s="126" t="s">
        <v>88</v>
      </c>
      <c r="BH8" s="835"/>
      <c r="BI8" s="837"/>
      <c r="BJ8" s="833"/>
      <c r="BM8" s="683" t="s">
        <v>360</v>
      </c>
      <c r="BN8" s="684" t="s">
        <v>474</v>
      </c>
      <c r="BO8" s="684" t="s">
        <v>422</v>
      </c>
    </row>
    <row r="9" spans="1:67" ht="16.5" customHeight="1" thickBot="1" x14ac:dyDescent="0.3">
      <c r="A9" s="909" t="s">
        <v>25</v>
      </c>
      <c r="B9" s="911"/>
      <c r="C9" s="616">
        <f>Оптимистичный!C9</f>
        <v>45315</v>
      </c>
      <c r="D9" s="617">
        <f>C9</f>
        <v>45315</v>
      </c>
      <c r="E9" s="114">
        <f>1</f>
        <v>1</v>
      </c>
      <c r="F9" s="111">
        <f>IF(DAY($AA$55)=29,DATE(YEAR($F$8),MONTH($F$8)+E9,26),IF(DAY($AA$55)=30,DATE(YEAR($F$8),MONTH($F$8)+E9,27),IF(DAY($AA$55)=31,DATE(YEAR($F$8),MONTH($F$8)+E9,28),DATE(YEAR($F$8),MONTH($F$8)+E9,DAY($F$8)))))</f>
        <v>45346</v>
      </c>
      <c r="G9" s="24">
        <f t="shared" ref="G9:G72" si="5">IF(AND(E9&gt;=$T$14,E9&lt;=$T$14+5),$T$15,IF(AND(Q8+L9+H9&gt;G8,G8&lt;&gt;0),$C$29,IF(Q8=0,0,Q8+L9+H9+H10)))+IF(AND(E9=$C$10,$C$22&lt;&gt;"Нет"),MIN((I9-I9/$C$19*$C$23),Q8+H9-G8),0)</f>
        <v>2340</v>
      </c>
      <c r="H9" s="24">
        <f t="shared" ref="H9:H72" si="6">IF(AND(E9&gt;=$T$14,E9&lt;=$T$14+5),0,IF($C$9&gt;$AC$52,ROUND(Q8*$C$19*((F9-DATE(YEAR(F9),MONTH(F9),1)+1)/(DATE(YEAR(F9)+1,1,1)-DATE(YEAR(F9),1,1))+(EOMONTH(F8,0)-F8)/(DATE(YEAR(F8)+1,1,1)-DATE(YEAR(F8),1,1))),2),0))</f>
        <v>1646.11</v>
      </c>
      <c r="I9" s="24">
        <f>H9</f>
        <v>1646.11</v>
      </c>
      <c r="J9" s="24"/>
      <c r="K9" s="24">
        <f t="shared" ref="K9:K72" si="7">IF(S9=0,0,IF(S9=1,Q8,IF(Q8+L9+H9&gt;G8,G9-H9-L9,Q8)))</f>
        <v>693.8900000000001</v>
      </c>
      <c r="L9" s="24">
        <f>IF(N9&gt;$C$29,$C$29-H9,IF(S9=0,0,P9)+AF52)</f>
        <v>0</v>
      </c>
      <c r="M9" s="24">
        <f>O8-L8</f>
        <v>0</v>
      </c>
      <c r="N9" s="24">
        <f>H9+O9</f>
        <v>1646.11</v>
      </c>
      <c r="O9" s="24">
        <f>IF(S9=0,0,0)</f>
        <v>0</v>
      </c>
      <c r="P9" s="24">
        <f>IF(S9=0,0,0)</f>
        <v>0</v>
      </c>
      <c r="Q9" s="24">
        <f t="shared" ref="Q9:Q72" si="8">IF(OR(S9=1,Q8=0),0,Q8-K9)</f>
        <v>64305.11</v>
      </c>
      <c r="R9" s="36">
        <f>C10</f>
        <v>48</v>
      </c>
      <c r="S9" s="36">
        <f t="shared" ref="S9:S72" si="9">IF(ISERR(CEILING(FLOOR(NPER($C$19/12,-$AA$56,Q8),0.1),1))=TRUE,0,CEILING(FLOOR(NPER($C$19/12,-$AA$56,Q8),0.1),1))</f>
        <v>48</v>
      </c>
      <c r="T9" s="15">
        <v>0.159</v>
      </c>
      <c r="U9" s="735">
        <v>0.20899999999999999</v>
      </c>
      <c r="V9" s="735">
        <v>0.14899999999999999</v>
      </c>
      <c r="W9" s="15">
        <f t="shared" si="1"/>
        <v>0.13900000000000001</v>
      </c>
      <c r="X9" s="15">
        <f t="shared" si="1"/>
        <v>0.13900000000000001</v>
      </c>
      <c r="Y9" s="15">
        <v>9.9000000000000005E-2</v>
      </c>
      <c r="Z9" s="132"/>
      <c r="AA9" s="147">
        <f t="shared" si="2"/>
        <v>0.159</v>
      </c>
      <c r="AB9" s="147">
        <f t="shared" si="0"/>
        <v>0.159</v>
      </c>
      <c r="AC9" s="15"/>
      <c r="AD9" s="15"/>
      <c r="AE9" s="15"/>
      <c r="AF9" s="15"/>
      <c r="AG9" s="15"/>
      <c r="AH9" s="15"/>
      <c r="AI9" s="15"/>
      <c r="AJ9" s="15"/>
      <c r="AK9" s="15"/>
      <c r="AL9" s="130">
        <f>IF(OR(AO9="",AO9=0),0,1)</f>
        <v>1</v>
      </c>
      <c r="AM9" s="109">
        <f>1</f>
        <v>1</v>
      </c>
      <c r="AN9" s="110">
        <f t="shared" ref="AN9:AN72" si="10">IF((OR(DAY($AA$55)=29,DAY($AA$55)=30,DAY($AA$55)=31)),(EDATE($C$9-3,AM9)),(IF((OR(DAY($AA$55)=1,DAY($AA$55)=2,DAY($AA$55)=3)),(EDATE($C$9,AM9)+3),EDATE($C$9,AM9))))</f>
        <v>45346</v>
      </c>
      <c r="AO9" s="105">
        <f>IF(AND(E9&gt;=$T$14,E9&lt;=$T$14+5),$T$15,IF(AND(AW8+AR9+AP9&gt;AO8,AO8&lt;&gt;0),$D$29,IF(AW8=0,0,AW8+AR9+AP9+AP10)))</f>
        <v>2344</v>
      </c>
      <c r="AP9" s="105">
        <f t="shared" ref="AP9:AP72" si="11">IF(AND(E9&gt;=$T$14,E9&lt;=$T$14+5),0,IF($C$9&gt;$AC$52,ROUND(AW8*$D$19*((AN9-DATE(YEAR(AN9),MONTH(AN9),1)+1)/(DATE(YEAR(AN9)+1,1,1)-DATE(YEAR(AN9),1,1))+(EOMONTH(AN8,0)-AN8)/(DATE(YEAR(AN8)+1,1,1)-DATE(YEAR(AN8),1,1))),2),0))</f>
        <v>1646.11</v>
      </c>
      <c r="AQ9" s="105">
        <f t="shared" ref="AQ9:AQ46" si="12">IF(AY9=0,0,IF(AY9=1,AW8,IF(AW8+AR9+AP9&gt;AO8,AO9-AP9-AR9,AW8)))</f>
        <v>697.8900000000001</v>
      </c>
      <c r="AR9" s="105">
        <f>IF(AT9&gt;$D$29,$D$29-AP9,IF(AY9=0,0,AV9)+BN58)</f>
        <v>0</v>
      </c>
      <c r="AS9" s="105"/>
      <c r="AT9" s="105">
        <f>AP9+AU9</f>
        <v>1646.11</v>
      </c>
      <c r="AU9" s="105">
        <f>IF(AY9=0,0,0)</f>
        <v>0</v>
      </c>
      <c r="AV9" s="105">
        <f>IF(AY9=0,0,0)</f>
        <v>0</v>
      </c>
      <c r="AW9" s="105">
        <f t="shared" ref="AW9:AW46" si="13">IF(OR(AY9=1,AW8=0),0,AW8-AQ9)</f>
        <v>64301.11</v>
      </c>
      <c r="AX9" s="108">
        <f>C10</f>
        <v>48</v>
      </c>
      <c r="AY9" s="108">
        <f t="shared" ref="AY9:AY72" si="14">IF(ISERR(CEILING(FLOOR(NPER($D$19/12,-$AC$56,AW8),0.1),1))=TRUE,0,CEILING(FLOOR(NPER($D$19/12,-$AC$56,AW8),0.1),1))</f>
        <v>48</v>
      </c>
      <c r="AZ9" s="22">
        <f t="shared" si="3"/>
        <v>45346</v>
      </c>
      <c r="BA9" s="108">
        <f t="shared" si="3"/>
        <v>2340</v>
      </c>
      <c r="BC9" s="118">
        <f t="shared" si="4"/>
        <v>66645.11</v>
      </c>
      <c r="BM9" s="683" t="s">
        <v>424</v>
      </c>
      <c r="BN9" s="687" t="s">
        <v>429</v>
      </c>
      <c r="BO9" s="684" t="s">
        <v>426</v>
      </c>
    </row>
    <row r="10" spans="1:67" ht="16.5" customHeight="1" thickBot="1" x14ac:dyDescent="0.3">
      <c r="A10" s="929" t="s">
        <v>1</v>
      </c>
      <c r="B10" s="930"/>
      <c r="C10" s="618">
        <f>Оптимистичный!C10</f>
        <v>48</v>
      </c>
      <c r="D10" s="619">
        <f>C10</f>
        <v>48</v>
      </c>
      <c r="E10" s="114">
        <f>E9+1</f>
        <v>2</v>
      </c>
      <c r="F10" s="111">
        <f t="shared" ref="F10:F73" si="15">IF(DAY($AA$55)=29,DATE(YEAR($F$8),MONTH($F$8)+E10,26),IF(DAY($AA$55)=30,DATE(YEAR($F$8),MONTH($F$8)+E10,27),IF(DAY($AA$55)=31,DATE(YEAR($F$8),MONTH($F$8)+E10,28),DATE(YEAR($F$8),MONTH($F$8)+E10,DAY($F$8)))))</f>
        <v>45375</v>
      </c>
      <c r="G10" s="24">
        <f t="shared" si="5"/>
        <v>2340</v>
      </c>
      <c r="H10" s="24">
        <f t="shared" si="6"/>
        <v>1523.47</v>
      </c>
      <c r="I10" s="24">
        <f>H10+I9</f>
        <v>3169.58</v>
      </c>
      <c r="J10" s="24">
        <f t="shared" ref="J10:J67" si="16">IF(E10=$C$10,MIN((I10-I10/$C$19*$C$23),Q9+H10-G9),0)</f>
        <v>0</v>
      </c>
      <c r="K10" s="24">
        <f t="shared" si="7"/>
        <v>816.53</v>
      </c>
      <c r="L10" s="24">
        <f t="shared" ref="L10:L73" si="17">IF(N10&gt;$C$29,$C$29-H10,IF(S10=0,0,O10))</f>
        <v>0</v>
      </c>
      <c r="M10" s="24">
        <f>O9-L9</f>
        <v>0</v>
      </c>
      <c r="N10" s="24">
        <f t="shared" ref="N10:N86" si="18">H10+O10</f>
        <v>1523.47</v>
      </c>
      <c r="O10" s="24">
        <f t="shared" ref="O10:O73" si="19">IF(S10=0,0,0)</f>
        <v>0</v>
      </c>
      <c r="P10" s="24">
        <f t="shared" ref="P10:P73" si="20">IF(S10=0,0,0)</f>
        <v>0</v>
      </c>
      <c r="Q10" s="24">
        <f t="shared" si="8"/>
        <v>63488.58</v>
      </c>
      <c r="R10" s="36">
        <f>IF((R9-1)&lt;0,0,R9-1)</f>
        <v>47</v>
      </c>
      <c r="S10" s="36">
        <f t="shared" si="9"/>
        <v>47</v>
      </c>
      <c r="T10" s="15">
        <v>0.19900000000000001</v>
      </c>
      <c r="U10" s="735">
        <v>0.189</v>
      </c>
      <c r="V10" s="735">
        <v>0.129</v>
      </c>
      <c r="W10" s="15">
        <f t="shared" si="1"/>
        <v>0.17900000000000002</v>
      </c>
      <c r="X10" s="15">
        <f t="shared" si="1"/>
        <v>0.17900000000000002</v>
      </c>
      <c r="Y10" s="15"/>
      <c r="Z10" s="15"/>
      <c r="AA10" s="147">
        <f t="shared" si="2"/>
        <v>0.19900000000000001</v>
      </c>
      <c r="AB10" s="147">
        <f t="shared" si="0"/>
        <v>0.19900000000000001</v>
      </c>
      <c r="AC10" s="15"/>
      <c r="AD10" s="15"/>
      <c r="AE10" s="15"/>
      <c r="AF10" s="15"/>
      <c r="AG10" s="15"/>
      <c r="AH10" s="15"/>
      <c r="AI10" s="15"/>
      <c r="AJ10" s="15"/>
      <c r="AK10" s="15"/>
      <c r="AL10" s="130">
        <f t="shared" ref="AL10:AL74" si="21">IF(OR(AO10="",AO10=0),0,1)</f>
        <v>1</v>
      </c>
      <c r="AM10" s="109">
        <f>AM9+1</f>
        <v>2</v>
      </c>
      <c r="AN10" s="110">
        <f t="shared" si="10"/>
        <v>45375</v>
      </c>
      <c r="AO10" s="105">
        <f>IF(AND(E10&gt;=$T$14,E10&lt;=$T$14+5),$T$15,IF(AND(AW9+AR10+AP10&gt;AO9,AO9&lt;&gt;0),$D$29,IF(AW9=0,0,AW9+AR10+AP10+AP11)))</f>
        <v>2344</v>
      </c>
      <c r="AP10" s="105">
        <f t="shared" si="11"/>
        <v>1523.37</v>
      </c>
      <c r="AQ10" s="105">
        <f t="shared" si="12"/>
        <v>820.63000000000011</v>
      </c>
      <c r="AR10" s="105">
        <f>IF(AT10&gt;$D$29,$D$29-AP10,IF(AY10=0,0,AV10)+BN59)</f>
        <v>0</v>
      </c>
      <c r="AS10" s="105">
        <f t="shared" ref="AS10:AS46" si="22">AU9-AR9</f>
        <v>0</v>
      </c>
      <c r="AT10" s="105">
        <f t="shared" ref="AT10:AT46" si="23">AP10+AU10</f>
        <v>1523.37</v>
      </c>
      <c r="AU10" s="105">
        <f t="shared" ref="AU10:AU46" si="24">IF(AY10=0,0,0)</f>
        <v>0</v>
      </c>
      <c r="AV10" s="105">
        <f t="shared" ref="AV10:AV46" si="25">IF(AY10=0,0,0)</f>
        <v>0</v>
      </c>
      <c r="AW10" s="105">
        <f t="shared" si="13"/>
        <v>63480.480000000003</v>
      </c>
      <c r="AX10" s="108">
        <f>IF((AX9-1)&lt;0,0,AX9-1)</f>
        <v>47</v>
      </c>
      <c r="AY10" s="108">
        <f t="shared" si="14"/>
        <v>47</v>
      </c>
      <c r="AZ10" s="22">
        <f t="shared" si="3"/>
        <v>45375</v>
      </c>
      <c r="BA10" s="108">
        <f t="shared" si="3"/>
        <v>2340</v>
      </c>
      <c r="BC10" s="118">
        <f t="shared" si="4"/>
        <v>65824.479999999996</v>
      </c>
      <c r="BD10" s="830" t="s">
        <v>90</v>
      </c>
      <c r="BE10" s="828" t="s">
        <v>85</v>
      </c>
      <c r="BF10" s="129" t="s">
        <v>84</v>
      </c>
      <c r="BM10" s="620"/>
      <c r="BN10" s="620"/>
      <c r="BO10" s="620"/>
    </row>
    <row r="11" spans="1:67" ht="16.5" customHeight="1" thickBot="1" x14ac:dyDescent="0.3">
      <c r="A11" s="935" t="s">
        <v>427</v>
      </c>
      <c r="B11" s="621" t="s">
        <v>102</v>
      </c>
      <c r="C11" s="619" t="str">
        <f>Оптимистичный!C14</f>
        <v>Да</v>
      </c>
      <c r="D11" s="619" t="str">
        <f>C11</f>
        <v>Да</v>
      </c>
      <c r="E11" s="114">
        <f>E10+1</f>
        <v>3</v>
      </c>
      <c r="F11" s="111">
        <f t="shared" si="15"/>
        <v>45406</v>
      </c>
      <c r="G11" s="24">
        <f t="shared" si="5"/>
        <v>2340</v>
      </c>
      <c r="H11" s="24">
        <f t="shared" si="6"/>
        <v>1607.86</v>
      </c>
      <c r="I11" s="24">
        <f t="shared" ref="I11:I74" si="26">H11+I10</f>
        <v>4777.4399999999996</v>
      </c>
      <c r="J11" s="24">
        <f t="shared" si="16"/>
        <v>0</v>
      </c>
      <c r="K11" s="24">
        <f t="shared" si="7"/>
        <v>732.1400000000001</v>
      </c>
      <c r="L11" s="24">
        <f t="shared" si="17"/>
        <v>0</v>
      </c>
      <c r="M11" s="24">
        <f>O10-L10</f>
        <v>0</v>
      </c>
      <c r="N11" s="24">
        <f t="shared" si="18"/>
        <v>1607.86</v>
      </c>
      <c r="O11" s="24">
        <f t="shared" si="19"/>
        <v>0</v>
      </c>
      <c r="P11" s="24">
        <f t="shared" si="20"/>
        <v>0</v>
      </c>
      <c r="Q11" s="24">
        <f t="shared" si="8"/>
        <v>62756.44</v>
      </c>
      <c r="R11" s="36">
        <f>IF((R10-1)&lt;0,0,R10-1)</f>
        <v>46</v>
      </c>
      <c r="S11" s="36">
        <f t="shared" si="9"/>
        <v>46</v>
      </c>
      <c r="T11" s="15">
        <v>0.219</v>
      </c>
      <c r="U11" s="735">
        <v>0.219</v>
      </c>
      <c r="V11" s="735">
        <v>0.159</v>
      </c>
      <c r="W11" s="15">
        <f t="shared" si="1"/>
        <v>0.19900000000000001</v>
      </c>
      <c r="X11" s="15">
        <f t="shared" si="1"/>
        <v>0.19900000000000001</v>
      </c>
      <c r="Y11" s="15">
        <v>0.11899999999999999</v>
      </c>
      <c r="Z11" s="15"/>
      <c r="AA11" s="147">
        <f t="shared" si="2"/>
        <v>0.219</v>
      </c>
      <c r="AB11" s="147">
        <f t="shared" si="0"/>
        <v>0.219</v>
      </c>
      <c r="AC11" s="15"/>
      <c r="AD11" s="15"/>
      <c r="AE11" s="15"/>
      <c r="AF11" s="15"/>
      <c r="AG11" s="15"/>
      <c r="AH11" s="15"/>
      <c r="AI11" s="15"/>
      <c r="AJ11" s="3"/>
      <c r="AK11" s="3"/>
      <c r="AL11" s="130">
        <f t="shared" si="21"/>
        <v>1</v>
      </c>
      <c r="AM11" s="109">
        <f>AM10+1</f>
        <v>3</v>
      </c>
      <c r="AN11" s="110">
        <f t="shared" si="10"/>
        <v>45406</v>
      </c>
      <c r="AO11" s="105">
        <f>IF(AX10=1,AR11+AP11+AQ11,IF(AW10+AR11+AP11&gt;AO10,$D$29,IF(AW10=0,0,AW10+AR11+AP11+AP42)))</f>
        <v>2344</v>
      </c>
      <c r="AP11" s="105">
        <f t="shared" si="11"/>
        <v>1607.65</v>
      </c>
      <c r="AQ11" s="105">
        <f t="shared" si="12"/>
        <v>736.34999999999991</v>
      </c>
      <c r="AR11" s="105">
        <f t="shared" ref="AR11:AR19" si="27">IF(AT11&gt;$D$29,$D$29-AP11,IF(AY11=0,0,AV11)+BN60)</f>
        <v>0</v>
      </c>
      <c r="AS11" s="105">
        <f t="shared" si="22"/>
        <v>0</v>
      </c>
      <c r="AT11" s="105">
        <f t="shared" si="23"/>
        <v>1607.65</v>
      </c>
      <c r="AU11" s="105">
        <f t="shared" si="24"/>
        <v>0</v>
      </c>
      <c r="AV11" s="105">
        <f t="shared" si="25"/>
        <v>0</v>
      </c>
      <c r="AW11" s="105">
        <f t="shared" si="13"/>
        <v>62744.130000000005</v>
      </c>
      <c r="AX11" s="108">
        <f>IF((AX10-1)&lt;0,0,AX10-1)</f>
        <v>46</v>
      </c>
      <c r="AY11" s="108">
        <f t="shared" si="14"/>
        <v>46</v>
      </c>
      <c r="AZ11" s="22">
        <f t="shared" si="3"/>
        <v>45406</v>
      </c>
      <c r="BA11" s="108">
        <f t="shared" si="3"/>
        <v>2340</v>
      </c>
      <c r="BC11" s="118">
        <f t="shared" si="4"/>
        <v>65088.130000000005</v>
      </c>
      <c r="BD11" s="831"/>
      <c r="BE11" s="829"/>
      <c r="BF11" s="605" t="s">
        <v>91</v>
      </c>
      <c r="BM11" s="924" t="s">
        <v>428</v>
      </c>
      <c r="BN11" s="925"/>
      <c r="BO11" s="926"/>
    </row>
    <row r="12" spans="1:67" ht="16.5" customHeight="1" thickBot="1" x14ac:dyDescent="0.3">
      <c r="A12" s="936"/>
      <c r="B12" s="621" t="s">
        <v>105</v>
      </c>
      <c r="C12" s="623">
        <f>Оптимистичный!C15</f>
        <v>4999</v>
      </c>
      <c r="D12" s="623">
        <f>Оптимистичный!C15</f>
        <v>4999</v>
      </c>
      <c r="E12" s="114">
        <f t="shared" ref="E12:E75" si="28">E11+1</f>
        <v>4</v>
      </c>
      <c r="F12" s="111">
        <f t="shared" si="15"/>
        <v>45436</v>
      </c>
      <c r="G12" s="24">
        <f t="shared" si="5"/>
        <v>2340</v>
      </c>
      <c r="H12" s="24">
        <f t="shared" si="6"/>
        <v>1538.05</v>
      </c>
      <c r="I12" s="24">
        <f t="shared" si="26"/>
        <v>6315.49</v>
      </c>
      <c r="J12" s="24">
        <f t="shared" si="16"/>
        <v>0</v>
      </c>
      <c r="K12" s="24">
        <f t="shared" si="7"/>
        <v>801.95</v>
      </c>
      <c r="L12" s="24">
        <f t="shared" si="17"/>
        <v>0</v>
      </c>
      <c r="M12" s="24">
        <f t="shared" ref="M12:M86" si="29">O11-L11</f>
        <v>0</v>
      </c>
      <c r="N12" s="24">
        <f t="shared" si="18"/>
        <v>1538.05</v>
      </c>
      <c r="O12" s="24">
        <f t="shared" si="19"/>
        <v>0</v>
      </c>
      <c r="P12" s="24">
        <f t="shared" si="20"/>
        <v>0</v>
      </c>
      <c r="Q12" s="24">
        <f t="shared" si="8"/>
        <v>61954.490000000005</v>
      </c>
      <c r="R12" s="36">
        <f t="shared" ref="R12:R75" si="30">IF((R11-1)&lt;0,0,R11-1)</f>
        <v>45</v>
      </c>
      <c r="S12" s="36">
        <f t="shared" si="9"/>
        <v>45</v>
      </c>
      <c r="T12" s="15">
        <v>0.27900000000000003</v>
      </c>
      <c r="U12" s="735">
        <v>0.22900000000000001</v>
      </c>
      <c r="V12" s="735">
        <v>0.16900000000000001</v>
      </c>
      <c r="W12" s="15">
        <v>0.29899999999999999</v>
      </c>
      <c r="X12" s="15">
        <v>0.29899999999999999</v>
      </c>
      <c r="Y12" s="15"/>
      <c r="Z12" s="15"/>
      <c r="AA12" s="147">
        <f>IF(OR($C$8="Гарантия стандарт",$C$8="Гарантия пакет"),Y12,T12)</f>
        <v>0.27900000000000003</v>
      </c>
      <c r="AB12" s="147">
        <f t="shared" si="0"/>
        <v>0.27900000000000003</v>
      </c>
      <c r="AC12" s="15"/>
      <c r="AD12" s="15"/>
      <c r="AE12" s="15"/>
      <c r="AF12" s="15"/>
      <c r="AG12" s="15"/>
      <c r="AH12" s="15"/>
      <c r="AI12" s="15"/>
      <c r="AK12" s="57"/>
      <c r="AL12" s="130">
        <f t="shared" si="21"/>
        <v>1</v>
      </c>
      <c r="AM12" s="109">
        <f t="shared" ref="AM12:AM75" si="31">AM11+1</f>
        <v>4</v>
      </c>
      <c r="AN12" s="110">
        <f t="shared" si="10"/>
        <v>45436</v>
      </c>
      <c r="AO12" s="105">
        <f>IF(AX11=1,AR12+AP12+AQ12,IF(AW11+AR12+AP12&gt;AO11,$D$29,IF(AW11=0,0,AW11+AR12+AP12+AP43)))</f>
        <v>2344</v>
      </c>
      <c r="AP12" s="105">
        <f t="shared" si="11"/>
        <v>1537.75</v>
      </c>
      <c r="AQ12" s="105">
        <f t="shared" si="12"/>
        <v>806.25</v>
      </c>
      <c r="AR12" s="105">
        <f t="shared" si="27"/>
        <v>0</v>
      </c>
      <c r="AS12" s="105">
        <f t="shared" si="22"/>
        <v>0</v>
      </c>
      <c r="AT12" s="105">
        <f t="shared" si="23"/>
        <v>1537.75</v>
      </c>
      <c r="AU12" s="105">
        <f t="shared" si="24"/>
        <v>0</v>
      </c>
      <c r="AV12" s="105">
        <f t="shared" si="25"/>
        <v>0</v>
      </c>
      <c r="AW12" s="105">
        <f t="shared" si="13"/>
        <v>61937.880000000005</v>
      </c>
      <c r="AX12" s="108">
        <f t="shared" ref="AX12:AX75" si="32">IF((AX11-1)&lt;0,0,AX11-1)</f>
        <v>45</v>
      </c>
      <c r="AY12" s="108">
        <f t="shared" si="14"/>
        <v>45</v>
      </c>
      <c r="AZ12" s="22">
        <f t="shared" si="3"/>
        <v>45436</v>
      </c>
      <c r="BA12" s="108">
        <f t="shared" si="3"/>
        <v>2340</v>
      </c>
      <c r="BC12" s="118">
        <f t="shared" si="4"/>
        <v>64281.880000000005</v>
      </c>
      <c r="BM12" s="685" t="s">
        <v>418</v>
      </c>
      <c r="BN12" s="686" t="s">
        <v>419</v>
      </c>
      <c r="BO12" s="686" t="s">
        <v>420</v>
      </c>
    </row>
    <row r="13" spans="1:67" ht="16.5" customHeight="1" thickBot="1" x14ac:dyDescent="0.3">
      <c r="A13" s="937" t="str">
        <f>IF($C$8="Нет","2. У вас не будет Льготного периода","2. Посмотрите, как изменится график при активации Льготного периода")</f>
        <v>2. У вас не будет Льготного периода</v>
      </c>
      <c r="B13" s="938"/>
      <c r="C13" s="938"/>
      <c r="D13" s="938"/>
      <c r="E13" s="114">
        <f>E12+1</f>
        <v>5</v>
      </c>
      <c r="F13" s="111">
        <f t="shared" si="15"/>
        <v>45467</v>
      </c>
      <c r="G13" s="24">
        <f t="shared" si="5"/>
        <v>2340</v>
      </c>
      <c r="H13" s="24">
        <f t="shared" si="6"/>
        <v>1569.01</v>
      </c>
      <c r="I13" s="24">
        <f t="shared" si="26"/>
        <v>7884.5</v>
      </c>
      <c r="J13" s="24">
        <f t="shared" si="16"/>
        <v>0</v>
      </c>
      <c r="K13" s="24">
        <f t="shared" si="7"/>
        <v>770.99</v>
      </c>
      <c r="L13" s="24">
        <f t="shared" si="17"/>
        <v>0</v>
      </c>
      <c r="M13" s="24">
        <f t="shared" si="29"/>
        <v>0</v>
      </c>
      <c r="N13" s="24">
        <f t="shared" si="18"/>
        <v>1569.01</v>
      </c>
      <c r="O13" s="24">
        <f t="shared" si="19"/>
        <v>0</v>
      </c>
      <c r="P13" s="24">
        <f t="shared" si="20"/>
        <v>0</v>
      </c>
      <c r="Q13" s="24">
        <f t="shared" si="8"/>
        <v>61183.500000000007</v>
      </c>
      <c r="R13" s="36">
        <f>IF((R12-1)&lt;0,0,R12-1)</f>
        <v>44</v>
      </c>
      <c r="S13" s="36">
        <f t="shared" si="9"/>
        <v>44</v>
      </c>
      <c r="T13" s="15"/>
      <c r="U13" s="735">
        <f>IF($C$17=29.9%,U12,IF($C$17=26.9%,U11,IF($C$17=23.9%,U10,IF($C$17=25.9%,U9,U8))))</f>
        <v>0.22900000000000001</v>
      </c>
      <c r="V13" s="735">
        <f>IF($C$17=29.9%,V12,IF($C$17=26.9%,V11,IF($C$17=23.9%,V10,IF($C$17=25.9%,V9,V8))))</f>
        <v>0.16900000000000001</v>
      </c>
      <c r="W13" s="15"/>
      <c r="X13" s="15"/>
      <c r="Y13" s="15"/>
      <c r="Z13" s="15"/>
      <c r="AA13" s="62" t="e">
        <f>INDEX(AA4:AA12,MATCH(C17,$T$4:$T$12,0))</f>
        <v>#N/A</v>
      </c>
      <c r="AB13" s="62" t="e">
        <f>INDEX(AB4:AB12,MATCH(D17,$T$4:$T$12,0))</f>
        <v>#N/A</v>
      </c>
      <c r="AC13" s="15"/>
      <c r="AD13" s="15"/>
      <c r="AE13" s="15"/>
      <c r="AF13" s="15"/>
      <c r="AG13" s="15"/>
      <c r="AH13" s="15"/>
      <c r="AI13" s="15"/>
      <c r="AL13" s="130">
        <f t="shared" si="21"/>
        <v>1</v>
      </c>
      <c r="AM13" s="166">
        <f>AM12+1</f>
        <v>5</v>
      </c>
      <c r="AN13" s="167">
        <f t="shared" si="10"/>
        <v>45467</v>
      </c>
      <c r="AO13" s="105">
        <f>IF(AX12=1,AR13+AP13+AQ13,IF(AW12+AR13+AP13&gt;AO12,$D$29,IF(AW12=0,0,AW12+AR13+AP13+AP44)))</f>
        <v>2344</v>
      </c>
      <c r="AP13" s="105">
        <f t="shared" si="11"/>
        <v>1568.59</v>
      </c>
      <c r="AQ13" s="105">
        <f t="shared" si="12"/>
        <v>775.41000000000008</v>
      </c>
      <c r="AR13" s="105">
        <f t="shared" si="27"/>
        <v>0</v>
      </c>
      <c r="AS13" s="105">
        <f t="shared" si="22"/>
        <v>0</v>
      </c>
      <c r="AT13" s="105">
        <f t="shared" si="23"/>
        <v>1568.59</v>
      </c>
      <c r="AU13" s="105">
        <f t="shared" si="24"/>
        <v>0</v>
      </c>
      <c r="AV13" s="105">
        <f t="shared" si="25"/>
        <v>0</v>
      </c>
      <c r="AW13" s="105">
        <f t="shared" si="13"/>
        <v>61162.47</v>
      </c>
      <c r="AX13" s="108">
        <f>IF((AX12-1)&lt;0,0,AX12-1)</f>
        <v>44</v>
      </c>
      <c r="AY13" s="108">
        <f t="shared" si="14"/>
        <v>44</v>
      </c>
      <c r="AZ13" s="22">
        <f t="shared" si="3"/>
        <v>45467</v>
      </c>
      <c r="BA13" s="108">
        <f t="shared" si="3"/>
        <v>2340</v>
      </c>
      <c r="BC13" s="118">
        <f t="shared" si="4"/>
        <v>63506.47</v>
      </c>
      <c r="BD13" s="830" t="s">
        <v>92</v>
      </c>
      <c r="BE13" s="828" t="s">
        <v>85</v>
      </c>
      <c r="BF13" s="129" t="s">
        <v>90</v>
      </c>
      <c r="BM13" s="683" t="s">
        <v>360</v>
      </c>
      <c r="BN13" s="684" t="s">
        <v>423</v>
      </c>
      <c r="BO13" s="684" t="s">
        <v>429</v>
      </c>
    </row>
    <row r="14" spans="1:67" ht="19.5" customHeight="1" thickBot="1" x14ac:dyDescent="0.3">
      <c r="A14" s="624"/>
      <c r="B14" s="624"/>
      <c r="C14" s="614" t="s">
        <v>430</v>
      </c>
      <c r="D14" s="614"/>
      <c r="E14" s="114">
        <f>E13+1</f>
        <v>6</v>
      </c>
      <c r="F14" s="111">
        <f t="shared" si="15"/>
        <v>45497</v>
      </c>
      <c r="G14" s="24">
        <f t="shared" si="5"/>
        <v>2340</v>
      </c>
      <c r="H14" s="24">
        <f t="shared" si="6"/>
        <v>1499.5</v>
      </c>
      <c r="I14" s="24">
        <f t="shared" si="26"/>
        <v>9384</v>
      </c>
      <c r="J14" s="24">
        <f t="shared" si="16"/>
        <v>0</v>
      </c>
      <c r="K14" s="24">
        <f t="shared" si="7"/>
        <v>840.5</v>
      </c>
      <c r="L14" s="24">
        <f t="shared" si="17"/>
        <v>0</v>
      </c>
      <c r="M14" s="24">
        <f>O13-L13</f>
        <v>0</v>
      </c>
      <c r="N14" s="24">
        <f t="shared" si="18"/>
        <v>1499.5</v>
      </c>
      <c r="O14" s="24">
        <f t="shared" si="19"/>
        <v>0</v>
      </c>
      <c r="P14" s="24">
        <f t="shared" si="20"/>
        <v>0</v>
      </c>
      <c r="Q14" s="24">
        <f t="shared" si="8"/>
        <v>60343.000000000007</v>
      </c>
      <c r="R14" s="36">
        <f>IF((R13-1)&lt;0,0,R13-1)</f>
        <v>43</v>
      </c>
      <c r="S14" s="36">
        <f t="shared" si="9"/>
        <v>43</v>
      </c>
      <c r="T14" s="130">
        <f>IF(OR($C$8="Нет",$D$14&lt;1),100000,D14)</f>
        <v>100000</v>
      </c>
      <c r="U14" s="15"/>
      <c r="V14" s="15"/>
      <c r="W14" s="15"/>
      <c r="X14" s="15"/>
      <c r="Y14" s="15"/>
      <c r="Z14" s="15"/>
      <c r="AA14" s="15">
        <f>IF(OR(C$8="Гарантия стандарт",C$8="Гарантия пакет"),AA13,C19)</f>
        <v>0.29899999999999999</v>
      </c>
      <c r="AB14" s="15">
        <f>D19</f>
        <v>0.29899999999999999</v>
      </c>
      <c r="AC14" s="15"/>
      <c r="AD14" s="15"/>
      <c r="AE14" s="15"/>
      <c r="AF14" s="15"/>
      <c r="AG14" s="15"/>
      <c r="AH14" s="15"/>
      <c r="AI14" s="15"/>
      <c r="AK14" s="57"/>
      <c r="AL14" s="130">
        <f t="shared" si="21"/>
        <v>1</v>
      </c>
      <c r="AM14" s="109">
        <f>AM13+1</f>
        <v>6</v>
      </c>
      <c r="AN14" s="110">
        <f t="shared" si="10"/>
        <v>45497</v>
      </c>
      <c r="AO14" s="105">
        <f>IF(AX13=1,AR14+AP14+AQ14,IF(AW13+AR14+AP14&gt;AO13,$D$29,IF(AW13=0,0,AW13+AR14+AP14+AP45)))</f>
        <v>2344</v>
      </c>
      <c r="AP14" s="105">
        <f t="shared" si="11"/>
        <v>1498.98</v>
      </c>
      <c r="AQ14" s="105">
        <f t="shared" si="12"/>
        <v>845.02</v>
      </c>
      <c r="AR14" s="105">
        <f t="shared" si="27"/>
        <v>0</v>
      </c>
      <c r="AS14" s="105">
        <f t="shared" si="22"/>
        <v>0</v>
      </c>
      <c r="AT14" s="105">
        <f t="shared" si="23"/>
        <v>1498.98</v>
      </c>
      <c r="AU14" s="105">
        <f t="shared" si="24"/>
        <v>0</v>
      </c>
      <c r="AV14" s="105">
        <f t="shared" si="25"/>
        <v>0</v>
      </c>
      <c r="AW14" s="105">
        <f t="shared" si="13"/>
        <v>60317.450000000004</v>
      </c>
      <c r="AX14" s="108">
        <f>IF((AX13-1)&lt;0,0,AX13-1)</f>
        <v>43</v>
      </c>
      <c r="AY14" s="108">
        <f t="shared" si="14"/>
        <v>43</v>
      </c>
      <c r="AZ14" s="22">
        <f t="shared" si="3"/>
        <v>45497</v>
      </c>
      <c r="BA14" s="108">
        <f t="shared" si="3"/>
        <v>2340</v>
      </c>
      <c r="BC14" s="118">
        <f t="shared" si="4"/>
        <v>62661.450000000004</v>
      </c>
      <c r="BD14" s="831"/>
      <c r="BE14" s="829"/>
      <c r="BF14" s="605" t="s">
        <v>93</v>
      </c>
      <c r="BM14" s="683" t="s">
        <v>424</v>
      </c>
      <c r="BN14" s="687" t="s">
        <v>425</v>
      </c>
      <c r="BO14" s="684" t="s">
        <v>431</v>
      </c>
    </row>
    <row r="15" spans="1:67" ht="33" customHeight="1" thickBot="1" x14ac:dyDescent="0.3">
      <c r="A15" s="937" t="str">
        <f>IF(AND($C$8=$D$8,$C$22=$D$22),"3. Рассчитайте выгоду от перехода на иной тарифный план в течение срока действия кредитного договора","3. Проведите прямое сравнение 2 (двух) вариантов получения кредита")</f>
        <v>3. Рассчитайте выгоду от перехода на иной тарифный план в течение срока действия кредитного договора</v>
      </c>
      <c r="B15" s="938"/>
      <c r="C15" s="939"/>
      <c r="D15" s="939"/>
      <c r="E15" s="114">
        <f t="shared" si="28"/>
        <v>7</v>
      </c>
      <c r="F15" s="111">
        <f t="shared" si="15"/>
        <v>45528</v>
      </c>
      <c r="G15" s="24">
        <f t="shared" si="5"/>
        <v>2340</v>
      </c>
      <c r="H15" s="24">
        <f t="shared" si="6"/>
        <v>1528.19</v>
      </c>
      <c r="I15" s="24">
        <f t="shared" si="26"/>
        <v>10912.19</v>
      </c>
      <c r="J15" s="24">
        <f t="shared" si="16"/>
        <v>0</v>
      </c>
      <c r="K15" s="24">
        <f t="shared" si="7"/>
        <v>811.81</v>
      </c>
      <c r="L15" s="24">
        <f t="shared" si="17"/>
        <v>0</v>
      </c>
      <c r="M15" s="24">
        <f t="shared" si="29"/>
        <v>0</v>
      </c>
      <c r="N15" s="24">
        <f t="shared" si="18"/>
        <v>1528.19</v>
      </c>
      <c r="O15" s="24">
        <f t="shared" si="19"/>
        <v>0</v>
      </c>
      <c r="P15" s="24">
        <f t="shared" si="20"/>
        <v>0</v>
      </c>
      <c r="Q15" s="24">
        <f t="shared" si="8"/>
        <v>59531.19000000001</v>
      </c>
      <c r="R15" s="36">
        <f t="shared" si="30"/>
        <v>42</v>
      </c>
      <c r="S15" s="36">
        <f t="shared" si="9"/>
        <v>42</v>
      </c>
      <c r="T15" s="54">
        <f>ROUND(Q8*0.5%,-2)</f>
        <v>300</v>
      </c>
      <c r="U15" s="54">
        <f>ROUND(Q8*0.5%,0)</f>
        <v>325</v>
      </c>
      <c r="V15" s="15">
        <v>0</v>
      </c>
      <c r="W15" s="585">
        <v>219120</v>
      </c>
      <c r="X15" s="15"/>
      <c r="Y15" s="15"/>
      <c r="Z15" s="15"/>
      <c r="AA15" s="15" t="str">
        <f>IF(OR(C8="Гарантия стандарт",C8="Гарантия плюс",C8="Гарантия пакет"),AA13,"")</f>
        <v/>
      </c>
      <c r="AB15" s="15" t="str">
        <f>IF(OR(D8="Гарантия стандарт",D8="Гарантия плюс",D8="Гарантия пакет"),AB13,"")</f>
        <v/>
      </c>
      <c r="AC15" s="15"/>
      <c r="AD15" s="15"/>
      <c r="AE15" s="15"/>
      <c r="AF15" s="15"/>
      <c r="AG15" s="15"/>
      <c r="AH15" s="15"/>
      <c r="AI15" s="15"/>
      <c r="AL15" s="130">
        <f t="shared" si="21"/>
        <v>1</v>
      </c>
      <c r="AM15" s="109">
        <f t="shared" si="31"/>
        <v>7</v>
      </c>
      <c r="AN15" s="110">
        <f t="shared" si="10"/>
        <v>45528</v>
      </c>
      <c r="AO15" s="105">
        <f>IF(AX14=1,AR15+AP15+AQ15,IF(AW14+AR15+AP15&gt;AO14,$D$29,IF(AW14=0,0,AW14+AR15+AP15+AP46)))</f>
        <v>2344</v>
      </c>
      <c r="AP15" s="105">
        <f t="shared" si="11"/>
        <v>1527.55</v>
      </c>
      <c r="AQ15" s="105">
        <f t="shared" si="12"/>
        <v>816.45</v>
      </c>
      <c r="AR15" s="105">
        <f t="shared" si="27"/>
        <v>0</v>
      </c>
      <c r="AS15" s="105">
        <f t="shared" si="22"/>
        <v>0</v>
      </c>
      <c r="AT15" s="105">
        <f t="shared" si="23"/>
        <v>1527.55</v>
      </c>
      <c r="AU15" s="105">
        <f t="shared" si="24"/>
        <v>0</v>
      </c>
      <c r="AV15" s="105">
        <f t="shared" si="25"/>
        <v>0</v>
      </c>
      <c r="AW15" s="105">
        <f t="shared" si="13"/>
        <v>59501.000000000007</v>
      </c>
      <c r="AX15" s="108">
        <f t="shared" si="32"/>
        <v>42</v>
      </c>
      <c r="AY15" s="108">
        <f t="shared" si="14"/>
        <v>42</v>
      </c>
      <c r="AZ15" s="22">
        <f t="shared" si="3"/>
        <v>45528</v>
      </c>
      <c r="BA15" s="108">
        <f t="shared" si="3"/>
        <v>2340</v>
      </c>
      <c r="BC15" s="118">
        <f t="shared" si="4"/>
        <v>61845.000000000007</v>
      </c>
      <c r="BM15" s="620"/>
      <c r="BN15" s="620"/>
      <c r="BO15" s="620"/>
    </row>
    <row r="16" spans="1:67" ht="16.5" customHeight="1" thickBot="1" x14ac:dyDescent="0.3">
      <c r="A16" s="625"/>
      <c r="B16" s="626"/>
      <c r="C16" s="627" t="s">
        <v>81</v>
      </c>
      <c r="D16" s="628"/>
      <c r="E16" s="114">
        <f t="shared" si="28"/>
        <v>8</v>
      </c>
      <c r="F16" s="111">
        <f t="shared" si="15"/>
        <v>45559</v>
      </c>
      <c r="G16" s="24">
        <f t="shared" si="5"/>
        <v>2340</v>
      </c>
      <c r="H16" s="24">
        <f t="shared" si="6"/>
        <v>1507.64</v>
      </c>
      <c r="I16" s="24">
        <f t="shared" si="26"/>
        <v>12419.83</v>
      </c>
      <c r="J16" s="24">
        <f t="shared" si="16"/>
        <v>0</v>
      </c>
      <c r="K16" s="24">
        <f t="shared" si="7"/>
        <v>832.3599999999999</v>
      </c>
      <c r="L16" s="24">
        <f t="shared" si="17"/>
        <v>0</v>
      </c>
      <c r="M16" s="24">
        <f t="shared" si="29"/>
        <v>0</v>
      </c>
      <c r="N16" s="24">
        <f t="shared" si="18"/>
        <v>1507.64</v>
      </c>
      <c r="O16" s="24">
        <f t="shared" si="19"/>
        <v>0</v>
      </c>
      <c r="P16" s="24">
        <f t="shared" si="20"/>
        <v>0</v>
      </c>
      <c r="Q16" s="24">
        <f t="shared" si="8"/>
        <v>58698.830000000009</v>
      </c>
      <c r="R16" s="36">
        <f t="shared" si="30"/>
        <v>41</v>
      </c>
      <c r="S16" s="36">
        <f t="shared" si="9"/>
        <v>41</v>
      </c>
      <c r="T16" s="15">
        <v>0.04</v>
      </c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L16" s="130">
        <f t="shared" si="21"/>
        <v>1</v>
      </c>
      <c r="AM16" s="109">
        <f t="shared" si="31"/>
        <v>8</v>
      </c>
      <c r="AN16" s="110">
        <f t="shared" si="10"/>
        <v>45559</v>
      </c>
      <c r="AO16" s="105">
        <f t="shared" ref="AO16:AO36" si="33">IF(AX15=1,AR16+AP16+AQ16,IF(AW15+AR16+AP16&gt;AO15,$D$29,IF(AW15=0,0,AW15+AR16+AP16+AP48)))</f>
        <v>2344</v>
      </c>
      <c r="AP16" s="105">
        <f t="shared" si="11"/>
        <v>1506.87</v>
      </c>
      <c r="AQ16" s="105">
        <f t="shared" si="12"/>
        <v>837.13000000000011</v>
      </c>
      <c r="AR16" s="105">
        <f t="shared" si="27"/>
        <v>0</v>
      </c>
      <c r="AS16" s="105">
        <f t="shared" si="22"/>
        <v>0</v>
      </c>
      <c r="AT16" s="105">
        <f t="shared" si="23"/>
        <v>1506.87</v>
      </c>
      <c r="AU16" s="105">
        <f t="shared" si="24"/>
        <v>0</v>
      </c>
      <c r="AV16" s="105">
        <f t="shared" si="25"/>
        <v>0</v>
      </c>
      <c r="AW16" s="105">
        <f t="shared" si="13"/>
        <v>58663.87000000001</v>
      </c>
      <c r="AX16" s="108">
        <f t="shared" si="32"/>
        <v>41</v>
      </c>
      <c r="AY16" s="108">
        <f t="shared" si="14"/>
        <v>41</v>
      </c>
      <c r="AZ16" s="22">
        <f t="shared" si="3"/>
        <v>45559</v>
      </c>
      <c r="BA16" s="108">
        <f t="shared" si="3"/>
        <v>2340</v>
      </c>
      <c r="BC16" s="118">
        <f t="shared" si="4"/>
        <v>61007.87000000001</v>
      </c>
      <c r="BD16" s="575" t="s">
        <v>368</v>
      </c>
      <c r="BE16" s="571" t="s">
        <v>369</v>
      </c>
      <c r="BF16" s="576" t="s">
        <v>370</v>
      </c>
      <c r="BM16" s="924" t="s">
        <v>432</v>
      </c>
      <c r="BN16" s="925"/>
      <c r="BO16" s="926"/>
    </row>
    <row r="17" spans="1:383" ht="16.5" customHeight="1" thickBot="1" x14ac:dyDescent="0.3">
      <c r="A17" s="920" t="s">
        <v>433</v>
      </c>
      <c r="B17" s="921"/>
      <c r="C17" s="629">
        <f>Оптимистичный!C11</f>
        <v>0.29899999999999999</v>
      </c>
      <c r="D17" s="630">
        <f>C17</f>
        <v>0.29899999999999999</v>
      </c>
      <c r="E17" s="114">
        <f t="shared" si="28"/>
        <v>9</v>
      </c>
      <c r="F17" s="111">
        <f t="shared" si="15"/>
        <v>45589</v>
      </c>
      <c r="G17" s="24">
        <f t="shared" si="5"/>
        <v>2340</v>
      </c>
      <c r="H17" s="24">
        <f t="shared" si="6"/>
        <v>1438.6</v>
      </c>
      <c r="I17" s="24">
        <f t="shared" si="26"/>
        <v>13858.43</v>
      </c>
      <c r="J17" s="24">
        <f t="shared" si="16"/>
        <v>0</v>
      </c>
      <c r="K17" s="24">
        <f t="shared" si="7"/>
        <v>901.40000000000009</v>
      </c>
      <c r="L17" s="24">
        <f t="shared" si="17"/>
        <v>0</v>
      </c>
      <c r="M17" s="24">
        <f t="shared" si="29"/>
        <v>0</v>
      </c>
      <c r="N17" s="24">
        <f t="shared" si="18"/>
        <v>1438.6</v>
      </c>
      <c r="O17" s="24">
        <f t="shared" si="19"/>
        <v>0</v>
      </c>
      <c r="P17" s="24">
        <f t="shared" si="20"/>
        <v>0</v>
      </c>
      <c r="Q17" s="24">
        <f t="shared" si="8"/>
        <v>57797.430000000008</v>
      </c>
      <c r="R17" s="36">
        <f t="shared" si="30"/>
        <v>40</v>
      </c>
      <c r="S17" s="36">
        <f t="shared" si="9"/>
        <v>40</v>
      </c>
      <c r="T17" s="64">
        <f>Z81/100</f>
        <v>0.12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L17" s="130">
        <f t="shared" si="21"/>
        <v>1</v>
      </c>
      <c r="AM17" s="109">
        <f t="shared" si="31"/>
        <v>9</v>
      </c>
      <c r="AN17" s="110">
        <f t="shared" si="10"/>
        <v>45589</v>
      </c>
      <c r="AO17" s="105">
        <f t="shared" si="33"/>
        <v>2344</v>
      </c>
      <c r="AP17" s="105">
        <f t="shared" si="11"/>
        <v>1437.75</v>
      </c>
      <c r="AQ17" s="105">
        <f t="shared" si="12"/>
        <v>906.25</v>
      </c>
      <c r="AR17" s="105">
        <f t="shared" si="27"/>
        <v>0</v>
      </c>
      <c r="AS17" s="105">
        <f t="shared" si="22"/>
        <v>0</v>
      </c>
      <c r="AT17" s="105">
        <f t="shared" si="23"/>
        <v>1437.75</v>
      </c>
      <c r="AU17" s="105">
        <f t="shared" si="24"/>
        <v>0</v>
      </c>
      <c r="AV17" s="105">
        <f t="shared" si="25"/>
        <v>0</v>
      </c>
      <c r="AW17" s="105">
        <f t="shared" si="13"/>
        <v>57757.62000000001</v>
      </c>
      <c r="AX17" s="108">
        <f t="shared" si="32"/>
        <v>40</v>
      </c>
      <c r="AY17" s="108">
        <f t="shared" si="14"/>
        <v>40</v>
      </c>
      <c r="AZ17" s="22">
        <f t="shared" si="3"/>
        <v>45589</v>
      </c>
      <c r="BA17" s="108">
        <f t="shared" si="3"/>
        <v>2340</v>
      </c>
      <c r="BC17" s="118">
        <f t="shared" si="4"/>
        <v>60101.62000000001</v>
      </c>
      <c r="BD17" s="583" t="s">
        <v>434</v>
      </c>
      <c r="BE17" s="572" t="s">
        <v>371</v>
      </c>
      <c r="BF17" s="573">
        <v>1.2E-2</v>
      </c>
      <c r="BM17" s="685" t="s">
        <v>418</v>
      </c>
      <c r="BN17" s="686" t="s">
        <v>419</v>
      </c>
      <c r="BO17" s="686" t="s">
        <v>435</v>
      </c>
    </row>
    <row r="18" spans="1:383" ht="16.5" customHeight="1" thickBot="1" x14ac:dyDescent="0.3">
      <c r="A18" s="912" t="s">
        <v>436</v>
      </c>
      <c r="B18" s="913"/>
      <c r="C18" s="631" t="s">
        <v>33</v>
      </c>
      <c r="D18" s="632" t="str">
        <f>C18</f>
        <v>Базовый</v>
      </c>
      <c r="E18" s="114">
        <f t="shared" si="28"/>
        <v>10</v>
      </c>
      <c r="F18" s="111">
        <f t="shared" si="15"/>
        <v>45620</v>
      </c>
      <c r="G18" s="24">
        <f t="shared" si="5"/>
        <v>2340</v>
      </c>
      <c r="H18" s="24">
        <f t="shared" si="6"/>
        <v>1463.73</v>
      </c>
      <c r="I18" s="24">
        <f t="shared" si="26"/>
        <v>15322.16</v>
      </c>
      <c r="J18" s="24">
        <f t="shared" si="16"/>
        <v>0</v>
      </c>
      <c r="K18" s="24">
        <f t="shared" si="7"/>
        <v>876.27</v>
      </c>
      <c r="L18" s="24">
        <f t="shared" si="17"/>
        <v>0</v>
      </c>
      <c r="M18" s="24">
        <f t="shared" si="29"/>
        <v>0</v>
      </c>
      <c r="N18" s="24">
        <f t="shared" si="18"/>
        <v>1463.73</v>
      </c>
      <c r="O18" s="24">
        <f t="shared" si="19"/>
        <v>0</v>
      </c>
      <c r="P18" s="24">
        <f t="shared" si="20"/>
        <v>0</v>
      </c>
      <c r="Q18" s="24">
        <f t="shared" si="8"/>
        <v>56921.160000000011</v>
      </c>
      <c r="R18" s="36">
        <f t="shared" si="30"/>
        <v>39</v>
      </c>
      <c r="S18" s="36">
        <f t="shared" si="9"/>
        <v>39</v>
      </c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L18" s="130">
        <f t="shared" si="21"/>
        <v>1</v>
      </c>
      <c r="AM18" s="109">
        <f t="shared" si="31"/>
        <v>10</v>
      </c>
      <c r="AN18" s="110">
        <f t="shared" si="10"/>
        <v>45620</v>
      </c>
      <c r="AO18" s="105">
        <f t="shared" si="33"/>
        <v>2344</v>
      </c>
      <c r="AP18" s="105">
        <f t="shared" si="11"/>
        <v>1462.72</v>
      </c>
      <c r="AQ18" s="105">
        <f t="shared" si="12"/>
        <v>881.28</v>
      </c>
      <c r="AR18" s="105">
        <f t="shared" si="27"/>
        <v>0</v>
      </c>
      <c r="AS18" s="105">
        <f t="shared" si="22"/>
        <v>0</v>
      </c>
      <c r="AT18" s="105">
        <f t="shared" si="23"/>
        <v>1462.72</v>
      </c>
      <c r="AU18" s="105">
        <f t="shared" si="24"/>
        <v>0</v>
      </c>
      <c r="AV18" s="105">
        <f t="shared" si="25"/>
        <v>0</v>
      </c>
      <c r="AW18" s="105">
        <f t="shared" si="13"/>
        <v>56876.340000000011</v>
      </c>
      <c r="AX18" s="108">
        <f t="shared" si="32"/>
        <v>39</v>
      </c>
      <c r="AY18" s="108">
        <f t="shared" si="14"/>
        <v>39</v>
      </c>
      <c r="AZ18" s="22">
        <f t="shared" si="3"/>
        <v>45620</v>
      </c>
      <c r="BA18" s="108">
        <f t="shared" si="3"/>
        <v>2340</v>
      </c>
      <c r="BC18" s="118">
        <f t="shared" si="4"/>
        <v>59220.340000000011</v>
      </c>
      <c r="BD18" s="574" t="s">
        <v>114</v>
      </c>
      <c r="BE18" s="572" t="s">
        <v>372</v>
      </c>
      <c r="BF18" s="573">
        <v>1.2E-2</v>
      </c>
      <c r="BM18" s="683" t="s">
        <v>360</v>
      </c>
      <c r="BN18" s="684" t="s">
        <v>423</v>
      </c>
      <c r="BO18" s="684" t="s">
        <v>429</v>
      </c>
    </row>
    <row r="19" spans="1:383" ht="12.75" customHeight="1" thickBot="1" x14ac:dyDescent="0.3">
      <c r="A19" s="914" t="s">
        <v>437</v>
      </c>
      <c r="B19" s="915"/>
      <c r="C19" s="630">
        <f>IF(OR(C8="Оптимум+",C8="Уверенность"),C17-6%,IF(C8="Оптимум",C17-4%,C17))</f>
        <v>0.29899999999999999</v>
      </c>
      <c r="D19" s="630">
        <f>IF(D8="Максимум",D17-6%,IF(D8="Оптимум",D17-4%,D17))</f>
        <v>0.29899999999999999</v>
      </c>
      <c r="E19" s="114">
        <f>E18+1</f>
        <v>11</v>
      </c>
      <c r="F19" s="111">
        <f t="shared" si="15"/>
        <v>45650</v>
      </c>
      <c r="G19" s="24">
        <f t="shared" si="5"/>
        <v>2340</v>
      </c>
      <c r="H19" s="24">
        <f t="shared" si="6"/>
        <v>1395.03</v>
      </c>
      <c r="I19" s="24">
        <f t="shared" si="26"/>
        <v>16717.189999999999</v>
      </c>
      <c r="J19" s="24">
        <f t="shared" si="16"/>
        <v>0</v>
      </c>
      <c r="K19" s="24">
        <f t="shared" si="7"/>
        <v>944.97</v>
      </c>
      <c r="L19" s="24">
        <f t="shared" si="17"/>
        <v>0</v>
      </c>
      <c r="M19" s="24">
        <f>O18-L18</f>
        <v>0</v>
      </c>
      <c r="N19" s="24">
        <f t="shared" si="18"/>
        <v>1395.03</v>
      </c>
      <c r="O19" s="24">
        <f t="shared" si="19"/>
        <v>0</v>
      </c>
      <c r="P19" s="24">
        <f t="shared" si="20"/>
        <v>0</v>
      </c>
      <c r="Q19" s="24">
        <f t="shared" si="8"/>
        <v>55976.19000000001</v>
      </c>
      <c r="R19" s="36">
        <f>IF((R18-1)&lt;0,0,R18-1)</f>
        <v>38</v>
      </c>
      <c r="S19" s="36">
        <f t="shared" si="9"/>
        <v>38</v>
      </c>
      <c r="T19" s="84">
        <v>9.9000000000000005E-2</v>
      </c>
      <c r="U19" s="84">
        <v>7.9000000000000001E-2</v>
      </c>
      <c r="V19" s="84">
        <v>7.9000000000000001E-2</v>
      </c>
      <c r="W19" s="84">
        <v>7.9000000000000001E-2</v>
      </c>
      <c r="X19" s="84">
        <v>7.9000000000000001E-2</v>
      </c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L19" s="130">
        <f t="shared" si="21"/>
        <v>1</v>
      </c>
      <c r="AM19" s="109">
        <f>AM18+1</f>
        <v>11</v>
      </c>
      <c r="AN19" s="110">
        <f t="shared" si="10"/>
        <v>45650</v>
      </c>
      <c r="AO19" s="105">
        <f t="shared" si="33"/>
        <v>2344</v>
      </c>
      <c r="AP19" s="105">
        <f t="shared" si="11"/>
        <v>1393.94</v>
      </c>
      <c r="AQ19" s="105">
        <f t="shared" si="12"/>
        <v>950.06</v>
      </c>
      <c r="AR19" s="105">
        <f t="shared" si="27"/>
        <v>0</v>
      </c>
      <c r="AS19" s="105">
        <f t="shared" si="22"/>
        <v>0</v>
      </c>
      <c r="AT19" s="105">
        <f t="shared" si="23"/>
        <v>1393.94</v>
      </c>
      <c r="AU19" s="105">
        <f t="shared" si="24"/>
        <v>0</v>
      </c>
      <c r="AV19" s="105">
        <f t="shared" si="25"/>
        <v>0</v>
      </c>
      <c r="AW19" s="105">
        <f t="shared" si="13"/>
        <v>55926.280000000013</v>
      </c>
      <c r="AX19" s="108">
        <f t="shared" si="32"/>
        <v>38</v>
      </c>
      <c r="AY19" s="108">
        <f t="shared" si="14"/>
        <v>38</v>
      </c>
      <c r="AZ19" s="22">
        <f t="shared" si="3"/>
        <v>45650</v>
      </c>
      <c r="BA19" s="108">
        <f t="shared" si="3"/>
        <v>2340</v>
      </c>
      <c r="BC19" s="118">
        <f t="shared" si="4"/>
        <v>58270.280000000013</v>
      </c>
      <c r="BD19" s="574" t="s">
        <v>360</v>
      </c>
      <c r="BE19" s="572" t="s">
        <v>372</v>
      </c>
      <c r="BF19" s="573">
        <v>1.14E-2</v>
      </c>
      <c r="BM19" s="683" t="s">
        <v>424</v>
      </c>
      <c r="BN19" s="687" t="s">
        <v>425</v>
      </c>
      <c r="BO19" s="684" t="s">
        <v>431</v>
      </c>
    </row>
    <row r="20" spans="1:383" ht="21.75" customHeight="1" thickBot="1" x14ac:dyDescent="0.3">
      <c r="A20" s="916" t="s">
        <v>421</v>
      </c>
      <c r="B20" s="917"/>
      <c r="C20" s="630" t="str">
        <f>C8</f>
        <v>Нет</v>
      </c>
      <c r="D20" s="630" t="str">
        <f>D8</f>
        <v>Нет</v>
      </c>
      <c r="E20" s="114">
        <f>E19+1</f>
        <v>12</v>
      </c>
      <c r="F20" s="111">
        <f t="shared" si="15"/>
        <v>45681</v>
      </c>
      <c r="G20" s="24">
        <f t="shared" si="5"/>
        <v>2340</v>
      </c>
      <c r="H20" s="24">
        <f t="shared" si="6"/>
        <v>1420.61</v>
      </c>
      <c r="I20" s="24">
        <f t="shared" si="26"/>
        <v>18137.8</v>
      </c>
      <c r="J20" s="24">
        <f t="shared" si="16"/>
        <v>0</v>
      </c>
      <c r="K20" s="24">
        <f t="shared" si="7"/>
        <v>919.3900000000001</v>
      </c>
      <c r="L20" s="24">
        <f t="shared" si="17"/>
        <v>0</v>
      </c>
      <c r="M20" s="24">
        <f>O19-L19</f>
        <v>0</v>
      </c>
      <c r="N20" s="24">
        <f t="shared" si="18"/>
        <v>1420.61</v>
      </c>
      <c r="O20" s="24">
        <f t="shared" si="19"/>
        <v>0</v>
      </c>
      <c r="P20" s="24">
        <f t="shared" si="20"/>
        <v>0</v>
      </c>
      <c r="Q20" s="24">
        <f t="shared" si="8"/>
        <v>55056.80000000001</v>
      </c>
      <c r="R20" s="36">
        <f>IF((R19-1)&lt;0,0,R19-1)</f>
        <v>37</v>
      </c>
      <c r="S20" s="36">
        <f t="shared" si="9"/>
        <v>37</v>
      </c>
      <c r="T20" s="112">
        <v>0</v>
      </c>
      <c r="U20" s="112">
        <v>7.9000000000000001E-2</v>
      </c>
      <c r="V20" s="112">
        <v>7.9000000000000001E-2</v>
      </c>
      <c r="W20" s="112">
        <v>7.9000000000000001E-2</v>
      </c>
      <c r="X20" s="112">
        <v>7.9000000000000001E-2</v>
      </c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3"/>
      <c r="AK20" s="113"/>
      <c r="AL20" s="130">
        <f t="shared" si="21"/>
        <v>1</v>
      </c>
      <c r="AM20" s="166">
        <f>AM19+1</f>
        <v>12</v>
      </c>
      <c r="AN20" s="167">
        <f t="shared" si="10"/>
        <v>45681</v>
      </c>
      <c r="AO20" s="105">
        <f t="shared" si="33"/>
        <v>2344</v>
      </c>
      <c r="AP20" s="105">
        <f t="shared" si="11"/>
        <v>1419.34</v>
      </c>
      <c r="AQ20" s="105">
        <f t="shared" si="12"/>
        <v>924.66000000000008</v>
      </c>
      <c r="AR20" s="105">
        <f>IF(AT20&gt;$D$29,$D$29-AP20,IF(AY20=0,0,AV20)+BN69)</f>
        <v>0</v>
      </c>
      <c r="AS20" s="105">
        <f t="shared" si="22"/>
        <v>0</v>
      </c>
      <c r="AT20" s="105">
        <f t="shared" si="23"/>
        <v>1419.34</v>
      </c>
      <c r="AU20" s="105">
        <f t="shared" si="24"/>
        <v>0</v>
      </c>
      <c r="AV20" s="105">
        <f t="shared" si="25"/>
        <v>0</v>
      </c>
      <c r="AW20" s="105">
        <f t="shared" si="13"/>
        <v>55001.62000000001</v>
      </c>
      <c r="AX20" s="108">
        <f t="shared" si="32"/>
        <v>37</v>
      </c>
      <c r="AY20" s="108">
        <f t="shared" si="14"/>
        <v>37</v>
      </c>
      <c r="AZ20" s="22">
        <f t="shared" si="3"/>
        <v>45681</v>
      </c>
      <c r="BA20" s="108">
        <f t="shared" si="3"/>
        <v>2340</v>
      </c>
      <c r="BC20" s="118">
        <f t="shared" si="4"/>
        <v>57345.62000000001</v>
      </c>
      <c r="BF20" s="62"/>
      <c r="BM20" s="620"/>
      <c r="BN20" s="620"/>
      <c r="BO20" s="620"/>
    </row>
    <row r="21" spans="1:383" ht="16.5" customHeight="1" thickBot="1" x14ac:dyDescent="0.3">
      <c r="A21" s="914" t="s">
        <v>438</v>
      </c>
      <c r="B21" s="918"/>
      <c r="C21" s="633" t="str">
        <f>IF($AA$15 &gt; 0,$AA$15,"Эта ставка с Гарантией не оформляется")</f>
        <v/>
      </c>
      <c r="D21" s="633" t="str">
        <f>IF(AB$15 &gt; 0,AB$15,"Эта ставка с Гарантией не оформляется")</f>
        <v/>
      </c>
      <c r="E21" s="114">
        <f t="shared" si="28"/>
        <v>13</v>
      </c>
      <c r="F21" s="111">
        <f t="shared" si="15"/>
        <v>45712</v>
      </c>
      <c r="G21" s="24">
        <f t="shared" si="5"/>
        <v>2340</v>
      </c>
      <c r="H21" s="24">
        <f t="shared" si="6"/>
        <v>1398.14</v>
      </c>
      <c r="I21" s="24">
        <f t="shared" si="26"/>
        <v>19535.939999999999</v>
      </c>
      <c r="J21" s="24">
        <f t="shared" si="16"/>
        <v>0</v>
      </c>
      <c r="K21" s="24">
        <f t="shared" si="7"/>
        <v>941.8599999999999</v>
      </c>
      <c r="L21" s="24">
        <f t="shared" si="17"/>
        <v>0</v>
      </c>
      <c r="M21" s="24">
        <f t="shared" si="29"/>
        <v>0</v>
      </c>
      <c r="N21" s="24">
        <f t="shared" si="18"/>
        <v>1398.14</v>
      </c>
      <c r="O21" s="24">
        <f t="shared" si="19"/>
        <v>0</v>
      </c>
      <c r="P21" s="24">
        <f t="shared" si="20"/>
        <v>0</v>
      </c>
      <c r="Q21" s="24">
        <f t="shared" si="8"/>
        <v>54114.94000000001</v>
      </c>
      <c r="R21" s="36">
        <f t="shared" si="30"/>
        <v>36</v>
      </c>
      <c r="S21" s="36">
        <f t="shared" si="9"/>
        <v>36</v>
      </c>
      <c r="T21" s="101">
        <v>8.8999999999999996E-2</v>
      </c>
      <c r="U21" s="101">
        <v>8.8999999999999996E-2</v>
      </c>
      <c r="V21" s="101">
        <v>8.8999999999999996E-2</v>
      </c>
      <c r="W21" s="101">
        <v>8.8999999999999996E-2</v>
      </c>
      <c r="X21" s="101">
        <v>8.8999999999999996E-2</v>
      </c>
      <c r="Y21" s="84">
        <v>0.129</v>
      </c>
      <c r="Z21" s="84">
        <v>0.129</v>
      </c>
      <c r="AA21" s="84">
        <v>0.129</v>
      </c>
      <c r="AB21" s="84">
        <v>0.129</v>
      </c>
      <c r="AC21" s="84">
        <v>0.129</v>
      </c>
      <c r="AD21" s="84">
        <v>0.129</v>
      </c>
      <c r="AE21" s="84">
        <v>0.129</v>
      </c>
      <c r="AF21" s="84">
        <v>0.129</v>
      </c>
      <c r="AG21" s="84">
        <v>0.129</v>
      </c>
      <c r="AH21" s="84">
        <v>0.129</v>
      </c>
      <c r="AI21" s="84">
        <v>0.129</v>
      </c>
      <c r="AJ21" s="3"/>
      <c r="AK21" s="3"/>
      <c r="AL21" s="130">
        <f t="shared" si="21"/>
        <v>1</v>
      </c>
      <c r="AM21" s="109">
        <f t="shared" si="31"/>
        <v>13</v>
      </c>
      <c r="AN21" s="110">
        <f t="shared" si="10"/>
        <v>45712</v>
      </c>
      <c r="AO21" s="105">
        <f t="shared" si="33"/>
        <v>2344</v>
      </c>
      <c r="AP21" s="105">
        <f t="shared" si="11"/>
        <v>1396.74</v>
      </c>
      <c r="AQ21" s="105">
        <f t="shared" si="12"/>
        <v>947.26</v>
      </c>
      <c r="AR21" s="105">
        <f>IF(AT21&gt;$D$29,$D$29-AP21,IF(AY21=0,0,AV21)+BN70)</f>
        <v>0</v>
      </c>
      <c r="AS21" s="105">
        <f t="shared" si="22"/>
        <v>0</v>
      </c>
      <c r="AT21" s="105">
        <f t="shared" si="23"/>
        <v>1396.74</v>
      </c>
      <c r="AU21" s="105">
        <f t="shared" si="24"/>
        <v>0</v>
      </c>
      <c r="AV21" s="105">
        <f t="shared" si="25"/>
        <v>0</v>
      </c>
      <c r="AW21" s="105">
        <f t="shared" si="13"/>
        <v>54054.360000000008</v>
      </c>
      <c r="AX21" s="108">
        <f t="shared" si="32"/>
        <v>36</v>
      </c>
      <c r="AY21" s="108">
        <f t="shared" si="14"/>
        <v>36</v>
      </c>
      <c r="AZ21" s="22">
        <f t="shared" si="3"/>
        <v>45712</v>
      </c>
      <c r="BA21" s="108">
        <f t="shared" si="3"/>
        <v>2340</v>
      </c>
      <c r="BD21" s="2" t="s">
        <v>377</v>
      </c>
      <c r="BK21" s="116"/>
      <c r="BM21" s="924" t="s">
        <v>439</v>
      </c>
      <c r="BN21" s="925"/>
      <c r="BO21" s="926"/>
    </row>
    <row r="22" spans="1:383" ht="16.5" customHeight="1" thickBot="1" x14ac:dyDescent="0.3">
      <c r="A22" s="919" t="s">
        <v>76</v>
      </c>
      <c r="B22" s="634" t="s">
        <v>102</v>
      </c>
      <c r="C22" s="622" t="s">
        <v>35</v>
      </c>
      <c r="D22" s="635" t="s">
        <v>35</v>
      </c>
      <c r="E22" s="114">
        <f t="shared" si="28"/>
        <v>14</v>
      </c>
      <c r="F22" s="111">
        <f t="shared" si="15"/>
        <v>45740</v>
      </c>
      <c r="G22" s="24">
        <f t="shared" si="5"/>
        <v>2340</v>
      </c>
      <c r="H22" s="24">
        <f t="shared" si="6"/>
        <v>1241.23</v>
      </c>
      <c r="I22" s="24">
        <f t="shared" si="26"/>
        <v>20777.169999999998</v>
      </c>
      <c r="J22" s="24">
        <f t="shared" si="16"/>
        <v>0</v>
      </c>
      <c r="K22" s="24">
        <f t="shared" si="7"/>
        <v>1098.77</v>
      </c>
      <c r="L22" s="24">
        <f t="shared" si="17"/>
        <v>0</v>
      </c>
      <c r="M22" s="24">
        <f t="shared" si="29"/>
        <v>0</v>
      </c>
      <c r="N22" s="24">
        <f t="shared" si="18"/>
        <v>1241.23</v>
      </c>
      <c r="O22" s="24">
        <f t="shared" si="19"/>
        <v>0</v>
      </c>
      <c r="P22" s="24">
        <f t="shared" si="20"/>
        <v>0</v>
      </c>
      <c r="Q22" s="24">
        <f t="shared" si="8"/>
        <v>53016.170000000013</v>
      </c>
      <c r="R22" s="36">
        <f t="shared" si="30"/>
        <v>35</v>
      </c>
      <c r="S22" s="36">
        <f t="shared" si="9"/>
        <v>35</v>
      </c>
      <c r="T22" s="101">
        <f>IF(C17=T4,T23,IF(C17=T5,T23,IF(C17=T6,T24,IF(C17=T7,T24,IF(C17=T8,T25,IF(C17=T9,T26,IF(C17=T10,T26,IF(C17=T11,T26,IF(C17=T12,T27,IF(C17=T13,T26,IF(C17=T14,T27,IF(C17=T15,T27,IF(C17=T16,T27,IF(C17=T17,T27,T23))))))))))))))</f>
        <v>8.9999999999999993E-3</v>
      </c>
      <c r="U22" s="101" t="str">
        <f>IF($D$17=U4,U23,IF($D$17=U5,U23,IF($D$17=U6,U23,IF($D$17=U7,U23,IF($D$17=U8,U24,IF($D$17=U9,U24,IF($D$17=U10,U25,IF($D$17=U11,U26,IF($D$17=U12,U26,"")))))))))</f>
        <v/>
      </c>
      <c r="V22" s="101" t="str">
        <f>IF($D$17=V4,V23,IF($D$17=V5,V23,IF($D$17=V6,V23,IF($D$17=V7,V23,IF($D$17=V8,V24,IF($D$17=V9,V24,IF($D$17=V10,V25,IF($D$17=V11,V26,IF($D$17=V12,V26,"")))))))))</f>
        <v/>
      </c>
      <c r="W22" s="101">
        <f>IF($D$17=W4,W23,IF($D$17=W5,W23,IF($D$17=W6,W23,IF($D$17=W7,W23,IF($D$17=W8,W24,IF($D$17=W9,W24,IF($D$17=W10,W25,IF($D$17=W11,W26,IF($D$17=W12,W26,"")))))))))</f>
        <v>4.9000000000000002E-2</v>
      </c>
      <c r="X22" s="101">
        <f>IF($D$17=X4,X23,IF($D$17=X5,X23,IF($D$17=X6,X23,IF($D$17=X7,X23,IF($D$17=X8,X24,IF($D$17=X9,X24,IF($D$17=X10,X25,IF($D$17=X11,X26,IF($D$17=X12,X26,"")))))))))</f>
        <v>4.9000000000000002E-2</v>
      </c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L22" s="130">
        <f t="shared" si="21"/>
        <v>1</v>
      </c>
      <c r="AM22" s="109">
        <f t="shared" si="31"/>
        <v>14</v>
      </c>
      <c r="AN22" s="110">
        <f t="shared" si="10"/>
        <v>45740</v>
      </c>
      <c r="AO22" s="105">
        <f t="shared" si="33"/>
        <v>2344</v>
      </c>
      <c r="AP22" s="105">
        <f t="shared" si="11"/>
        <v>1239.8399999999999</v>
      </c>
      <c r="AQ22" s="105">
        <f t="shared" si="12"/>
        <v>1104.1600000000001</v>
      </c>
      <c r="AR22" s="105">
        <f t="shared" ref="AR22:AR85" si="34">IF(AT22&gt;$D$29,$D$29-AP22,IF(AY22=0,0,AV22)+BN71)</f>
        <v>0</v>
      </c>
      <c r="AS22" s="105">
        <f t="shared" si="22"/>
        <v>0</v>
      </c>
      <c r="AT22" s="105">
        <f t="shared" si="23"/>
        <v>1239.8399999999999</v>
      </c>
      <c r="AU22" s="105">
        <f t="shared" si="24"/>
        <v>0</v>
      </c>
      <c r="AV22" s="105">
        <f t="shared" si="25"/>
        <v>0</v>
      </c>
      <c r="AW22" s="105">
        <f t="shared" si="13"/>
        <v>52950.200000000004</v>
      </c>
      <c r="AX22" s="108">
        <f t="shared" si="32"/>
        <v>35</v>
      </c>
      <c r="AY22" s="108">
        <f t="shared" si="14"/>
        <v>35</v>
      </c>
      <c r="AZ22" s="22">
        <f t="shared" si="3"/>
        <v>45740</v>
      </c>
      <c r="BA22" s="108">
        <f t="shared" si="3"/>
        <v>2340</v>
      </c>
      <c r="BD22" s="2" t="s">
        <v>434</v>
      </c>
      <c r="BE22" s="2">
        <f>IF(AND(C10&lt;=47,C17=29.9%),7,IF(C10&lt;=47,8,IF(AND(C17=24.9%,C10&gt;47),10,9)))</f>
        <v>9</v>
      </c>
      <c r="BH22" s="2" t="s">
        <v>360</v>
      </c>
      <c r="BI22" s="2">
        <f>IF(AND(C10&lt;=47,C17=29.9%),4,IF(AND(C10&lt;=47,C17=24.9%),6,IF(C10&lt;=47,5,IF(C17=29.9%,5,IF(C17=19.9%,6,7)))))</f>
        <v>5</v>
      </c>
      <c r="BM22" s="685" t="s">
        <v>418</v>
      </c>
      <c r="BN22" s="686" t="s">
        <v>419</v>
      </c>
      <c r="BO22" s="686" t="s">
        <v>435</v>
      </c>
    </row>
    <row r="23" spans="1:383" ht="14.4" thickBot="1" x14ac:dyDescent="0.3">
      <c r="A23" s="919"/>
      <c r="B23" s="634" t="s">
        <v>440</v>
      </c>
      <c r="C23" s="636" t="str">
        <f>IF(C22="Нет",$X$60,IF(C8="Пакет БВ + ГС",$V$13,$U$13))</f>
        <v>Услуга не подключается</v>
      </c>
      <c r="D23" s="636" t="str">
        <f>IF(D22="Нет",$X$60,IF(D8="Максимум",$V$13,$U$13))</f>
        <v>Услуга не подключается</v>
      </c>
      <c r="E23" s="114">
        <f t="shared" si="28"/>
        <v>15</v>
      </c>
      <c r="F23" s="111">
        <f t="shared" si="15"/>
        <v>45771</v>
      </c>
      <c r="G23" s="24">
        <f t="shared" si="5"/>
        <v>2340</v>
      </c>
      <c r="H23" s="24">
        <f t="shared" si="6"/>
        <v>1346.32</v>
      </c>
      <c r="I23" s="24">
        <f t="shared" si="26"/>
        <v>22123.489999999998</v>
      </c>
      <c r="J23" s="24">
        <f t="shared" si="16"/>
        <v>0</v>
      </c>
      <c r="K23" s="24">
        <f t="shared" si="7"/>
        <v>993.68000000000006</v>
      </c>
      <c r="L23" s="24">
        <f t="shared" si="17"/>
        <v>0</v>
      </c>
      <c r="M23" s="24">
        <f t="shared" si="29"/>
        <v>0</v>
      </c>
      <c r="N23" s="24">
        <f t="shared" si="18"/>
        <v>1346.32</v>
      </c>
      <c r="O23" s="24">
        <f t="shared" si="19"/>
        <v>0</v>
      </c>
      <c r="P23" s="24">
        <f t="shared" si="20"/>
        <v>0</v>
      </c>
      <c r="Q23" s="24">
        <f t="shared" si="8"/>
        <v>52022.490000000013</v>
      </c>
      <c r="R23" s="36">
        <f t="shared" si="30"/>
        <v>34</v>
      </c>
      <c r="S23" s="36">
        <f t="shared" si="9"/>
        <v>34</v>
      </c>
      <c r="T23" s="84">
        <v>8.9999999999999993E-3</v>
      </c>
      <c r="U23" s="84">
        <v>8.9999999999999993E-3</v>
      </c>
      <c r="V23" s="84">
        <v>8.9999999999999993E-3</v>
      </c>
      <c r="W23" s="84">
        <v>8.9999999999999993E-3</v>
      </c>
      <c r="X23" s="84">
        <v>8.9999999999999993E-3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L23" s="130">
        <f t="shared" si="21"/>
        <v>1</v>
      </c>
      <c r="AM23" s="109">
        <f t="shared" si="31"/>
        <v>15</v>
      </c>
      <c r="AN23" s="110">
        <f t="shared" si="10"/>
        <v>45771</v>
      </c>
      <c r="AO23" s="105">
        <f t="shared" si="33"/>
        <v>2344</v>
      </c>
      <c r="AP23" s="105">
        <f t="shared" si="11"/>
        <v>1344.64</v>
      </c>
      <c r="AQ23" s="105">
        <f t="shared" si="12"/>
        <v>999.3599999999999</v>
      </c>
      <c r="AR23" s="105">
        <f t="shared" si="34"/>
        <v>0</v>
      </c>
      <c r="AS23" s="105">
        <f t="shared" si="22"/>
        <v>0</v>
      </c>
      <c r="AT23" s="105">
        <f t="shared" si="23"/>
        <v>1344.64</v>
      </c>
      <c r="AU23" s="105">
        <f t="shared" si="24"/>
        <v>0</v>
      </c>
      <c r="AV23" s="105">
        <f t="shared" si="25"/>
        <v>0</v>
      </c>
      <c r="AW23" s="105">
        <f t="shared" si="13"/>
        <v>51950.840000000004</v>
      </c>
      <c r="AX23" s="108">
        <f t="shared" si="32"/>
        <v>34</v>
      </c>
      <c r="AY23" s="108">
        <f t="shared" si="14"/>
        <v>34</v>
      </c>
      <c r="AZ23" s="22">
        <f t="shared" si="3"/>
        <v>45771</v>
      </c>
      <c r="BA23" s="108">
        <f t="shared" si="3"/>
        <v>2340</v>
      </c>
      <c r="BD23" s="16" t="s">
        <v>373</v>
      </c>
      <c r="BE23" s="637">
        <f>(C7+C12+C25)/(1-BF17*BE22)</f>
        <v>72868.834080717483</v>
      </c>
      <c r="BF23" s="16"/>
      <c r="BG23" s="16"/>
      <c r="BH23" s="16" t="s">
        <v>373</v>
      </c>
      <c r="BI23" s="143">
        <f>(C7+C12)/(1-BF19*BI22)</f>
        <v>68927.889713679746</v>
      </c>
      <c r="BM23" s="683" t="s">
        <v>360</v>
      </c>
      <c r="BN23" s="684" t="s">
        <v>422</v>
      </c>
      <c r="BO23" s="684" t="s">
        <v>423</v>
      </c>
    </row>
    <row r="24" spans="1:383" ht="16.5" customHeight="1" thickBot="1" x14ac:dyDescent="0.3">
      <c r="A24" s="919"/>
      <c r="B24" s="634" t="s">
        <v>441</v>
      </c>
      <c r="C24" s="638">
        <v>0.05</v>
      </c>
      <c r="D24" s="638"/>
      <c r="E24" s="114">
        <f t="shared" si="28"/>
        <v>16</v>
      </c>
      <c r="F24" s="111">
        <f t="shared" si="15"/>
        <v>45801</v>
      </c>
      <c r="G24" s="24">
        <f t="shared" si="5"/>
        <v>2340</v>
      </c>
      <c r="H24" s="24">
        <f t="shared" si="6"/>
        <v>1278.47</v>
      </c>
      <c r="I24" s="24">
        <f t="shared" si="26"/>
        <v>23401.96</v>
      </c>
      <c r="J24" s="24">
        <f t="shared" si="16"/>
        <v>0</v>
      </c>
      <c r="K24" s="24">
        <f t="shared" si="7"/>
        <v>1061.53</v>
      </c>
      <c r="L24" s="24">
        <f t="shared" si="17"/>
        <v>0</v>
      </c>
      <c r="M24" s="24">
        <f t="shared" si="29"/>
        <v>0</v>
      </c>
      <c r="N24" s="24">
        <f t="shared" si="18"/>
        <v>1278.47</v>
      </c>
      <c r="O24" s="24">
        <f t="shared" si="19"/>
        <v>0</v>
      </c>
      <c r="P24" s="24">
        <f t="shared" si="20"/>
        <v>0</v>
      </c>
      <c r="Q24" s="24">
        <f t="shared" si="8"/>
        <v>50960.960000000014</v>
      </c>
      <c r="R24" s="36">
        <f t="shared" si="30"/>
        <v>33</v>
      </c>
      <c r="S24" s="36">
        <f t="shared" si="9"/>
        <v>33</v>
      </c>
      <c r="T24" s="84">
        <v>1.9E-2</v>
      </c>
      <c r="U24" s="84">
        <v>1.9E-2</v>
      </c>
      <c r="V24" s="84">
        <v>1.9E-2</v>
      </c>
      <c r="W24" s="84">
        <v>1.9E-2</v>
      </c>
      <c r="X24" s="84">
        <v>1.9E-2</v>
      </c>
      <c r="Y24" s="15">
        <v>4.9000000000000002E-2</v>
      </c>
      <c r="Z24" s="15">
        <v>4.9000000000000002E-2</v>
      </c>
      <c r="AA24" s="15">
        <v>4.9000000000000002E-2</v>
      </c>
      <c r="AB24" s="15">
        <v>4.9000000000000002E-2</v>
      </c>
      <c r="AC24" s="80">
        <v>6.9000000000000006E-2</v>
      </c>
      <c r="AD24" s="80">
        <v>6.9000000000000006E-2</v>
      </c>
      <c r="AE24" s="80">
        <v>6.9000000000000006E-2</v>
      </c>
      <c r="AF24" s="80">
        <v>6.9000000000000006E-2</v>
      </c>
      <c r="AG24" s="80">
        <v>6.9000000000000006E-2</v>
      </c>
      <c r="AH24" s="80">
        <v>6.9000000000000006E-2</v>
      </c>
      <c r="AI24" s="80">
        <v>6.9000000000000006E-2</v>
      </c>
      <c r="AL24" s="130">
        <f t="shared" si="21"/>
        <v>1</v>
      </c>
      <c r="AM24" s="109">
        <f t="shared" si="31"/>
        <v>16</v>
      </c>
      <c r="AN24" s="110">
        <f t="shared" si="10"/>
        <v>45801</v>
      </c>
      <c r="AO24" s="105">
        <f t="shared" si="33"/>
        <v>2344</v>
      </c>
      <c r="AP24" s="105">
        <f t="shared" si="11"/>
        <v>1276.71</v>
      </c>
      <c r="AQ24" s="105">
        <f t="shared" si="12"/>
        <v>1067.29</v>
      </c>
      <c r="AR24" s="105">
        <f t="shared" si="34"/>
        <v>0</v>
      </c>
      <c r="AS24" s="105">
        <f t="shared" si="22"/>
        <v>0</v>
      </c>
      <c r="AT24" s="105">
        <f t="shared" si="23"/>
        <v>1276.71</v>
      </c>
      <c r="AU24" s="105">
        <f t="shared" si="24"/>
        <v>0</v>
      </c>
      <c r="AV24" s="105">
        <f t="shared" si="25"/>
        <v>0</v>
      </c>
      <c r="AW24" s="105">
        <f t="shared" si="13"/>
        <v>50883.55</v>
      </c>
      <c r="AX24" s="108">
        <f t="shared" si="32"/>
        <v>33</v>
      </c>
      <c r="AY24" s="108">
        <f t="shared" si="14"/>
        <v>33</v>
      </c>
      <c r="AZ24" s="22">
        <f t="shared" si="3"/>
        <v>45801</v>
      </c>
      <c r="BA24" s="108">
        <f t="shared" si="3"/>
        <v>2340</v>
      </c>
      <c r="BD24" s="16" t="s">
        <v>374</v>
      </c>
      <c r="BE24" s="143">
        <f>BE23*BF17*BE22</f>
        <v>7869.8340807174882</v>
      </c>
      <c r="BF24" s="16"/>
      <c r="BG24" s="16"/>
      <c r="BH24" s="16" t="s">
        <v>374</v>
      </c>
      <c r="BI24" s="143">
        <f>BI23*BF19*BI22</f>
        <v>3928.8897136797459</v>
      </c>
      <c r="BM24" s="683" t="s">
        <v>424</v>
      </c>
      <c r="BN24" s="684" t="s">
        <v>425</v>
      </c>
      <c r="BO24" s="684" t="s">
        <v>426</v>
      </c>
    </row>
    <row r="25" spans="1:383" ht="16.5" customHeight="1" x14ac:dyDescent="0.25">
      <c r="A25" s="919"/>
      <c r="B25" s="634" t="s">
        <v>442</v>
      </c>
      <c r="C25" s="639">
        <f>IF(C23&lt;&gt;X60,IF(C22="Нет",0,ROUND($C$7*C24,2)),0)</f>
        <v>0</v>
      </c>
      <c r="D25" s="639"/>
      <c r="E25" s="114">
        <f t="shared" si="28"/>
        <v>17</v>
      </c>
      <c r="F25" s="111">
        <f t="shared" si="15"/>
        <v>45832</v>
      </c>
      <c r="G25" s="24">
        <f t="shared" si="5"/>
        <v>2340</v>
      </c>
      <c r="H25" s="24">
        <f t="shared" si="6"/>
        <v>1294.1300000000001</v>
      </c>
      <c r="I25" s="24">
        <f t="shared" si="26"/>
        <v>24696.09</v>
      </c>
      <c r="J25" s="24">
        <f t="shared" si="16"/>
        <v>0</v>
      </c>
      <c r="K25" s="24">
        <f t="shared" si="7"/>
        <v>1045.8699999999999</v>
      </c>
      <c r="L25" s="24">
        <f t="shared" si="17"/>
        <v>0</v>
      </c>
      <c r="M25" s="24">
        <f t="shared" si="29"/>
        <v>0</v>
      </c>
      <c r="N25" s="24">
        <f t="shared" si="18"/>
        <v>1294.1300000000001</v>
      </c>
      <c r="O25" s="24">
        <f t="shared" si="19"/>
        <v>0</v>
      </c>
      <c r="P25" s="24">
        <f t="shared" si="20"/>
        <v>0</v>
      </c>
      <c r="Q25" s="24">
        <f t="shared" si="8"/>
        <v>49915.090000000011</v>
      </c>
      <c r="R25" s="36">
        <f t="shared" si="30"/>
        <v>32</v>
      </c>
      <c r="S25" s="36">
        <f t="shared" si="9"/>
        <v>32</v>
      </c>
      <c r="T25" s="122">
        <v>2.9000000000000001E-2</v>
      </c>
      <c r="U25" s="122">
        <v>2.9000000000000001E-2</v>
      </c>
      <c r="V25" s="122">
        <v>2.9000000000000001E-2</v>
      </c>
      <c r="W25" s="122">
        <v>2.9000000000000001E-2</v>
      </c>
      <c r="X25" s="122">
        <v>2.9000000000000001E-2</v>
      </c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6"/>
      <c r="AK25" s="116"/>
      <c r="AL25" s="130">
        <f t="shared" si="21"/>
        <v>1</v>
      </c>
      <c r="AM25" s="168">
        <f t="shared" si="31"/>
        <v>17</v>
      </c>
      <c r="AN25" s="167">
        <f t="shared" si="10"/>
        <v>45832</v>
      </c>
      <c r="AO25" s="105">
        <f t="shared" si="33"/>
        <v>2344</v>
      </c>
      <c r="AP25" s="105">
        <f t="shared" si="11"/>
        <v>1292.1600000000001</v>
      </c>
      <c r="AQ25" s="105">
        <f t="shared" si="12"/>
        <v>1051.8399999999999</v>
      </c>
      <c r="AR25" s="105">
        <f t="shared" si="34"/>
        <v>0</v>
      </c>
      <c r="AS25" s="105">
        <f t="shared" si="22"/>
        <v>0</v>
      </c>
      <c r="AT25" s="105">
        <f t="shared" si="23"/>
        <v>1292.1600000000001</v>
      </c>
      <c r="AU25" s="105">
        <f t="shared" si="24"/>
        <v>0</v>
      </c>
      <c r="AV25" s="105">
        <f t="shared" si="25"/>
        <v>0</v>
      </c>
      <c r="AW25" s="105">
        <f t="shared" si="13"/>
        <v>49831.710000000006</v>
      </c>
      <c r="AX25" s="108">
        <f t="shared" si="32"/>
        <v>32</v>
      </c>
      <c r="AY25" s="108">
        <f t="shared" si="14"/>
        <v>32</v>
      </c>
      <c r="AZ25" s="22">
        <f t="shared" si="3"/>
        <v>45832</v>
      </c>
      <c r="BA25" s="108">
        <f t="shared" si="3"/>
        <v>2340</v>
      </c>
      <c r="BD25" s="16"/>
      <c r="BE25" s="16"/>
      <c r="BF25" s="16"/>
      <c r="BG25" s="16"/>
      <c r="BH25" s="16"/>
      <c r="BI25" s="16"/>
      <c r="BJ25" s="16"/>
      <c r="BK25" s="16"/>
      <c r="BL25" s="16"/>
    </row>
    <row r="26" spans="1:383" ht="16.5" customHeight="1" x14ac:dyDescent="0.25">
      <c r="A26" s="919"/>
      <c r="B26" s="634" t="s">
        <v>443</v>
      </c>
      <c r="C26" s="639">
        <f>IF(AND($C$23&lt;&gt;X60,C22="Да"),H160-H160/C19*C23,0)</f>
        <v>0</v>
      </c>
      <c r="D26" s="640"/>
      <c r="E26" s="114">
        <f t="shared" si="28"/>
        <v>18</v>
      </c>
      <c r="F26" s="111">
        <f t="shared" si="15"/>
        <v>45862</v>
      </c>
      <c r="G26" s="24">
        <f t="shared" si="5"/>
        <v>2340</v>
      </c>
      <c r="H26" s="24">
        <f t="shared" si="6"/>
        <v>1226.68</v>
      </c>
      <c r="I26" s="24">
        <f t="shared" si="26"/>
        <v>25922.77</v>
      </c>
      <c r="J26" s="24">
        <f t="shared" si="16"/>
        <v>0</v>
      </c>
      <c r="K26" s="24">
        <f t="shared" si="7"/>
        <v>1113.32</v>
      </c>
      <c r="L26" s="24">
        <f t="shared" si="17"/>
        <v>0</v>
      </c>
      <c r="M26" s="24">
        <f t="shared" si="29"/>
        <v>0</v>
      </c>
      <c r="N26" s="24">
        <f t="shared" si="18"/>
        <v>1226.68</v>
      </c>
      <c r="O26" s="24">
        <f t="shared" si="19"/>
        <v>0</v>
      </c>
      <c r="P26" s="24">
        <f t="shared" si="20"/>
        <v>0</v>
      </c>
      <c r="Q26" s="24">
        <f t="shared" si="8"/>
        <v>48801.770000000011</v>
      </c>
      <c r="R26" s="36">
        <f t="shared" si="30"/>
        <v>31</v>
      </c>
      <c r="S26" s="36">
        <f t="shared" si="9"/>
        <v>31</v>
      </c>
      <c r="T26" s="84">
        <v>4.9000000000000002E-2</v>
      </c>
      <c r="U26" s="84">
        <v>4.9000000000000002E-2</v>
      </c>
      <c r="V26" s="84">
        <v>4.9000000000000002E-2</v>
      </c>
      <c r="W26" s="84">
        <v>4.9000000000000002E-2</v>
      </c>
      <c r="X26" s="84">
        <v>4.9000000000000002E-2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L26" s="130">
        <f t="shared" si="21"/>
        <v>1</v>
      </c>
      <c r="AM26" s="109">
        <f t="shared" si="31"/>
        <v>18</v>
      </c>
      <c r="AN26" s="110">
        <f t="shared" si="10"/>
        <v>45862</v>
      </c>
      <c r="AO26" s="105">
        <f t="shared" si="33"/>
        <v>2344</v>
      </c>
      <c r="AP26" s="105">
        <f t="shared" si="11"/>
        <v>1224.6300000000001</v>
      </c>
      <c r="AQ26" s="105">
        <f t="shared" si="12"/>
        <v>1119.3699999999999</v>
      </c>
      <c r="AR26" s="105">
        <f t="shared" si="34"/>
        <v>0</v>
      </c>
      <c r="AS26" s="105">
        <f t="shared" si="22"/>
        <v>0</v>
      </c>
      <c r="AT26" s="105">
        <f t="shared" si="23"/>
        <v>1224.6300000000001</v>
      </c>
      <c r="AU26" s="105">
        <f t="shared" si="24"/>
        <v>0</v>
      </c>
      <c r="AV26" s="105">
        <f t="shared" si="25"/>
        <v>0</v>
      </c>
      <c r="AW26" s="105">
        <f t="shared" si="13"/>
        <v>48712.340000000004</v>
      </c>
      <c r="AX26" s="108">
        <f t="shared" si="32"/>
        <v>31</v>
      </c>
      <c r="AY26" s="108">
        <f t="shared" si="14"/>
        <v>31</v>
      </c>
      <c r="AZ26" s="22">
        <f t="shared" si="3"/>
        <v>45862</v>
      </c>
      <c r="BA26" s="108">
        <f t="shared" si="3"/>
        <v>2340</v>
      </c>
      <c r="BB26" s="97"/>
      <c r="BC26" s="97"/>
      <c r="BD26" s="16"/>
      <c r="BE26" s="16"/>
      <c r="BF26" s="16"/>
      <c r="BG26" s="16"/>
      <c r="BH26" s="16"/>
      <c r="BI26" s="16"/>
      <c r="BJ26" s="16"/>
      <c r="BK26" s="16"/>
      <c r="BL26" s="16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97"/>
      <c r="DW26" s="97"/>
      <c r="DX26" s="97"/>
      <c r="DY26" s="97"/>
      <c r="DZ26" s="97"/>
      <c r="EA26" s="97"/>
      <c r="EB26" s="97"/>
      <c r="EC26" s="97"/>
      <c r="ED26" s="97"/>
      <c r="EE26" s="97"/>
      <c r="EF26" s="97"/>
      <c r="EG26" s="97"/>
      <c r="EH26" s="97"/>
      <c r="EI26" s="97"/>
      <c r="EJ26" s="97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97"/>
      <c r="FC26" s="97"/>
      <c r="FD26" s="97"/>
      <c r="FE26" s="97"/>
      <c r="FF26" s="97"/>
      <c r="FG26" s="97"/>
      <c r="FH26" s="97"/>
      <c r="FI26" s="97"/>
      <c r="FJ26" s="97"/>
      <c r="FK26" s="97"/>
      <c r="FL26" s="97"/>
      <c r="FM26" s="97"/>
      <c r="FN26" s="97"/>
      <c r="FO26" s="97"/>
      <c r="FP26" s="97"/>
      <c r="FQ26" s="97"/>
      <c r="FR26" s="97"/>
      <c r="FS26" s="97"/>
      <c r="FT26" s="97"/>
      <c r="FU26" s="97"/>
      <c r="FV26" s="97"/>
      <c r="FW26" s="97"/>
      <c r="FX26" s="97"/>
      <c r="FY26" s="97"/>
      <c r="FZ26" s="97"/>
      <c r="GA26" s="97"/>
      <c r="GB26" s="97"/>
      <c r="GC26" s="97"/>
      <c r="GD26" s="97"/>
      <c r="GE26" s="97"/>
      <c r="GF26" s="97"/>
      <c r="GG26" s="97"/>
      <c r="GH26" s="97"/>
      <c r="GI26" s="97"/>
      <c r="GJ26" s="97"/>
      <c r="GK26" s="97"/>
      <c r="GL26" s="97"/>
      <c r="GM26" s="97"/>
      <c r="GN26" s="97"/>
      <c r="GO26" s="97"/>
      <c r="GP26" s="97"/>
      <c r="GQ26" s="97"/>
      <c r="GR26" s="97"/>
      <c r="GS26" s="97"/>
      <c r="GT26" s="97"/>
      <c r="GU26" s="97"/>
      <c r="GV26" s="97"/>
      <c r="GW26" s="97"/>
      <c r="GX26" s="97"/>
      <c r="GY26" s="97"/>
      <c r="GZ26" s="97"/>
      <c r="HA26" s="97"/>
      <c r="HB26" s="97"/>
      <c r="HC26" s="97"/>
      <c r="HD26" s="97"/>
      <c r="HE26" s="97"/>
      <c r="HF26" s="97"/>
      <c r="HG26" s="97"/>
      <c r="HH26" s="97"/>
      <c r="HI26" s="97"/>
      <c r="HJ26" s="97"/>
      <c r="HK26" s="97"/>
      <c r="HL26" s="97"/>
      <c r="HM26" s="97"/>
      <c r="HN26" s="97"/>
      <c r="HO26" s="97"/>
      <c r="HP26" s="97"/>
      <c r="HQ26" s="97"/>
      <c r="HR26" s="97"/>
      <c r="HS26" s="97"/>
      <c r="HT26" s="97"/>
      <c r="HU26" s="97"/>
      <c r="HV26" s="97"/>
      <c r="HW26" s="97"/>
      <c r="HX26" s="97"/>
      <c r="HY26" s="97"/>
      <c r="HZ26" s="97"/>
      <c r="IA26" s="97"/>
      <c r="IB26" s="97"/>
      <c r="IC26" s="97"/>
      <c r="ID26" s="97"/>
      <c r="IE26" s="97"/>
      <c r="IF26" s="97"/>
      <c r="IG26" s="97"/>
      <c r="IH26" s="97"/>
      <c r="II26" s="97"/>
      <c r="IJ26" s="97"/>
      <c r="IK26" s="97"/>
      <c r="IL26" s="97"/>
      <c r="IM26" s="97"/>
      <c r="IN26" s="97"/>
      <c r="IO26" s="97"/>
      <c r="IP26" s="97"/>
      <c r="IQ26" s="97"/>
      <c r="IR26" s="97"/>
      <c r="IS26" s="97"/>
      <c r="IT26" s="97"/>
      <c r="IU26" s="97"/>
      <c r="IV26" s="97"/>
      <c r="IW26" s="97"/>
      <c r="IX26" s="97"/>
      <c r="IY26" s="97"/>
      <c r="IZ26" s="97"/>
      <c r="JA26" s="97"/>
      <c r="JB26" s="97"/>
      <c r="JC26" s="97"/>
      <c r="JD26" s="97"/>
      <c r="JE26" s="97"/>
      <c r="JF26" s="97"/>
      <c r="JG26" s="97"/>
      <c r="JH26" s="97"/>
      <c r="JI26" s="97"/>
      <c r="JJ26" s="97"/>
      <c r="JK26" s="97"/>
      <c r="JL26" s="97"/>
      <c r="JM26" s="97"/>
      <c r="JN26" s="97"/>
      <c r="JO26" s="97"/>
      <c r="JP26" s="97"/>
      <c r="JQ26" s="97"/>
      <c r="JR26" s="97"/>
      <c r="JS26" s="97"/>
      <c r="JT26" s="97"/>
      <c r="JU26" s="97"/>
      <c r="JV26" s="97"/>
      <c r="JW26" s="97"/>
      <c r="JX26" s="97"/>
      <c r="JY26" s="97"/>
      <c r="JZ26" s="97"/>
      <c r="KA26" s="97"/>
      <c r="KB26" s="97"/>
      <c r="KC26" s="97"/>
      <c r="KD26" s="97"/>
      <c r="KE26" s="97"/>
      <c r="KF26" s="97"/>
      <c r="KG26" s="97"/>
      <c r="KH26" s="97"/>
      <c r="KI26" s="97"/>
      <c r="KJ26" s="97"/>
      <c r="KK26" s="97"/>
      <c r="KL26" s="97"/>
      <c r="KM26" s="97"/>
      <c r="KN26" s="97"/>
      <c r="KO26" s="97"/>
      <c r="KP26" s="97"/>
      <c r="KQ26" s="97"/>
      <c r="KR26" s="97"/>
      <c r="KS26" s="97"/>
      <c r="KT26" s="97"/>
      <c r="KU26" s="97"/>
      <c r="KV26" s="97"/>
      <c r="KW26" s="97"/>
      <c r="KX26" s="97"/>
      <c r="KY26" s="97"/>
      <c r="KZ26" s="97"/>
      <c r="LA26" s="97"/>
      <c r="LB26" s="97"/>
      <c r="LC26" s="97"/>
      <c r="LD26" s="97"/>
      <c r="LE26" s="97"/>
      <c r="LF26" s="97"/>
      <c r="LG26" s="97"/>
      <c r="LH26" s="97"/>
      <c r="LI26" s="97"/>
      <c r="LJ26" s="97"/>
      <c r="LK26" s="97"/>
      <c r="LL26" s="97"/>
      <c r="LM26" s="97"/>
      <c r="LN26" s="97"/>
      <c r="LO26" s="97"/>
      <c r="LP26" s="97"/>
      <c r="LQ26" s="97"/>
      <c r="LR26" s="97"/>
      <c r="LS26" s="97"/>
      <c r="LT26" s="97"/>
      <c r="LU26" s="97"/>
      <c r="LV26" s="97"/>
      <c r="LW26" s="97"/>
      <c r="LX26" s="97"/>
      <c r="LY26" s="97"/>
      <c r="LZ26" s="97"/>
      <c r="MA26" s="97"/>
      <c r="MB26" s="97"/>
      <c r="MC26" s="97"/>
      <c r="MD26" s="97"/>
      <c r="ME26" s="97"/>
      <c r="MF26" s="97"/>
      <c r="MG26" s="97"/>
      <c r="MH26" s="97"/>
      <c r="MI26" s="97"/>
      <c r="MJ26" s="97"/>
      <c r="MK26" s="97"/>
      <c r="ML26" s="97"/>
      <c r="MM26" s="97"/>
      <c r="MN26" s="97"/>
      <c r="MO26" s="97"/>
      <c r="MP26" s="97"/>
      <c r="MQ26" s="97"/>
      <c r="MR26" s="97"/>
      <c r="MS26" s="97"/>
      <c r="MT26" s="97"/>
      <c r="MU26" s="97"/>
      <c r="MV26" s="97"/>
      <c r="MW26" s="97"/>
      <c r="MX26" s="97"/>
      <c r="MY26" s="97"/>
      <c r="MZ26" s="97"/>
      <c r="NA26" s="97"/>
      <c r="NB26" s="97"/>
      <c r="NC26" s="97"/>
      <c r="ND26" s="97"/>
      <c r="NE26" s="97"/>
      <c r="NF26" s="97"/>
      <c r="NG26" s="97"/>
      <c r="NH26" s="97"/>
      <c r="NI26" s="97"/>
      <c r="NJ26" s="97"/>
      <c r="NK26" s="97"/>
      <c r="NL26" s="97"/>
      <c r="NM26" s="97"/>
      <c r="NN26" s="97"/>
      <c r="NO26" s="97"/>
      <c r="NP26" s="97"/>
      <c r="NQ26" s="97"/>
      <c r="NR26" s="97"/>
      <c r="NS26" s="97"/>
    </row>
    <row r="27" spans="1:383" ht="22.5" customHeight="1" x14ac:dyDescent="0.25">
      <c r="A27" s="919"/>
      <c r="B27" s="641" t="s">
        <v>444</v>
      </c>
      <c r="C27" s="642" t="e">
        <f>IF(AND($C$23&lt;&gt;X60,J160&gt;0),C26-J160,C26)</f>
        <v>#VALUE!</v>
      </c>
      <c r="D27" s="643"/>
      <c r="E27" s="114">
        <f t="shared" si="28"/>
        <v>19</v>
      </c>
      <c r="F27" s="111">
        <f t="shared" si="15"/>
        <v>45893</v>
      </c>
      <c r="G27" s="24">
        <f t="shared" si="5"/>
        <v>2340</v>
      </c>
      <c r="H27" s="24">
        <f t="shared" si="6"/>
        <v>1239.3</v>
      </c>
      <c r="I27" s="24">
        <f t="shared" si="26"/>
        <v>27162.07</v>
      </c>
      <c r="J27" s="24">
        <f t="shared" si="16"/>
        <v>0</v>
      </c>
      <c r="K27" s="24">
        <f t="shared" si="7"/>
        <v>1100.7</v>
      </c>
      <c r="L27" s="24">
        <f t="shared" si="17"/>
        <v>0</v>
      </c>
      <c r="M27" s="24">
        <f t="shared" si="29"/>
        <v>0</v>
      </c>
      <c r="N27" s="24">
        <f t="shared" si="18"/>
        <v>1239.3</v>
      </c>
      <c r="O27" s="24">
        <f t="shared" si="19"/>
        <v>0</v>
      </c>
      <c r="P27" s="24">
        <f t="shared" si="20"/>
        <v>0</v>
      </c>
      <c r="Q27" s="24">
        <f t="shared" si="8"/>
        <v>47701.070000000014</v>
      </c>
      <c r="R27" s="36">
        <f t="shared" si="30"/>
        <v>30</v>
      </c>
      <c r="S27" s="36">
        <f t="shared" si="9"/>
        <v>30</v>
      </c>
      <c r="T27" s="84">
        <v>6.9000000000000006E-2</v>
      </c>
      <c r="U27" s="84">
        <v>6.9000000000000006E-2</v>
      </c>
      <c r="V27" s="84">
        <v>6.9000000000000006E-2</v>
      </c>
      <c r="W27" s="84">
        <v>6.9000000000000006E-2</v>
      </c>
      <c r="X27" s="84">
        <v>6.9000000000000006E-2</v>
      </c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L27" s="130">
        <f t="shared" si="21"/>
        <v>1</v>
      </c>
      <c r="AM27" s="109">
        <f t="shared" si="31"/>
        <v>19</v>
      </c>
      <c r="AN27" s="110">
        <f t="shared" si="10"/>
        <v>45893</v>
      </c>
      <c r="AO27" s="105">
        <f t="shared" si="33"/>
        <v>2344</v>
      </c>
      <c r="AP27" s="105">
        <f t="shared" si="11"/>
        <v>1237.03</v>
      </c>
      <c r="AQ27" s="105">
        <f t="shared" si="12"/>
        <v>1106.97</v>
      </c>
      <c r="AR27" s="105">
        <f t="shared" si="34"/>
        <v>0</v>
      </c>
      <c r="AS27" s="105">
        <f t="shared" si="22"/>
        <v>0</v>
      </c>
      <c r="AT27" s="105">
        <f t="shared" si="23"/>
        <v>1237.03</v>
      </c>
      <c r="AU27" s="105">
        <f t="shared" si="24"/>
        <v>0</v>
      </c>
      <c r="AV27" s="105">
        <f t="shared" si="25"/>
        <v>0</v>
      </c>
      <c r="AW27" s="105">
        <f t="shared" si="13"/>
        <v>47605.37</v>
      </c>
      <c r="AX27" s="108">
        <f t="shared" si="32"/>
        <v>30</v>
      </c>
      <c r="AY27" s="108">
        <f t="shared" si="14"/>
        <v>30</v>
      </c>
      <c r="AZ27" s="22">
        <f t="shared" si="3"/>
        <v>45893</v>
      </c>
      <c r="BA27" s="108">
        <f t="shared" si="3"/>
        <v>2340</v>
      </c>
      <c r="BF27" s="16"/>
      <c r="BG27" s="16"/>
      <c r="BJ27" s="16"/>
    </row>
    <row r="28" spans="1:383" ht="22.5" customHeight="1" x14ac:dyDescent="0.25">
      <c r="A28" s="907" t="str">
        <f>IF(AND($C$8&lt;&gt;"Нет",$D$8&lt;&gt;"Нет",$C$11&lt;&gt;"Нет"),"Сумма кредита с учетом страховой премии и 
комиссии за пакет услуг Всё под контролем, руб.",IF(AND($C$8&lt;&gt;"Нет",$D$8&lt;&gt;"Нет",$C$11&lt;&gt;"Да"),"Сумма кредита с учетом страховой премии, руб.",IF(AND($D$8&lt;&gt;"Нет",$C$11&lt;&gt;"Нет"),"Сумма кредита с учетом комиссии за пакет услуг Всё под контролем, руб.","Сумма кредита, руб.")))</f>
        <v>Сумма кредита, руб.</v>
      </c>
      <c r="B28" s="908"/>
      <c r="C28" s="644">
        <f>C7+C32+IF(C22="Да",C25,0)+IF(C11="Да",C12,0)</f>
        <v>64999</v>
      </c>
      <c r="D28" s="644">
        <f>D7+D32+IF(D22="Да",D25,0)+IF(D11="Да",D12,0)</f>
        <v>64999</v>
      </c>
      <c r="E28" s="114">
        <f t="shared" si="28"/>
        <v>20</v>
      </c>
      <c r="F28" s="111">
        <f t="shared" si="15"/>
        <v>45924</v>
      </c>
      <c r="G28" s="24">
        <f t="shared" si="5"/>
        <v>2340</v>
      </c>
      <c r="H28" s="24">
        <f t="shared" si="6"/>
        <v>1211.3499999999999</v>
      </c>
      <c r="I28" s="24">
        <f t="shared" si="26"/>
        <v>28373.42</v>
      </c>
      <c r="J28" s="24">
        <f t="shared" si="16"/>
        <v>0</v>
      </c>
      <c r="K28" s="24">
        <f t="shared" si="7"/>
        <v>1128.6500000000001</v>
      </c>
      <c r="L28" s="24">
        <f t="shared" si="17"/>
        <v>0</v>
      </c>
      <c r="M28" s="24">
        <f t="shared" si="29"/>
        <v>0</v>
      </c>
      <c r="N28" s="24">
        <f t="shared" si="18"/>
        <v>1211.3499999999999</v>
      </c>
      <c r="O28" s="24">
        <f t="shared" si="19"/>
        <v>0</v>
      </c>
      <c r="P28" s="24">
        <f t="shared" si="20"/>
        <v>0</v>
      </c>
      <c r="Q28" s="24">
        <f t="shared" si="8"/>
        <v>46572.420000000013</v>
      </c>
      <c r="R28" s="36">
        <f t="shared" si="30"/>
        <v>29</v>
      </c>
      <c r="S28" s="36">
        <f t="shared" si="9"/>
        <v>29</v>
      </c>
      <c r="T28" s="2">
        <v>1</v>
      </c>
      <c r="U28" s="2">
        <v>1</v>
      </c>
      <c r="V28" s="3">
        <v>1</v>
      </c>
      <c r="W28" s="2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81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L28" s="130">
        <f t="shared" si="21"/>
        <v>1</v>
      </c>
      <c r="AM28" s="109">
        <f t="shared" si="31"/>
        <v>20</v>
      </c>
      <c r="AN28" s="110">
        <f t="shared" si="10"/>
        <v>45924</v>
      </c>
      <c r="AO28" s="105">
        <f t="shared" si="33"/>
        <v>2344</v>
      </c>
      <c r="AP28" s="105">
        <f t="shared" si="11"/>
        <v>1208.92</v>
      </c>
      <c r="AQ28" s="105">
        <f t="shared" si="12"/>
        <v>1135.08</v>
      </c>
      <c r="AR28" s="105">
        <f t="shared" si="34"/>
        <v>0</v>
      </c>
      <c r="AS28" s="105">
        <f t="shared" si="22"/>
        <v>0</v>
      </c>
      <c r="AT28" s="105">
        <f t="shared" si="23"/>
        <v>1208.92</v>
      </c>
      <c r="AU28" s="105">
        <f t="shared" si="24"/>
        <v>0</v>
      </c>
      <c r="AV28" s="105">
        <f t="shared" si="25"/>
        <v>0</v>
      </c>
      <c r="AW28" s="105">
        <f t="shared" si="13"/>
        <v>46470.29</v>
      </c>
      <c r="AX28" s="108">
        <f t="shared" si="32"/>
        <v>29</v>
      </c>
      <c r="AY28" s="108">
        <f t="shared" si="14"/>
        <v>29</v>
      </c>
      <c r="AZ28" s="22">
        <f t="shared" si="3"/>
        <v>45924</v>
      </c>
      <c r="BA28" s="108">
        <f t="shared" si="3"/>
        <v>2340</v>
      </c>
      <c r="BD28" s="16"/>
      <c r="BE28" s="143"/>
      <c r="BF28" s="16"/>
      <c r="BG28" s="16"/>
      <c r="BH28" s="16"/>
      <c r="BI28" s="143"/>
      <c r="BJ28" s="16"/>
      <c r="BK28" s="16"/>
      <c r="BL28" s="143"/>
    </row>
    <row r="29" spans="1:383" ht="26.25" customHeight="1" x14ac:dyDescent="0.25">
      <c r="A29" s="907" t="str">
        <f>IF(AND($C$8&lt;&gt;"Нет",$D$8&lt;&gt;"Нет",$C$11&lt;&gt;"Нет"),"Платеж с учетом страховой премии и 
комиссии за пакет услуг Всё под контролем, руб.",IF(AND($C$8&lt;&gt;"Нет",$D$8&lt;&gt;"Нет",$C$11&lt;&gt;"Да"),"Платеж с учетом страховой премии, руб.",IF(AND($D$8&lt;&gt;"Нет",$C$11&lt;&gt;"Нет"),"Платеж с учетом  комиссии за пакет услуг Всё под контролем, руб.","Платеж, руб.")))</f>
        <v>Платеж, руб.</v>
      </c>
      <c r="B29" s="908"/>
      <c r="C29" s="645">
        <f>IF(AND(C8="Нет",C22="Нет"),ROUNDUP(AB55/$AE$47,0)*$AE$47,D29)</f>
        <v>2340</v>
      </c>
      <c r="D29" s="646">
        <f>ROUNDUP(AD$55/$AE$47,0)*$AE$47</f>
        <v>2344</v>
      </c>
      <c r="E29" s="114">
        <f t="shared" si="28"/>
        <v>21</v>
      </c>
      <c r="F29" s="111">
        <f t="shared" si="15"/>
        <v>45954</v>
      </c>
      <c r="G29" s="24">
        <f t="shared" si="5"/>
        <v>2340</v>
      </c>
      <c r="H29" s="24">
        <f t="shared" si="6"/>
        <v>1144.53</v>
      </c>
      <c r="I29" s="24">
        <f t="shared" si="26"/>
        <v>29517.949999999997</v>
      </c>
      <c r="J29" s="24">
        <f t="shared" si="16"/>
        <v>0</v>
      </c>
      <c r="K29" s="24">
        <f t="shared" si="7"/>
        <v>1195.47</v>
      </c>
      <c r="L29" s="24">
        <f t="shared" si="17"/>
        <v>0</v>
      </c>
      <c r="M29" s="24">
        <f t="shared" si="29"/>
        <v>0</v>
      </c>
      <c r="N29" s="24">
        <f t="shared" si="18"/>
        <v>1144.53</v>
      </c>
      <c r="O29" s="24">
        <f t="shared" si="19"/>
        <v>0</v>
      </c>
      <c r="P29" s="24">
        <f t="shared" si="20"/>
        <v>0</v>
      </c>
      <c r="Q29" s="24">
        <f t="shared" si="8"/>
        <v>45376.950000000012</v>
      </c>
      <c r="R29" s="36">
        <f t="shared" si="30"/>
        <v>28</v>
      </c>
      <c r="S29" s="36">
        <f t="shared" si="9"/>
        <v>28</v>
      </c>
      <c r="AB29" s="82"/>
      <c r="AC29" s="2"/>
      <c r="AD29" s="2"/>
      <c r="AE29" s="2"/>
      <c r="AF29" s="3"/>
      <c r="AG29" s="3"/>
      <c r="AH29" s="3"/>
      <c r="AI29" s="3"/>
      <c r="AL29" s="130">
        <f t="shared" si="21"/>
        <v>1</v>
      </c>
      <c r="AM29" s="109">
        <f t="shared" si="31"/>
        <v>21</v>
      </c>
      <c r="AN29" s="110">
        <f t="shared" si="10"/>
        <v>45954</v>
      </c>
      <c r="AO29" s="105">
        <f t="shared" si="33"/>
        <v>2344</v>
      </c>
      <c r="AP29" s="105">
        <f t="shared" si="11"/>
        <v>1142.02</v>
      </c>
      <c r="AQ29" s="105">
        <f t="shared" si="12"/>
        <v>1201.98</v>
      </c>
      <c r="AR29" s="105">
        <f t="shared" si="34"/>
        <v>0</v>
      </c>
      <c r="AS29" s="105">
        <f t="shared" si="22"/>
        <v>0</v>
      </c>
      <c r="AT29" s="105">
        <f t="shared" si="23"/>
        <v>1142.02</v>
      </c>
      <c r="AU29" s="105">
        <f t="shared" si="24"/>
        <v>0</v>
      </c>
      <c r="AV29" s="105">
        <f t="shared" si="25"/>
        <v>0</v>
      </c>
      <c r="AW29" s="105">
        <f t="shared" si="13"/>
        <v>45268.31</v>
      </c>
      <c r="AX29" s="108">
        <f t="shared" si="32"/>
        <v>28</v>
      </c>
      <c r="AY29" s="108">
        <f t="shared" si="14"/>
        <v>28</v>
      </c>
      <c r="AZ29" s="22">
        <f t="shared" si="3"/>
        <v>45954</v>
      </c>
      <c r="BA29" s="108">
        <f t="shared" si="3"/>
        <v>2340</v>
      </c>
      <c r="BD29" s="16"/>
      <c r="BE29" s="143"/>
      <c r="BF29" s="16"/>
      <c r="BG29" s="16"/>
      <c r="BH29" s="16"/>
      <c r="BI29" s="143"/>
      <c r="BJ29" s="16"/>
      <c r="BK29" s="16"/>
      <c r="BL29" s="143"/>
    </row>
    <row r="30" spans="1:383" ht="25.5" customHeight="1" x14ac:dyDescent="0.25">
      <c r="A30" s="909" t="s">
        <v>445</v>
      </c>
      <c r="B30" s="910"/>
      <c r="C30" s="647">
        <v>12</v>
      </c>
      <c r="D30" s="648">
        <v>12</v>
      </c>
      <c r="E30" s="114">
        <f t="shared" si="28"/>
        <v>22</v>
      </c>
      <c r="F30" s="111">
        <f t="shared" si="15"/>
        <v>45985</v>
      </c>
      <c r="G30" s="24">
        <f t="shared" si="5"/>
        <v>2340</v>
      </c>
      <c r="H30" s="24">
        <f t="shared" si="6"/>
        <v>1152.33</v>
      </c>
      <c r="I30" s="24">
        <f t="shared" si="26"/>
        <v>30670.28</v>
      </c>
      <c r="J30" s="24">
        <f t="shared" si="16"/>
        <v>0</v>
      </c>
      <c r="K30" s="24">
        <f t="shared" si="7"/>
        <v>1187.67</v>
      </c>
      <c r="L30" s="24">
        <f t="shared" si="17"/>
        <v>0</v>
      </c>
      <c r="M30" s="24">
        <f t="shared" si="29"/>
        <v>0</v>
      </c>
      <c r="N30" s="24">
        <f t="shared" si="18"/>
        <v>1152.33</v>
      </c>
      <c r="O30" s="24">
        <f t="shared" si="19"/>
        <v>0</v>
      </c>
      <c r="P30" s="24">
        <f t="shared" si="20"/>
        <v>0</v>
      </c>
      <c r="Q30" s="24">
        <f t="shared" si="8"/>
        <v>44189.280000000013</v>
      </c>
      <c r="R30" s="36">
        <f t="shared" si="30"/>
        <v>27</v>
      </c>
      <c r="S30" s="36">
        <f t="shared" si="9"/>
        <v>27</v>
      </c>
      <c r="T30" s="2">
        <v>0</v>
      </c>
      <c r="U30" s="2">
        <v>1</v>
      </c>
      <c r="V30" s="2">
        <v>2</v>
      </c>
      <c r="W30" s="2">
        <v>3</v>
      </c>
      <c r="X30" s="2">
        <v>4</v>
      </c>
      <c r="Y30" s="13"/>
      <c r="Z30" s="13" t="s">
        <v>47</v>
      </c>
      <c r="AA30" s="2" t="s">
        <v>35</v>
      </c>
      <c r="AB30" s="82" t="s">
        <v>35</v>
      </c>
      <c r="AC30" s="2" t="s">
        <v>35</v>
      </c>
      <c r="AD30" s="2" t="s">
        <v>35</v>
      </c>
      <c r="AE30" s="2" t="s">
        <v>35</v>
      </c>
      <c r="AH30" s="2"/>
      <c r="AL30" s="130">
        <f t="shared" si="21"/>
        <v>1</v>
      </c>
      <c r="AM30" s="109">
        <f t="shared" si="31"/>
        <v>22</v>
      </c>
      <c r="AN30" s="110">
        <f t="shared" si="10"/>
        <v>45985</v>
      </c>
      <c r="AO30" s="105">
        <f t="shared" si="33"/>
        <v>2344</v>
      </c>
      <c r="AP30" s="105">
        <f t="shared" si="11"/>
        <v>1149.57</v>
      </c>
      <c r="AQ30" s="105">
        <f t="shared" si="12"/>
        <v>1194.43</v>
      </c>
      <c r="AR30" s="105">
        <f t="shared" si="34"/>
        <v>0</v>
      </c>
      <c r="AS30" s="105">
        <f t="shared" si="22"/>
        <v>0</v>
      </c>
      <c r="AT30" s="105">
        <f t="shared" si="23"/>
        <v>1149.57</v>
      </c>
      <c r="AU30" s="105">
        <f t="shared" si="24"/>
        <v>0</v>
      </c>
      <c r="AV30" s="105">
        <f t="shared" si="25"/>
        <v>0</v>
      </c>
      <c r="AW30" s="105">
        <f t="shared" si="13"/>
        <v>44073.88</v>
      </c>
      <c r="AX30" s="108">
        <f t="shared" si="32"/>
        <v>27</v>
      </c>
      <c r="AY30" s="108">
        <f t="shared" si="14"/>
        <v>27</v>
      </c>
      <c r="AZ30" s="22">
        <f t="shared" si="3"/>
        <v>45985</v>
      </c>
      <c r="BA30" s="108">
        <f t="shared" si="3"/>
        <v>2340</v>
      </c>
    </row>
    <row r="31" spans="1:383" ht="21" customHeight="1" x14ac:dyDescent="0.25">
      <c r="A31" s="909" t="s">
        <v>100</v>
      </c>
      <c r="B31" s="911"/>
      <c r="C31" s="649">
        <f>IF(OR(C8="Оптимум+",C8="Уверенность"),$BF$17,IF(C8="нет",0,IF(C8="Оптимум",$BF$19,0)))</f>
        <v>0</v>
      </c>
      <c r="D31" s="649">
        <f>IF(OR(D8="Максимум"),$BF$17,IF(D8="нет",0,IF(D8="Оптимум",$BF$19,0)))</f>
        <v>0</v>
      </c>
      <c r="E31" s="114">
        <f t="shared" si="28"/>
        <v>23</v>
      </c>
      <c r="F31" s="111">
        <f t="shared" si="15"/>
        <v>46015</v>
      </c>
      <c r="G31" s="24">
        <f t="shared" si="5"/>
        <v>2340</v>
      </c>
      <c r="H31" s="24">
        <f t="shared" si="6"/>
        <v>1085.97</v>
      </c>
      <c r="I31" s="24">
        <f t="shared" si="26"/>
        <v>31756.25</v>
      </c>
      <c r="J31" s="24">
        <f t="shared" si="16"/>
        <v>0</v>
      </c>
      <c r="K31" s="24">
        <f t="shared" si="7"/>
        <v>1254.03</v>
      </c>
      <c r="L31" s="24">
        <f t="shared" si="17"/>
        <v>0</v>
      </c>
      <c r="M31" s="24">
        <f t="shared" si="29"/>
        <v>0</v>
      </c>
      <c r="N31" s="24">
        <f t="shared" si="18"/>
        <v>1085.97</v>
      </c>
      <c r="O31" s="24">
        <f t="shared" si="19"/>
        <v>0</v>
      </c>
      <c r="P31" s="24">
        <f t="shared" si="20"/>
        <v>0</v>
      </c>
      <c r="Q31" s="24">
        <f t="shared" si="8"/>
        <v>42935.250000000015</v>
      </c>
      <c r="R31" s="36">
        <f t="shared" si="30"/>
        <v>26</v>
      </c>
      <c r="S31" s="36">
        <f t="shared" si="9"/>
        <v>26</v>
      </c>
      <c r="Y31" s="13" t="s">
        <v>79</v>
      </c>
      <c r="Z31" s="15">
        <v>0.03</v>
      </c>
      <c r="AA31" s="15">
        <v>0</v>
      </c>
      <c r="AB31" s="2">
        <v>0</v>
      </c>
      <c r="AC31" s="2">
        <v>0</v>
      </c>
      <c r="AD31" s="2">
        <v>0</v>
      </c>
      <c r="AE31" s="2"/>
      <c r="AH31" s="2"/>
      <c r="AK31" s="57"/>
      <c r="AL31" s="130">
        <f t="shared" si="21"/>
        <v>1</v>
      </c>
      <c r="AM31" s="109">
        <f t="shared" si="31"/>
        <v>23</v>
      </c>
      <c r="AN31" s="110">
        <f t="shared" si="10"/>
        <v>46015</v>
      </c>
      <c r="AO31" s="105">
        <f t="shared" si="33"/>
        <v>2344</v>
      </c>
      <c r="AP31" s="105">
        <f t="shared" si="11"/>
        <v>1083.1300000000001</v>
      </c>
      <c r="AQ31" s="105">
        <f t="shared" si="12"/>
        <v>1260.8699999999999</v>
      </c>
      <c r="AR31" s="105">
        <f t="shared" si="34"/>
        <v>0</v>
      </c>
      <c r="AS31" s="105">
        <f t="shared" si="22"/>
        <v>0</v>
      </c>
      <c r="AT31" s="105">
        <f t="shared" si="23"/>
        <v>1083.1300000000001</v>
      </c>
      <c r="AU31" s="105">
        <f t="shared" si="24"/>
        <v>0</v>
      </c>
      <c r="AV31" s="105">
        <f t="shared" si="25"/>
        <v>0</v>
      </c>
      <c r="AW31" s="105">
        <f t="shared" si="13"/>
        <v>42813.009999999995</v>
      </c>
      <c r="AX31" s="108">
        <f t="shared" si="32"/>
        <v>26</v>
      </c>
      <c r="AY31" s="108">
        <f t="shared" si="14"/>
        <v>26</v>
      </c>
      <c r="AZ31" s="22">
        <f t="shared" si="3"/>
        <v>46015</v>
      </c>
      <c r="BA31" s="108">
        <f t="shared" si="3"/>
        <v>2340</v>
      </c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116"/>
      <c r="FX31" s="116"/>
      <c r="FY31" s="116"/>
      <c r="FZ31" s="116"/>
      <c r="GA31" s="116"/>
      <c r="GB31" s="116"/>
      <c r="GC31" s="116"/>
      <c r="GD31" s="116"/>
      <c r="GE31" s="116"/>
      <c r="GF31" s="116"/>
      <c r="GG31" s="116"/>
      <c r="GH31" s="116"/>
      <c r="GI31" s="116"/>
      <c r="GJ31" s="116"/>
      <c r="GK31" s="116"/>
      <c r="GL31" s="116"/>
      <c r="GM31" s="116"/>
      <c r="GN31" s="116"/>
      <c r="GO31" s="116"/>
      <c r="GP31" s="116"/>
      <c r="GQ31" s="116"/>
      <c r="GR31" s="116"/>
      <c r="GS31" s="116"/>
      <c r="GT31" s="116"/>
      <c r="GU31" s="116"/>
      <c r="GV31" s="116"/>
      <c r="GW31" s="116"/>
      <c r="GX31" s="116"/>
      <c r="GY31" s="116"/>
      <c r="GZ31" s="116"/>
      <c r="HA31" s="116"/>
      <c r="HB31" s="116"/>
      <c r="HC31" s="116"/>
      <c r="HD31" s="116"/>
      <c r="HE31" s="116"/>
      <c r="HF31" s="116"/>
      <c r="HG31" s="116"/>
      <c r="HH31" s="116"/>
      <c r="HI31" s="116"/>
      <c r="HJ31" s="116"/>
      <c r="HK31" s="116"/>
      <c r="HL31" s="116"/>
      <c r="HM31" s="116"/>
      <c r="HN31" s="116"/>
      <c r="HO31" s="116"/>
      <c r="HP31" s="116"/>
      <c r="HQ31" s="116"/>
      <c r="HR31" s="116"/>
      <c r="HS31" s="116"/>
      <c r="HT31" s="116"/>
      <c r="HU31" s="116"/>
      <c r="HV31" s="116"/>
      <c r="HW31" s="116"/>
      <c r="HX31" s="116"/>
      <c r="HY31" s="116"/>
      <c r="HZ31" s="116"/>
      <c r="IA31" s="116"/>
      <c r="IB31" s="116"/>
      <c r="IC31" s="116"/>
      <c r="ID31" s="116"/>
      <c r="IE31" s="116"/>
      <c r="IF31" s="116"/>
      <c r="IG31" s="116"/>
      <c r="IH31" s="116"/>
      <c r="II31" s="116"/>
      <c r="IJ31" s="116"/>
      <c r="IK31" s="116"/>
      <c r="IL31" s="116"/>
      <c r="IM31" s="116"/>
      <c r="IN31" s="116"/>
      <c r="IO31" s="116"/>
      <c r="IP31" s="116"/>
      <c r="IQ31" s="116"/>
      <c r="IR31" s="116"/>
      <c r="IS31" s="116"/>
      <c r="IT31" s="116"/>
      <c r="IU31" s="116"/>
      <c r="IV31" s="116"/>
      <c r="IW31" s="116"/>
      <c r="IX31" s="116"/>
      <c r="IY31" s="116"/>
      <c r="IZ31" s="116"/>
      <c r="JA31" s="116"/>
      <c r="JB31" s="116"/>
      <c r="JC31" s="116"/>
      <c r="JD31" s="116"/>
      <c r="JE31" s="116"/>
      <c r="JF31" s="116"/>
      <c r="JG31" s="116"/>
      <c r="JH31" s="116"/>
      <c r="JI31" s="116"/>
      <c r="JJ31" s="116"/>
      <c r="JK31" s="116"/>
      <c r="JL31" s="116"/>
      <c r="JM31" s="116"/>
      <c r="JN31" s="116"/>
      <c r="JO31" s="116"/>
      <c r="JP31" s="116"/>
      <c r="JQ31" s="116"/>
      <c r="JR31" s="116"/>
      <c r="JS31" s="116"/>
      <c r="JT31" s="116"/>
      <c r="JU31" s="116"/>
      <c r="JV31" s="116"/>
      <c r="JW31" s="116"/>
      <c r="JX31" s="116"/>
      <c r="JY31" s="116"/>
      <c r="JZ31" s="116"/>
      <c r="KA31" s="116"/>
      <c r="KB31" s="116"/>
      <c r="KC31" s="116"/>
      <c r="KD31" s="116"/>
      <c r="KE31" s="116"/>
      <c r="KF31" s="116"/>
      <c r="KG31" s="116"/>
      <c r="KH31" s="116"/>
      <c r="KI31" s="116"/>
      <c r="KJ31" s="116"/>
      <c r="KK31" s="116"/>
      <c r="KL31" s="116"/>
      <c r="KM31" s="116"/>
      <c r="KN31" s="116"/>
      <c r="KO31" s="116"/>
      <c r="KP31" s="116"/>
      <c r="KQ31" s="116"/>
      <c r="KR31" s="116"/>
      <c r="KS31" s="116"/>
      <c r="KT31" s="116"/>
      <c r="KU31" s="116"/>
      <c r="KV31" s="116"/>
      <c r="KW31" s="116"/>
      <c r="KX31" s="116"/>
      <c r="KY31" s="116"/>
      <c r="KZ31" s="116"/>
      <c r="LA31" s="116"/>
      <c r="LB31" s="116"/>
      <c r="LC31" s="116"/>
      <c r="LD31" s="116"/>
      <c r="LE31" s="116"/>
      <c r="LF31" s="116"/>
      <c r="LG31" s="116"/>
      <c r="LH31" s="116"/>
      <c r="LI31" s="116"/>
      <c r="LJ31" s="116"/>
      <c r="LK31" s="116"/>
      <c r="LL31" s="116"/>
      <c r="LM31" s="116"/>
      <c r="LN31" s="116"/>
      <c r="LO31" s="116"/>
      <c r="LP31" s="116"/>
      <c r="LQ31" s="116"/>
      <c r="LR31" s="116"/>
      <c r="LS31" s="116"/>
      <c r="LT31" s="116"/>
      <c r="LU31" s="116"/>
      <c r="LV31" s="116"/>
      <c r="LW31" s="116"/>
      <c r="LX31" s="116"/>
      <c r="LY31" s="116"/>
      <c r="LZ31" s="116"/>
      <c r="MA31" s="116"/>
      <c r="MB31" s="116"/>
      <c r="MC31" s="116"/>
      <c r="MD31" s="116"/>
      <c r="ME31" s="116"/>
      <c r="MF31" s="116"/>
      <c r="MG31" s="116"/>
      <c r="MH31" s="116"/>
      <c r="MI31" s="116"/>
      <c r="MJ31" s="116"/>
      <c r="MK31" s="116"/>
      <c r="ML31" s="116"/>
      <c r="MM31" s="116"/>
      <c r="MN31" s="116"/>
      <c r="MO31" s="116"/>
      <c r="MP31" s="116"/>
      <c r="MQ31" s="116"/>
      <c r="MR31" s="116"/>
      <c r="MS31" s="116"/>
      <c r="MT31" s="116"/>
      <c r="MU31" s="116"/>
      <c r="MV31" s="116"/>
      <c r="MW31" s="116"/>
      <c r="MX31" s="116"/>
      <c r="MY31" s="116"/>
      <c r="MZ31" s="116"/>
      <c r="NA31" s="116"/>
      <c r="NB31" s="116"/>
      <c r="NC31" s="116"/>
      <c r="ND31" s="116"/>
      <c r="NE31" s="116"/>
      <c r="NF31" s="116"/>
      <c r="NG31" s="116"/>
    </row>
    <row r="32" spans="1:383" ht="18.75" customHeight="1" x14ac:dyDescent="0.25">
      <c r="A32" s="909" t="s">
        <v>446</v>
      </c>
      <c r="B32" s="911"/>
      <c r="C32" s="650">
        <f>IF(OR(C8="Оптимум+",C8="Уверенность"),$BE$24,IF(C8="нет",0,IF(C8="Оптимум",$BI$24,0)))</f>
        <v>0</v>
      </c>
      <c r="D32" s="650">
        <f>IF(OR(D8="Максимум"),$BE$24,IF(D8="нет",0,IF(D8="Оптимум",$BI$24,0)))</f>
        <v>0</v>
      </c>
      <c r="E32" s="114">
        <f t="shared" si="28"/>
        <v>24</v>
      </c>
      <c r="F32" s="111">
        <f t="shared" si="15"/>
        <v>46046</v>
      </c>
      <c r="G32" s="24">
        <f t="shared" si="5"/>
        <v>2340</v>
      </c>
      <c r="H32" s="24">
        <f t="shared" si="6"/>
        <v>1090.32</v>
      </c>
      <c r="I32" s="24">
        <f t="shared" si="26"/>
        <v>32846.57</v>
      </c>
      <c r="J32" s="24">
        <f t="shared" si="16"/>
        <v>0</v>
      </c>
      <c r="K32" s="24">
        <f t="shared" si="7"/>
        <v>1249.68</v>
      </c>
      <c r="L32" s="24">
        <f t="shared" si="17"/>
        <v>0</v>
      </c>
      <c r="M32" s="24">
        <f t="shared" si="29"/>
        <v>0</v>
      </c>
      <c r="N32" s="24">
        <f t="shared" si="18"/>
        <v>1090.32</v>
      </c>
      <c r="O32" s="24">
        <f t="shared" si="19"/>
        <v>0</v>
      </c>
      <c r="P32" s="24">
        <f t="shared" si="20"/>
        <v>0</v>
      </c>
      <c r="Q32" s="24">
        <f t="shared" si="8"/>
        <v>41685.570000000014</v>
      </c>
      <c r="R32" s="36">
        <f t="shared" si="30"/>
        <v>25</v>
      </c>
      <c r="S32" s="36">
        <f t="shared" si="9"/>
        <v>25</v>
      </c>
      <c r="T32" s="16"/>
      <c r="U32" s="16"/>
      <c r="V32" s="57"/>
      <c r="Y32" s="13" t="s">
        <v>80</v>
      </c>
      <c r="Z32" s="15">
        <f>IF(D18=T3,T22,IF(D18=V3,V22,IF(D18=W3,W22,IF(D18=X3,X22,IF(D18=U3,U22,)))))</f>
        <v>8.9999999999999993E-3</v>
      </c>
      <c r="AA32" s="15">
        <v>0</v>
      </c>
      <c r="AB32" s="15"/>
      <c r="AC32" s="2"/>
      <c r="AD32" s="2"/>
      <c r="AE32" s="2"/>
      <c r="AH32" s="2"/>
      <c r="AK32" s="16"/>
      <c r="AL32" s="130">
        <f t="shared" si="21"/>
        <v>1</v>
      </c>
      <c r="AM32" s="109">
        <f t="shared" si="31"/>
        <v>24</v>
      </c>
      <c r="AN32" s="110">
        <f t="shared" si="10"/>
        <v>46046</v>
      </c>
      <c r="AO32" s="105">
        <f t="shared" si="33"/>
        <v>2344</v>
      </c>
      <c r="AP32" s="105">
        <f t="shared" si="11"/>
        <v>1087.22</v>
      </c>
      <c r="AQ32" s="105">
        <f t="shared" si="12"/>
        <v>1256.78</v>
      </c>
      <c r="AR32" s="105">
        <f t="shared" si="34"/>
        <v>0</v>
      </c>
      <c r="AS32" s="105">
        <f t="shared" si="22"/>
        <v>0</v>
      </c>
      <c r="AT32" s="105">
        <f t="shared" si="23"/>
        <v>1087.22</v>
      </c>
      <c r="AU32" s="105">
        <f t="shared" si="24"/>
        <v>0</v>
      </c>
      <c r="AV32" s="105">
        <f t="shared" si="25"/>
        <v>0</v>
      </c>
      <c r="AW32" s="105">
        <f t="shared" si="13"/>
        <v>41556.229999999996</v>
      </c>
      <c r="AX32" s="108">
        <f t="shared" si="32"/>
        <v>25</v>
      </c>
      <c r="AY32" s="108">
        <f t="shared" si="14"/>
        <v>25</v>
      </c>
      <c r="AZ32" s="22">
        <f t="shared" si="3"/>
        <v>46046</v>
      </c>
      <c r="BA32" s="108">
        <f t="shared" si="3"/>
        <v>2340</v>
      </c>
    </row>
    <row r="33" spans="1:1207" ht="19.5" customHeight="1" x14ac:dyDescent="0.25">
      <c r="A33" s="2" t="s">
        <v>447</v>
      </c>
      <c r="B33" s="622" t="s">
        <v>35</v>
      </c>
      <c r="C33" s="2"/>
      <c r="D33" s="2"/>
      <c r="E33" s="114">
        <f t="shared" si="28"/>
        <v>25</v>
      </c>
      <c r="F33" s="111">
        <f t="shared" si="15"/>
        <v>46077</v>
      </c>
      <c r="G33" s="24">
        <f t="shared" si="5"/>
        <v>2340</v>
      </c>
      <c r="H33" s="24">
        <f t="shared" si="6"/>
        <v>1058.5899999999999</v>
      </c>
      <c r="I33" s="24">
        <f t="shared" si="26"/>
        <v>33905.159999999996</v>
      </c>
      <c r="J33" s="24">
        <f t="shared" si="16"/>
        <v>0</v>
      </c>
      <c r="K33" s="24">
        <f t="shared" si="7"/>
        <v>1281.4100000000001</v>
      </c>
      <c r="L33" s="24">
        <f t="shared" si="17"/>
        <v>0</v>
      </c>
      <c r="M33" s="24">
        <f t="shared" si="29"/>
        <v>0</v>
      </c>
      <c r="N33" s="24">
        <f t="shared" si="18"/>
        <v>1058.5899999999999</v>
      </c>
      <c r="O33" s="24">
        <f t="shared" si="19"/>
        <v>0</v>
      </c>
      <c r="P33" s="24">
        <f t="shared" si="20"/>
        <v>0</v>
      </c>
      <c r="Q33" s="24">
        <f t="shared" si="8"/>
        <v>40404.160000000011</v>
      </c>
      <c r="R33" s="36">
        <f t="shared" si="30"/>
        <v>24</v>
      </c>
      <c r="S33" s="36">
        <f t="shared" si="9"/>
        <v>24</v>
      </c>
      <c r="T33" s="138" t="s">
        <v>104</v>
      </c>
      <c r="U33" s="139"/>
      <c r="V33" s="139" t="s">
        <v>20</v>
      </c>
      <c r="W33" s="139" t="s">
        <v>29</v>
      </c>
      <c r="X33" s="139"/>
      <c r="AB33" s="15"/>
      <c r="AJ33" s="16"/>
      <c r="AK33" s="16"/>
      <c r="AL33" s="130">
        <f t="shared" si="21"/>
        <v>1</v>
      </c>
      <c r="AM33" s="109">
        <f t="shared" si="31"/>
        <v>25</v>
      </c>
      <c r="AN33" s="110">
        <f t="shared" si="10"/>
        <v>46077</v>
      </c>
      <c r="AO33" s="105">
        <f t="shared" si="33"/>
        <v>2344</v>
      </c>
      <c r="AP33" s="105">
        <f t="shared" si="11"/>
        <v>1055.3</v>
      </c>
      <c r="AQ33" s="105">
        <f t="shared" si="12"/>
        <v>1288.7</v>
      </c>
      <c r="AR33" s="105">
        <f t="shared" si="34"/>
        <v>0</v>
      </c>
      <c r="AS33" s="105">
        <f t="shared" si="22"/>
        <v>0</v>
      </c>
      <c r="AT33" s="105">
        <f t="shared" si="23"/>
        <v>1055.3</v>
      </c>
      <c r="AU33" s="105">
        <f t="shared" si="24"/>
        <v>0</v>
      </c>
      <c r="AV33" s="105">
        <f t="shared" si="25"/>
        <v>0</v>
      </c>
      <c r="AW33" s="105">
        <f t="shared" si="13"/>
        <v>40267.53</v>
      </c>
      <c r="AX33" s="108">
        <f t="shared" si="32"/>
        <v>24</v>
      </c>
      <c r="AY33" s="108">
        <f t="shared" si="14"/>
        <v>24</v>
      </c>
      <c r="AZ33" s="22">
        <f t="shared" si="3"/>
        <v>46077</v>
      </c>
      <c r="BA33" s="108">
        <f t="shared" si="3"/>
        <v>2340</v>
      </c>
      <c r="BD33" s="853" t="str">
        <f>IF(AL7&lt;C10,CONCATENATE("← Срок с учетом перехода на иной тарифный план равен ",AL7," мес."),"")</f>
        <v/>
      </c>
      <c r="BF33" s="131"/>
    </row>
    <row r="34" spans="1:1207" ht="15.75" customHeight="1" x14ac:dyDescent="0.3">
      <c r="A34" s="2" t="s">
        <v>448</v>
      </c>
      <c r="B34" s="622" t="s">
        <v>47</v>
      </c>
      <c r="C34" s="16"/>
      <c r="D34" s="16"/>
      <c r="E34" s="114">
        <f t="shared" si="28"/>
        <v>26</v>
      </c>
      <c r="F34" s="111">
        <f t="shared" si="15"/>
        <v>46105</v>
      </c>
      <c r="G34" s="24">
        <f t="shared" si="5"/>
        <v>2340</v>
      </c>
      <c r="H34" s="24">
        <f t="shared" si="6"/>
        <v>926.75</v>
      </c>
      <c r="I34" s="24">
        <f t="shared" si="26"/>
        <v>34831.909999999996</v>
      </c>
      <c r="J34" s="24">
        <f t="shared" si="16"/>
        <v>0</v>
      </c>
      <c r="K34" s="24">
        <f t="shared" si="7"/>
        <v>1413.25</v>
      </c>
      <c r="L34" s="24">
        <f t="shared" si="17"/>
        <v>0</v>
      </c>
      <c r="M34" s="24">
        <f t="shared" si="29"/>
        <v>0</v>
      </c>
      <c r="N34" s="24">
        <f t="shared" si="18"/>
        <v>926.75</v>
      </c>
      <c r="O34" s="24">
        <f t="shared" si="19"/>
        <v>0</v>
      </c>
      <c r="P34" s="24">
        <f t="shared" si="20"/>
        <v>0</v>
      </c>
      <c r="Q34" s="24">
        <f t="shared" si="8"/>
        <v>38990.910000000011</v>
      </c>
      <c r="R34" s="36">
        <f t="shared" si="30"/>
        <v>23</v>
      </c>
      <c r="S34" s="36">
        <f t="shared" si="9"/>
        <v>23</v>
      </c>
      <c r="T34" s="140" t="s">
        <v>106</v>
      </c>
      <c r="U34" s="140" t="s">
        <v>107</v>
      </c>
      <c r="V34" s="140" t="s">
        <v>108</v>
      </c>
      <c r="W34" s="140" t="s">
        <v>109</v>
      </c>
      <c r="X34" s="140" t="s">
        <v>110</v>
      </c>
      <c r="Y34" s="140" t="s">
        <v>449</v>
      </c>
      <c r="Z34" s="140" t="s">
        <v>450</v>
      </c>
      <c r="AB34" s="2"/>
      <c r="AJ34" s="16"/>
      <c r="AK34" s="16"/>
      <c r="AL34" s="130">
        <f t="shared" si="21"/>
        <v>1</v>
      </c>
      <c r="AM34" s="109">
        <f t="shared" si="31"/>
        <v>26</v>
      </c>
      <c r="AN34" s="110">
        <f t="shared" si="10"/>
        <v>46105</v>
      </c>
      <c r="AO34" s="105">
        <f t="shared" si="33"/>
        <v>2344</v>
      </c>
      <c r="AP34" s="105">
        <f t="shared" si="11"/>
        <v>923.62</v>
      </c>
      <c r="AQ34" s="105">
        <f t="shared" si="12"/>
        <v>1420.38</v>
      </c>
      <c r="AR34" s="105">
        <f t="shared" si="34"/>
        <v>0</v>
      </c>
      <c r="AS34" s="105">
        <f t="shared" si="22"/>
        <v>0</v>
      </c>
      <c r="AT34" s="105">
        <f t="shared" si="23"/>
        <v>923.62</v>
      </c>
      <c r="AU34" s="105">
        <f t="shared" si="24"/>
        <v>0</v>
      </c>
      <c r="AV34" s="105">
        <f t="shared" si="25"/>
        <v>0</v>
      </c>
      <c r="AW34" s="105">
        <f t="shared" si="13"/>
        <v>38847.15</v>
      </c>
      <c r="AX34" s="108">
        <f t="shared" si="32"/>
        <v>23</v>
      </c>
      <c r="AY34" s="108">
        <f t="shared" si="14"/>
        <v>23</v>
      </c>
      <c r="AZ34" s="22">
        <f t="shared" si="3"/>
        <v>46105</v>
      </c>
      <c r="BA34" s="108">
        <f t="shared" si="3"/>
        <v>2340</v>
      </c>
      <c r="BD34" s="853"/>
    </row>
    <row r="35" spans="1:1207" ht="25.5" customHeight="1" x14ac:dyDescent="0.3">
      <c r="A35" s="2" t="s">
        <v>451</v>
      </c>
      <c r="B35" s="622" t="s">
        <v>47</v>
      </c>
      <c r="C35" s="16"/>
      <c r="D35" s="16"/>
      <c r="E35" s="114">
        <f t="shared" si="28"/>
        <v>27</v>
      </c>
      <c r="F35" s="111">
        <f t="shared" si="15"/>
        <v>46136</v>
      </c>
      <c r="G35" s="24">
        <f t="shared" si="5"/>
        <v>2340</v>
      </c>
      <c r="H35" s="24">
        <f t="shared" si="6"/>
        <v>990.16</v>
      </c>
      <c r="I35" s="24">
        <f t="shared" si="26"/>
        <v>35822.07</v>
      </c>
      <c r="J35" s="24">
        <f t="shared" si="16"/>
        <v>0</v>
      </c>
      <c r="K35" s="24">
        <f t="shared" si="7"/>
        <v>1349.8400000000001</v>
      </c>
      <c r="L35" s="24">
        <f t="shared" si="17"/>
        <v>0</v>
      </c>
      <c r="M35" s="24">
        <f t="shared" si="29"/>
        <v>0</v>
      </c>
      <c r="N35" s="24">
        <f t="shared" si="18"/>
        <v>990.16</v>
      </c>
      <c r="O35" s="24">
        <f t="shared" si="19"/>
        <v>0</v>
      </c>
      <c r="P35" s="24">
        <f t="shared" si="20"/>
        <v>0</v>
      </c>
      <c r="Q35" s="24">
        <f t="shared" si="8"/>
        <v>37641.070000000007</v>
      </c>
      <c r="R35" s="36">
        <f t="shared" si="30"/>
        <v>22</v>
      </c>
      <c r="S35" s="36">
        <f t="shared" si="9"/>
        <v>22</v>
      </c>
      <c r="T35" s="2">
        <f>IF(C11="Да",IF($C$10&gt;=79,$Z37,IF($C$10&gt;=67,$Y37,IF($C$10&gt;=55,$X37,IF($C$10&gt;=43,$W37,IF($C$10&gt;=31,$V37,IF($C$10&gt;=19,$U37,$T37)))))),"")</f>
        <v>3499</v>
      </c>
      <c r="U35" s="2">
        <f>IF(D11="Да",IF($C$10&gt;=55,$X$37,IF($C$10&gt;=43,$W$37,IF($C$10&gt;=31,$V$37,IF($C$10&gt;=19,$U$37,$T$37)))),"")</f>
        <v>3499</v>
      </c>
      <c r="V35" s="142">
        <v>36</v>
      </c>
      <c r="W35" s="141">
        <v>37</v>
      </c>
      <c r="X35" s="141">
        <v>49</v>
      </c>
      <c r="Y35" s="141">
        <v>61</v>
      </c>
      <c r="Z35" s="141">
        <v>73</v>
      </c>
      <c r="AB35" s="15"/>
      <c r="AJ35" s="16"/>
      <c r="AK35" s="16"/>
      <c r="AL35" s="130">
        <f t="shared" si="21"/>
        <v>1</v>
      </c>
      <c r="AM35" s="109">
        <f t="shared" si="31"/>
        <v>27</v>
      </c>
      <c r="AN35" s="110">
        <f t="shared" si="10"/>
        <v>46136</v>
      </c>
      <c r="AO35" s="105">
        <f t="shared" si="33"/>
        <v>2344</v>
      </c>
      <c r="AP35" s="105">
        <f t="shared" si="11"/>
        <v>986.5</v>
      </c>
      <c r="AQ35" s="105">
        <f t="shared" si="12"/>
        <v>1357.5</v>
      </c>
      <c r="AR35" s="105">
        <f t="shared" si="34"/>
        <v>0</v>
      </c>
      <c r="AS35" s="105">
        <f t="shared" si="22"/>
        <v>0</v>
      </c>
      <c r="AT35" s="105">
        <f t="shared" si="23"/>
        <v>986.5</v>
      </c>
      <c r="AU35" s="105">
        <f t="shared" si="24"/>
        <v>0</v>
      </c>
      <c r="AV35" s="105">
        <f t="shared" si="25"/>
        <v>0</v>
      </c>
      <c r="AW35" s="105">
        <f t="shared" si="13"/>
        <v>37489.65</v>
      </c>
      <c r="AX35" s="108">
        <f t="shared" si="32"/>
        <v>22</v>
      </c>
      <c r="AY35" s="108">
        <f t="shared" si="14"/>
        <v>22</v>
      </c>
      <c r="AZ35" s="22">
        <f t="shared" si="3"/>
        <v>46136</v>
      </c>
      <c r="BA35" s="108">
        <f t="shared" si="3"/>
        <v>2340</v>
      </c>
      <c r="BD35" s="853"/>
    </row>
    <row r="36" spans="1:1207" ht="16.5" customHeight="1" x14ac:dyDescent="0.25">
      <c r="B36" s="16"/>
      <c r="C36" s="15"/>
      <c r="D36" s="15"/>
      <c r="E36" s="114">
        <f t="shared" si="28"/>
        <v>28</v>
      </c>
      <c r="F36" s="111">
        <f t="shared" si="15"/>
        <v>46166</v>
      </c>
      <c r="G36" s="24">
        <f t="shared" si="5"/>
        <v>2340</v>
      </c>
      <c r="H36" s="24">
        <f t="shared" si="6"/>
        <v>925.04</v>
      </c>
      <c r="I36" s="24">
        <f t="shared" si="26"/>
        <v>36747.11</v>
      </c>
      <c r="J36" s="24">
        <f t="shared" si="16"/>
        <v>0</v>
      </c>
      <c r="K36" s="24">
        <f t="shared" si="7"/>
        <v>1414.96</v>
      </c>
      <c r="L36" s="24">
        <f t="shared" si="17"/>
        <v>0</v>
      </c>
      <c r="M36" s="24">
        <f t="shared" si="29"/>
        <v>0</v>
      </c>
      <c r="N36" s="24">
        <f t="shared" si="18"/>
        <v>925.04</v>
      </c>
      <c r="O36" s="24">
        <f t="shared" si="19"/>
        <v>0</v>
      </c>
      <c r="P36" s="24">
        <f t="shared" si="20"/>
        <v>0</v>
      </c>
      <c r="Q36" s="24">
        <f t="shared" si="8"/>
        <v>36226.110000000008</v>
      </c>
      <c r="R36" s="36">
        <f t="shared" si="30"/>
        <v>21</v>
      </c>
      <c r="S36" s="36">
        <f t="shared" si="9"/>
        <v>21</v>
      </c>
      <c r="T36" s="2">
        <f>IF(C11="Да",IF($C$10&gt;=79,$Z38,IF($C$10&gt;=67,$Y38,IF($C$10&gt;=55,$X38,IF($C$10&gt;=43,$W38,IF($C$10&gt;=31,$V38,IF($C$10&gt;=19,$U38,$T38)))))),"")</f>
        <v>4999</v>
      </c>
      <c r="U36" s="2">
        <f>IF(D11="Да",IF($C$10&gt;=55,$X$38,IF($C$10&gt;=43,$W$38,IF($C$10&gt;=31,$V$38,IF($C$10&gt;=19,$U$38,$T$38)))),"")</f>
        <v>4999</v>
      </c>
      <c r="V36" s="142">
        <v>36</v>
      </c>
      <c r="W36" s="142">
        <v>48</v>
      </c>
      <c r="X36" s="142">
        <v>60</v>
      </c>
      <c r="Y36" s="142">
        <v>72</v>
      </c>
      <c r="Z36" s="142">
        <v>84</v>
      </c>
      <c r="AB36" s="15"/>
      <c r="AJ36" s="16"/>
      <c r="AK36" s="16"/>
      <c r="AL36" s="130">
        <f t="shared" si="21"/>
        <v>1</v>
      </c>
      <c r="AM36" s="109">
        <f t="shared" si="31"/>
        <v>28</v>
      </c>
      <c r="AN36" s="110">
        <f t="shared" si="10"/>
        <v>46166</v>
      </c>
      <c r="AO36" s="105">
        <f t="shared" si="33"/>
        <v>2344</v>
      </c>
      <c r="AP36" s="105">
        <f t="shared" si="11"/>
        <v>921.32</v>
      </c>
      <c r="AQ36" s="105">
        <f t="shared" si="12"/>
        <v>1422.6799999999998</v>
      </c>
      <c r="AR36" s="105">
        <f t="shared" si="34"/>
        <v>0</v>
      </c>
      <c r="AS36" s="105">
        <f t="shared" si="22"/>
        <v>0</v>
      </c>
      <c r="AT36" s="105">
        <f t="shared" si="23"/>
        <v>921.32</v>
      </c>
      <c r="AU36" s="105">
        <f t="shared" si="24"/>
        <v>0</v>
      </c>
      <c r="AV36" s="105">
        <f t="shared" si="25"/>
        <v>0</v>
      </c>
      <c r="AW36" s="105">
        <f t="shared" si="13"/>
        <v>36066.97</v>
      </c>
      <c r="AX36" s="108">
        <f t="shared" si="32"/>
        <v>21</v>
      </c>
      <c r="AY36" s="108">
        <f t="shared" si="14"/>
        <v>21</v>
      </c>
      <c r="AZ36" s="22">
        <f t="shared" si="3"/>
        <v>46166</v>
      </c>
      <c r="BA36" s="108">
        <f t="shared" si="3"/>
        <v>2340</v>
      </c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  <c r="AMK36" s="16"/>
      <c r="AML36" s="16"/>
      <c r="AMM36" s="16"/>
      <c r="AMN36" s="16"/>
      <c r="AMO36" s="16"/>
      <c r="AMP36" s="16"/>
      <c r="AMQ36" s="16"/>
      <c r="AMR36" s="16"/>
      <c r="AMS36" s="16"/>
      <c r="AMT36" s="16"/>
      <c r="AMU36" s="16"/>
      <c r="AMV36" s="16"/>
      <c r="AMW36" s="16"/>
      <c r="AMX36" s="16"/>
      <c r="AMY36" s="16"/>
      <c r="AMZ36" s="16"/>
      <c r="ANA36" s="16"/>
      <c r="ANB36" s="16"/>
      <c r="ANC36" s="16"/>
      <c r="AND36" s="16"/>
      <c r="ANE36" s="16"/>
      <c r="ANF36" s="16"/>
      <c r="ANG36" s="16"/>
      <c r="ANH36" s="16"/>
      <c r="ANI36" s="16"/>
      <c r="ANJ36" s="16"/>
      <c r="ANK36" s="16"/>
      <c r="ANL36" s="16"/>
      <c r="ANM36" s="16"/>
      <c r="ANN36" s="16"/>
      <c r="ANO36" s="16"/>
      <c r="ANP36" s="16"/>
      <c r="ANQ36" s="16"/>
      <c r="ANR36" s="16"/>
      <c r="ANS36" s="16"/>
      <c r="ANT36" s="16"/>
      <c r="ANU36" s="16"/>
      <c r="ANV36" s="16"/>
      <c r="ANW36" s="16"/>
      <c r="ANX36" s="16"/>
      <c r="ANY36" s="16"/>
      <c r="ANZ36" s="16"/>
      <c r="AOA36" s="16"/>
      <c r="AOB36" s="16"/>
      <c r="AOC36" s="16"/>
      <c r="AOD36" s="16"/>
      <c r="AOE36" s="16"/>
      <c r="AOF36" s="16"/>
      <c r="AOG36" s="16"/>
      <c r="AOH36" s="16"/>
      <c r="AOI36" s="16"/>
      <c r="AOJ36" s="16"/>
      <c r="AOK36" s="16"/>
      <c r="AOL36" s="16"/>
      <c r="AOM36" s="16"/>
      <c r="AON36" s="16"/>
      <c r="AOO36" s="16"/>
      <c r="AOP36" s="16"/>
      <c r="AOQ36" s="16"/>
      <c r="AOR36" s="16"/>
      <c r="AOS36" s="16"/>
      <c r="AOT36" s="16"/>
      <c r="AOU36" s="16"/>
      <c r="AOV36" s="16"/>
      <c r="AOW36" s="16"/>
      <c r="AOX36" s="16"/>
      <c r="AOY36" s="16"/>
      <c r="AOZ36" s="16"/>
      <c r="APA36" s="16"/>
      <c r="APB36" s="16"/>
      <c r="APC36" s="16"/>
      <c r="APD36" s="16"/>
      <c r="APE36" s="16"/>
      <c r="APF36" s="16"/>
      <c r="APG36" s="16"/>
      <c r="APH36" s="16"/>
      <c r="API36" s="16"/>
      <c r="APJ36" s="16"/>
      <c r="APK36" s="16"/>
      <c r="APL36" s="16"/>
      <c r="APM36" s="16"/>
      <c r="APN36" s="16"/>
      <c r="APO36" s="16"/>
      <c r="APP36" s="16"/>
      <c r="APQ36" s="16"/>
      <c r="APR36" s="16"/>
      <c r="APS36" s="16"/>
      <c r="APT36" s="16"/>
      <c r="APU36" s="16"/>
      <c r="APV36" s="16"/>
      <c r="APW36" s="16"/>
      <c r="APX36" s="16"/>
      <c r="APY36" s="16"/>
      <c r="APZ36" s="16"/>
      <c r="AQA36" s="16"/>
      <c r="AQB36" s="16"/>
      <c r="AQC36" s="16"/>
      <c r="AQD36" s="16"/>
      <c r="AQE36" s="16"/>
      <c r="AQF36" s="16"/>
      <c r="AQG36" s="16"/>
      <c r="AQH36" s="16"/>
      <c r="AQI36" s="16"/>
      <c r="AQJ36" s="16"/>
      <c r="AQK36" s="16"/>
      <c r="AQL36" s="16"/>
      <c r="AQM36" s="16"/>
      <c r="AQN36" s="16"/>
      <c r="AQO36" s="16"/>
      <c r="AQP36" s="16"/>
      <c r="AQQ36" s="16"/>
      <c r="AQR36" s="16"/>
      <c r="AQS36" s="16"/>
      <c r="AQT36" s="16"/>
      <c r="AQU36" s="16"/>
      <c r="AQV36" s="16"/>
      <c r="AQW36" s="16"/>
      <c r="AQX36" s="16"/>
      <c r="AQY36" s="16"/>
      <c r="AQZ36" s="16"/>
      <c r="ARA36" s="16"/>
      <c r="ARB36" s="16"/>
      <c r="ARC36" s="16"/>
      <c r="ARD36" s="16"/>
      <c r="ARE36" s="16"/>
      <c r="ARF36" s="16"/>
      <c r="ARG36" s="16"/>
      <c r="ARH36" s="16"/>
      <c r="ARI36" s="16"/>
      <c r="ARJ36" s="16"/>
      <c r="ARK36" s="16"/>
      <c r="ARL36" s="16"/>
      <c r="ARM36" s="16"/>
      <c r="ARN36" s="16"/>
      <c r="ARO36" s="16"/>
      <c r="ARP36" s="16"/>
      <c r="ARQ36" s="16"/>
      <c r="ARR36" s="16"/>
      <c r="ARS36" s="16"/>
      <c r="ART36" s="16"/>
      <c r="ARU36" s="16"/>
      <c r="ARV36" s="16"/>
      <c r="ARW36" s="16"/>
      <c r="ARX36" s="16"/>
      <c r="ARY36" s="16"/>
      <c r="ARZ36" s="16"/>
      <c r="ASA36" s="16"/>
      <c r="ASB36" s="16"/>
      <c r="ASC36" s="16"/>
      <c r="ASD36" s="16"/>
      <c r="ASE36" s="16"/>
      <c r="ASF36" s="16"/>
      <c r="ASG36" s="16"/>
      <c r="ASH36" s="16"/>
      <c r="ASI36" s="16"/>
      <c r="ASJ36" s="16"/>
      <c r="ASK36" s="16"/>
      <c r="ASL36" s="16"/>
      <c r="ASM36" s="16"/>
      <c r="ASN36" s="16"/>
      <c r="ASO36" s="16"/>
      <c r="ASP36" s="16"/>
      <c r="ASQ36" s="16"/>
      <c r="ASR36" s="16"/>
      <c r="ASS36" s="16"/>
      <c r="AST36" s="16"/>
      <c r="ASU36" s="16"/>
      <c r="ASV36" s="16"/>
      <c r="ASW36" s="16"/>
      <c r="ASX36" s="16"/>
      <c r="ASY36" s="16"/>
      <c r="ASZ36" s="16"/>
      <c r="ATA36" s="16"/>
      <c r="ATB36" s="16"/>
      <c r="ATC36" s="16"/>
      <c r="ATD36" s="16"/>
      <c r="ATE36" s="16"/>
      <c r="ATF36" s="16"/>
      <c r="ATG36" s="16"/>
      <c r="ATH36" s="16"/>
      <c r="ATI36" s="16"/>
      <c r="ATJ36" s="16"/>
      <c r="ATK36" s="16"/>
    </row>
    <row r="37" spans="1:1207" s="16" customFormat="1" ht="16.5" customHeight="1" x14ac:dyDescent="0.25">
      <c r="A37" s="2"/>
      <c r="B37" s="2"/>
      <c r="C37" s="15"/>
      <c r="D37" s="15"/>
      <c r="E37" s="114">
        <f t="shared" si="28"/>
        <v>29</v>
      </c>
      <c r="F37" s="111">
        <f t="shared" si="15"/>
        <v>46197</v>
      </c>
      <c r="G37" s="24">
        <f t="shared" si="5"/>
        <v>2340</v>
      </c>
      <c r="H37" s="24">
        <f t="shared" si="6"/>
        <v>919.94</v>
      </c>
      <c r="I37" s="24">
        <f t="shared" si="26"/>
        <v>37667.050000000003</v>
      </c>
      <c r="J37" s="24">
        <f t="shared" si="16"/>
        <v>0</v>
      </c>
      <c r="K37" s="24">
        <f t="shared" si="7"/>
        <v>1420.06</v>
      </c>
      <c r="L37" s="24">
        <f t="shared" si="17"/>
        <v>0</v>
      </c>
      <c r="M37" s="24">
        <f t="shared" si="29"/>
        <v>0</v>
      </c>
      <c r="N37" s="24">
        <f t="shared" si="18"/>
        <v>919.94</v>
      </c>
      <c r="O37" s="24">
        <f t="shared" si="19"/>
        <v>0</v>
      </c>
      <c r="P37" s="24">
        <f t="shared" si="20"/>
        <v>0</v>
      </c>
      <c r="Q37" s="24">
        <f t="shared" si="8"/>
        <v>34806.05000000001</v>
      </c>
      <c r="R37" s="36">
        <f t="shared" si="30"/>
        <v>20</v>
      </c>
      <c r="S37" s="36">
        <f t="shared" si="9"/>
        <v>20</v>
      </c>
      <c r="T37" s="142">
        <v>0</v>
      </c>
      <c r="U37" s="142">
        <v>199000</v>
      </c>
      <c r="V37" s="142">
        <v>2499</v>
      </c>
      <c r="W37" s="142">
        <v>3499</v>
      </c>
      <c r="X37" s="142">
        <v>5499</v>
      </c>
      <c r="Y37" s="142"/>
      <c r="Z37" s="142"/>
      <c r="AA37" s="2"/>
      <c r="AB37" s="15"/>
      <c r="AC37" s="3"/>
      <c r="AD37" s="3"/>
      <c r="AE37" s="3"/>
      <c r="AF37" s="2"/>
      <c r="AG37" s="2"/>
      <c r="AH37" s="57"/>
      <c r="AI37" s="2"/>
      <c r="AL37" s="130">
        <f t="shared" si="21"/>
        <v>1</v>
      </c>
      <c r="AM37" s="109">
        <f t="shared" si="31"/>
        <v>29</v>
      </c>
      <c r="AN37" s="110">
        <f t="shared" si="10"/>
        <v>46197</v>
      </c>
      <c r="AO37" s="105">
        <f>IF(AX36=1,AR37+AP37+AQ37,IF(AW36+AR37+AP37&gt;AO36,$D$29,IF(AW36=0,0,AW36+AR37+AP37+AP69)))</f>
        <v>2344</v>
      </c>
      <c r="AP37" s="105">
        <f t="shared" si="11"/>
        <v>915.9</v>
      </c>
      <c r="AQ37" s="105">
        <f t="shared" si="12"/>
        <v>1428.1</v>
      </c>
      <c r="AR37" s="105">
        <f t="shared" si="34"/>
        <v>0</v>
      </c>
      <c r="AS37" s="105">
        <f t="shared" si="22"/>
        <v>0</v>
      </c>
      <c r="AT37" s="105">
        <f t="shared" si="23"/>
        <v>915.9</v>
      </c>
      <c r="AU37" s="105">
        <f t="shared" si="24"/>
        <v>0</v>
      </c>
      <c r="AV37" s="105">
        <f t="shared" si="25"/>
        <v>0</v>
      </c>
      <c r="AW37" s="105">
        <f t="shared" si="13"/>
        <v>34638.870000000003</v>
      </c>
      <c r="AX37" s="108">
        <f t="shared" si="32"/>
        <v>20</v>
      </c>
      <c r="AY37" s="108">
        <f t="shared" si="14"/>
        <v>20</v>
      </c>
      <c r="AZ37" s="22">
        <f t="shared" si="3"/>
        <v>46197</v>
      </c>
      <c r="BA37" s="108">
        <f t="shared" si="3"/>
        <v>2340</v>
      </c>
    </row>
    <row r="38" spans="1:1207" s="16" customFormat="1" ht="16.5" customHeight="1" x14ac:dyDescent="0.25">
      <c r="A38" s="2"/>
      <c r="B38" s="2"/>
      <c r="C38" s="2"/>
      <c r="D38" s="2"/>
      <c r="E38" s="114">
        <f t="shared" si="28"/>
        <v>30</v>
      </c>
      <c r="F38" s="111">
        <f t="shared" si="15"/>
        <v>46227</v>
      </c>
      <c r="G38" s="24">
        <f t="shared" si="5"/>
        <v>2340</v>
      </c>
      <c r="H38" s="24">
        <f t="shared" si="6"/>
        <v>855.37</v>
      </c>
      <c r="I38" s="24">
        <f t="shared" si="26"/>
        <v>38522.420000000006</v>
      </c>
      <c r="J38" s="24">
        <f t="shared" si="16"/>
        <v>0</v>
      </c>
      <c r="K38" s="24">
        <f t="shared" si="7"/>
        <v>1484.63</v>
      </c>
      <c r="L38" s="24">
        <f t="shared" si="17"/>
        <v>0</v>
      </c>
      <c r="M38" s="24">
        <f t="shared" si="29"/>
        <v>0</v>
      </c>
      <c r="N38" s="24">
        <f t="shared" si="18"/>
        <v>855.37</v>
      </c>
      <c r="O38" s="24">
        <f t="shared" si="19"/>
        <v>0</v>
      </c>
      <c r="P38" s="24">
        <f t="shared" si="20"/>
        <v>0</v>
      </c>
      <c r="Q38" s="24">
        <f t="shared" si="8"/>
        <v>33321.420000000013</v>
      </c>
      <c r="R38" s="36">
        <f t="shared" si="30"/>
        <v>19</v>
      </c>
      <c r="S38" s="36">
        <f t="shared" si="9"/>
        <v>19</v>
      </c>
      <c r="T38" s="142">
        <v>199001</v>
      </c>
      <c r="U38" s="158">
        <v>500000</v>
      </c>
      <c r="V38" s="142">
        <v>3499</v>
      </c>
      <c r="W38" s="158">
        <v>4999</v>
      </c>
      <c r="X38" s="158">
        <v>6999</v>
      </c>
      <c r="Y38" s="158"/>
      <c r="Z38" s="158"/>
      <c r="AA38" s="2"/>
      <c r="AB38" s="3"/>
      <c r="AC38" s="3"/>
      <c r="AD38" s="3"/>
      <c r="AE38" s="3"/>
      <c r="AF38" s="2"/>
      <c r="AG38" s="2"/>
      <c r="AH38" s="57"/>
      <c r="AI38" s="2"/>
      <c r="AK38" s="63"/>
      <c r="AL38" s="130">
        <f t="shared" si="21"/>
        <v>1</v>
      </c>
      <c r="AM38" s="109">
        <f t="shared" si="31"/>
        <v>30</v>
      </c>
      <c r="AN38" s="110">
        <f t="shared" si="10"/>
        <v>46227</v>
      </c>
      <c r="AO38" s="105">
        <f>IF(AX37=1,AR38+AP38+AQ38,IF(AW37+AR38+AP38&gt;AO37,$D$29,IF(AW37=0,0,AW37+AR38+AP38+AP70)))</f>
        <v>2344</v>
      </c>
      <c r="AP38" s="105">
        <f t="shared" si="11"/>
        <v>851.26</v>
      </c>
      <c r="AQ38" s="105">
        <f t="shared" si="12"/>
        <v>1492.74</v>
      </c>
      <c r="AR38" s="105">
        <f t="shared" si="34"/>
        <v>0</v>
      </c>
      <c r="AS38" s="105">
        <f t="shared" si="22"/>
        <v>0</v>
      </c>
      <c r="AT38" s="105">
        <f t="shared" si="23"/>
        <v>851.26</v>
      </c>
      <c r="AU38" s="105">
        <f t="shared" si="24"/>
        <v>0</v>
      </c>
      <c r="AV38" s="105">
        <f t="shared" si="25"/>
        <v>0</v>
      </c>
      <c r="AW38" s="105">
        <f t="shared" si="13"/>
        <v>33146.130000000005</v>
      </c>
      <c r="AX38" s="108">
        <f t="shared" si="32"/>
        <v>19</v>
      </c>
      <c r="AY38" s="108">
        <f t="shared" si="14"/>
        <v>19</v>
      </c>
      <c r="AZ38" s="22">
        <f t="shared" si="3"/>
        <v>46227</v>
      </c>
      <c r="BA38" s="108">
        <f t="shared" si="3"/>
        <v>2340</v>
      </c>
    </row>
    <row r="39" spans="1:1207" s="16" customFormat="1" x14ac:dyDescent="0.25">
      <c r="A39" s="2"/>
      <c r="B39" s="2"/>
      <c r="C39" s="2"/>
      <c r="D39" s="2"/>
      <c r="E39" s="114">
        <f t="shared" si="28"/>
        <v>31</v>
      </c>
      <c r="F39" s="111">
        <f t="shared" si="15"/>
        <v>46258</v>
      </c>
      <c r="G39" s="24">
        <f t="shared" si="5"/>
        <v>2340</v>
      </c>
      <c r="H39" s="24">
        <f t="shared" si="6"/>
        <v>846.18</v>
      </c>
      <c r="I39" s="24">
        <f t="shared" si="26"/>
        <v>39368.600000000006</v>
      </c>
      <c r="J39" s="24">
        <f t="shared" si="16"/>
        <v>0</v>
      </c>
      <c r="K39" s="24">
        <f t="shared" si="7"/>
        <v>1493.8200000000002</v>
      </c>
      <c r="L39" s="24">
        <f t="shared" si="17"/>
        <v>0</v>
      </c>
      <c r="M39" s="24">
        <f t="shared" si="29"/>
        <v>0</v>
      </c>
      <c r="N39" s="24">
        <f t="shared" si="18"/>
        <v>846.18</v>
      </c>
      <c r="O39" s="24">
        <f t="shared" si="19"/>
        <v>0</v>
      </c>
      <c r="P39" s="24">
        <f t="shared" si="20"/>
        <v>0</v>
      </c>
      <c r="Q39" s="24">
        <f t="shared" si="8"/>
        <v>31827.600000000013</v>
      </c>
      <c r="R39" s="36">
        <f t="shared" si="30"/>
        <v>18</v>
      </c>
      <c r="S39" s="36">
        <f t="shared" si="9"/>
        <v>18</v>
      </c>
      <c r="T39" s="158">
        <v>500001</v>
      </c>
      <c r="U39" s="142">
        <v>1000000</v>
      </c>
      <c r="V39" s="158">
        <v>4999</v>
      </c>
      <c r="W39" s="142">
        <v>6499</v>
      </c>
      <c r="X39" s="142">
        <v>8499</v>
      </c>
      <c r="Y39" s="142">
        <v>9499</v>
      </c>
      <c r="Z39" s="142">
        <v>10999</v>
      </c>
      <c r="AA39" s="2"/>
      <c r="AB39" s="3"/>
      <c r="AC39" s="3"/>
      <c r="AD39" s="3"/>
      <c r="AE39" s="3"/>
      <c r="AF39" s="2"/>
      <c r="AG39" s="2"/>
      <c r="AH39" s="57"/>
      <c r="AI39" s="2"/>
      <c r="AJ39" s="63"/>
      <c r="AK39" s="15"/>
      <c r="AL39" s="130">
        <f t="shared" si="21"/>
        <v>1</v>
      </c>
      <c r="AM39" s="109">
        <f t="shared" si="31"/>
        <v>31</v>
      </c>
      <c r="AN39" s="110">
        <f t="shared" si="10"/>
        <v>46258</v>
      </c>
      <c r="AO39" s="105">
        <f t="shared" ref="AO39:AO102" si="35">IF(AX38=1,AR39+AP39+AQ39,IF(AW38+AR39+AP39&gt;AO38,$D$29,IF(AW38=0,0,AW38+AR39+AP39+AP71)))</f>
        <v>2344</v>
      </c>
      <c r="AP39" s="105">
        <f t="shared" si="11"/>
        <v>841.73</v>
      </c>
      <c r="AQ39" s="105">
        <f t="shared" si="12"/>
        <v>1502.27</v>
      </c>
      <c r="AR39" s="105">
        <f t="shared" si="34"/>
        <v>0</v>
      </c>
      <c r="AS39" s="105">
        <f t="shared" si="22"/>
        <v>0</v>
      </c>
      <c r="AT39" s="105">
        <f t="shared" si="23"/>
        <v>841.73</v>
      </c>
      <c r="AU39" s="105">
        <f t="shared" si="24"/>
        <v>0</v>
      </c>
      <c r="AV39" s="105">
        <f t="shared" si="25"/>
        <v>0</v>
      </c>
      <c r="AW39" s="105">
        <f t="shared" si="13"/>
        <v>31643.860000000004</v>
      </c>
      <c r="AX39" s="108">
        <f t="shared" si="32"/>
        <v>18</v>
      </c>
      <c r="AY39" s="108">
        <f t="shared" si="14"/>
        <v>18</v>
      </c>
      <c r="AZ39" s="22">
        <f t="shared" si="3"/>
        <v>46258</v>
      </c>
      <c r="BA39" s="108">
        <f t="shared" si="3"/>
        <v>2340</v>
      </c>
    </row>
    <row r="40" spans="1:1207" s="16" customFormat="1" x14ac:dyDescent="0.25">
      <c r="A40" s="2"/>
      <c r="B40" s="2"/>
      <c r="C40" s="2"/>
      <c r="D40" s="2"/>
      <c r="E40" s="114">
        <f t="shared" si="28"/>
        <v>32</v>
      </c>
      <c r="F40" s="111">
        <f t="shared" si="15"/>
        <v>46289</v>
      </c>
      <c r="G40" s="24">
        <f t="shared" si="5"/>
        <v>2340</v>
      </c>
      <c r="H40" s="24">
        <f t="shared" si="6"/>
        <v>808.25</v>
      </c>
      <c r="I40" s="24">
        <f t="shared" si="26"/>
        <v>40176.850000000006</v>
      </c>
      <c r="J40" s="24">
        <f t="shared" si="16"/>
        <v>0</v>
      </c>
      <c r="K40" s="24">
        <f t="shared" si="7"/>
        <v>1531.75</v>
      </c>
      <c r="L40" s="24">
        <f t="shared" si="17"/>
        <v>0</v>
      </c>
      <c r="M40" s="24">
        <f t="shared" si="29"/>
        <v>0</v>
      </c>
      <c r="N40" s="24">
        <f t="shared" si="18"/>
        <v>808.25</v>
      </c>
      <c r="O40" s="24">
        <f t="shared" si="19"/>
        <v>0</v>
      </c>
      <c r="P40" s="24">
        <f t="shared" si="20"/>
        <v>0</v>
      </c>
      <c r="Q40" s="24">
        <f t="shared" si="8"/>
        <v>30295.850000000013</v>
      </c>
      <c r="R40" s="36">
        <f t="shared" si="30"/>
        <v>17</v>
      </c>
      <c r="S40" s="36">
        <f t="shared" si="9"/>
        <v>17</v>
      </c>
      <c r="T40" s="142">
        <v>1000001</v>
      </c>
      <c r="U40" s="158">
        <v>5000000</v>
      </c>
      <c r="V40" s="142">
        <v>6499</v>
      </c>
      <c r="W40" s="142">
        <v>8499</v>
      </c>
      <c r="X40" s="158">
        <v>9999</v>
      </c>
      <c r="Y40" s="158">
        <v>10999</v>
      </c>
      <c r="Z40" s="158">
        <v>11999</v>
      </c>
      <c r="AA40" s="2"/>
      <c r="AB40" s="3"/>
      <c r="AC40" s="3"/>
      <c r="AD40" s="3"/>
      <c r="AE40" s="3"/>
      <c r="AF40" s="2"/>
      <c r="AG40" s="2"/>
      <c r="AH40" s="57"/>
      <c r="AI40" s="2"/>
      <c r="AJ40" s="15"/>
      <c r="AK40" s="15"/>
      <c r="AL40" s="130">
        <f t="shared" si="21"/>
        <v>1</v>
      </c>
      <c r="AM40" s="109">
        <f t="shared" si="31"/>
        <v>32</v>
      </c>
      <c r="AN40" s="110">
        <f t="shared" si="10"/>
        <v>46289</v>
      </c>
      <c r="AO40" s="105">
        <f t="shared" si="35"/>
        <v>2344</v>
      </c>
      <c r="AP40" s="105">
        <f t="shared" si="11"/>
        <v>803.58</v>
      </c>
      <c r="AQ40" s="105">
        <f t="shared" si="12"/>
        <v>1540.42</v>
      </c>
      <c r="AR40" s="105">
        <f t="shared" si="34"/>
        <v>0</v>
      </c>
      <c r="AS40" s="105">
        <f t="shared" si="22"/>
        <v>0</v>
      </c>
      <c r="AT40" s="105">
        <f t="shared" si="23"/>
        <v>803.58</v>
      </c>
      <c r="AU40" s="105">
        <f t="shared" si="24"/>
        <v>0</v>
      </c>
      <c r="AV40" s="105">
        <f t="shared" si="25"/>
        <v>0</v>
      </c>
      <c r="AW40" s="105">
        <f t="shared" si="13"/>
        <v>30103.440000000002</v>
      </c>
      <c r="AX40" s="108">
        <f t="shared" si="32"/>
        <v>17</v>
      </c>
      <c r="AY40" s="108">
        <f t="shared" si="14"/>
        <v>17</v>
      </c>
      <c r="AZ40" s="22">
        <f t="shared" ref="AZ40:BA71" si="36">F40</f>
        <v>46289</v>
      </c>
      <c r="BA40" s="108">
        <f t="shared" si="36"/>
        <v>2340</v>
      </c>
    </row>
    <row r="41" spans="1:1207" s="16" customFormat="1" ht="28.5" customHeight="1" x14ac:dyDescent="0.25">
      <c r="A41" s="2"/>
      <c r="B41" s="2"/>
      <c r="C41" s="2"/>
      <c r="D41" s="2"/>
      <c r="E41" s="114">
        <f t="shared" si="28"/>
        <v>33</v>
      </c>
      <c r="F41" s="111">
        <f t="shared" si="15"/>
        <v>46319</v>
      </c>
      <c r="G41" s="24">
        <f t="shared" si="5"/>
        <v>2340</v>
      </c>
      <c r="H41" s="24">
        <f t="shared" si="6"/>
        <v>744.53</v>
      </c>
      <c r="I41" s="24">
        <f t="shared" si="26"/>
        <v>40921.380000000005</v>
      </c>
      <c r="J41" s="24">
        <f t="shared" si="16"/>
        <v>0</v>
      </c>
      <c r="K41" s="24">
        <f t="shared" si="7"/>
        <v>1595.47</v>
      </c>
      <c r="L41" s="24">
        <f t="shared" si="17"/>
        <v>0</v>
      </c>
      <c r="M41" s="24">
        <f t="shared" si="29"/>
        <v>0</v>
      </c>
      <c r="N41" s="24">
        <f t="shared" si="18"/>
        <v>744.53</v>
      </c>
      <c r="O41" s="24">
        <f t="shared" si="19"/>
        <v>0</v>
      </c>
      <c r="P41" s="24">
        <f t="shared" si="20"/>
        <v>0</v>
      </c>
      <c r="Q41" s="24">
        <f t="shared" si="8"/>
        <v>28700.380000000012</v>
      </c>
      <c r="R41" s="36">
        <f t="shared" si="30"/>
        <v>16</v>
      </c>
      <c r="S41" s="36">
        <f t="shared" si="9"/>
        <v>16</v>
      </c>
      <c r="T41" s="2">
        <f>IF(C11="Да",IF($C$10&gt;=Z35,Z41,IF($C$10&gt;=Y35,Y41,IF($C$10&gt;=X35,X41,IF($C$10&gt;=W35,W41,IF($C$10&gt;=W35,W41,V41))))),"")</f>
        <v>3499</v>
      </c>
      <c r="U41" s="2"/>
      <c r="V41" s="2">
        <f>IF($C$7&lt;=$U$37,V37,IF($C$7&lt;=$U$38,V38,IF($C$7&lt;=$U$39,V39,V40)))</f>
        <v>2499</v>
      </c>
      <c r="W41" s="2">
        <f>IF($C$7&lt;=$U$37,W37,IF($C$7&lt;=$U$38,W38,IF($C$7&lt;=$U$39,W39,W40)))</f>
        <v>3499</v>
      </c>
      <c r="X41" s="2">
        <f>IF($C$7&lt;=$U$37,X37,IF($C$7&lt;=$U$38,X38,IF($C$7&lt;=$U$39,X39,X40)))</f>
        <v>5499</v>
      </c>
      <c r="Y41" s="2">
        <f>IF($C$7&lt;=$U$37,Y37,IF($C$7&lt;=$U$38,Y38,IF($C$7&lt;=$U$39,Y39,Y40)))</f>
        <v>0</v>
      </c>
      <c r="Z41" s="2">
        <f>IF($C$7&lt;$U$37,Z37,IF($C$7&lt;$U$38,Z38,IF($C$7&lt;$U$39,Z39,Z40)))</f>
        <v>0</v>
      </c>
      <c r="AA41" s="2"/>
      <c r="AB41" s="3"/>
      <c r="AC41" s="3"/>
      <c r="AD41" s="3"/>
      <c r="AE41" s="3"/>
      <c r="AF41" s="2"/>
      <c r="AG41" s="2"/>
      <c r="AH41" s="57"/>
      <c r="AI41" s="2"/>
      <c r="AJ41" s="15"/>
      <c r="AK41" s="15"/>
      <c r="AL41" s="130">
        <f t="shared" si="21"/>
        <v>1</v>
      </c>
      <c r="AM41" s="109">
        <f t="shared" si="31"/>
        <v>33</v>
      </c>
      <c r="AN41" s="110">
        <f t="shared" si="10"/>
        <v>46319</v>
      </c>
      <c r="AO41" s="105">
        <f t="shared" si="35"/>
        <v>2344</v>
      </c>
      <c r="AP41" s="105">
        <f t="shared" si="11"/>
        <v>739.8</v>
      </c>
      <c r="AQ41" s="105">
        <f t="shared" si="12"/>
        <v>1604.2</v>
      </c>
      <c r="AR41" s="105">
        <f t="shared" si="34"/>
        <v>0</v>
      </c>
      <c r="AS41" s="105">
        <f t="shared" si="22"/>
        <v>0</v>
      </c>
      <c r="AT41" s="105">
        <f t="shared" si="23"/>
        <v>739.8</v>
      </c>
      <c r="AU41" s="105">
        <f t="shared" si="24"/>
        <v>0</v>
      </c>
      <c r="AV41" s="105">
        <f t="shared" si="25"/>
        <v>0</v>
      </c>
      <c r="AW41" s="105">
        <f t="shared" si="13"/>
        <v>28499.24</v>
      </c>
      <c r="AX41" s="108">
        <f t="shared" si="32"/>
        <v>16</v>
      </c>
      <c r="AY41" s="108">
        <f t="shared" si="14"/>
        <v>16</v>
      </c>
      <c r="AZ41" s="22">
        <f t="shared" si="36"/>
        <v>46319</v>
      </c>
      <c r="BA41" s="108">
        <f t="shared" si="36"/>
        <v>2340</v>
      </c>
    </row>
    <row r="42" spans="1:1207" s="16" customFormat="1" ht="12" x14ac:dyDescent="0.25">
      <c r="A42" s="2"/>
      <c r="B42" s="2"/>
      <c r="C42" s="130"/>
      <c r="D42" s="2"/>
      <c r="E42" s="114">
        <f t="shared" si="28"/>
        <v>34</v>
      </c>
      <c r="F42" s="111">
        <f t="shared" si="15"/>
        <v>46350</v>
      </c>
      <c r="G42" s="24">
        <f t="shared" si="5"/>
        <v>2340</v>
      </c>
      <c r="H42" s="24">
        <f t="shared" si="6"/>
        <v>728.83</v>
      </c>
      <c r="I42" s="24">
        <f t="shared" si="26"/>
        <v>41650.210000000006</v>
      </c>
      <c r="J42" s="24">
        <f t="shared" si="16"/>
        <v>0</v>
      </c>
      <c r="K42" s="24">
        <f t="shared" si="7"/>
        <v>1611.17</v>
      </c>
      <c r="L42" s="24">
        <f t="shared" si="17"/>
        <v>0</v>
      </c>
      <c r="M42" s="24">
        <f t="shared" si="29"/>
        <v>0</v>
      </c>
      <c r="N42" s="24">
        <f t="shared" si="18"/>
        <v>728.83</v>
      </c>
      <c r="O42" s="24">
        <f t="shared" si="19"/>
        <v>0</v>
      </c>
      <c r="P42" s="24">
        <f t="shared" si="20"/>
        <v>0</v>
      </c>
      <c r="Q42" s="24">
        <f t="shared" si="8"/>
        <v>27089.210000000014</v>
      </c>
      <c r="R42" s="36">
        <f t="shared" si="30"/>
        <v>15</v>
      </c>
      <c r="S42" s="36">
        <f t="shared" si="9"/>
        <v>15</v>
      </c>
      <c r="T42" s="2"/>
      <c r="U42" s="2"/>
      <c r="V42" s="2"/>
      <c r="W42" s="2"/>
      <c r="X42" s="2"/>
      <c r="Y42" s="2"/>
      <c r="Z42" s="13"/>
      <c r="AA42" s="2"/>
      <c r="AB42" s="2"/>
      <c r="AC42" s="2"/>
      <c r="AD42" s="2"/>
      <c r="AE42" s="2"/>
      <c r="AF42" s="2"/>
      <c r="AG42" s="2"/>
      <c r="AH42" s="57"/>
      <c r="AI42" s="2"/>
      <c r="AJ42" s="15"/>
      <c r="AK42" s="15"/>
      <c r="AL42" s="130">
        <f t="shared" si="21"/>
        <v>1</v>
      </c>
      <c r="AM42" s="109">
        <f t="shared" si="31"/>
        <v>34</v>
      </c>
      <c r="AN42" s="110">
        <f t="shared" si="10"/>
        <v>46350</v>
      </c>
      <c r="AO42" s="105">
        <f t="shared" si="35"/>
        <v>2344</v>
      </c>
      <c r="AP42" s="105">
        <f t="shared" si="11"/>
        <v>723.72</v>
      </c>
      <c r="AQ42" s="105">
        <f t="shared" si="12"/>
        <v>1620.28</v>
      </c>
      <c r="AR42" s="105">
        <f t="shared" si="34"/>
        <v>0</v>
      </c>
      <c r="AS42" s="105">
        <f t="shared" si="22"/>
        <v>0</v>
      </c>
      <c r="AT42" s="105">
        <f t="shared" si="23"/>
        <v>723.72</v>
      </c>
      <c r="AU42" s="105">
        <f t="shared" si="24"/>
        <v>0</v>
      </c>
      <c r="AV42" s="105">
        <f t="shared" si="25"/>
        <v>0</v>
      </c>
      <c r="AW42" s="105">
        <f t="shared" si="13"/>
        <v>26878.960000000003</v>
      </c>
      <c r="AX42" s="108">
        <f t="shared" si="32"/>
        <v>15</v>
      </c>
      <c r="AY42" s="108">
        <f t="shared" si="14"/>
        <v>15</v>
      </c>
      <c r="AZ42" s="22">
        <f t="shared" si="36"/>
        <v>46350</v>
      </c>
      <c r="BA42" s="108">
        <f t="shared" si="36"/>
        <v>2340</v>
      </c>
    </row>
    <row r="43" spans="1:1207" s="16" customFormat="1" ht="12" x14ac:dyDescent="0.25">
      <c r="A43" s="2"/>
      <c r="B43" s="2"/>
      <c r="C43" s="2"/>
      <c r="D43" s="2"/>
      <c r="E43" s="114">
        <f t="shared" si="28"/>
        <v>35</v>
      </c>
      <c r="F43" s="111">
        <f t="shared" si="15"/>
        <v>46380</v>
      </c>
      <c r="G43" s="24">
        <f t="shared" si="5"/>
        <v>2340</v>
      </c>
      <c r="H43" s="24">
        <f t="shared" si="6"/>
        <v>665.73</v>
      </c>
      <c r="I43" s="24">
        <f t="shared" si="26"/>
        <v>42315.94000000001</v>
      </c>
      <c r="J43" s="24">
        <f t="shared" si="16"/>
        <v>0</v>
      </c>
      <c r="K43" s="24">
        <f t="shared" si="7"/>
        <v>1674.27</v>
      </c>
      <c r="L43" s="24">
        <f t="shared" si="17"/>
        <v>0</v>
      </c>
      <c r="M43" s="24">
        <f t="shared" si="29"/>
        <v>0</v>
      </c>
      <c r="N43" s="24">
        <f t="shared" si="18"/>
        <v>665.73</v>
      </c>
      <c r="O43" s="24">
        <f t="shared" si="19"/>
        <v>0</v>
      </c>
      <c r="P43" s="24">
        <f t="shared" si="20"/>
        <v>0</v>
      </c>
      <c r="Q43" s="24">
        <f t="shared" si="8"/>
        <v>25414.940000000013</v>
      </c>
      <c r="R43" s="36">
        <f t="shared" si="30"/>
        <v>14</v>
      </c>
      <c r="S43" s="36">
        <f t="shared" si="9"/>
        <v>14</v>
      </c>
      <c r="T43" s="2"/>
      <c r="U43" s="2"/>
      <c r="V43" s="2"/>
      <c r="W43" s="2"/>
      <c r="X43" s="2"/>
      <c r="Y43" s="2"/>
      <c r="Z43" s="13"/>
      <c r="AA43" s="2"/>
      <c r="AB43" s="2"/>
      <c r="AC43" s="2"/>
      <c r="AD43" s="2"/>
      <c r="AE43" s="2"/>
      <c r="AF43" s="2"/>
      <c r="AG43" s="2"/>
      <c r="AH43" s="57"/>
      <c r="AI43" s="2"/>
      <c r="AJ43" s="15"/>
      <c r="AK43" s="15"/>
      <c r="AL43" s="130">
        <f t="shared" si="21"/>
        <v>1</v>
      </c>
      <c r="AM43" s="109">
        <f t="shared" si="31"/>
        <v>35</v>
      </c>
      <c r="AN43" s="110">
        <f t="shared" si="10"/>
        <v>46380</v>
      </c>
      <c r="AO43" s="105">
        <f t="shared" si="35"/>
        <v>2344</v>
      </c>
      <c r="AP43" s="105">
        <f t="shared" si="11"/>
        <v>660.56</v>
      </c>
      <c r="AQ43" s="105">
        <f t="shared" si="12"/>
        <v>1683.44</v>
      </c>
      <c r="AR43" s="105">
        <f t="shared" si="34"/>
        <v>0</v>
      </c>
      <c r="AS43" s="105">
        <f t="shared" si="22"/>
        <v>0</v>
      </c>
      <c r="AT43" s="105">
        <f t="shared" si="23"/>
        <v>660.56</v>
      </c>
      <c r="AU43" s="105">
        <f t="shared" si="24"/>
        <v>0</v>
      </c>
      <c r="AV43" s="105">
        <f t="shared" si="25"/>
        <v>0</v>
      </c>
      <c r="AW43" s="105">
        <f t="shared" si="13"/>
        <v>25195.520000000004</v>
      </c>
      <c r="AX43" s="108">
        <f t="shared" si="32"/>
        <v>14</v>
      </c>
      <c r="AY43" s="108">
        <f t="shared" si="14"/>
        <v>14</v>
      </c>
      <c r="AZ43" s="22">
        <f t="shared" si="36"/>
        <v>46380</v>
      </c>
      <c r="BA43" s="108">
        <f t="shared" si="36"/>
        <v>2340</v>
      </c>
    </row>
    <row r="44" spans="1:1207" s="16" customFormat="1" x14ac:dyDescent="0.25">
      <c r="A44" s="2"/>
      <c r="B44" s="2"/>
      <c r="C44" s="13"/>
      <c r="D44" s="13"/>
      <c r="E44" s="114">
        <f t="shared" si="28"/>
        <v>36</v>
      </c>
      <c r="F44" s="111">
        <f t="shared" si="15"/>
        <v>46411</v>
      </c>
      <c r="G44" s="24">
        <f t="shared" si="5"/>
        <v>2340</v>
      </c>
      <c r="H44" s="24">
        <f t="shared" si="6"/>
        <v>645.4</v>
      </c>
      <c r="I44" s="24">
        <f t="shared" si="26"/>
        <v>42961.340000000011</v>
      </c>
      <c r="J44" s="24">
        <f t="shared" si="16"/>
        <v>0</v>
      </c>
      <c r="K44" s="24">
        <f t="shared" si="7"/>
        <v>1694.6</v>
      </c>
      <c r="L44" s="24">
        <f t="shared" si="17"/>
        <v>0</v>
      </c>
      <c r="M44" s="24">
        <f t="shared" si="29"/>
        <v>0</v>
      </c>
      <c r="N44" s="24">
        <f t="shared" si="18"/>
        <v>645.4</v>
      </c>
      <c r="O44" s="24">
        <f t="shared" si="19"/>
        <v>0</v>
      </c>
      <c r="P44" s="24">
        <f t="shared" si="20"/>
        <v>0</v>
      </c>
      <c r="Q44" s="24">
        <f t="shared" si="8"/>
        <v>23720.340000000015</v>
      </c>
      <c r="R44" s="36">
        <f t="shared" si="30"/>
        <v>13</v>
      </c>
      <c r="S44" s="36">
        <f t="shared" si="9"/>
        <v>13</v>
      </c>
      <c r="T44" s="2"/>
      <c r="U44" s="2"/>
      <c r="V44" s="2"/>
      <c r="W44" s="2"/>
      <c r="X44" s="2"/>
      <c r="Y44" s="2"/>
      <c r="Z44" s="2"/>
      <c r="AA44" s="2"/>
      <c r="AB44" s="3"/>
      <c r="AC44" s="3"/>
      <c r="AD44" s="3"/>
      <c r="AE44" s="3"/>
      <c r="AF44" s="2"/>
      <c r="AG44" s="2"/>
      <c r="AH44" s="57"/>
      <c r="AI44" s="2"/>
      <c r="AJ44" s="15"/>
      <c r="AK44" s="3"/>
      <c r="AL44" s="130">
        <f t="shared" si="21"/>
        <v>1</v>
      </c>
      <c r="AM44" s="109">
        <f t="shared" si="31"/>
        <v>36</v>
      </c>
      <c r="AN44" s="110">
        <f t="shared" si="10"/>
        <v>46411</v>
      </c>
      <c r="AO44" s="105">
        <f t="shared" si="35"/>
        <v>2344</v>
      </c>
      <c r="AP44" s="105">
        <f t="shared" si="11"/>
        <v>639.83000000000004</v>
      </c>
      <c r="AQ44" s="105">
        <f t="shared" si="12"/>
        <v>1704.17</v>
      </c>
      <c r="AR44" s="105">
        <f t="shared" si="34"/>
        <v>0</v>
      </c>
      <c r="AS44" s="105">
        <f t="shared" si="22"/>
        <v>0</v>
      </c>
      <c r="AT44" s="105">
        <f t="shared" si="23"/>
        <v>639.83000000000004</v>
      </c>
      <c r="AU44" s="105">
        <f t="shared" si="24"/>
        <v>0</v>
      </c>
      <c r="AV44" s="105">
        <f t="shared" si="25"/>
        <v>0</v>
      </c>
      <c r="AW44" s="105">
        <f t="shared" si="13"/>
        <v>23491.350000000006</v>
      </c>
      <c r="AX44" s="108">
        <f t="shared" si="32"/>
        <v>13</v>
      </c>
      <c r="AY44" s="108">
        <f t="shared" si="14"/>
        <v>13</v>
      </c>
      <c r="AZ44" s="22">
        <f t="shared" si="36"/>
        <v>46411</v>
      </c>
      <c r="BA44" s="108">
        <f t="shared" si="36"/>
        <v>2340</v>
      </c>
    </row>
    <row r="45" spans="1:1207" s="16" customFormat="1" x14ac:dyDescent="0.25">
      <c r="A45" s="2"/>
      <c r="B45" s="46"/>
      <c r="C45" s="13"/>
      <c r="D45" s="13"/>
      <c r="E45" s="114">
        <f t="shared" si="28"/>
        <v>37</v>
      </c>
      <c r="F45" s="111">
        <f t="shared" si="15"/>
        <v>46442</v>
      </c>
      <c r="G45" s="24">
        <f t="shared" si="5"/>
        <v>2340</v>
      </c>
      <c r="H45" s="24">
        <f t="shared" si="6"/>
        <v>602.37</v>
      </c>
      <c r="I45" s="24">
        <f t="shared" si="26"/>
        <v>43563.710000000014</v>
      </c>
      <c r="J45" s="24">
        <f t="shared" si="16"/>
        <v>0</v>
      </c>
      <c r="K45" s="24">
        <f t="shared" si="7"/>
        <v>1737.63</v>
      </c>
      <c r="L45" s="24">
        <f t="shared" si="17"/>
        <v>0</v>
      </c>
      <c r="M45" s="24">
        <f t="shared" si="29"/>
        <v>0</v>
      </c>
      <c r="N45" s="24">
        <f t="shared" si="18"/>
        <v>602.37</v>
      </c>
      <c r="O45" s="24">
        <f t="shared" si="19"/>
        <v>0</v>
      </c>
      <c r="P45" s="24">
        <f t="shared" si="20"/>
        <v>0</v>
      </c>
      <c r="Q45" s="24">
        <f t="shared" si="8"/>
        <v>21982.710000000014</v>
      </c>
      <c r="R45" s="36">
        <f t="shared" si="30"/>
        <v>12</v>
      </c>
      <c r="S45" s="36">
        <f t="shared" si="9"/>
        <v>12</v>
      </c>
      <c r="T45" s="2"/>
      <c r="U45" s="2"/>
      <c r="V45" s="2"/>
      <c r="W45" s="2"/>
      <c r="X45" s="2"/>
      <c r="Y45" s="2"/>
      <c r="Z45" s="2"/>
      <c r="AA45" s="2"/>
      <c r="AB45" s="3"/>
      <c r="AC45" s="3"/>
      <c r="AD45" s="3"/>
      <c r="AE45" s="3"/>
      <c r="AF45" s="2"/>
      <c r="AG45" s="2"/>
      <c r="AH45" s="57"/>
      <c r="AI45" s="2"/>
      <c r="AJ45" s="3"/>
      <c r="AL45" s="130">
        <f t="shared" si="21"/>
        <v>1</v>
      </c>
      <c r="AM45" s="109">
        <f t="shared" si="31"/>
        <v>37</v>
      </c>
      <c r="AN45" s="110">
        <f t="shared" si="10"/>
        <v>46442</v>
      </c>
      <c r="AO45" s="105">
        <f t="shared" si="35"/>
        <v>2344</v>
      </c>
      <c r="AP45" s="105">
        <f t="shared" si="11"/>
        <v>596.54999999999995</v>
      </c>
      <c r="AQ45" s="105">
        <f t="shared" si="12"/>
        <v>1747.45</v>
      </c>
      <c r="AR45" s="105">
        <f t="shared" si="34"/>
        <v>0</v>
      </c>
      <c r="AS45" s="105">
        <f t="shared" si="22"/>
        <v>0</v>
      </c>
      <c r="AT45" s="105">
        <f t="shared" si="23"/>
        <v>596.54999999999995</v>
      </c>
      <c r="AU45" s="105">
        <f t="shared" si="24"/>
        <v>0</v>
      </c>
      <c r="AV45" s="105">
        <f t="shared" si="25"/>
        <v>0</v>
      </c>
      <c r="AW45" s="105">
        <f t="shared" si="13"/>
        <v>21743.900000000005</v>
      </c>
      <c r="AX45" s="108">
        <f t="shared" si="32"/>
        <v>12</v>
      </c>
      <c r="AY45" s="108">
        <f t="shared" si="14"/>
        <v>12</v>
      </c>
      <c r="AZ45" s="22">
        <f t="shared" si="36"/>
        <v>46442</v>
      </c>
      <c r="BA45" s="108">
        <f t="shared" si="36"/>
        <v>2340</v>
      </c>
    </row>
    <row r="46" spans="1:1207" s="16" customFormat="1" x14ac:dyDescent="0.25">
      <c r="A46" s="2"/>
      <c r="B46" s="607"/>
      <c r="C46" s="13"/>
      <c r="D46" s="13"/>
      <c r="E46" s="114">
        <f t="shared" si="28"/>
        <v>38</v>
      </c>
      <c r="F46" s="111">
        <f t="shared" si="15"/>
        <v>46470</v>
      </c>
      <c r="G46" s="24">
        <f t="shared" si="5"/>
        <v>2340</v>
      </c>
      <c r="H46" s="24">
        <f t="shared" si="6"/>
        <v>504.22</v>
      </c>
      <c r="I46" s="24">
        <f t="shared" si="26"/>
        <v>44067.930000000015</v>
      </c>
      <c r="J46" s="24">
        <f t="shared" si="16"/>
        <v>0</v>
      </c>
      <c r="K46" s="24">
        <f t="shared" si="7"/>
        <v>1835.78</v>
      </c>
      <c r="L46" s="24">
        <f t="shared" si="17"/>
        <v>0</v>
      </c>
      <c r="M46" s="24">
        <f t="shared" si="29"/>
        <v>0</v>
      </c>
      <c r="N46" s="24">
        <f t="shared" si="18"/>
        <v>504.22</v>
      </c>
      <c r="O46" s="24">
        <f t="shared" si="19"/>
        <v>0</v>
      </c>
      <c r="P46" s="24">
        <f t="shared" si="20"/>
        <v>0</v>
      </c>
      <c r="Q46" s="24">
        <f t="shared" si="8"/>
        <v>20146.930000000015</v>
      </c>
      <c r="R46" s="36">
        <f t="shared" si="30"/>
        <v>11</v>
      </c>
      <c r="S46" s="36">
        <f t="shared" si="9"/>
        <v>11</v>
      </c>
      <c r="T46" s="62">
        <f>IF(C23&lt;&gt;X60, C23,AA14)</f>
        <v>0.29899999999999999</v>
      </c>
      <c r="U46" s="2">
        <f>IF(OR($C$26=0,B34="Нет"),0,-$C$26)</f>
        <v>0</v>
      </c>
      <c r="V46" s="57">
        <f>V49+365*$C$10</f>
        <v>62835</v>
      </c>
      <c r="W46" s="2"/>
      <c r="X46" s="2"/>
      <c r="Y46" s="2"/>
      <c r="Z46" s="2"/>
      <c r="AA46" s="2"/>
      <c r="AB46" s="3"/>
      <c r="AC46" s="3"/>
      <c r="AD46" s="3"/>
      <c r="AE46" s="3"/>
      <c r="AF46" s="2"/>
      <c r="AG46" s="2"/>
      <c r="AH46" s="57"/>
      <c r="AI46" s="62">
        <f>IF(D23&lt;&gt;X60, D23,$AB$14)</f>
        <v>0.29899999999999999</v>
      </c>
      <c r="AJ46" s="2">
        <f>IF($D$26=0,0,-$D$26)</f>
        <v>0</v>
      </c>
      <c r="AK46" s="57">
        <f>AK49+365*$C$10</f>
        <v>62835</v>
      </c>
      <c r="AL46" s="130">
        <f t="shared" si="21"/>
        <v>1</v>
      </c>
      <c r="AM46" s="109">
        <f t="shared" si="31"/>
        <v>38</v>
      </c>
      <c r="AN46" s="110">
        <f t="shared" si="10"/>
        <v>46470</v>
      </c>
      <c r="AO46" s="105">
        <f t="shared" si="35"/>
        <v>2344</v>
      </c>
      <c r="AP46" s="105">
        <f t="shared" si="11"/>
        <v>498.74</v>
      </c>
      <c r="AQ46" s="105">
        <f t="shared" si="12"/>
        <v>1845.26</v>
      </c>
      <c r="AR46" s="105">
        <f t="shared" si="34"/>
        <v>0</v>
      </c>
      <c r="AS46" s="105">
        <f t="shared" si="22"/>
        <v>0</v>
      </c>
      <c r="AT46" s="105">
        <f t="shared" si="23"/>
        <v>498.74</v>
      </c>
      <c r="AU46" s="105">
        <f t="shared" si="24"/>
        <v>0</v>
      </c>
      <c r="AV46" s="105">
        <f t="shared" si="25"/>
        <v>0</v>
      </c>
      <c r="AW46" s="105">
        <f t="shared" si="13"/>
        <v>19898.640000000007</v>
      </c>
      <c r="AX46" s="108">
        <f t="shared" si="32"/>
        <v>11</v>
      </c>
      <c r="AY46" s="108">
        <f t="shared" si="14"/>
        <v>11</v>
      </c>
      <c r="AZ46" s="22">
        <f t="shared" si="36"/>
        <v>46470</v>
      </c>
      <c r="BA46" s="108">
        <f t="shared" si="36"/>
        <v>2340</v>
      </c>
    </row>
    <row r="47" spans="1:1207" s="16" customFormat="1" x14ac:dyDescent="0.25">
      <c r="A47" s="2"/>
      <c r="B47" s="2"/>
      <c r="C47" s="2"/>
      <c r="D47" s="2"/>
      <c r="E47" s="114">
        <f t="shared" si="28"/>
        <v>39</v>
      </c>
      <c r="F47" s="111">
        <f t="shared" si="15"/>
        <v>46501</v>
      </c>
      <c r="G47" s="24">
        <f t="shared" si="5"/>
        <v>2340</v>
      </c>
      <c r="H47" s="24">
        <f t="shared" si="6"/>
        <v>511.62</v>
      </c>
      <c r="I47" s="24">
        <f t="shared" si="26"/>
        <v>44579.550000000017</v>
      </c>
      <c r="J47" s="24">
        <f t="shared" si="16"/>
        <v>0</v>
      </c>
      <c r="K47" s="24">
        <f t="shared" si="7"/>
        <v>1828.38</v>
      </c>
      <c r="L47" s="24">
        <f t="shared" si="17"/>
        <v>0</v>
      </c>
      <c r="M47" s="24">
        <f>O46-L46</f>
        <v>0</v>
      </c>
      <c r="N47" s="24">
        <f>H47+O47</f>
        <v>511.62</v>
      </c>
      <c r="O47" s="24">
        <f>IF(S47=0,0,0)</f>
        <v>0</v>
      </c>
      <c r="P47" s="24">
        <f>IF(S47=0,0,0)</f>
        <v>0</v>
      </c>
      <c r="Q47" s="24">
        <f t="shared" si="8"/>
        <v>18318.550000000014</v>
      </c>
      <c r="R47" s="36">
        <f t="shared" si="30"/>
        <v>10</v>
      </c>
      <c r="S47" s="36">
        <f t="shared" si="9"/>
        <v>10</v>
      </c>
      <c r="T47" s="62">
        <f>IF(C24&lt;&gt;X61, C24,AA15)</f>
        <v>0.05</v>
      </c>
      <c r="U47" s="2"/>
      <c r="V47" s="57">
        <f>V50+365*$C$10</f>
        <v>63200</v>
      </c>
      <c r="W47" s="2"/>
      <c r="X47" s="2"/>
      <c r="Y47" s="2"/>
      <c r="Z47" s="2"/>
      <c r="AA47" s="2"/>
      <c r="AB47" s="3"/>
      <c r="AC47" s="3"/>
      <c r="AD47" s="3"/>
      <c r="AE47" s="3">
        <v>1</v>
      </c>
      <c r="AF47" s="2"/>
      <c r="AG47" s="2"/>
      <c r="AH47" s="57"/>
      <c r="AI47" s="62">
        <f>IF(D24&lt;&gt;X61, D24,$AB$14)</f>
        <v>0</v>
      </c>
      <c r="AJ47" s="2">
        <f>IF($D$26=0,0,-$D$26)</f>
        <v>0</v>
      </c>
      <c r="AK47" s="57">
        <f>AK50+365*$C$10</f>
        <v>63200</v>
      </c>
      <c r="AL47" s="130">
        <f>IF(OR(AO47="",AO47=0),0,1)</f>
        <v>1</v>
      </c>
      <c r="AM47" s="109">
        <f t="shared" si="31"/>
        <v>39</v>
      </c>
      <c r="AN47" s="110">
        <f t="shared" si="10"/>
        <v>46501</v>
      </c>
      <c r="AO47" s="105">
        <f t="shared" si="35"/>
        <v>2344</v>
      </c>
      <c r="AP47" s="105">
        <f t="shared" si="11"/>
        <v>505.32</v>
      </c>
      <c r="AQ47" s="105">
        <f>IF(AY47=0,0,IF(AY47=1,AW46,IF(AW46+AR47+AP47&gt;AO46,AO47-AP47-AR47,AW46)))</f>
        <v>1838.68</v>
      </c>
      <c r="AR47" s="105">
        <f t="shared" si="34"/>
        <v>0</v>
      </c>
      <c r="AS47" s="105">
        <f>AU46-AR46</f>
        <v>0</v>
      </c>
      <c r="AT47" s="105">
        <f>AP47+AU47</f>
        <v>505.32</v>
      </c>
      <c r="AU47" s="105">
        <f>IF(AY47=0,0,0)</f>
        <v>0</v>
      </c>
      <c r="AV47" s="105">
        <f>IF(AY47=0,0,0)</f>
        <v>0</v>
      </c>
      <c r="AW47" s="105">
        <f>IF(OR(AY47=1,AW46=0),0,AW46-AQ47)</f>
        <v>18059.960000000006</v>
      </c>
      <c r="AX47" s="108">
        <f t="shared" si="32"/>
        <v>10</v>
      </c>
      <c r="AY47" s="108">
        <f t="shared" si="14"/>
        <v>10</v>
      </c>
      <c r="AZ47" s="22">
        <f t="shared" si="36"/>
        <v>46501</v>
      </c>
      <c r="BA47" s="108">
        <f t="shared" si="36"/>
        <v>2340</v>
      </c>
    </row>
    <row r="48" spans="1:1207" s="16" customFormat="1" ht="12" customHeight="1" x14ac:dyDescent="0.25">
      <c r="A48" s="2"/>
      <c r="B48" s="2"/>
      <c r="C48" s="2"/>
      <c r="D48" s="13"/>
      <c r="E48" s="114">
        <f t="shared" si="28"/>
        <v>40</v>
      </c>
      <c r="F48" s="111">
        <f t="shared" si="15"/>
        <v>46531</v>
      </c>
      <c r="G48" s="24">
        <f t="shared" si="5"/>
        <v>2340</v>
      </c>
      <c r="H48" s="24">
        <f t="shared" si="6"/>
        <v>450.18</v>
      </c>
      <c r="I48" s="24">
        <f t="shared" si="26"/>
        <v>45029.730000000018</v>
      </c>
      <c r="J48" s="24">
        <f t="shared" si="16"/>
        <v>0</v>
      </c>
      <c r="K48" s="24">
        <f t="shared" si="7"/>
        <v>1889.82</v>
      </c>
      <c r="L48" s="24">
        <f t="shared" si="17"/>
        <v>0</v>
      </c>
      <c r="M48" s="24">
        <f t="shared" ref="M48:M63" si="37">O47-L47</f>
        <v>0</v>
      </c>
      <c r="N48" s="24">
        <f t="shared" ref="N48:N63" si="38">H48+O48</f>
        <v>450.18</v>
      </c>
      <c r="O48" s="24">
        <f t="shared" ref="O48:O63" si="39">IF(S48=0,0,0)</f>
        <v>0</v>
      </c>
      <c r="P48" s="24">
        <f t="shared" ref="P48:P63" si="40">IF(S48=0,0,0)</f>
        <v>0</v>
      </c>
      <c r="Q48" s="24">
        <f t="shared" si="8"/>
        <v>16428.730000000014</v>
      </c>
      <c r="R48" s="36">
        <f t="shared" si="30"/>
        <v>9</v>
      </c>
      <c r="S48" s="36">
        <f t="shared" si="9"/>
        <v>9</v>
      </c>
      <c r="T48" s="2"/>
      <c r="U48" s="18">
        <f>G8</f>
        <v>-64999</v>
      </c>
      <c r="V48" s="57">
        <f>F8</f>
        <v>45315</v>
      </c>
      <c r="W48" s="2"/>
      <c r="X48" s="2"/>
      <c r="Y48" s="37"/>
      <c r="Z48" s="38">
        <v>0</v>
      </c>
      <c r="AA48" s="1" t="s">
        <v>20</v>
      </c>
      <c r="AB48" s="6" t="s">
        <v>15</v>
      </c>
      <c r="AC48" s="6"/>
      <c r="AD48" s="6">
        <v>10</v>
      </c>
      <c r="AE48" s="27">
        <v>41274</v>
      </c>
      <c r="AF48" s="2">
        <v>6</v>
      </c>
      <c r="AG48" s="2"/>
      <c r="AH48" s="2"/>
      <c r="AI48" s="2"/>
      <c r="AJ48" s="18">
        <f>AO8</f>
        <v>-64999</v>
      </c>
      <c r="AK48" s="57">
        <f>AN8</f>
        <v>45315</v>
      </c>
      <c r="AL48" s="130">
        <f t="shared" si="21"/>
        <v>1</v>
      </c>
      <c r="AM48" s="109">
        <f t="shared" si="31"/>
        <v>40</v>
      </c>
      <c r="AN48" s="110">
        <f t="shared" si="10"/>
        <v>46531</v>
      </c>
      <c r="AO48" s="105">
        <f t="shared" si="35"/>
        <v>2344</v>
      </c>
      <c r="AP48" s="105">
        <f t="shared" si="11"/>
        <v>443.83</v>
      </c>
      <c r="AQ48" s="105">
        <f t="shared" ref="AQ48:AQ111" si="41">IF(AY48=0,0,IF(AY48=1,AW47,IF(AW47+AR48+AP48&gt;AO47,AO48-AP48-AR48,AW47)))</f>
        <v>1900.17</v>
      </c>
      <c r="AR48" s="105">
        <f t="shared" si="34"/>
        <v>0</v>
      </c>
      <c r="AS48" s="105">
        <f t="shared" ref="AS48:AS111" si="42">AU47-AR47</f>
        <v>0</v>
      </c>
      <c r="AT48" s="105">
        <f t="shared" ref="AT48:AT111" si="43">AP48+AU48</f>
        <v>443.83</v>
      </c>
      <c r="AU48" s="105">
        <f t="shared" ref="AU48:AU111" si="44">IF(AY48=0,0,0)</f>
        <v>0</v>
      </c>
      <c r="AV48" s="105">
        <f t="shared" ref="AV48:AV111" si="45">IF(AY48=0,0,0)</f>
        <v>0</v>
      </c>
      <c r="AW48" s="105">
        <f t="shared" ref="AW48:AW111" si="46">IF(OR(AY48=1,AW47=0),0,AW47-AQ48)</f>
        <v>16159.790000000006</v>
      </c>
      <c r="AX48" s="108">
        <f t="shared" si="32"/>
        <v>9</v>
      </c>
      <c r="AY48" s="108">
        <f t="shared" si="14"/>
        <v>9</v>
      </c>
      <c r="AZ48" s="22">
        <f t="shared" si="36"/>
        <v>46531</v>
      </c>
      <c r="BA48" s="108">
        <f t="shared" si="36"/>
        <v>2340</v>
      </c>
    </row>
    <row r="49" spans="1:54" s="16" customFormat="1" ht="12" customHeight="1" x14ac:dyDescent="0.25">
      <c r="A49" s="2"/>
      <c r="B49" s="2"/>
      <c r="C49" s="2"/>
      <c r="D49" s="2"/>
      <c r="E49" s="114">
        <f t="shared" si="28"/>
        <v>41</v>
      </c>
      <c r="F49" s="111">
        <f t="shared" si="15"/>
        <v>46562</v>
      </c>
      <c r="G49" s="24">
        <f t="shared" si="5"/>
        <v>2340</v>
      </c>
      <c r="H49" s="24">
        <f t="shared" si="6"/>
        <v>417.2</v>
      </c>
      <c r="I49" s="24">
        <f t="shared" si="26"/>
        <v>45446.930000000015</v>
      </c>
      <c r="J49" s="24">
        <f t="shared" si="16"/>
        <v>0</v>
      </c>
      <c r="K49" s="24">
        <f t="shared" si="7"/>
        <v>1922.8</v>
      </c>
      <c r="L49" s="24">
        <f t="shared" si="17"/>
        <v>0</v>
      </c>
      <c r="M49" s="24">
        <f t="shared" si="37"/>
        <v>0</v>
      </c>
      <c r="N49" s="24">
        <f t="shared" si="38"/>
        <v>417.2</v>
      </c>
      <c r="O49" s="24">
        <f t="shared" si="39"/>
        <v>0</v>
      </c>
      <c r="P49" s="24">
        <f t="shared" si="40"/>
        <v>0</v>
      </c>
      <c r="Q49" s="24">
        <f t="shared" si="8"/>
        <v>14505.930000000015</v>
      </c>
      <c r="R49" s="36">
        <f t="shared" si="30"/>
        <v>8</v>
      </c>
      <c r="S49" s="36">
        <f t="shared" si="9"/>
        <v>8</v>
      </c>
      <c r="U49" s="34">
        <f>IF(B35="Да",C32,0)+IF(AND(C22="Да",B34="Да"),C25,0)</f>
        <v>0</v>
      </c>
      <c r="V49" s="57">
        <f>F8</f>
        <v>45315</v>
      </c>
      <c r="X49" s="5" t="s">
        <v>11</v>
      </c>
      <c r="Y49" s="37"/>
      <c r="Z49" s="39">
        <f>C7*(1-Z48)</f>
        <v>60000</v>
      </c>
      <c r="AA49" s="9" t="s">
        <v>29</v>
      </c>
      <c r="AB49" s="2" t="s">
        <v>17</v>
      </c>
      <c r="AC49" s="2"/>
      <c r="AD49" s="2">
        <v>7.4000000000000003E-3</v>
      </c>
      <c r="AE49" s="59">
        <v>41750</v>
      </c>
      <c r="AF49" s="2">
        <v>72</v>
      </c>
      <c r="AG49" s="2"/>
      <c r="AH49" s="2"/>
      <c r="AJ49" s="34">
        <f>D32+IF(D11="Да",D12,0)+IF(D22="Да",D25,0)</f>
        <v>4999</v>
      </c>
      <c r="AK49" s="57">
        <f>AN8</f>
        <v>45315</v>
      </c>
      <c r="AL49" s="130">
        <f t="shared" si="21"/>
        <v>1</v>
      </c>
      <c r="AM49" s="109">
        <f t="shared" si="31"/>
        <v>41</v>
      </c>
      <c r="AN49" s="110">
        <f t="shared" si="10"/>
        <v>46562</v>
      </c>
      <c r="AO49" s="105">
        <f t="shared" si="35"/>
        <v>2344</v>
      </c>
      <c r="AP49" s="105">
        <f t="shared" si="11"/>
        <v>410.37</v>
      </c>
      <c r="AQ49" s="105">
        <f t="shared" si="41"/>
        <v>1933.63</v>
      </c>
      <c r="AR49" s="105">
        <f t="shared" si="34"/>
        <v>0</v>
      </c>
      <c r="AS49" s="105">
        <f t="shared" si="42"/>
        <v>0</v>
      </c>
      <c r="AT49" s="105">
        <f t="shared" si="43"/>
        <v>410.37</v>
      </c>
      <c r="AU49" s="105">
        <f t="shared" si="44"/>
        <v>0</v>
      </c>
      <c r="AV49" s="105">
        <f t="shared" si="45"/>
        <v>0</v>
      </c>
      <c r="AW49" s="105">
        <f t="shared" si="46"/>
        <v>14226.160000000007</v>
      </c>
      <c r="AX49" s="108">
        <f t="shared" si="32"/>
        <v>8</v>
      </c>
      <c r="AY49" s="108">
        <f t="shared" si="14"/>
        <v>8</v>
      </c>
      <c r="AZ49" s="22">
        <f t="shared" si="36"/>
        <v>46562</v>
      </c>
      <c r="BA49" s="108">
        <f t="shared" si="36"/>
        <v>2340</v>
      </c>
    </row>
    <row r="50" spans="1:54" s="16" customFormat="1" ht="12" customHeight="1" x14ac:dyDescent="0.25">
      <c r="A50" s="2"/>
      <c r="B50" s="2"/>
      <c r="C50" s="2"/>
      <c r="D50" s="2"/>
      <c r="E50" s="114">
        <f t="shared" si="28"/>
        <v>42</v>
      </c>
      <c r="F50" s="111">
        <f t="shared" si="15"/>
        <v>46592</v>
      </c>
      <c r="G50" s="24">
        <f t="shared" si="5"/>
        <v>2340</v>
      </c>
      <c r="H50" s="24">
        <f t="shared" si="6"/>
        <v>356.49</v>
      </c>
      <c r="I50" s="24">
        <f t="shared" si="26"/>
        <v>45803.420000000013</v>
      </c>
      <c r="J50" s="24">
        <f t="shared" si="16"/>
        <v>0</v>
      </c>
      <c r="K50" s="24">
        <f t="shared" si="7"/>
        <v>1983.51</v>
      </c>
      <c r="L50" s="24">
        <f t="shared" si="17"/>
        <v>0</v>
      </c>
      <c r="M50" s="24">
        <f t="shared" si="37"/>
        <v>0</v>
      </c>
      <c r="N50" s="24">
        <f t="shared" si="38"/>
        <v>356.49</v>
      </c>
      <c r="O50" s="24">
        <f t="shared" si="39"/>
        <v>0</v>
      </c>
      <c r="P50" s="24">
        <f t="shared" si="40"/>
        <v>0</v>
      </c>
      <c r="Q50" s="24">
        <f t="shared" si="8"/>
        <v>12522.420000000015</v>
      </c>
      <c r="R50" s="36">
        <f t="shared" si="30"/>
        <v>7</v>
      </c>
      <c r="S50" s="36">
        <f t="shared" si="9"/>
        <v>7</v>
      </c>
      <c r="T50" s="2">
        <f t="shared" ref="T50:T113" si="47">IF(AND(E9&gt;=$T$14,E9&lt;=$T$14+5),0,IF($C$9&gt;$AC$52,ROUND(Q8*$T$46/(DATEVALUE(CONCATENATE("01/01/",YEAR(F9)+1))-DATEVALUE(CONCATENATE("01/01/",YEAR(F9))))*(F9-F8),2),0))</f>
        <v>1646.11</v>
      </c>
      <c r="U50" s="34">
        <f t="shared" ref="U50:U108" si="48">IF(U49&lt;0,0,IF(T50=0,IF(T49=0,0,$U$46),G9)-IF(AND(T50&gt;0,T51=0),$C$26,0))</f>
        <v>2340</v>
      </c>
      <c r="V50" s="57">
        <f>V49+365</f>
        <v>45680</v>
      </c>
      <c r="W50" s="16">
        <v>1</v>
      </c>
      <c r="X50" s="8" t="s">
        <v>10</v>
      </c>
      <c r="Y50" s="37"/>
      <c r="Z50" s="41">
        <f>ROUNDUP(C7*AA50,0)</f>
        <v>0</v>
      </c>
      <c r="AA50" s="12">
        <v>0</v>
      </c>
      <c r="AB50" s="1">
        <v>15000</v>
      </c>
      <c r="AC50" s="53">
        <v>41365</v>
      </c>
      <c r="AD50" s="1">
        <v>500</v>
      </c>
      <c r="AE50" s="2">
        <f>ROUNDUP(($AA$56)/AD48,0)*AD48</f>
        <v>2340</v>
      </c>
      <c r="AF50" s="2"/>
      <c r="AG50" s="2"/>
      <c r="AH50" s="2"/>
      <c r="AI50" s="2">
        <f t="shared" ref="AI50:AI87" si="49">IF(AND(AM9&gt;=$T$14,AM9&lt;=$T$14+5),0,IF($C$9&gt;$AC$52,ROUND(AW8*$AI$46/(DATEVALUE(CONCATENATE("01/01/",YEAR(AN9)+1))-DATEVALUE(CONCATENATE("01/01/",YEAR(AN9))))*(AN9-AN8),2),0))</f>
        <v>1646.11</v>
      </c>
      <c r="AJ50" s="34">
        <f t="shared" ref="AJ50:AJ69" si="50">IF(AI50=0,IF(AI49=0,0,$AJ$46),AO9)</f>
        <v>2344</v>
      </c>
      <c r="AK50" s="57">
        <f>AK49+365</f>
        <v>45680</v>
      </c>
      <c r="AL50" s="130">
        <f t="shared" si="21"/>
        <v>1</v>
      </c>
      <c r="AM50" s="109">
        <f t="shared" si="31"/>
        <v>42</v>
      </c>
      <c r="AN50" s="110">
        <f t="shared" si="10"/>
        <v>46592</v>
      </c>
      <c r="AO50" s="105">
        <f t="shared" si="35"/>
        <v>2344</v>
      </c>
      <c r="AP50" s="105">
        <f t="shared" si="11"/>
        <v>349.61</v>
      </c>
      <c r="AQ50" s="105">
        <f t="shared" si="41"/>
        <v>1994.3899999999999</v>
      </c>
      <c r="AR50" s="105">
        <f t="shared" si="34"/>
        <v>0</v>
      </c>
      <c r="AS50" s="105">
        <f t="shared" si="42"/>
        <v>0</v>
      </c>
      <c r="AT50" s="105">
        <f t="shared" si="43"/>
        <v>349.61</v>
      </c>
      <c r="AU50" s="105">
        <f t="shared" si="44"/>
        <v>0</v>
      </c>
      <c r="AV50" s="105">
        <f t="shared" si="45"/>
        <v>0</v>
      </c>
      <c r="AW50" s="105">
        <f t="shared" si="46"/>
        <v>12231.770000000008</v>
      </c>
      <c r="AX50" s="108">
        <f t="shared" si="32"/>
        <v>7</v>
      </c>
      <c r="AY50" s="108">
        <f t="shared" si="14"/>
        <v>7</v>
      </c>
      <c r="AZ50" s="22">
        <f t="shared" si="36"/>
        <v>46592</v>
      </c>
      <c r="BA50" s="108">
        <f t="shared" si="36"/>
        <v>2340</v>
      </c>
    </row>
    <row r="51" spans="1:54" s="16" customFormat="1" ht="12.75" customHeight="1" thickBot="1" x14ac:dyDescent="0.3">
      <c r="A51" s="2"/>
      <c r="B51" s="2"/>
      <c r="C51" s="2"/>
      <c r="D51" s="2"/>
      <c r="E51" s="114">
        <f t="shared" si="28"/>
        <v>43</v>
      </c>
      <c r="F51" s="111">
        <f t="shared" si="15"/>
        <v>46623</v>
      </c>
      <c r="G51" s="24">
        <f t="shared" si="5"/>
        <v>2340</v>
      </c>
      <c r="H51" s="24">
        <f t="shared" si="6"/>
        <v>318</v>
      </c>
      <c r="I51" s="24">
        <f t="shared" si="26"/>
        <v>46121.420000000013</v>
      </c>
      <c r="J51" s="24">
        <f t="shared" si="16"/>
        <v>0</v>
      </c>
      <c r="K51" s="24">
        <f t="shared" si="7"/>
        <v>2022</v>
      </c>
      <c r="L51" s="24">
        <f t="shared" si="17"/>
        <v>0</v>
      </c>
      <c r="M51" s="24">
        <f t="shared" si="37"/>
        <v>0</v>
      </c>
      <c r="N51" s="24">
        <f t="shared" si="38"/>
        <v>318</v>
      </c>
      <c r="O51" s="24">
        <f t="shared" si="39"/>
        <v>0</v>
      </c>
      <c r="P51" s="24">
        <f t="shared" si="40"/>
        <v>0</v>
      </c>
      <c r="Q51" s="24">
        <f t="shared" si="8"/>
        <v>10500.420000000015</v>
      </c>
      <c r="R51" s="36">
        <f t="shared" si="30"/>
        <v>6</v>
      </c>
      <c r="S51" s="36">
        <f t="shared" si="9"/>
        <v>6</v>
      </c>
      <c r="T51" s="2">
        <f t="shared" si="47"/>
        <v>1523.47</v>
      </c>
      <c r="U51" s="34">
        <f t="shared" si="48"/>
        <v>2340</v>
      </c>
      <c r="V51" s="57">
        <f t="shared" ref="V51:V114" si="51">IF(T51=0,V50,V50+365)</f>
        <v>46045</v>
      </c>
      <c r="W51" s="16">
        <f>W50+1</f>
        <v>2</v>
      </c>
      <c r="X51" s="8" t="s">
        <v>8</v>
      </c>
      <c r="Y51" s="40"/>
      <c r="Z51" s="42">
        <v>24</v>
      </c>
      <c r="AA51" s="14"/>
      <c r="AB51" s="1">
        <f>IF(C9&lt;AC50,300000,1000000)</f>
        <v>1000000</v>
      </c>
      <c r="AC51" s="53">
        <v>41501</v>
      </c>
      <c r="AD51" s="53">
        <v>41882</v>
      </c>
      <c r="AE51" s="2" t="e">
        <f>IF(C9&gt;AD51,XIRR(U49:U159,V49:V159)*12,XIRR(U49:U158,F8:F87))</f>
        <v>#NUM!</v>
      </c>
      <c r="AF51" s="2"/>
      <c r="AG51" s="2"/>
      <c r="AH51" s="2"/>
      <c r="AI51" s="2">
        <f t="shared" si="49"/>
        <v>1523.37</v>
      </c>
      <c r="AJ51" s="34">
        <f t="shared" si="50"/>
        <v>2344</v>
      </c>
      <c r="AK51" s="57">
        <f t="shared" ref="AK51:AK108" si="52">IF(AI51=0,AK50,AK50+365)</f>
        <v>46045</v>
      </c>
      <c r="AL51" s="130">
        <f t="shared" si="21"/>
        <v>1</v>
      </c>
      <c r="AM51" s="109">
        <f t="shared" si="31"/>
        <v>43</v>
      </c>
      <c r="AN51" s="110">
        <f t="shared" si="10"/>
        <v>46623</v>
      </c>
      <c r="AO51" s="105">
        <f t="shared" si="35"/>
        <v>2344</v>
      </c>
      <c r="AP51" s="105">
        <f t="shared" si="11"/>
        <v>310.62</v>
      </c>
      <c r="AQ51" s="105">
        <f t="shared" si="41"/>
        <v>2033.38</v>
      </c>
      <c r="AR51" s="105">
        <f t="shared" si="34"/>
        <v>0</v>
      </c>
      <c r="AS51" s="105">
        <f t="shared" si="42"/>
        <v>0</v>
      </c>
      <c r="AT51" s="105">
        <f t="shared" si="43"/>
        <v>310.62</v>
      </c>
      <c r="AU51" s="105">
        <f t="shared" si="44"/>
        <v>0</v>
      </c>
      <c r="AV51" s="105">
        <f t="shared" si="45"/>
        <v>0</v>
      </c>
      <c r="AW51" s="105">
        <f t="shared" si="46"/>
        <v>10198.390000000007</v>
      </c>
      <c r="AX51" s="108">
        <f t="shared" si="32"/>
        <v>6</v>
      </c>
      <c r="AY51" s="108">
        <f t="shared" si="14"/>
        <v>6</v>
      </c>
      <c r="AZ51" s="22">
        <f t="shared" si="36"/>
        <v>46623</v>
      </c>
      <c r="BA51" s="108">
        <f t="shared" si="36"/>
        <v>2340</v>
      </c>
    </row>
    <row r="52" spans="1:54" s="16" customFormat="1" ht="12.75" customHeight="1" x14ac:dyDescent="0.25">
      <c r="A52" s="2"/>
      <c r="B52" s="2"/>
      <c r="C52" s="2"/>
      <c r="D52" s="2"/>
      <c r="E52" s="114">
        <f t="shared" si="28"/>
        <v>44</v>
      </c>
      <c r="F52" s="111">
        <f t="shared" si="15"/>
        <v>46654</v>
      </c>
      <c r="G52" s="24">
        <f t="shared" si="5"/>
        <v>2340</v>
      </c>
      <c r="H52" s="24">
        <f t="shared" si="6"/>
        <v>266.64999999999998</v>
      </c>
      <c r="I52" s="24">
        <f t="shared" si="26"/>
        <v>46388.070000000014</v>
      </c>
      <c r="J52" s="24">
        <f t="shared" si="16"/>
        <v>0</v>
      </c>
      <c r="K52" s="24">
        <f t="shared" si="7"/>
        <v>2073.35</v>
      </c>
      <c r="L52" s="24">
        <f t="shared" si="17"/>
        <v>0</v>
      </c>
      <c r="M52" s="24">
        <f t="shared" si="37"/>
        <v>0</v>
      </c>
      <c r="N52" s="24">
        <f t="shared" si="38"/>
        <v>266.64999999999998</v>
      </c>
      <c r="O52" s="24">
        <f t="shared" si="39"/>
        <v>0</v>
      </c>
      <c r="P52" s="24">
        <f t="shared" si="40"/>
        <v>0</v>
      </c>
      <c r="Q52" s="24">
        <f t="shared" si="8"/>
        <v>8427.0700000000143</v>
      </c>
      <c r="R52" s="36">
        <f t="shared" si="30"/>
        <v>5</v>
      </c>
      <c r="S52" s="36">
        <f t="shared" si="9"/>
        <v>5</v>
      </c>
      <c r="T52" s="2">
        <f t="shared" si="47"/>
        <v>1607.86</v>
      </c>
      <c r="U52" s="34">
        <f t="shared" si="48"/>
        <v>2340</v>
      </c>
      <c r="V52" s="57">
        <f t="shared" si="51"/>
        <v>46410</v>
      </c>
      <c r="W52" s="16">
        <f t="shared" ref="W52:W115" si="53">W51+1</f>
        <v>3</v>
      </c>
      <c r="X52" s="5" t="s">
        <v>1</v>
      </c>
      <c r="Y52" s="17" t="e">
        <f>Z52/C7</f>
        <v>#REF!</v>
      </c>
      <c r="Z52" s="42" t="e">
        <f>(#REF!-C7)</f>
        <v>#REF!</v>
      </c>
      <c r="AA52" s="58"/>
      <c r="AB52" s="53">
        <v>41632</v>
      </c>
      <c r="AC52" s="53">
        <v>41820</v>
      </c>
      <c r="AD52" s="53">
        <v>41857</v>
      </c>
      <c r="AE52" s="46">
        <v>41991</v>
      </c>
      <c r="AF52" s="18">
        <v>0</v>
      </c>
      <c r="AG52" s="3"/>
      <c r="AH52" s="3"/>
      <c r="AI52" s="2">
        <f t="shared" si="49"/>
        <v>1607.65</v>
      </c>
      <c r="AJ52" s="34">
        <f t="shared" si="50"/>
        <v>2344</v>
      </c>
      <c r="AK52" s="57">
        <f t="shared" si="52"/>
        <v>46410</v>
      </c>
      <c r="AL52" s="130">
        <f t="shared" si="21"/>
        <v>1</v>
      </c>
      <c r="AM52" s="109">
        <f t="shared" si="31"/>
        <v>44</v>
      </c>
      <c r="AN52" s="110">
        <f t="shared" si="10"/>
        <v>46654</v>
      </c>
      <c r="AO52" s="105">
        <f t="shared" si="35"/>
        <v>2344</v>
      </c>
      <c r="AP52" s="105">
        <f t="shared" si="11"/>
        <v>258.98</v>
      </c>
      <c r="AQ52" s="105">
        <f t="shared" si="41"/>
        <v>2085.02</v>
      </c>
      <c r="AR52" s="105">
        <f t="shared" si="34"/>
        <v>0</v>
      </c>
      <c r="AS52" s="105">
        <f t="shared" si="42"/>
        <v>0</v>
      </c>
      <c r="AT52" s="105">
        <f t="shared" si="43"/>
        <v>258.98</v>
      </c>
      <c r="AU52" s="105">
        <f t="shared" si="44"/>
        <v>0</v>
      </c>
      <c r="AV52" s="105">
        <f t="shared" si="45"/>
        <v>0</v>
      </c>
      <c r="AW52" s="105">
        <f t="shared" si="46"/>
        <v>8113.3700000000063</v>
      </c>
      <c r="AX52" s="108">
        <f t="shared" si="32"/>
        <v>5</v>
      </c>
      <c r="AY52" s="108">
        <f t="shared" si="14"/>
        <v>5</v>
      </c>
      <c r="AZ52" s="22">
        <f t="shared" si="36"/>
        <v>46654</v>
      </c>
      <c r="BA52" s="108">
        <f t="shared" si="36"/>
        <v>2340</v>
      </c>
    </row>
    <row r="53" spans="1:54" s="16" customFormat="1" ht="12.75" customHeight="1" x14ac:dyDescent="0.25">
      <c r="A53" s="2"/>
      <c r="B53" s="2"/>
      <c r="C53" s="2"/>
      <c r="D53" s="2"/>
      <c r="E53" s="114">
        <f t="shared" si="28"/>
        <v>45</v>
      </c>
      <c r="F53" s="111">
        <f t="shared" si="15"/>
        <v>46684</v>
      </c>
      <c r="G53" s="24">
        <f t="shared" si="5"/>
        <v>2340</v>
      </c>
      <c r="H53" s="24">
        <f t="shared" si="6"/>
        <v>207.1</v>
      </c>
      <c r="I53" s="24">
        <f t="shared" si="26"/>
        <v>46595.170000000013</v>
      </c>
      <c r="J53" s="24">
        <f t="shared" si="16"/>
        <v>0</v>
      </c>
      <c r="K53" s="24">
        <f t="shared" si="7"/>
        <v>2132.9</v>
      </c>
      <c r="L53" s="24">
        <f t="shared" si="17"/>
        <v>0</v>
      </c>
      <c r="M53" s="24">
        <f t="shared" si="37"/>
        <v>0</v>
      </c>
      <c r="N53" s="24">
        <f t="shared" si="38"/>
        <v>207.1</v>
      </c>
      <c r="O53" s="24">
        <f t="shared" si="39"/>
        <v>0</v>
      </c>
      <c r="P53" s="24">
        <f t="shared" si="40"/>
        <v>0</v>
      </c>
      <c r="Q53" s="24">
        <f t="shared" si="8"/>
        <v>6294.1700000000146</v>
      </c>
      <c r="R53" s="36">
        <f t="shared" si="30"/>
        <v>4</v>
      </c>
      <c r="S53" s="36">
        <f t="shared" si="9"/>
        <v>4</v>
      </c>
      <c r="T53" s="2">
        <f t="shared" si="47"/>
        <v>1538.05</v>
      </c>
      <c r="U53" s="34">
        <f t="shared" si="48"/>
        <v>2340</v>
      </c>
      <c r="V53" s="57">
        <f t="shared" si="51"/>
        <v>46775</v>
      </c>
      <c r="W53" s="16">
        <f t="shared" si="53"/>
        <v>4</v>
      </c>
      <c r="X53" s="5" t="s">
        <v>42</v>
      </c>
      <c r="Y53" s="17">
        <f>IF(C8=AA60,AA66,IF(C8=AB60,AB66,IF(C8=AD60,AD66,IF(C8=AE60,AE66,IF(C8=AC60,AC66,IF(C8=AF60,AF66,IF(C8=AG60,AG66,IF(C8=AH60,AH66,V28))))))))</f>
        <v>0</v>
      </c>
      <c r="Z53" s="42"/>
      <c r="AA53" s="58"/>
      <c r="AB53" s="53">
        <v>42124</v>
      </c>
      <c r="AC53" s="53"/>
      <c r="AD53" s="53"/>
      <c r="AE53" s="46"/>
      <c r="AF53" s="2"/>
      <c r="AG53" s="3"/>
      <c r="AH53" s="3"/>
      <c r="AI53" s="2">
        <f t="shared" si="49"/>
        <v>1537.75</v>
      </c>
      <c r="AJ53" s="34">
        <f t="shared" si="50"/>
        <v>2344</v>
      </c>
      <c r="AK53" s="57">
        <f t="shared" si="52"/>
        <v>46775</v>
      </c>
      <c r="AL53" s="130">
        <f t="shared" si="21"/>
        <v>1</v>
      </c>
      <c r="AM53" s="109">
        <f t="shared" si="31"/>
        <v>45</v>
      </c>
      <c r="AN53" s="110">
        <f t="shared" si="10"/>
        <v>46684</v>
      </c>
      <c r="AO53" s="105">
        <f t="shared" si="35"/>
        <v>2344</v>
      </c>
      <c r="AP53" s="105">
        <f t="shared" si="11"/>
        <v>199.39</v>
      </c>
      <c r="AQ53" s="105">
        <f t="shared" si="41"/>
        <v>2144.61</v>
      </c>
      <c r="AR53" s="105">
        <f t="shared" si="34"/>
        <v>0</v>
      </c>
      <c r="AS53" s="105">
        <f t="shared" si="42"/>
        <v>0</v>
      </c>
      <c r="AT53" s="105">
        <f t="shared" si="43"/>
        <v>199.39</v>
      </c>
      <c r="AU53" s="105">
        <f t="shared" si="44"/>
        <v>0</v>
      </c>
      <c r="AV53" s="105">
        <f t="shared" si="45"/>
        <v>0</v>
      </c>
      <c r="AW53" s="105">
        <f t="shared" si="46"/>
        <v>5968.7600000000057</v>
      </c>
      <c r="AX53" s="108">
        <f t="shared" si="32"/>
        <v>4</v>
      </c>
      <c r="AY53" s="108">
        <f t="shared" si="14"/>
        <v>4</v>
      </c>
      <c r="AZ53" s="22">
        <f t="shared" si="36"/>
        <v>46684</v>
      </c>
      <c r="BA53" s="108">
        <f t="shared" si="36"/>
        <v>2340</v>
      </c>
    </row>
    <row r="54" spans="1:54" s="16" customFormat="1" ht="12" customHeight="1" x14ac:dyDescent="0.25">
      <c r="A54" s="2"/>
      <c r="B54" s="2"/>
      <c r="C54" s="2"/>
      <c r="D54" s="2"/>
      <c r="E54" s="114">
        <f t="shared" si="28"/>
        <v>46</v>
      </c>
      <c r="F54" s="111">
        <f t="shared" si="15"/>
        <v>46715</v>
      </c>
      <c r="G54" s="24">
        <f t="shared" si="5"/>
        <v>2340</v>
      </c>
      <c r="H54" s="24">
        <f t="shared" si="6"/>
        <v>159.84</v>
      </c>
      <c r="I54" s="24">
        <f t="shared" si="26"/>
        <v>46755.010000000009</v>
      </c>
      <c r="J54" s="24">
        <f t="shared" si="16"/>
        <v>0</v>
      </c>
      <c r="K54" s="24">
        <f t="shared" si="7"/>
        <v>2180.16</v>
      </c>
      <c r="L54" s="24">
        <f t="shared" si="17"/>
        <v>0</v>
      </c>
      <c r="M54" s="24">
        <f t="shared" si="37"/>
        <v>0</v>
      </c>
      <c r="N54" s="24">
        <f t="shared" si="38"/>
        <v>159.84</v>
      </c>
      <c r="O54" s="24">
        <f t="shared" si="39"/>
        <v>0</v>
      </c>
      <c r="P54" s="24">
        <f t="shared" si="40"/>
        <v>0</v>
      </c>
      <c r="Q54" s="24">
        <f t="shared" si="8"/>
        <v>4114.0100000000148</v>
      </c>
      <c r="R54" s="36">
        <f t="shared" si="30"/>
        <v>3</v>
      </c>
      <c r="S54" s="36">
        <f t="shared" si="9"/>
        <v>3</v>
      </c>
      <c r="T54" s="2">
        <f t="shared" si="47"/>
        <v>1569.01</v>
      </c>
      <c r="U54" s="34">
        <f t="shared" si="48"/>
        <v>2340</v>
      </c>
      <c r="V54" s="57">
        <f t="shared" si="51"/>
        <v>47140</v>
      </c>
      <c r="W54" s="16">
        <f t="shared" si="53"/>
        <v>5</v>
      </c>
      <c r="X54" s="5"/>
      <c r="Y54" s="15">
        <f>IF(D8=AA60,AA66,IF(D8=AB60,AB66,IF(D8=AD60,AD66,IF(D8=AE60,AE66,IF(D8=AC60,AC66,IF(D8=AF60,AF66,IF(D8=AG60,AG66,V28)))))))</f>
        <v>0</v>
      </c>
      <c r="Z54" s="2"/>
      <c r="AA54" s="2"/>
      <c r="AB54" s="2"/>
      <c r="AC54" s="2"/>
      <c r="AD54" s="2"/>
      <c r="AE54" s="2"/>
      <c r="AF54" s="2"/>
      <c r="AG54" s="2"/>
      <c r="AH54" s="2"/>
      <c r="AI54" s="2">
        <f t="shared" si="49"/>
        <v>1568.59</v>
      </c>
      <c r="AJ54" s="34">
        <f t="shared" si="50"/>
        <v>2344</v>
      </c>
      <c r="AK54" s="57">
        <f t="shared" si="52"/>
        <v>47140</v>
      </c>
      <c r="AL54" s="130">
        <f t="shared" si="21"/>
        <v>1</v>
      </c>
      <c r="AM54" s="109">
        <f t="shared" si="31"/>
        <v>46</v>
      </c>
      <c r="AN54" s="110">
        <f t="shared" si="10"/>
        <v>46715</v>
      </c>
      <c r="AO54" s="105">
        <f t="shared" si="35"/>
        <v>2344</v>
      </c>
      <c r="AP54" s="105">
        <f t="shared" si="11"/>
        <v>151.57</v>
      </c>
      <c r="AQ54" s="105">
        <f t="shared" si="41"/>
        <v>2192.4299999999998</v>
      </c>
      <c r="AR54" s="105">
        <f t="shared" si="34"/>
        <v>0</v>
      </c>
      <c r="AS54" s="105">
        <f t="shared" si="42"/>
        <v>0</v>
      </c>
      <c r="AT54" s="105">
        <f t="shared" si="43"/>
        <v>151.57</v>
      </c>
      <c r="AU54" s="105">
        <f t="shared" si="44"/>
        <v>0</v>
      </c>
      <c r="AV54" s="105">
        <f t="shared" si="45"/>
        <v>0</v>
      </c>
      <c r="AW54" s="105">
        <f t="shared" si="46"/>
        <v>3776.3300000000058</v>
      </c>
      <c r="AX54" s="108">
        <f t="shared" si="32"/>
        <v>3</v>
      </c>
      <c r="AY54" s="108">
        <f t="shared" si="14"/>
        <v>3</v>
      </c>
      <c r="AZ54" s="22">
        <f t="shared" si="36"/>
        <v>46715</v>
      </c>
      <c r="BA54" s="108">
        <f t="shared" si="36"/>
        <v>2340</v>
      </c>
    </row>
    <row r="55" spans="1:54" s="16" customFormat="1" ht="12" customHeight="1" x14ac:dyDescent="0.25">
      <c r="A55" s="2"/>
      <c r="B55" s="2"/>
      <c r="C55" s="2"/>
      <c r="D55" s="2"/>
      <c r="E55" s="114">
        <f t="shared" si="28"/>
        <v>47</v>
      </c>
      <c r="F55" s="111">
        <f t="shared" si="15"/>
        <v>46745</v>
      </c>
      <c r="G55" s="24">
        <f t="shared" si="5"/>
        <v>2340</v>
      </c>
      <c r="H55" s="24">
        <f t="shared" si="6"/>
        <v>101.1</v>
      </c>
      <c r="I55" s="24">
        <f t="shared" si="26"/>
        <v>46856.110000000008</v>
      </c>
      <c r="J55" s="24">
        <f t="shared" si="16"/>
        <v>0</v>
      </c>
      <c r="K55" s="24">
        <f t="shared" si="7"/>
        <v>2238.9</v>
      </c>
      <c r="L55" s="24">
        <f t="shared" si="17"/>
        <v>0</v>
      </c>
      <c r="M55" s="24">
        <f t="shared" si="37"/>
        <v>0</v>
      </c>
      <c r="N55" s="24">
        <f t="shared" si="38"/>
        <v>101.1</v>
      </c>
      <c r="O55" s="24">
        <f t="shared" si="39"/>
        <v>0</v>
      </c>
      <c r="P55" s="24">
        <f t="shared" si="40"/>
        <v>0</v>
      </c>
      <c r="Q55" s="24">
        <f t="shared" si="8"/>
        <v>1875.1100000000147</v>
      </c>
      <c r="R55" s="36">
        <f t="shared" si="30"/>
        <v>2</v>
      </c>
      <c r="S55" s="36">
        <f t="shared" si="9"/>
        <v>2</v>
      </c>
      <c r="T55" s="2">
        <f t="shared" si="47"/>
        <v>1499.5</v>
      </c>
      <c r="U55" s="34">
        <f t="shared" si="48"/>
        <v>2340</v>
      </c>
      <c r="V55" s="57">
        <f t="shared" si="51"/>
        <v>47505</v>
      </c>
      <c r="W55" s="16">
        <f t="shared" si="53"/>
        <v>6</v>
      </c>
      <c r="X55" s="2"/>
      <c r="Y55" s="6"/>
      <c r="Z55" s="1"/>
      <c r="AA55" s="7">
        <f>F8</f>
        <v>45315</v>
      </c>
      <c r="AB55" s="47">
        <f>(C28+AF52)*AA14/12*(1+AA14/12)^(C10)/((1+AA14/12)^(C10)-1)+C28/10000*IF(C10&lt;11,20,IF(C10&lt;34,0.7,IF(C10&lt;64,0.3,IF(C10&lt;261,0.1,-0.02))))*IF(AA14&lt;0.3,AA14/0.2,AA14/0.1)</f>
        <v>2339.4898794416299</v>
      </c>
      <c r="AC55" s="2"/>
      <c r="AD55" s="47">
        <f>(D28)*AB14/12*(1+AB14/12)^(D10)/((1+AB14/12)^(D10)-1)+D28/10000*IF(D10&lt;11,20,IF(D10&lt;20,2.5,IF(D10&lt;37,1.5,IF(D10&lt;60,0.7,0.5))))*IF(AA14&lt;0.3,AA14/0.2,AA14/0.1)</f>
        <v>2343.3768196416299</v>
      </c>
      <c r="AE55" s="2"/>
      <c r="AF55" s="2"/>
      <c r="AG55" s="2"/>
      <c r="AH55" s="2"/>
      <c r="AI55" s="2">
        <f t="shared" si="49"/>
        <v>1498.98</v>
      </c>
      <c r="AJ55" s="34">
        <f t="shared" si="50"/>
        <v>2344</v>
      </c>
      <c r="AK55" s="57">
        <f t="shared" si="52"/>
        <v>47505</v>
      </c>
      <c r="AL55" s="130">
        <f t="shared" si="21"/>
        <v>1</v>
      </c>
      <c r="AM55" s="109">
        <f t="shared" si="31"/>
        <v>47</v>
      </c>
      <c r="AN55" s="110">
        <f t="shared" si="10"/>
        <v>46745</v>
      </c>
      <c r="AO55" s="105">
        <f t="shared" si="35"/>
        <v>2344</v>
      </c>
      <c r="AP55" s="105">
        <f t="shared" si="11"/>
        <v>92.8</v>
      </c>
      <c r="AQ55" s="105">
        <f t="shared" si="41"/>
        <v>2251.1999999999998</v>
      </c>
      <c r="AR55" s="105">
        <f t="shared" si="34"/>
        <v>0</v>
      </c>
      <c r="AS55" s="105">
        <f t="shared" si="42"/>
        <v>0</v>
      </c>
      <c r="AT55" s="105">
        <f t="shared" si="43"/>
        <v>92.8</v>
      </c>
      <c r="AU55" s="105">
        <f t="shared" si="44"/>
        <v>0</v>
      </c>
      <c r="AV55" s="105">
        <f t="shared" si="45"/>
        <v>0</v>
      </c>
      <c r="AW55" s="105">
        <f t="shared" si="46"/>
        <v>1525.130000000006</v>
      </c>
      <c r="AX55" s="108">
        <f t="shared" si="32"/>
        <v>2</v>
      </c>
      <c r="AY55" s="108">
        <f t="shared" si="14"/>
        <v>2</v>
      </c>
      <c r="AZ55" s="22">
        <f t="shared" si="36"/>
        <v>46745</v>
      </c>
      <c r="BA55" s="108">
        <f t="shared" si="36"/>
        <v>2340</v>
      </c>
      <c r="BB55" s="2" t="e">
        <f t="shared" ref="BB55:BB92" si="54">IF(AND(E9&gt;=$T$14,E9&lt;=$T$14+5),0,IF($C$9&gt;$AC$52,ROUND(AW8*IF($D$23="",0,$D$23)/(DATEVALUE(CONCATENATE("01/01/",YEAR(AN9)+1))-DATEVALUE(CONCATENATE("01/01/",YEAR(AN9))))*(AN9-AN8),2),0))</f>
        <v>#VALUE!</v>
      </c>
    </row>
    <row r="56" spans="1:54" s="16" customFormat="1" ht="12" x14ac:dyDescent="0.25">
      <c r="A56" s="2"/>
      <c r="B56" s="2"/>
      <c r="C56" s="2"/>
      <c r="D56" s="2"/>
      <c r="E56" s="114">
        <f t="shared" si="28"/>
        <v>48</v>
      </c>
      <c r="F56" s="111">
        <f t="shared" si="15"/>
        <v>46776</v>
      </c>
      <c r="G56" s="24">
        <f t="shared" si="5"/>
        <v>1922.6300000000147</v>
      </c>
      <c r="H56" s="24">
        <f t="shared" si="6"/>
        <v>47.52</v>
      </c>
      <c r="I56" s="24">
        <f t="shared" si="26"/>
        <v>46903.630000000005</v>
      </c>
      <c r="J56" s="24" t="e">
        <f t="shared" si="16"/>
        <v>#VALUE!</v>
      </c>
      <c r="K56" s="24">
        <f t="shared" si="7"/>
        <v>1875.1100000000147</v>
      </c>
      <c r="L56" s="24">
        <f t="shared" si="17"/>
        <v>0</v>
      </c>
      <c r="M56" s="24">
        <f t="shared" si="37"/>
        <v>0</v>
      </c>
      <c r="N56" s="24">
        <f t="shared" si="38"/>
        <v>47.52</v>
      </c>
      <c r="O56" s="24">
        <f t="shared" si="39"/>
        <v>0</v>
      </c>
      <c r="P56" s="24">
        <f t="shared" si="40"/>
        <v>0</v>
      </c>
      <c r="Q56" s="24">
        <f t="shared" si="8"/>
        <v>0</v>
      </c>
      <c r="R56" s="36">
        <f t="shared" si="30"/>
        <v>1</v>
      </c>
      <c r="S56" s="36">
        <f t="shared" si="9"/>
        <v>1</v>
      </c>
      <c r="T56" s="2">
        <f t="shared" si="47"/>
        <v>1528.19</v>
      </c>
      <c r="U56" s="34">
        <f t="shared" si="48"/>
        <v>2340</v>
      </c>
      <c r="V56" s="57">
        <f t="shared" si="51"/>
        <v>47870</v>
      </c>
      <c r="W56" s="16">
        <f t="shared" si="53"/>
        <v>7</v>
      </c>
      <c r="X56" s="6" t="s">
        <v>0</v>
      </c>
      <c r="Y56" s="11"/>
      <c r="Z56" s="10"/>
      <c r="AA56" s="13">
        <f>IF(DAY(C9)&lt;4,AB55,IF(DAY(C9)&gt;28,AB57,AB56))</f>
        <v>2339.4898794416299</v>
      </c>
      <c r="AB56" s="156">
        <f>(C28+AF52)*AA14/12*(1+AA14/12)^(C10)/((1+AA14/12)^(C10)-1)+C28/10000*IF(C10&lt;11,20,IF(C10&lt;34,0.7,IF(C10&lt;58,0.3,0.1)))*IF(AA14&lt;0.3,AA14/0.2,AA14/0.1)</f>
        <v>2339.4898794416299</v>
      </c>
      <c r="AC56" s="13">
        <f>IF(DAY(C9)&lt;4,AD55,IF(DAY(C9)&gt;28,AD57,AD56))</f>
        <v>2336.5746742916299</v>
      </c>
      <c r="AD56" s="47">
        <f>(D28)*AB14/12*(1+AB14/12)^(C10)/((1+AB14/12)^(C10)-1)</f>
        <v>2336.5746742916299</v>
      </c>
      <c r="AE56" s="2"/>
      <c r="AF56" s="2"/>
      <c r="AG56" s="2"/>
      <c r="AH56" s="2"/>
      <c r="AI56" s="2">
        <f t="shared" si="49"/>
        <v>1527.55</v>
      </c>
      <c r="AJ56" s="34">
        <f t="shared" si="50"/>
        <v>2344</v>
      </c>
      <c r="AK56" s="57">
        <f t="shared" si="52"/>
        <v>47870</v>
      </c>
      <c r="AL56" s="130">
        <f t="shared" si="21"/>
        <v>1</v>
      </c>
      <c r="AM56" s="109">
        <f t="shared" si="31"/>
        <v>48</v>
      </c>
      <c r="AN56" s="110">
        <f t="shared" si="10"/>
        <v>46776</v>
      </c>
      <c r="AO56" s="105">
        <f t="shared" si="35"/>
        <v>1563.7800000000061</v>
      </c>
      <c r="AP56" s="105">
        <f t="shared" si="11"/>
        <v>38.65</v>
      </c>
      <c r="AQ56" s="105">
        <f t="shared" si="41"/>
        <v>1525.130000000006</v>
      </c>
      <c r="AR56" s="105">
        <f t="shared" si="34"/>
        <v>0</v>
      </c>
      <c r="AS56" s="105">
        <f t="shared" si="42"/>
        <v>0</v>
      </c>
      <c r="AT56" s="105">
        <f t="shared" si="43"/>
        <v>38.65</v>
      </c>
      <c r="AU56" s="105">
        <f t="shared" si="44"/>
        <v>0</v>
      </c>
      <c r="AV56" s="105">
        <f t="shared" si="45"/>
        <v>0</v>
      </c>
      <c r="AW56" s="105">
        <f t="shared" si="46"/>
        <v>0</v>
      </c>
      <c r="AX56" s="108">
        <f t="shared" si="32"/>
        <v>1</v>
      </c>
      <c r="AY56" s="108">
        <f t="shared" si="14"/>
        <v>1</v>
      </c>
      <c r="AZ56" s="22">
        <f t="shared" si="36"/>
        <v>46776</v>
      </c>
      <c r="BA56" s="108">
        <f t="shared" si="36"/>
        <v>1922.6300000000147</v>
      </c>
      <c r="BB56" s="2" t="e">
        <f t="shared" si="54"/>
        <v>#VALUE!</v>
      </c>
    </row>
    <row r="57" spans="1:54" s="16" customFormat="1" x14ac:dyDescent="0.25">
      <c r="A57" s="2"/>
      <c r="B57" s="2"/>
      <c r="C57" s="13"/>
      <c r="D57" s="13"/>
      <c r="E57" s="114">
        <f t="shared" si="28"/>
        <v>49</v>
      </c>
      <c r="F57" s="111">
        <f t="shared" si="15"/>
        <v>46807</v>
      </c>
      <c r="G57" s="24">
        <f t="shared" si="5"/>
        <v>0</v>
      </c>
      <c r="H57" s="24">
        <f t="shared" si="6"/>
        <v>0</v>
      </c>
      <c r="I57" s="24">
        <f t="shared" si="26"/>
        <v>46903.630000000005</v>
      </c>
      <c r="J57" s="24">
        <f t="shared" si="16"/>
        <v>0</v>
      </c>
      <c r="K57" s="24">
        <f t="shared" si="7"/>
        <v>0</v>
      </c>
      <c r="L57" s="24">
        <f t="shared" si="17"/>
        <v>0</v>
      </c>
      <c r="M57" s="24">
        <f t="shared" si="37"/>
        <v>0</v>
      </c>
      <c r="N57" s="24">
        <f t="shared" si="38"/>
        <v>0</v>
      </c>
      <c r="O57" s="24">
        <f t="shared" si="39"/>
        <v>0</v>
      </c>
      <c r="P57" s="24">
        <f t="shared" si="40"/>
        <v>0</v>
      </c>
      <c r="Q57" s="24">
        <f t="shared" si="8"/>
        <v>0</v>
      </c>
      <c r="R57" s="36">
        <f t="shared" si="30"/>
        <v>0</v>
      </c>
      <c r="S57" s="36">
        <f t="shared" si="9"/>
        <v>0</v>
      </c>
      <c r="T57" s="2">
        <f t="shared" si="47"/>
        <v>1507.64</v>
      </c>
      <c r="U57" s="34">
        <f t="shared" si="48"/>
        <v>2340</v>
      </c>
      <c r="V57" s="57">
        <f t="shared" si="51"/>
        <v>48235</v>
      </c>
      <c r="W57" s="16">
        <f t="shared" si="53"/>
        <v>8</v>
      </c>
      <c r="X57" s="11" t="s">
        <v>18</v>
      </c>
      <c r="Y57" s="3"/>
      <c r="Z57" s="118">
        <f>ROUNDUP(AA57/AD48,0)*AD48</f>
        <v>1870</v>
      </c>
      <c r="AA57" s="13">
        <f>(C28+AF52)*Z58/12*(1+Z58/12)^(C10+AA58)/((1+Z58/12)^(C10+AA58)-1)+10*C28/100000*IF(C10+AA58&lt;24,4,IF(C10+AA58&lt;36,3,IF(C10+AA58&lt;48,2,IF(C10+AA58&lt;60,1.5,1))))*Z58/0.2</f>
        <v>1863.8635041619239</v>
      </c>
      <c r="AB57" s="157">
        <f>(C28+AF52)*AA14/12*(1+AA14/12)^(C10)/((1+AA14/12)^(C10)-1)+C28/10000*IF(C10&lt;11,20,IF(C10&lt;34,0.7,IF(C10&lt;48,0.3,0)))*IF(AA14&lt;0.3,AA14/0.2,AA14/0.1)</f>
        <v>2336.5746742916299</v>
      </c>
      <c r="AC57" s="13">
        <f>(D28+AF52)*AC58/12*(1+AC58/12)^(C10+AA58)/((1+AC58/12)^(C10+AA58)-1)+10*D28/100000*IF(C10+AA58&lt;24,4,IF(C10+AA58&lt;36,3,IF(C10+AA58&lt;48,2,IF(C10+AA58&lt;60,1.5,1))))*AC58/0.2</f>
        <v>1863.8635041619239</v>
      </c>
      <c r="AD57" s="47">
        <f>(D28)*AB14/12*(1+AB14/12)^(C10)/((1+AB14/12)^(C10)-1)</f>
        <v>2336.5746742916299</v>
      </c>
      <c r="AE57" s="2"/>
      <c r="AF57" s="2"/>
      <c r="AG57" s="2"/>
      <c r="AH57" s="2"/>
      <c r="AI57" s="2">
        <f t="shared" si="49"/>
        <v>1506.87</v>
      </c>
      <c r="AJ57" s="34">
        <f t="shared" si="50"/>
        <v>2344</v>
      </c>
      <c r="AK57" s="57">
        <f t="shared" si="52"/>
        <v>48235</v>
      </c>
      <c r="AL57" s="130">
        <f t="shared" si="21"/>
        <v>0</v>
      </c>
      <c r="AM57" s="109">
        <f t="shared" si="31"/>
        <v>49</v>
      </c>
      <c r="AN57" s="110">
        <f t="shared" si="10"/>
        <v>46807</v>
      </c>
      <c r="AO57" s="105">
        <f t="shared" si="35"/>
        <v>0</v>
      </c>
      <c r="AP57" s="105">
        <f t="shared" si="11"/>
        <v>0</v>
      </c>
      <c r="AQ57" s="105">
        <f t="shared" si="41"/>
        <v>0</v>
      </c>
      <c r="AR57" s="105">
        <f t="shared" si="34"/>
        <v>0</v>
      </c>
      <c r="AS57" s="105">
        <f t="shared" si="42"/>
        <v>0</v>
      </c>
      <c r="AT57" s="105">
        <f t="shared" si="43"/>
        <v>0</v>
      </c>
      <c r="AU57" s="105">
        <f t="shared" si="44"/>
        <v>0</v>
      </c>
      <c r="AV57" s="105">
        <f t="shared" si="45"/>
        <v>0</v>
      </c>
      <c r="AW57" s="105">
        <f t="shared" si="46"/>
        <v>0</v>
      </c>
      <c r="AX57" s="108">
        <f t="shared" si="32"/>
        <v>0</v>
      </c>
      <c r="AY57" s="108">
        <f t="shared" si="14"/>
        <v>0</v>
      </c>
      <c r="AZ57" s="22">
        <f t="shared" si="36"/>
        <v>46807</v>
      </c>
      <c r="BA57" s="108">
        <f t="shared" si="36"/>
        <v>0</v>
      </c>
      <c r="BB57" s="2" t="e">
        <f t="shared" si="54"/>
        <v>#VALUE!</v>
      </c>
    </row>
    <row r="58" spans="1:54" s="16" customFormat="1" x14ac:dyDescent="0.25">
      <c r="A58" s="2"/>
      <c r="B58" s="2"/>
      <c r="C58" s="2"/>
      <c r="D58" s="13"/>
      <c r="E58" s="114">
        <f t="shared" si="28"/>
        <v>50</v>
      </c>
      <c r="F58" s="111">
        <f t="shared" si="15"/>
        <v>46836</v>
      </c>
      <c r="G58" s="24">
        <f t="shared" si="5"/>
        <v>0</v>
      </c>
      <c r="H58" s="24">
        <f t="shared" si="6"/>
        <v>0</v>
      </c>
      <c r="I58" s="24">
        <f t="shared" si="26"/>
        <v>46903.630000000005</v>
      </c>
      <c r="J58" s="24">
        <f t="shared" si="16"/>
        <v>0</v>
      </c>
      <c r="K58" s="24">
        <f t="shared" si="7"/>
        <v>0</v>
      </c>
      <c r="L58" s="24">
        <f t="shared" si="17"/>
        <v>0</v>
      </c>
      <c r="M58" s="24">
        <f t="shared" si="37"/>
        <v>0</v>
      </c>
      <c r="N58" s="24">
        <f t="shared" si="38"/>
        <v>0</v>
      </c>
      <c r="O58" s="24">
        <f t="shared" si="39"/>
        <v>0</v>
      </c>
      <c r="P58" s="24">
        <f t="shared" si="40"/>
        <v>0</v>
      </c>
      <c r="Q58" s="24">
        <f t="shared" si="8"/>
        <v>0</v>
      </c>
      <c r="R58" s="36">
        <f t="shared" si="30"/>
        <v>0</v>
      </c>
      <c r="S58" s="36">
        <f t="shared" si="9"/>
        <v>0</v>
      </c>
      <c r="T58" s="2">
        <f t="shared" si="47"/>
        <v>1438.6</v>
      </c>
      <c r="U58" s="34">
        <f t="shared" si="48"/>
        <v>2340</v>
      </c>
      <c r="V58" s="57">
        <f t="shared" si="51"/>
        <v>48600</v>
      </c>
      <c r="W58" s="16">
        <f t="shared" si="53"/>
        <v>9</v>
      </c>
      <c r="X58" s="3" t="s">
        <v>22</v>
      </c>
      <c r="Y58" s="3"/>
      <c r="Z58" s="15">
        <f>IF(C9&gt;AE49,C17,C17+0.05)</f>
        <v>0.29899999999999999</v>
      </c>
      <c r="AA58" s="2">
        <f xml:space="preserve"> IF(C9&gt;AE49,36,24)</f>
        <v>36</v>
      </c>
      <c r="AB58" s="44">
        <f>(C28+AF52)*AA14/12*(1+AA14/12)^(C10)/((1+AA14/12)^(C10)-1)</f>
        <v>2336.5746742916299</v>
      </c>
      <c r="AC58" s="15">
        <f>IF(C9&gt;AE49,D17,D17+0.05)</f>
        <v>0.29899999999999999</v>
      </c>
      <c r="AD58" s="47">
        <f>(D28)*AB14/12*(1+AB14/12)^(C10)/((1+AB14/12)^(C10)-1)</f>
        <v>2336.5746742916299</v>
      </c>
      <c r="AE58" s="2"/>
      <c r="AF58" s="2"/>
      <c r="AG58" s="2"/>
      <c r="AH58" s="2"/>
      <c r="AI58" s="2">
        <f t="shared" si="49"/>
        <v>1437.75</v>
      </c>
      <c r="AJ58" s="34">
        <f t="shared" si="50"/>
        <v>2344</v>
      </c>
      <c r="AK58" s="57">
        <f t="shared" si="52"/>
        <v>48600</v>
      </c>
      <c r="AL58" s="130">
        <f t="shared" si="21"/>
        <v>0</v>
      </c>
      <c r="AM58" s="109">
        <f t="shared" si="31"/>
        <v>50</v>
      </c>
      <c r="AN58" s="110">
        <f t="shared" si="10"/>
        <v>46836</v>
      </c>
      <c r="AO58" s="105">
        <f t="shared" si="35"/>
        <v>0</v>
      </c>
      <c r="AP58" s="105">
        <f t="shared" si="11"/>
        <v>0</v>
      </c>
      <c r="AQ58" s="105">
        <f t="shared" si="41"/>
        <v>0</v>
      </c>
      <c r="AR58" s="105">
        <f t="shared" si="34"/>
        <v>0</v>
      </c>
      <c r="AS58" s="105">
        <f t="shared" si="42"/>
        <v>0</v>
      </c>
      <c r="AT58" s="105">
        <f t="shared" si="43"/>
        <v>0</v>
      </c>
      <c r="AU58" s="105">
        <f t="shared" si="44"/>
        <v>0</v>
      </c>
      <c r="AV58" s="105">
        <f t="shared" si="45"/>
        <v>0</v>
      </c>
      <c r="AW58" s="105">
        <f t="shared" si="46"/>
        <v>0</v>
      </c>
      <c r="AX58" s="108">
        <f t="shared" si="32"/>
        <v>0</v>
      </c>
      <c r="AY58" s="108">
        <f t="shared" si="14"/>
        <v>0</v>
      </c>
      <c r="AZ58" s="22">
        <f t="shared" si="36"/>
        <v>46836</v>
      </c>
      <c r="BA58" s="108">
        <f t="shared" si="36"/>
        <v>0</v>
      </c>
      <c r="BB58" s="2" t="e">
        <f t="shared" si="54"/>
        <v>#VALUE!</v>
      </c>
    </row>
    <row r="59" spans="1:54" s="16" customFormat="1" ht="15.75" customHeight="1" x14ac:dyDescent="0.25">
      <c r="A59" s="2"/>
      <c r="B59" s="2"/>
      <c r="C59" s="2"/>
      <c r="D59" s="2"/>
      <c r="E59" s="114">
        <f t="shared" si="28"/>
        <v>51</v>
      </c>
      <c r="F59" s="111">
        <f t="shared" si="15"/>
        <v>46867</v>
      </c>
      <c r="G59" s="24">
        <f t="shared" si="5"/>
        <v>0</v>
      </c>
      <c r="H59" s="24">
        <f t="shared" si="6"/>
        <v>0</v>
      </c>
      <c r="I59" s="24">
        <f t="shared" si="26"/>
        <v>46903.630000000005</v>
      </c>
      <c r="J59" s="24">
        <f t="shared" si="16"/>
        <v>0</v>
      </c>
      <c r="K59" s="24">
        <f t="shared" si="7"/>
        <v>0</v>
      </c>
      <c r="L59" s="24">
        <f t="shared" si="17"/>
        <v>0</v>
      </c>
      <c r="M59" s="24">
        <f t="shared" si="37"/>
        <v>0</v>
      </c>
      <c r="N59" s="24">
        <f t="shared" si="38"/>
        <v>0</v>
      </c>
      <c r="O59" s="24">
        <f t="shared" si="39"/>
        <v>0</v>
      </c>
      <c r="P59" s="24">
        <f t="shared" si="40"/>
        <v>0</v>
      </c>
      <c r="Q59" s="24">
        <f t="shared" si="8"/>
        <v>0</v>
      </c>
      <c r="R59" s="36">
        <f t="shared" si="30"/>
        <v>0</v>
      </c>
      <c r="S59" s="36">
        <f t="shared" si="9"/>
        <v>0</v>
      </c>
      <c r="T59" s="2">
        <f t="shared" si="47"/>
        <v>1463.73</v>
      </c>
      <c r="U59" s="34">
        <f t="shared" si="48"/>
        <v>2340</v>
      </c>
      <c r="V59" s="57">
        <f t="shared" si="51"/>
        <v>48965</v>
      </c>
      <c r="W59" s="16">
        <f t="shared" si="53"/>
        <v>10</v>
      </c>
      <c r="X59" s="60">
        <v>43858</v>
      </c>
      <c r="Y59" s="2"/>
      <c r="Z59" s="2"/>
      <c r="AA59" s="2"/>
      <c r="AB59" s="2"/>
      <c r="AC59" s="2"/>
      <c r="AD59" s="144" t="s">
        <v>360</v>
      </c>
      <c r="AE59" s="144" t="s">
        <v>434</v>
      </c>
      <c r="AF59" s="145" t="s">
        <v>482</v>
      </c>
      <c r="AG59" s="145" t="s">
        <v>35</v>
      </c>
      <c r="AH59" s="2"/>
      <c r="AI59" s="2">
        <f t="shared" si="49"/>
        <v>1462.72</v>
      </c>
      <c r="AJ59" s="34">
        <f t="shared" si="50"/>
        <v>2344</v>
      </c>
      <c r="AK59" s="57">
        <f t="shared" si="52"/>
        <v>48965</v>
      </c>
      <c r="AL59" s="130">
        <f t="shared" si="21"/>
        <v>0</v>
      </c>
      <c r="AM59" s="109">
        <f t="shared" si="31"/>
        <v>51</v>
      </c>
      <c r="AN59" s="110">
        <f t="shared" si="10"/>
        <v>46867</v>
      </c>
      <c r="AO59" s="105">
        <f t="shared" si="35"/>
        <v>0</v>
      </c>
      <c r="AP59" s="105">
        <f t="shared" si="11"/>
        <v>0</v>
      </c>
      <c r="AQ59" s="105">
        <f t="shared" si="41"/>
        <v>0</v>
      </c>
      <c r="AR59" s="105">
        <f t="shared" si="34"/>
        <v>0</v>
      </c>
      <c r="AS59" s="105">
        <f t="shared" si="42"/>
        <v>0</v>
      </c>
      <c r="AT59" s="105">
        <f t="shared" si="43"/>
        <v>0</v>
      </c>
      <c r="AU59" s="105">
        <f t="shared" si="44"/>
        <v>0</v>
      </c>
      <c r="AV59" s="105">
        <f t="shared" si="45"/>
        <v>0</v>
      </c>
      <c r="AW59" s="105">
        <f t="shared" si="46"/>
        <v>0</v>
      </c>
      <c r="AX59" s="108">
        <f t="shared" si="32"/>
        <v>0</v>
      </c>
      <c r="AY59" s="108">
        <f t="shared" si="14"/>
        <v>0</v>
      </c>
      <c r="AZ59" s="22">
        <f t="shared" si="36"/>
        <v>46867</v>
      </c>
      <c r="BA59" s="108">
        <f t="shared" si="36"/>
        <v>0</v>
      </c>
      <c r="BB59" s="2" t="e">
        <f t="shared" si="54"/>
        <v>#VALUE!</v>
      </c>
    </row>
    <row r="60" spans="1:54" s="16" customFormat="1" ht="12" x14ac:dyDescent="0.25">
      <c r="A60" s="2"/>
      <c r="B60" s="2"/>
      <c r="C60" s="2"/>
      <c r="D60" s="2"/>
      <c r="E60" s="114">
        <f t="shared" si="28"/>
        <v>52</v>
      </c>
      <c r="F60" s="111">
        <f t="shared" si="15"/>
        <v>46897</v>
      </c>
      <c r="G60" s="24">
        <f t="shared" si="5"/>
        <v>0</v>
      </c>
      <c r="H60" s="24">
        <f t="shared" si="6"/>
        <v>0</v>
      </c>
      <c r="I60" s="24">
        <f t="shared" si="26"/>
        <v>46903.630000000005</v>
      </c>
      <c r="J60" s="24">
        <f t="shared" si="16"/>
        <v>0</v>
      </c>
      <c r="K60" s="24">
        <f t="shared" si="7"/>
        <v>0</v>
      </c>
      <c r="L60" s="24">
        <f t="shared" si="17"/>
        <v>0</v>
      </c>
      <c r="M60" s="24">
        <f t="shared" si="37"/>
        <v>0</v>
      </c>
      <c r="N60" s="24">
        <f t="shared" si="38"/>
        <v>0</v>
      </c>
      <c r="O60" s="24">
        <f t="shared" si="39"/>
        <v>0</v>
      </c>
      <c r="P60" s="24">
        <f t="shared" si="40"/>
        <v>0</v>
      </c>
      <c r="Q60" s="24">
        <f t="shared" si="8"/>
        <v>0</v>
      </c>
      <c r="R60" s="36">
        <f t="shared" si="30"/>
        <v>0</v>
      </c>
      <c r="S60" s="36">
        <f t="shared" si="9"/>
        <v>0</v>
      </c>
      <c r="T60" s="2">
        <f t="shared" si="47"/>
        <v>1395.03</v>
      </c>
      <c r="U60" s="34">
        <f t="shared" si="48"/>
        <v>2340</v>
      </c>
      <c r="V60" s="57">
        <f t="shared" si="51"/>
        <v>49330</v>
      </c>
      <c r="W60" s="16">
        <f t="shared" si="53"/>
        <v>11</v>
      </c>
      <c r="X60" s="2" t="s">
        <v>452</v>
      </c>
      <c r="Z60" s="145" t="s">
        <v>70</v>
      </c>
      <c r="AA60" s="144" t="s">
        <v>360</v>
      </c>
      <c r="AB60" s="144" t="s">
        <v>434</v>
      </c>
      <c r="AC60" s="145" t="s">
        <v>114</v>
      </c>
      <c r="AD60" s="144" t="s">
        <v>115</v>
      </c>
      <c r="AE60" s="145" t="s">
        <v>482</v>
      </c>
      <c r="AF60" s="145" t="s">
        <v>483</v>
      </c>
      <c r="AG60" s="2" t="s">
        <v>35</v>
      </c>
      <c r="AH60" s="2"/>
      <c r="AI60" s="2">
        <f t="shared" si="49"/>
        <v>1393.94</v>
      </c>
      <c r="AJ60" s="34">
        <f t="shared" si="50"/>
        <v>2344</v>
      </c>
      <c r="AK60" s="57">
        <f>IF(AI60=0,AK59,AK59+365)</f>
        <v>49330</v>
      </c>
      <c r="AL60" s="130">
        <f t="shared" si="21"/>
        <v>0</v>
      </c>
      <c r="AM60" s="109">
        <f t="shared" si="31"/>
        <v>52</v>
      </c>
      <c r="AN60" s="110">
        <f t="shared" si="10"/>
        <v>46897</v>
      </c>
      <c r="AO60" s="105">
        <f t="shared" si="35"/>
        <v>0</v>
      </c>
      <c r="AP60" s="105">
        <f t="shared" si="11"/>
        <v>0</v>
      </c>
      <c r="AQ60" s="105">
        <f t="shared" si="41"/>
        <v>0</v>
      </c>
      <c r="AR60" s="105">
        <f t="shared" si="34"/>
        <v>0</v>
      </c>
      <c r="AS60" s="105">
        <f t="shared" si="42"/>
        <v>0</v>
      </c>
      <c r="AT60" s="105">
        <f t="shared" si="43"/>
        <v>0</v>
      </c>
      <c r="AU60" s="105">
        <f t="shared" si="44"/>
        <v>0</v>
      </c>
      <c r="AV60" s="105">
        <f t="shared" si="45"/>
        <v>0</v>
      </c>
      <c r="AW60" s="105">
        <f t="shared" si="46"/>
        <v>0</v>
      </c>
      <c r="AX60" s="108">
        <f t="shared" si="32"/>
        <v>0</v>
      </c>
      <c r="AY60" s="108">
        <f t="shared" si="14"/>
        <v>0</v>
      </c>
      <c r="AZ60" s="22">
        <f t="shared" si="36"/>
        <v>46897</v>
      </c>
      <c r="BA60" s="108">
        <f t="shared" si="36"/>
        <v>0</v>
      </c>
      <c r="BB60" s="2" t="e">
        <f t="shared" si="54"/>
        <v>#VALUE!</v>
      </c>
    </row>
    <row r="61" spans="1:54" s="16" customFormat="1" ht="12" x14ac:dyDescent="0.25">
      <c r="A61" s="2"/>
      <c r="B61" s="2"/>
      <c r="C61" s="2"/>
      <c r="D61" s="2"/>
      <c r="E61" s="114">
        <f t="shared" si="28"/>
        <v>53</v>
      </c>
      <c r="F61" s="111">
        <f t="shared" si="15"/>
        <v>46928</v>
      </c>
      <c r="G61" s="24">
        <f t="shared" si="5"/>
        <v>0</v>
      </c>
      <c r="H61" s="24">
        <f t="shared" si="6"/>
        <v>0</v>
      </c>
      <c r="I61" s="24">
        <f t="shared" si="26"/>
        <v>46903.630000000005</v>
      </c>
      <c r="J61" s="24">
        <f t="shared" si="16"/>
        <v>0</v>
      </c>
      <c r="K61" s="24">
        <f t="shared" si="7"/>
        <v>0</v>
      </c>
      <c r="L61" s="24">
        <f t="shared" si="17"/>
        <v>0</v>
      </c>
      <c r="M61" s="24">
        <f t="shared" si="37"/>
        <v>0</v>
      </c>
      <c r="N61" s="24">
        <f t="shared" si="38"/>
        <v>0</v>
      </c>
      <c r="O61" s="24">
        <f t="shared" si="39"/>
        <v>0</v>
      </c>
      <c r="P61" s="24">
        <f t="shared" si="40"/>
        <v>0</v>
      </c>
      <c r="Q61" s="24">
        <f t="shared" si="8"/>
        <v>0</v>
      </c>
      <c r="R61" s="36">
        <f t="shared" si="30"/>
        <v>0</v>
      </c>
      <c r="S61" s="36">
        <f t="shared" si="9"/>
        <v>0</v>
      </c>
      <c r="T61" s="2">
        <f t="shared" si="47"/>
        <v>1421.49</v>
      </c>
      <c r="U61" s="34">
        <f t="shared" si="48"/>
        <v>2340</v>
      </c>
      <c r="V61" s="57">
        <f t="shared" si="51"/>
        <v>49695</v>
      </c>
      <c r="W61" s="16">
        <f t="shared" si="53"/>
        <v>12</v>
      </c>
      <c r="X61" s="170" t="s">
        <v>373</v>
      </c>
      <c r="Y61" s="133" t="s">
        <v>454</v>
      </c>
      <c r="Z61" s="155"/>
      <c r="AA61" s="133" t="s">
        <v>125</v>
      </c>
      <c r="AB61" s="155"/>
      <c r="AC61" s="155"/>
      <c r="AD61" s="155"/>
      <c r="AE61" s="155"/>
      <c r="AF61" s="155"/>
      <c r="AG61" s="2"/>
      <c r="AH61" s="2"/>
      <c r="AI61" s="2">
        <f t="shared" si="49"/>
        <v>1420.22</v>
      </c>
      <c r="AJ61" s="34">
        <f t="shared" si="50"/>
        <v>2344</v>
      </c>
      <c r="AK61" s="57">
        <f t="shared" si="52"/>
        <v>49695</v>
      </c>
      <c r="AL61" s="130">
        <f t="shared" si="21"/>
        <v>0</v>
      </c>
      <c r="AM61" s="109">
        <f t="shared" si="31"/>
        <v>53</v>
      </c>
      <c r="AN61" s="110">
        <f t="shared" si="10"/>
        <v>46928</v>
      </c>
      <c r="AO61" s="105">
        <f t="shared" si="35"/>
        <v>0</v>
      </c>
      <c r="AP61" s="105">
        <f t="shared" si="11"/>
        <v>0</v>
      </c>
      <c r="AQ61" s="105">
        <f t="shared" si="41"/>
        <v>0</v>
      </c>
      <c r="AR61" s="105">
        <f t="shared" si="34"/>
        <v>0</v>
      </c>
      <c r="AS61" s="105">
        <f t="shared" si="42"/>
        <v>0</v>
      </c>
      <c r="AT61" s="105">
        <f t="shared" si="43"/>
        <v>0</v>
      </c>
      <c r="AU61" s="105">
        <f t="shared" si="44"/>
        <v>0</v>
      </c>
      <c r="AV61" s="105">
        <f t="shared" si="45"/>
        <v>0</v>
      </c>
      <c r="AW61" s="105">
        <f t="shared" si="46"/>
        <v>0</v>
      </c>
      <c r="AX61" s="108">
        <f t="shared" si="32"/>
        <v>0</v>
      </c>
      <c r="AY61" s="108">
        <f t="shared" si="14"/>
        <v>0</v>
      </c>
      <c r="AZ61" s="22">
        <f t="shared" si="36"/>
        <v>46928</v>
      </c>
      <c r="BA61" s="108">
        <f t="shared" si="36"/>
        <v>0</v>
      </c>
      <c r="BB61" s="2" t="e">
        <f t="shared" si="54"/>
        <v>#VALUE!</v>
      </c>
    </row>
    <row r="62" spans="1:54" s="16" customFormat="1" ht="15.75" customHeight="1" x14ac:dyDescent="0.25">
      <c r="A62" s="2"/>
      <c r="B62" s="2"/>
      <c r="C62" s="2"/>
      <c r="D62" s="2"/>
      <c r="E62" s="114">
        <f t="shared" si="28"/>
        <v>54</v>
      </c>
      <c r="F62" s="111">
        <f t="shared" si="15"/>
        <v>46958</v>
      </c>
      <c r="G62" s="24">
        <f t="shared" si="5"/>
        <v>0</v>
      </c>
      <c r="H62" s="24">
        <f t="shared" si="6"/>
        <v>0</v>
      </c>
      <c r="I62" s="24">
        <f t="shared" si="26"/>
        <v>46903.630000000005</v>
      </c>
      <c r="J62" s="24">
        <f t="shared" si="16"/>
        <v>0</v>
      </c>
      <c r="K62" s="24">
        <f t="shared" si="7"/>
        <v>0</v>
      </c>
      <c r="L62" s="24">
        <f t="shared" si="17"/>
        <v>0</v>
      </c>
      <c r="M62" s="24">
        <f t="shared" si="37"/>
        <v>0</v>
      </c>
      <c r="N62" s="24">
        <f t="shared" si="38"/>
        <v>0</v>
      </c>
      <c r="O62" s="24">
        <f t="shared" si="39"/>
        <v>0</v>
      </c>
      <c r="P62" s="24">
        <f t="shared" si="40"/>
        <v>0</v>
      </c>
      <c r="Q62" s="24">
        <f t="shared" si="8"/>
        <v>0</v>
      </c>
      <c r="R62" s="36">
        <f t="shared" si="30"/>
        <v>0</v>
      </c>
      <c r="S62" s="36">
        <f t="shared" si="9"/>
        <v>0</v>
      </c>
      <c r="T62" s="2">
        <f t="shared" si="47"/>
        <v>1398.14</v>
      </c>
      <c r="U62" s="34">
        <f t="shared" si="48"/>
        <v>2340</v>
      </c>
      <c r="V62" s="57">
        <f t="shared" si="51"/>
        <v>50060</v>
      </c>
      <c r="W62" s="16">
        <f t="shared" si="53"/>
        <v>13</v>
      </c>
      <c r="Y62" s="171">
        <v>200000</v>
      </c>
      <c r="Z62" s="651">
        <v>3.5000000000000001E-3</v>
      </c>
      <c r="AA62" s="651">
        <v>8.3000000000000001E-4</v>
      </c>
      <c r="AB62" s="651">
        <v>3.5000000000000001E-3</v>
      </c>
      <c r="AC62" s="133">
        <v>3.0000000000000001E-3</v>
      </c>
      <c r="AD62" s="133">
        <v>3.0000000000000001E-3</v>
      </c>
      <c r="AE62" s="133">
        <v>0.01</v>
      </c>
      <c r="AF62" s="133">
        <v>0.01</v>
      </c>
      <c r="AG62" s="2"/>
      <c r="AH62" s="2"/>
      <c r="AI62" s="2">
        <f t="shared" si="49"/>
        <v>1396.74</v>
      </c>
      <c r="AJ62" s="34">
        <f t="shared" si="50"/>
        <v>2344</v>
      </c>
      <c r="AK62" s="57">
        <f t="shared" si="52"/>
        <v>50060</v>
      </c>
      <c r="AL62" s="130">
        <f t="shared" si="21"/>
        <v>0</v>
      </c>
      <c r="AM62" s="109">
        <f t="shared" si="31"/>
        <v>54</v>
      </c>
      <c r="AN62" s="110">
        <f t="shared" si="10"/>
        <v>46958</v>
      </c>
      <c r="AO62" s="105">
        <f t="shared" si="35"/>
        <v>0</v>
      </c>
      <c r="AP62" s="105">
        <f t="shared" si="11"/>
        <v>0</v>
      </c>
      <c r="AQ62" s="105">
        <f t="shared" si="41"/>
        <v>0</v>
      </c>
      <c r="AR62" s="105">
        <f t="shared" si="34"/>
        <v>0</v>
      </c>
      <c r="AS62" s="105">
        <f t="shared" si="42"/>
        <v>0</v>
      </c>
      <c r="AT62" s="105">
        <f t="shared" si="43"/>
        <v>0</v>
      </c>
      <c r="AU62" s="105">
        <f t="shared" si="44"/>
        <v>0</v>
      </c>
      <c r="AV62" s="105">
        <f t="shared" si="45"/>
        <v>0</v>
      </c>
      <c r="AW62" s="105">
        <f t="shared" si="46"/>
        <v>0</v>
      </c>
      <c r="AX62" s="108">
        <f t="shared" si="32"/>
        <v>0</v>
      </c>
      <c r="AY62" s="108">
        <f t="shared" si="14"/>
        <v>0</v>
      </c>
      <c r="AZ62" s="22">
        <f t="shared" si="36"/>
        <v>46958</v>
      </c>
      <c r="BA62" s="108">
        <f t="shared" si="36"/>
        <v>0</v>
      </c>
      <c r="BB62" s="2" t="e">
        <f t="shared" si="54"/>
        <v>#VALUE!</v>
      </c>
    </row>
    <row r="63" spans="1:54" s="16" customFormat="1" ht="12" x14ac:dyDescent="0.25">
      <c r="A63" s="2"/>
      <c r="B63" s="2"/>
      <c r="C63" s="2"/>
      <c r="D63" s="2"/>
      <c r="E63" s="114">
        <f t="shared" si="28"/>
        <v>55</v>
      </c>
      <c r="F63" s="111">
        <f t="shared" si="15"/>
        <v>46989</v>
      </c>
      <c r="G63" s="24">
        <f t="shared" si="5"/>
        <v>0</v>
      </c>
      <c r="H63" s="24">
        <f t="shared" si="6"/>
        <v>0</v>
      </c>
      <c r="I63" s="24">
        <f t="shared" si="26"/>
        <v>46903.630000000005</v>
      </c>
      <c r="J63" s="24">
        <f t="shared" si="16"/>
        <v>0</v>
      </c>
      <c r="K63" s="24">
        <f t="shared" si="7"/>
        <v>0</v>
      </c>
      <c r="L63" s="24">
        <f t="shared" si="17"/>
        <v>0</v>
      </c>
      <c r="M63" s="24">
        <f t="shared" si="37"/>
        <v>0</v>
      </c>
      <c r="N63" s="24">
        <f t="shared" si="38"/>
        <v>0</v>
      </c>
      <c r="O63" s="24">
        <f t="shared" si="39"/>
        <v>0</v>
      </c>
      <c r="P63" s="24">
        <f t="shared" si="40"/>
        <v>0</v>
      </c>
      <c r="Q63" s="24">
        <f t="shared" si="8"/>
        <v>0</v>
      </c>
      <c r="R63" s="36">
        <f t="shared" si="30"/>
        <v>0</v>
      </c>
      <c r="S63" s="36">
        <f t="shared" si="9"/>
        <v>0</v>
      </c>
      <c r="T63" s="2">
        <f t="shared" si="47"/>
        <v>1241.23</v>
      </c>
      <c r="U63" s="34">
        <f t="shared" si="48"/>
        <v>2340</v>
      </c>
      <c r="V63" s="57">
        <f t="shared" si="51"/>
        <v>50425</v>
      </c>
      <c r="W63" s="16">
        <f t="shared" si="53"/>
        <v>14</v>
      </c>
      <c r="X63" s="171">
        <v>200001</v>
      </c>
      <c r="Y63" s="171">
        <v>600000</v>
      </c>
      <c r="Z63" s="651">
        <v>3.0000000000000001E-3</v>
      </c>
      <c r="AA63" s="651">
        <v>8.3000000000000001E-4</v>
      </c>
      <c r="AB63" s="651">
        <v>3.0000000000000001E-3</v>
      </c>
      <c r="AC63" s="133">
        <v>3.0000000000000001E-3</v>
      </c>
      <c r="AD63" s="133">
        <v>3.0000000000000001E-3</v>
      </c>
      <c r="AE63" s="133">
        <v>0.01</v>
      </c>
      <c r="AF63" s="133">
        <v>0.01</v>
      </c>
      <c r="AG63" s="2"/>
      <c r="AH63" s="2"/>
      <c r="AI63" s="2">
        <f t="shared" si="49"/>
        <v>1239.8399999999999</v>
      </c>
      <c r="AJ63" s="34">
        <f t="shared" si="50"/>
        <v>2344</v>
      </c>
      <c r="AK63" s="57">
        <f t="shared" si="52"/>
        <v>50425</v>
      </c>
      <c r="AL63" s="130">
        <f t="shared" si="21"/>
        <v>0</v>
      </c>
      <c r="AM63" s="109">
        <f t="shared" si="31"/>
        <v>55</v>
      </c>
      <c r="AN63" s="110">
        <f t="shared" si="10"/>
        <v>46989</v>
      </c>
      <c r="AO63" s="105">
        <f t="shared" si="35"/>
        <v>0</v>
      </c>
      <c r="AP63" s="105">
        <f t="shared" si="11"/>
        <v>0</v>
      </c>
      <c r="AQ63" s="105">
        <f t="shared" si="41"/>
        <v>0</v>
      </c>
      <c r="AR63" s="105">
        <f t="shared" si="34"/>
        <v>0</v>
      </c>
      <c r="AS63" s="105">
        <f t="shared" si="42"/>
        <v>0</v>
      </c>
      <c r="AT63" s="105">
        <f t="shared" si="43"/>
        <v>0</v>
      </c>
      <c r="AU63" s="105">
        <f t="shared" si="44"/>
        <v>0</v>
      </c>
      <c r="AV63" s="105">
        <f t="shared" si="45"/>
        <v>0</v>
      </c>
      <c r="AW63" s="105">
        <f t="shared" si="46"/>
        <v>0</v>
      </c>
      <c r="AX63" s="108">
        <f t="shared" si="32"/>
        <v>0</v>
      </c>
      <c r="AY63" s="108">
        <f t="shared" si="14"/>
        <v>0</v>
      </c>
      <c r="AZ63" s="22">
        <f t="shared" si="36"/>
        <v>46989</v>
      </c>
      <c r="BA63" s="108">
        <f t="shared" si="36"/>
        <v>0</v>
      </c>
      <c r="BB63" s="2" t="e">
        <f t="shared" si="54"/>
        <v>#VALUE!</v>
      </c>
    </row>
    <row r="64" spans="1:54" s="16" customFormat="1" ht="12" x14ac:dyDescent="0.25">
      <c r="A64" s="2"/>
      <c r="B64" s="2"/>
      <c r="C64" s="2"/>
      <c r="D64" s="2"/>
      <c r="E64" s="114">
        <f t="shared" si="28"/>
        <v>56</v>
      </c>
      <c r="F64" s="111">
        <f t="shared" si="15"/>
        <v>47020</v>
      </c>
      <c r="G64" s="24">
        <f t="shared" si="5"/>
        <v>0</v>
      </c>
      <c r="H64" s="24">
        <f t="shared" si="6"/>
        <v>0</v>
      </c>
      <c r="I64" s="24">
        <f t="shared" si="26"/>
        <v>46903.630000000005</v>
      </c>
      <c r="J64" s="24">
        <f t="shared" si="16"/>
        <v>0</v>
      </c>
      <c r="K64" s="24">
        <f t="shared" si="7"/>
        <v>0</v>
      </c>
      <c r="L64" s="24">
        <f t="shared" si="17"/>
        <v>0</v>
      </c>
      <c r="M64" s="24">
        <f t="shared" si="29"/>
        <v>0</v>
      </c>
      <c r="N64" s="24">
        <f t="shared" si="18"/>
        <v>0</v>
      </c>
      <c r="O64" s="24">
        <f t="shared" si="19"/>
        <v>0</v>
      </c>
      <c r="P64" s="24">
        <f t="shared" si="20"/>
        <v>0</v>
      </c>
      <c r="Q64" s="24">
        <f t="shared" si="8"/>
        <v>0</v>
      </c>
      <c r="R64" s="36">
        <f t="shared" si="30"/>
        <v>0</v>
      </c>
      <c r="S64" s="36">
        <f t="shared" si="9"/>
        <v>0</v>
      </c>
      <c r="T64" s="2">
        <f t="shared" si="47"/>
        <v>1346.32</v>
      </c>
      <c r="U64" s="34">
        <f t="shared" si="48"/>
        <v>2340</v>
      </c>
      <c r="V64" s="57">
        <f t="shared" si="51"/>
        <v>50790</v>
      </c>
      <c r="W64" s="16">
        <f t="shared" si="53"/>
        <v>15</v>
      </c>
      <c r="X64" s="170">
        <v>600001</v>
      </c>
      <c r="Y64" s="171">
        <v>1000000</v>
      </c>
      <c r="Z64" s="651">
        <v>2.5000000000000001E-3</v>
      </c>
      <c r="AA64" s="651">
        <v>8.3000000000000001E-4</v>
      </c>
      <c r="AB64" s="651">
        <v>2.5000000000000001E-3</v>
      </c>
      <c r="AC64" s="133">
        <v>3.0000000000000001E-3</v>
      </c>
      <c r="AD64" s="133">
        <v>3.0000000000000001E-3</v>
      </c>
      <c r="AE64" s="133">
        <v>0.01</v>
      </c>
      <c r="AF64" s="133">
        <v>0.01</v>
      </c>
      <c r="AH64" s="2"/>
      <c r="AI64" s="2">
        <f t="shared" si="49"/>
        <v>1344.64</v>
      </c>
      <c r="AJ64" s="34">
        <f t="shared" si="50"/>
        <v>2344</v>
      </c>
      <c r="AK64" s="57">
        <f t="shared" si="52"/>
        <v>50790</v>
      </c>
      <c r="AL64" s="130">
        <f t="shared" si="21"/>
        <v>0</v>
      </c>
      <c r="AM64" s="109">
        <f t="shared" si="31"/>
        <v>56</v>
      </c>
      <c r="AN64" s="110">
        <f t="shared" si="10"/>
        <v>47020</v>
      </c>
      <c r="AO64" s="105">
        <f t="shared" si="35"/>
        <v>0</v>
      </c>
      <c r="AP64" s="105">
        <f t="shared" si="11"/>
        <v>0</v>
      </c>
      <c r="AQ64" s="105">
        <f t="shared" si="41"/>
        <v>0</v>
      </c>
      <c r="AR64" s="105">
        <f t="shared" si="34"/>
        <v>0</v>
      </c>
      <c r="AS64" s="105">
        <f t="shared" si="42"/>
        <v>0</v>
      </c>
      <c r="AT64" s="105">
        <f t="shared" si="43"/>
        <v>0</v>
      </c>
      <c r="AU64" s="105">
        <f t="shared" si="44"/>
        <v>0</v>
      </c>
      <c r="AV64" s="105">
        <f t="shared" si="45"/>
        <v>0</v>
      </c>
      <c r="AW64" s="105">
        <f t="shared" si="46"/>
        <v>0</v>
      </c>
      <c r="AX64" s="108">
        <f t="shared" si="32"/>
        <v>0</v>
      </c>
      <c r="AY64" s="108">
        <f t="shared" si="14"/>
        <v>0</v>
      </c>
      <c r="AZ64" s="22">
        <f t="shared" si="36"/>
        <v>47020</v>
      </c>
      <c r="BA64" s="108">
        <f t="shared" si="36"/>
        <v>0</v>
      </c>
      <c r="BB64" s="2" t="e">
        <f t="shared" si="54"/>
        <v>#VALUE!</v>
      </c>
    </row>
    <row r="65" spans="1:54" s="16" customFormat="1" ht="12" x14ac:dyDescent="0.25">
      <c r="A65" s="2"/>
      <c r="B65" s="2"/>
      <c r="C65" s="2"/>
      <c r="D65" s="2"/>
      <c r="E65" s="114">
        <f t="shared" si="28"/>
        <v>57</v>
      </c>
      <c r="F65" s="111">
        <f t="shared" si="15"/>
        <v>47050</v>
      </c>
      <c r="G65" s="24">
        <f t="shared" si="5"/>
        <v>0</v>
      </c>
      <c r="H65" s="24">
        <f t="shared" si="6"/>
        <v>0</v>
      </c>
      <c r="I65" s="24">
        <f t="shared" si="26"/>
        <v>46903.630000000005</v>
      </c>
      <c r="J65" s="24">
        <f t="shared" si="16"/>
        <v>0</v>
      </c>
      <c r="K65" s="24">
        <f t="shared" si="7"/>
        <v>0</v>
      </c>
      <c r="L65" s="24">
        <f t="shared" si="17"/>
        <v>0</v>
      </c>
      <c r="M65" s="24">
        <f t="shared" si="29"/>
        <v>0</v>
      </c>
      <c r="N65" s="24">
        <f t="shared" si="18"/>
        <v>0</v>
      </c>
      <c r="O65" s="24">
        <f t="shared" si="19"/>
        <v>0</v>
      </c>
      <c r="P65" s="24">
        <f t="shared" si="20"/>
        <v>0</v>
      </c>
      <c r="Q65" s="24">
        <f t="shared" si="8"/>
        <v>0</v>
      </c>
      <c r="R65" s="36">
        <f t="shared" si="30"/>
        <v>0</v>
      </c>
      <c r="S65" s="36">
        <f t="shared" si="9"/>
        <v>0</v>
      </c>
      <c r="T65" s="2">
        <f t="shared" si="47"/>
        <v>1278.47</v>
      </c>
      <c r="U65" s="34">
        <f t="shared" si="48"/>
        <v>2340</v>
      </c>
      <c r="V65" s="57">
        <f t="shared" si="51"/>
        <v>51155</v>
      </c>
      <c r="W65" s="16">
        <f t="shared" si="53"/>
        <v>16</v>
      </c>
      <c r="X65" s="171">
        <v>1000001</v>
      </c>
      <c r="Y65" s="171">
        <v>3000000</v>
      </c>
      <c r="Z65" s="651">
        <v>2E-3</v>
      </c>
      <c r="AA65" s="651">
        <v>8.3000000000000001E-4</v>
      </c>
      <c r="AB65" s="651">
        <v>2E-3</v>
      </c>
      <c r="AC65" s="133">
        <v>3.0000000000000001E-3</v>
      </c>
      <c r="AD65" s="133">
        <v>3.0000000000000001E-3</v>
      </c>
      <c r="AE65" s="133">
        <v>0.01</v>
      </c>
      <c r="AF65" s="133">
        <v>0.01</v>
      </c>
      <c r="AH65" s="2"/>
      <c r="AI65" s="2">
        <f t="shared" si="49"/>
        <v>1276.71</v>
      </c>
      <c r="AJ65" s="34">
        <f t="shared" si="50"/>
        <v>2344</v>
      </c>
      <c r="AK65" s="57">
        <f t="shared" si="52"/>
        <v>51155</v>
      </c>
      <c r="AL65" s="130">
        <f t="shared" si="21"/>
        <v>0</v>
      </c>
      <c r="AM65" s="109">
        <f t="shared" si="31"/>
        <v>57</v>
      </c>
      <c r="AN65" s="110">
        <f t="shared" si="10"/>
        <v>47050</v>
      </c>
      <c r="AO65" s="105">
        <f t="shared" si="35"/>
        <v>0</v>
      </c>
      <c r="AP65" s="105">
        <f t="shared" si="11"/>
        <v>0</v>
      </c>
      <c r="AQ65" s="105">
        <f t="shared" si="41"/>
        <v>0</v>
      </c>
      <c r="AR65" s="105">
        <f t="shared" si="34"/>
        <v>0</v>
      </c>
      <c r="AS65" s="105">
        <f t="shared" si="42"/>
        <v>0</v>
      </c>
      <c r="AT65" s="105">
        <f t="shared" si="43"/>
        <v>0</v>
      </c>
      <c r="AU65" s="105">
        <f t="shared" si="44"/>
        <v>0</v>
      </c>
      <c r="AV65" s="105">
        <f t="shared" si="45"/>
        <v>0</v>
      </c>
      <c r="AW65" s="105">
        <f t="shared" si="46"/>
        <v>0</v>
      </c>
      <c r="AX65" s="108">
        <f t="shared" si="32"/>
        <v>0</v>
      </c>
      <c r="AY65" s="108">
        <f t="shared" si="14"/>
        <v>0</v>
      </c>
      <c r="AZ65" s="22">
        <f t="shared" si="36"/>
        <v>47050</v>
      </c>
      <c r="BA65" s="108">
        <f t="shared" si="36"/>
        <v>0</v>
      </c>
      <c r="BB65" s="2" t="e">
        <f t="shared" si="54"/>
        <v>#VALUE!</v>
      </c>
    </row>
    <row r="66" spans="1:54" s="16" customFormat="1" ht="12" x14ac:dyDescent="0.25">
      <c r="A66" s="2"/>
      <c r="B66" s="2"/>
      <c r="C66" s="2"/>
      <c r="D66" s="2"/>
      <c r="E66" s="114">
        <f t="shared" si="28"/>
        <v>58</v>
      </c>
      <c r="F66" s="111">
        <f t="shared" si="15"/>
        <v>47081</v>
      </c>
      <c r="G66" s="24">
        <f t="shared" si="5"/>
        <v>0</v>
      </c>
      <c r="H66" s="24">
        <f t="shared" si="6"/>
        <v>0</v>
      </c>
      <c r="I66" s="24">
        <f t="shared" si="26"/>
        <v>46903.630000000005</v>
      </c>
      <c r="J66" s="24">
        <f t="shared" si="16"/>
        <v>0</v>
      </c>
      <c r="K66" s="24">
        <f t="shared" si="7"/>
        <v>0</v>
      </c>
      <c r="L66" s="24">
        <f t="shared" si="17"/>
        <v>0</v>
      </c>
      <c r="M66" s="24">
        <f t="shared" si="29"/>
        <v>0</v>
      </c>
      <c r="N66" s="24">
        <f t="shared" si="18"/>
        <v>0</v>
      </c>
      <c r="O66" s="24">
        <f t="shared" si="19"/>
        <v>0</v>
      </c>
      <c r="P66" s="24">
        <f t="shared" si="20"/>
        <v>0</v>
      </c>
      <c r="Q66" s="24">
        <f t="shared" si="8"/>
        <v>0</v>
      </c>
      <c r="R66" s="36">
        <f t="shared" si="30"/>
        <v>0</v>
      </c>
      <c r="S66" s="36">
        <f t="shared" si="9"/>
        <v>0</v>
      </c>
      <c r="T66" s="2">
        <f t="shared" si="47"/>
        <v>1294.1300000000001</v>
      </c>
      <c r="U66" s="34">
        <f t="shared" si="48"/>
        <v>2340</v>
      </c>
      <c r="V66" s="57">
        <f t="shared" si="51"/>
        <v>51520</v>
      </c>
      <c r="W66" s="16">
        <f t="shared" si="53"/>
        <v>17</v>
      </c>
      <c r="X66" s="171"/>
      <c r="Y66" s="172"/>
      <c r="Z66" s="66">
        <f>IF(Z81&gt;1000000,Z65,IF(Z81&gt;600000,Z64,IF(Z81&gt;200000,Z63,Z62)))</f>
        <v>3.5000000000000001E-3</v>
      </c>
      <c r="AA66" s="651">
        <v>8.3000000000000001E-4</v>
      </c>
      <c r="AB66" s="66">
        <f>IF(AB81&gt;1000000,AB65,IF(AB81&gt;600000,AB64,IF(AB81&gt;200000,AB63,AB62)))</f>
        <v>3.5000000000000001E-3</v>
      </c>
      <c r="AC66" s="66">
        <f>IF(AC81&gt;1000000,AC65,IF(AC81&gt;600000,AC64,IF(AC81&gt;200000,AC63,AC62)))</f>
        <v>3.0000000000000001E-3</v>
      </c>
      <c r="AD66" s="66">
        <f>IF(AD81&gt;1000000,AD65,IF(AD81&gt;600000,AD64,IF(AD81&gt;200000,AD63,AD62)))</f>
        <v>3.0000000000000001E-3</v>
      </c>
      <c r="AE66" s="133">
        <v>0.01</v>
      </c>
      <c r="AF66" s="133">
        <v>0.01</v>
      </c>
      <c r="AH66" s="2"/>
      <c r="AI66" s="2">
        <f t="shared" si="49"/>
        <v>1292.1600000000001</v>
      </c>
      <c r="AJ66" s="34">
        <f t="shared" si="50"/>
        <v>2344</v>
      </c>
      <c r="AK66" s="57">
        <f t="shared" si="52"/>
        <v>51520</v>
      </c>
      <c r="AL66" s="130">
        <f t="shared" si="21"/>
        <v>0</v>
      </c>
      <c r="AM66" s="109">
        <f t="shared" si="31"/>
        <v>58</v>
      </c>
      <c r="AN66" s="110">
        <f t="shared" si="10"/>
        <v>47081</v>
      </c>
      <c r="AO66" s="105">
        <f t="shared" si="35"/>
        <v>0</v>
      </c>
      <c r="AP66" s="105">
        <f t="shared" si="11"/>
        <v>0</v>
      </c>
      <c r="AQ66" s="105">
        <f t="shared" si="41"/>
        <v>0</v>
      </c>
      <c r="AR66" s="105">
        <f t="shared" si="34"/>
        <v>0</v>
      </c>
      <c r="AS66" s="105">
        <f t="shared" si="42"/>
        <v>0</v>
      </c>
      <c r="AT66" s="105">
        <f t="shared" si="43"/>
        <v>0</v>
      </c>
      <c r="AU66" s="105">
        <f t="shared" si="44"/>
        <v>0</v>
      </c>
      <c r="AV66" s="105">
        <f t="shared" si="45"/>
        <v>0</v>
      </c>
      <c r="AW66" s="105">
        <f t="shared" si="46"/>
        <v>0</v>
      </c>
      <c r="AX66" s="108">
        <f t="shared" si="32"/>
        <v>0</v>
      </c>
      <c r="AY66" s="108">
        <f t="shared" si="14"/>
        <v>0</v>
      </c>
      <c r="AZ66" s="22">
        <f t="shared" si="36"/>
        <v>47081</v>
      </c>
      <c r="BA66" s="108">
        <f t="shared" si="36"/>
        <v>0</v>
      </c>
      <c r="BB66" s="2" t="e">
        <f t="shared" si="54"/>
        <v>#VALUE!</v>
      </c>
    </row>
    <row r="67" spans="1:54" s="16" customFormat="1" ht="12" x14ac:dyDescent="0.25">
      <c r="A67" s="2"/>
      <c r="B67" s="2"/>
      <c r="C67" s="13"/>
      <c r="D67" s="13"/>
      <c r="E67" s="114">
        <f t="shared" si="28"/>
        <v>59</v>
      </c>
      <c r="F67" s="111">
        <f t="shared" si="15"/>
        <v>47111</v>
      </c>
      <c r="G67" s="24">
        <f t="shared" si="5"/>
        <v>0</v>
      </c>
      <c r="H67" s="24">
        <f t="shared" si="6"/>
        <v>0</v>
      </c>
      <c r="I67" s="24">
        <f t="shared" si="26"/>
        <v>46903.630000000005</v>
      </c>
      <c r="J67" s="24">
        <f t="shared" si="16"/>
        <v>0</v>
      </c>
      <c r="K67" s="24">
        <f t="shared" si="7"/>
        <v>0</v>
      </c>
      <c r="L67" s="24">
        <f t="shared" si="17"/>
        <v>0</v>
      </c>
      <c r="M67" s="24">
        <f t="shared" si="29"/>
        <v>0</v>
      </c>
      <c r="N67" s="24">
        <f t="shared" si="18"/>
        <v>0</v>
      </c>
      <c r="O67" s="24">
        <f t="shared" si="19"/>
        <v>0</v>
      </c>
      <c r="P67" s="24">
        <f t="shared" si="20"/>
        <v>0</v>
      </c>
      <c r="Q67" s="24">
        <f t="shared" si="8"/>
        <v>0</v>
      </c>
      <c r="R67" s="36">
        <f t="shared" si="30"/>
        <v>0</v>
      </c>
      <c r="S67" s="36">
        <f t="shared" si="9"/>
        <v>0</v>
      </c>
      <c r="T67" s="2">
        <f t="shared" si="47"/>
        <v>1226.68</v>
      </c>
      <c r="U67" s="34">
        <f t="shared" si="48"/>
        <v>2340</v>
      </c>
      <c r="V67" s="57">
        <f t="shared" si="51"/>
        <v>51885</v>
      </c>
      <c r="W67" s="16">
        <f t="shared" si="53"/>
        <v>18</v>
      </c>
      <c r="Z67" s="143">
        <f>Z66*Z81*$C$10</f>
        <v>2.016</v>
      </c>
      <c r="AA67" s="143">
        <f>AA66*AA81*$C$10</f>
        <v>2629.44</v>
      </c>
      <c r="AB67" s="143">
        <f>AB66*AB81*$C$10</f>
        <v>14313.599999999999</v>
      </c>
      <c r="AC67" s="143">
        <f>AC66*AC81*$C$10</f>
        <v>12355.199999999999</v>
      </c>
      <c r="AD67" s="143">
        <f>AD66*AD81*$C$10</f>
        <v>14688</v>
      </c>
      <c r="AE67" s="143">
        <f>AE66*AE81*$C$30</f>
        <v>7200</v>
      </c>
      <c r="AF67" s="143">
        <f>AF66*AF81*$C$30</f>
        <v>7200</v>
      </c>
      <c r="AH67" s="2">
        <v>25176.799999999999</v>
      </c>
      <c r="AI67" s="2">
        <f t="shared" si="49"/>
        <v>1224.6300000000001</v>
      </c>
      <c r="AJ67" s="34">
        <f t="shared" si="50"/>
        <v>2344</v>
      </c>
      <c r="AK67" s="57">
        <f t="shared" si="52"/>
        <v>51885</v>
      </c>
      <c r="AL67" s="130">
        <f t="shared" si="21"/>
        <v>0</v>
      </c>
      <c r="AM67" s="109">
        <f t="shared" si="31"/>
        <v>59</v>
      </c>
      <c r="AN67" s="110">
        <f t="shared" si="10"/>
        <v>47111</v>
      </c>
      <c r="AO67" s="105">
        <f t="shared" si="35"/>
        <v>0</v>
      </c>
      <c r="AP67" s="105">
        <f t="shared" si="11"/>
        <v>0</v>
      </c>
      <c r="AQ67" s="105">
        <f t="shared" si="41"/>
        <v>0</v>
      </c>
      <c r="AR67" s="105">
        <f t="shared" si="34"/>
        <v>0</v>
      </c>
      <c r="AS67" s="105">
        <f t="shared" si="42"/>
        <v>0</v>
      </c>
      <c r="AT67" s="105">
        <f t="shared" si="43"/>
        <v>0</v>
      </c>
      <c r="AU67" s="105">
        <f t="shared" si="44"/>
        <v>0</v>
      </c>
      <c r="AV67" s="105">
        <f t="shared" si="45"/>
        <v>0</v>
      </c>
      <c r="AW67" s="105">
        <f t="shared" si="46"/>
        <v>0</v>
      </c>
      <c r="AX67" s="108">
        <f t="shared" si="32"/>
        <v>0</v>
      </c>
      <c r="AY67" s="108">
        <f t="shared" si="14"/>
        <v>0</v>
      </c>
      <c r="AZ67" s="22">
        <f t="shared" si="36"/>
        <v>47111</v>
      </c>
      <c r="BA67" s="108">
        <f t="shared" si="36"/>
        <v>0</v>
      </c>
      <c r="BB67" s="2" t="e">
        <f t="shared" si="54"/>
        <v>#VALUE!</v>
      </c>
    </row>
    <row r="68" spans="1:54" s="16" customFormat="1" ht="12" x14ac:dyDescent="0.25">
      <c r="A68" s="2"/>
      <c r="B68" s="2"/>
      <c r="C68" s="2"/>
      <c r="D68" s="13"/>
      <c r="E68" s="114">
        <f t="shared" si="28"/>
        <v>60</v>
      </c>
      <c r="F68" s="111">
        <f t="shared" si="15"/>
        <v>47142</v>
      </c>
      <c r="G68" s="24">
        <f t="shared" si="5"/>
        <v>0</v>
      </c>
      <c r="H68" s="24">
        <f t="shared" si="6"/>
        <v>0</v>
      </c>
      <c r="I68" s="24">
        <f t="shared" si="26"/>
        <v>46903.630000000005</v>
      </c>
      <c r="J68" s="24">
        <f>IF(AND(E68=$C$10,$C$22&lt;&gt;"Нет"),MIN((I68-I68/$C$19*$C$23),Q67+H68-G67),0)</f>
        <v>0</v>
      </c>
      <c r="K68" s="24">
        <f t="shared" si="7"/>
        <v>0</v>
      </c>
      <c r="L68" s="24">
        <f t="shared" si="17"/>
        <v>0</v>
      </c>
      <c r="M68" s="24">
        <f t="shared" si="29"/>
        <v>0</v>
      </c>
      <c r="N68" s="24">
        <f t="shared" si="18"/>
        <v>0</v>
      </c>
      <c r="O68" s="24">
        <f t="shared" si="19"/>
        <v>0</v>
      </c>
      <c r="P68" s="24">
        <f t="shared" si="20"/>
        <v>0</v>
      </c>
      <c r="Q68" s="24">
        <f t="shared" si="8"/>
        <v>0</v>
      </c>
      <c r="R68" s="36">
        <f t="shared" si="30"/>
        <v>0</v>
      </c>
      <c r="S68" s="36">
        <f t="shared" si="9"/>
        <v>0</v>
      </c>
      <c r="T68" s="2">
        <f t="shared" si="47"/>
        <v>1239.3</v>
      </c>
      <c r="U68" s="34">
        <f t="shared" si="48"/>
        <v>2340</v>
      </c>
      <c r="V68" s="57">
        <f t="shared" si="51"/>
        <v>52250</v>
      </c>
      <c r="W68" s="16">
        <f t="shared" si="53"/>
        <v>19</v>
      </c>
      <c r="Z68" s="16">
        <v>0</v>
      </c>
      <c r="AA68" s="143">
        <f>AA67</f>
        <v>2629.44</v>
      </c>
      <c r="AB68" s="16">
        <v>0</v>
      </c>
      <c r="AC68" s="16">
        <v>0</v>
      </c>
      <c r="AD68" s="16">
        <v>0</v>
      </c>
      <c r="AE68" s="143">
        <f>AA67</f>
        <v>2629.44</v>
      </c>
      <c r="AF68" s="143">
        <f>AA67</f>
        <v>2629.44</v>
      </c>
      <c r="AH68" s="143">
        <f>AH67-AE67</f>
        <v>17976.8</v>
      </c>
      <c r="AI68" s="2">
        <f t="shared" si="49"/>
        <v>1237.03</v>
      </c>
      <c r="AJ68" s="34">
        <f t="shared" si="50"/>
        <v>2344</v>
      </c>
      <c r="AK68" s="57">
        <f t="shared" si="52"/>
        <v>52250</v>
      </c>
      <c r="AL68" s="130">
        <f t="shared" si="21"/>
        <v>0</v>
      </c>
      <c r="AM68" s="109">
        <f t="shared" si="31"/>
        <v>60</v>
      </c>
      <c r="AN68" s="110">
        <f t="shared" si="10"/>
        <v>47142</v>
      </c>
      <c r="AO68" s="105">
        <f>IF(AX67=1,AR68+AP68+AQ68,IF(AW67+AR68+AP68&gt;AO67,$D$29,IF(AW67=0,0,AW67+AR68+AP68+AP100)))</f>
        <v>0</v>
      </c>
      <c r="AP68" s="105">
        <f t="shared" si="11"/>
        <v>0</v>
      </c>
      <c r="AQ68" s="105">
        <f>IF(AY68=0,0,IF(AY68=1,AW67,IF(AW67+AR68+AP68&gt;AO67,AO68-AP68-AR68,AW67)))</f>
        <v>0</v>
      </c>
      <c r="AR68" s="105">
        <f>IF(AT68&gt;$D$29,$D$29-AP68,IF(AY68=0,0,AV68)+BN117)</f>
        <v>0</v>
      </c>
      <c r="AS68" s="105">
        <f>AU67-AR67</f>
        <v>0</v>
      </c>
      <c r="AT68" s="105">
        <f>AP68+AU68</f>
        <v>0</v>
      </c>
      <c r="AU68" s="105">
        <f>IF(AY68=0,0,0)</f>
        <v>0</v>
      </c>
      <c r="AV68" s="105">
        <f>IF(AY68=0,0,0)</f>
        <v>0</v>
      </c>
      <c r="AW68" s="105">
        <f>IF(OR(AY68=1,AW67=0),0,AW67-AQ68)</f>
        <v>0</v>
      </c>
      <c r="AX68" s="108">
        <f t="shared" si="32"/>
        <v>0</v>
      </c>
      <c r="AY68" s="108">
        <f t="shared" si="14"/>
        <v>0</v>
      </c>
      <c r="AZ68" s="22">
        <f t="shared" si="36"/>
        <v>47142</v>
      </c>
      <c r="BA68" s="108">
        <f t="shared" si="36"/>
        <v>0</v>
      </c>
      <c r="BB68" s="2" t="e">
        <f t="shared" si="54"/>
        <v>#VALUE!</v>
      </c>
    </row>
    <row r="69" spans="1:54" s="16" customFormat="1" ht="12" x14ac:dyDescent="0.25">
      <c r="A69" s="2"/>
      <c r="B69" s="2"/>
      <c r="C69" s="2"/>
      <c r="D69" s="2"/>
      <c r="E69" s="114">
        <f t="shared" si="28"/>
        <v>61</v>
      </c>
      <c r="F69" s="111">
        <f t="shared" si="15"/>
        <v>47173</v>
      </c>
      <c r="G69" s="24">
        <f t="shared" si="5"/>
        <v>0</v>
      </c>
      <c r="H69" s="24">
        <f t="shared" si="6"/>
        <v>0</v>
      </c>
      <c r="I69" s="24">
        <f t="shared" si="26"/>
        <v>46903.630000000005</v>
      </c>
      <c r="J69" s="24">
        <f t="shared" ref="J69:J132" si="55">IF(AND(E69=$C$10,$C$22&lt;&gt;"Нет"),MIN((I69-I69/$C$19*$C$23),Q68+H69-G68),0)</f>
        <v>0</v>
      </c>
      <c r="K69" s="24">
        <f t="shared" si="7"/>
        <v>0</v>
      </c>
      <c r="L69" s="24">
        <f t="shared" si="17"/>
        <v>0</v>
      </c>
      <c r="M69" s="24">
        <f t="shared" si="29"/>
        <v>0</v>
      </c>
      <c r="N69" s="24">
        <f t="shared" si="18"/>
        <v>0</v>
      </c>
      <c r="O69" s="24">
        <f t="shared" si="19"/>
        <v>0</v>
      </c>
      <c r="P69" s="24">
        <f t="shared" si="20"/>
        <v>0</v>
      </c>
      <c r="Q69" s="24">
        <f t="shared" si="8"/>
        <v>0</v>
      </c>
      <c r="R69" s="36">
        <f t="shared" si="30"/>
        <v>0</v>
      </c>
      <c r="S69" s="36">
        <f t="shared" si="9"/>
        <v>0</v>
      </c>
      <c r="T69" s="2">
        <f t="shared" si="47"/>
        <v>1211.3499999999999</v>
      </c>
      <c r="U69" s="34">
        <f t="shared" si="48"/>
        <v>2340</v>
      </c>
      <c r="V69" s="57">
        <f t="shared" si="51"/>
        <v>52615</v>
      </c>
      <c r="W69" s="16">
        <f t="shared" si="53"/>
        <v>20</v>
      </c>
      <c r="AH69" s="16">
        <f>104000+2900+5616+18532</f>
        <v>131048</v>
      </c>
      <c r="AI69" s="2">
        <f t="shared" si="49"/>
        <v>1208.92</v>
      </c>
      <c r="AJ69" s="34">
        <f t="shared" si="50"/>
        <v>2344</v>
      </c>
      <c r="AK69" s="57">
        <f>IF(AI69=0,AK68,AK68+365)</f>
        <v>52615</v>
      </c>
      <c r="AL69" s="130">
        <f t="shared" si="21"/>
        <v>0</v>
      </c>
      <c r="AM69" s="109">
        <f t="shared" si="31"/>
        <v>61</v>
      </c>
      <c r="AN69" s="110">
        <f t="shared" si="10"/>
        <v>47173</v>
      </c>
      <c r="AO69" s="105">
        <f>IF(AX68=1,AR69+AP69+AQ69,IF(AW68+AR69+AP69&gt;AO68,$D$29,IF(AW68=0,0,AW68+AR69+AP69+AP101)))</f>
        <v>0</v>
      </c>
      <c r="AP69" s="105">
        <f t="shared" si="11"/>
        <v>0</v>
      </c>
      <c r="AQ69" s="105">
        <f>IF(AY69=0,0,IF(AY69=1,AW68,IF(AW68+AR69+AP69&gt;AO68,AO69-AP69-AR69,AW68)))</f>
        <v>0</v>
      </c>
      <c r="AR69" s="105">
        <f>IF(AT69&gt;$D$29,$D$29-AP69,IF(AY69=0,0,AV69)+BN118)</f>
        <v>0</v>
      </c>
      <c r="AS69" s="105">
        <f>AU68-AR68</f>
        <v>0</v>
      </c>
      <c r="AT69" s="105">
        <f>AP69+AU69</f>
        <v>0</v>
      </c>
      <c r="AU69" s="105">
        <f>IF(AY69=0,0,0)</f>
        <v>0</v>
      </c>
      <c r="AV69" s="105">
        <f>IF(AY69=0,0,0)</f>
        <v>0</v>
      </c>
      <c r="AW69" s="105">
        <f>IF(OR(AY69=1,AW68=0),0,AW68-AQ69)</f>
        <v>0</v>
      </c>
      <c r="AX69" s="108">
        <f t="shared" si="32"/>
        <v>0</v>
      </c>
      <c r="AY69" s="108">
        <f t="shared" si="14"/>
        <v>0</v>
      </c>
      <c r="AZ69" s="22">
        <f t="shared" si="36"/>
        <v>47173</v>
      </c>
      <c r="BA69" s="108">
        <f t="shared" si="36"/>
        <v>0</v>
      </c>
      <c r="BB69" s="2" t="e">
        <f t="shared" si="54"/>
        <v>#VALUE!</v>
      </c>
    </row>
    <row r="70" spans="1:54" s="16" customFormat="1" ht="12" x14ac:dyDescent="0.25">
      <c r="A70" s="2"/>
      <c r="B70" s="2"/>
      <c r="C70" s="2"/>
      <c r="D70" s="2"/>
      <c r="E70" s="114">
        <f t="shared" si="28"/>
        <v>62</v>
      </c>
      <c r="F70" s="111">
        <f t="shared" si="15"/>
        <v>47201</v>
      </c>
      <c r="G70" s="24">
        <f t="shared" si="5"/>
        <v>0</v>
      </c>
      <c r="H70" s="24">
        <f t="shared" si="6"/>
        <v>0</v>
      </c>
      <c r="I70" s="24">
        <f t="shared" si="26"/>
        <v>46903.630000000005</v>
      </c>
      <c r="J70" s="24">
        <f t="shared" si="55"/>
        <v>0</v>
      </c>
      <c r="K70" s="24">
        <f t="shared" si="7"/>
        <v>0</v>
      </c>
      <c r="L70" s="24">
        <f t="shared" si="17"/>
        <v>0</v>
      </c>
      <c r="M70" s="24">
        <f t="shared" si="29"/>
        <v>0</v>
      </c>
      <c r="N70" s="24">
        <f t="shared" si="18"/>
        <v>0</v>
      </c>
      <c r="O70" s="24">
        <f t="shared" si="19"/>
        <v>0</v>
      </c>
      <c r="P70" s="24">
        <f t="shared" si="20"/>
        <v>0</v>
      </c>
      <c r="Q70" s="24">
        <f t="shared" si="8"/>
        <v>0</v>
      </c>
      <c r="R70" s="36">
        <f t="shared" si="30"/>
        <v>0</v>
      </c>
      <c r="S70" s="36">
        <f t="shared" si="9"/>
        <v>0</v>
      </c>
      <c r="T70" s="2">
        <f t="shared" si="47"/>
        <v>1144.53</v>
      </c>
      <c r="U70" s="34">
        <f t="shared" si="48"/>
        <v>2340</v>
      </c>
      <c r="V70" s="57">
        <f t="shared" si="51"/>
        <v>52980</v>
      </c>
      <c r="W70" s="16">
        <f t="shared" si="53"/>
        <v>21</v>
      </c>
      <c r="Y70" s="2"/>
      <c r="AA70" s="2"/>
      <c r="AB70" s="2"/>
      <c r="AC70" s="2"/>
      <c r="AD70" s="2"/>
      <c r="AE70" s="2"/>
      <c r="AF70" s="2"/>
      <c r="AG70" s="63"/>
      <c r="AH70" s="63"/>
      <c r="AI70" s="2">
        <f t="shared" si="49"/>
        <v>1142.02</v>
      </c>
      <c r="AJ70" s="34">
        <f>IF(AI70=0,IF(AI69=0,0,$AJ$46),AO29)</f>
        <v>2344</v>
      </c>
      <c r="AK70" s="57">
        <f t="shared" si="52"/>
        <v>52980</v>
      </c>
      <c r="AL70" s="130">
        <f t="shared" si="21"/>
        <v>0</v>
      </c>
      <c r="AM70" s="109">
        <f t="shared" si="31"/>
        <v>62</v>
      </c>
      <c r="AN70" s="110">
        <f t="shared" si="10"/>
        <v>47201</v>
      </c>
      <c r="AO70" s="105">
        <f t="shared" si="35"/>
        <v>0</v>
      </c>
      <c r="AP70" s="105">
        <f t="shared" si="11"/>
        <v>0</v>
      </c>
      <c r="AQ70" s="105">
        <f t="shared" si="41"/>
        <v>0</v>
      </c>
      <c r="AR70" s="105">
        <f t="shared" si="34"/>
        <v>0</v>
      </c>
      <c r="AS70" s="105">
        <f t="shared" si="42"/>
        <v>0</v>
      </c>
      <c r="AT70" s="105">
        <f t="shared" si="43"/>
        <v>0</v>
      </c>
      <c r="AU70" s="105">
        <f t="shared" si="44"/>
        <v>0</v>
      </c>
      <c r="AV70" s="105">
        <f t="shared" si="45"/>
        <v>0</v>
      </c>
      <c r="AW70" s="105">
        <f t="shared" si="46"/>
        <v>0</v>
      </c>
      <c r="AX70" s="108">
        <f t="shared" si="32"/>
        <v>0</v>
      </c>
      <c r="AY70" s="108">
        <f t="shared" si="14"/>
        <v>0</v>
      </c>
      <c r="AZ70" s="22">
        <f t="shared" si="36"/>
        <v>47201</v>
      </c>
      <c r="BA70" s="108">
        <f t="shared" si="36"/>
        <v>0</v>
      </c>
      <c r="BB70" s="2" t="e">
        <f t="shared" si="54"/>
        <v>#VALUE!</v>
      </c>
    </row>
    <row r="71" spans="1:54" s="16" customFormat="1" ht="12" x14ac:dyDescent="0.25">
      <c r="A71" s="2"/>
      <c r="B71" s="2"/>
      <c r="C71" s="2"/>
      <c r="D71" s="2"/>
      <c r="E71" s="114">
        <f t="shared" si="28"/>
        <v>63</v>
      </c>
      <c r="F71" s="111">
        <f t="shared" si="15"/>
        <v>47232</v>
      </c>
      <c r="G71" s="24">
        <f t="shared" si="5"/>
        <v>0</v>
      </c>
      <c r="H71" s="24">
        <f t="shared" si="6"/>
        <v>0</v>
      </c>
      <c r="I71" s="24">
        <f t="shared" si="26"/>
        <v>46903.630000000005</v>
      </c>
      <c r="J71" s="24">
        <f t="shared" si="55"/>
        <v>0</v>
      </c>
      <c r="K71" s="24">
        <f t="shared" si="7"/>
        <v>0</v>
      </c>
      <c r="L71" s="24">
        <f t="shared" si="17"/>
        <v>0</v>
      </c>
      <c r="M71" s="24">
        <f t="shared" si="29"/>
        <v>0</v>
      </c>
      <c r="N71" s="24">
        <f t="shared" si="18"/>
        <v>0</v>
      </c>
      <c r="O71" s="24">
        <f t="shared" si="19"/>
        <v>0</v>
      </c>
      <c r="P71" s="24">
        <f t="shared" si="20"/>
        <v>0</v>
      </c>
      <c r="Q71" s="24">
        <f t="shared" si="8"/>
        <v>0</v>
      </c>
      <c r="R71" s="36">
        <f t="shared" si="30"/>
        <v>0</v>
      </c>
      <c r="S71" s="36">
        <f t="shared" si="9"/>
        <v>0</v>
      </c>
      <c r="T71" s="2">
        <f t="shared" si="47"/>
        <v>1152.33</v>
      </c>
      <c r="U71" s="34">
        <f t="shared" si="48"/>
        <v>2340</v>
      </c>
      <c r="V71" s="57">
        <f t="shared" si="51"/>
        <v>53345</v>
      </c>
      <c r="W71" s="16">
        <f t="shared" si="53"/>
        <v>22</v>
      </c>
      <c r="Y71" s="15"/>
      <c r="Z71" s="145" t="s">
        <v>70</v>
      </c>
      <c r="AA71" s="145" t="s">
        <v>360</v>
      </c>
      <c r="AB71" s="145" t="s">
        <v>111</v>
      </c>
      <c r="AC71" s="145" t="s">
        <v>114</v>
      </c>
      <c r="AD71" s="144" t="s">
        <v>115</v>
      </c>
      <c r="AE71" s="145" t="s">
        <v>482</v>
      </c>
      <c r="AF71" s="145" t="s">
        <v>483</v>
      </c>
      <c r="AG71" s="63"/>
      <c r="AH71" s="63"/>
      <c r="AI71" s="2">
        <f t="shared" si="49"/>
        <v>1149.57</v>
      </c>
      <c r="AJ71" s="34">
        <f t="shared" ref="AJ71:AJ82" si="56">IF(AI71=0,IF(AI70=0,0,$AJ$46),AO30)</f>
        <v>2344</v>
      </c>
      <c r="AK71" s="57">
        <f>IF(AI71=0,AK70,AK70+365)</f>
        <v>53345</v>
      </c>
      <c r="AL71" s="130">
        <f t="shared" si="21"/>
        <v>0</v>
      </c>
      <c r="AM71" s="109">
        <f t="shared" si="31"/>
        <v>63</v>
      </c>
      <c r="AN71" s="110">
        <f t="shared" si="10"/>
        <v>47232</v>
      </c>
      <c r="AO71" s="105">
        <f t="shared" si="35"/>
        <v>0</v>
      </c>
      <c r="AP71" s="105">
        <f t="shared" si="11"/>
        <v>0</v>
      </c>
      <c r="AQ71" s="105">
        <f t="shared" si="41"/>
        <v>0</v>
      </c>
      <c r="AR71" s="105">
        <f t="shared" si="34"/>
        <v>0</v>
      </c>
      <c r="AS71" s="105">
        <f t="shared" si="42"/>
        <v>0</v>
      </c>
      <c r="AT71" s="105">
        <f t="shared" si="43"/>
        <v>0</v>
      </c>
      <c r="AU71" s="105">
        <f t="shared" si="44"/>
        <v>0</v>
      </c>
      <c r="AV71" s="105">
        <f t="shared" si="45"/>
        <v>0</v>
      </c>
      <c r="AW71" s="105">
        <f t="shared" si="46"/>
        <v>0</v>
      </c>
      <c r="AX71" s="108">
        <f t="shared" si="32"/>
        <v>0</v>
      </c>
      <c r="AY71" s="108">
        <f t="shared" si="14"/>
        <v>0</v>
      </c>
      <c r="AZ71" s="22">
        <f t="shared" si="36"/>
        <v>47232</v>
      </c>
      <c r="BA71" s="108">
        <f t="shared" si="36"/>
        <v>0</v>
      </c>
      <c r="BB71" s="2" t="e">
        <f t="shared" si="54"/>
        <v>#VALUE!</v>
      </c>
    </row>
    <row r="72" spans="1:54" s="16" customFormat="1" ht="12" x14ac:dyDescent="0.25">
      <c r="A72" s="2"/>
      <c r="B72" s="2"/>
      <c r="C72" s="2"/>
      <c r="D72" s="2"/>
      <c r="E72" s="114">
        <f t="shared" si="28"/>
        <v>64</v>
      </c>
      <c r="F72" s="111">
        <f t="shared" si="15"/>
        <v>47262</v>
      </c>
      <c r="G72" s="24">
        <f t="shared" si="5"/>
        <v>0</v>
      </c>
      <c r="H72" s="24">
        <f t="shared" si="6"/>
        <v>0</v>
      </c>
      <c r="I72" s="24">
        <f t="shared" si="26"/>
        <v>46903.630000000005</v>
      </c>
      <c r="J72" s="24">
        <f t="shared" si="55"/>
        <v>0</v>
      </c>
      <c r="K72" s="24">
        <f t="shared" si="7"/>
        <v>0</v>
      </c>
      <c r="L72" s="24">
        <f t="shared" si="17"/>
        <v>0</v>
      </c>
      <c r="M72" s="24">
        <f t="shared" si="29"/>
        <v>0</v>
      </c>
      <c r="N72" s="24">
        <f t="shared" si="18"/>
        <v>0</v>
      </c>
      <c r="O72" s="24">
        <f t="shared" si="19"/>
        <v>0</v>
      </c>
      <c r="P72" s="24">
        <f t="shared" si="20"/>
        <v>0</v>
      </c>
      <c r="Q72" s="24">
        <f t="shared" si="8"/>
        <v>0</v>
      </c>
      <c r="R72" s="36">
        <f t="shared" si="30"/>
        <v>0</v>
      </c>
      <c r="S72" s="36">
        <f t="shared" si="9"/>
        <v>0</v>
      </c>
      <c r="T72" s="2">
        <f t="shared" si="47"/>
        <v>1085.97</v>
      </c>
      <c r="U72" s="34">
        <f t="shared" si="48"/>
        <v>2340</v>
      </c>
      <c r="V72" s="57">
        <f t="shared" si="51"/>
        <v>53710</v>
      </c>
      <c r="W72" s="16">
        <f t="shared" si="53"/>
        <v>23</v>
      </c>
      <c r="X72" s="133" t="s">
        <v>96</v>
      </c>
      <c r="Y72" s="133" t="s">
        <v>97</v>
      </c>
      <c r="Z72" s="134"/>
      <c r="AA72" s="133" t="s">
        <v>98</v>
      </c>
      <c r="AB72" s="134"/>
      <c r="AC72" s="134"/>
      <c r="AD72" s="134"/>
      <c r="AE72" s="741"/>
      <c r="AF72" s="741"/>
      <c r="AG72" s="63"/>
      <c r="AH72" s="63"/>
      <c r="AI72" s="2">
        <f t="shared" si="49"/>
        <v>1083.1300000000001</v>
      </c>
      <c r="AJ72" s="34">
        <f t="shared" si="56"/>
        <v>2344</v>
      </c>
      <c r="AK72" s="57">
        <f t="shared" si="52"/>
        <v>53710</v>
      </c>
      <c r="AL72" s="130">
        <f t="shared" si="21"/>
        <v>0</v>
      </c>
      <c r="AM72" s="109">
        <f t="shared" si="31"/>
        <v>64</v>
      </c>
      <c r="AN72" s="110">
        <f t="shared" si="10"/>
        <v>47262</v>
      </c>
      <c r="AO72" s="105">
        <f t="shared" si="35"/>
        <v>0</v>
      </c>
      <c r="AP72" s="105">
        <f t="shared" si="11"/>
        <v>0</v>
      </c>
      <c r="AQ72" s="105">
        <f t="shared" si="41"/>
        <v>0</v>
      </c>
      <c r="AR72" s="105">
        <f t="shared" si="34"/>
        <v>0</v>
      </c>
      <c r="AS72" s="105">
        <f t="shared" si="42"/>
        <v>0</v>
      </c>
      <c r="AT72" s="105">
        <f t="shared" si="43"/>
        <v>0</v>
      </c>
      <c r="AU72" s="105">
        <f t="shared" si="44"/>
        <v>0</v>
      </c>
      <c r="AV72" s="105">
        <f t="shared" si="45"/>
        <v>0</v>
      </c>
      <c r="AW72" s="105">
        <f t="shared" si="46"/>
        <v>0</v>
      </c>
      <c r="AX72" s="108">
        <f t="shared" si="32"/>
        <v>0</v>
      </c>
      <c r="AY72" s="108">
        <f t="shared" si="14"/>
        <v>0</v>
      </c>
      <c r="AZ72" s="22">
        <f t="shared" ref="AZ72:BA107" si="57">F72</f>
        <v>47262</v>
      </c>
      <c r="BA72" s="108">
        <f t="shared" si="57"/>
        <v>0</v>
      </c>
      <c r="BB72" s="2" t="e">
        <f t="shared" si="54"/>
        <v>#VALUE!</v>
      </c>
    </row>
    <row r="73" spans="1:54" s="16" customFormat="1" ht="12" x14ac:dyDescent="0.25">
      <c r="A73" s="2"/>
      <c r="B73" s="2"/>
      <c r="C73" s="2"/>
      <c r="D73" s="2"/>
      <c r="E73" s="114">
        <f t="shared" si="28"/>
        <v>65</v>
      </c>
      <c r="F73" s="111">
        <f t="shared" si="15"/>
        <v>47293</v>
      </c>
      <c r="G73" s="24">
        <f t="shared" ref="G73:G136" si="58">IF(AND(E73&gt;=$T$14,E73&lt;=$T$14+5),$T$15,IF(AND(Q72+L73+H73&gt;G72,G72&lt;&gt;0),$C$29,IF(Q72=0,0,Q72+L73+H73+H74)))+IF(AND(E73=$C$10,$C$22&lt;&gt;"Нет"),MIN((I73-I73/$C$19*$C$23),Q72+H73-G72),0)</f>
        <v>0</v>
      </c>
      <c r="H73" s="24">
        <f t="shared" ref="H73:H136" si="59">IF(AND(E73&gt;=$T$14,E73&lt;=$T$14+5),0,IF($C$9&gt;$AC$52,ROUND(Q72*$C$19*((F73-DATE(YEAR(F73),MONTH(F73),1)+1)/(DATE(YEAR(F73)+1,1,1)-DATE(YEAR(F73),1,1))+(EOMONTH(F72,0)-F72)/(DATE(YEAR(F72)+1,1,1)-DATE(YEAR(F72),1,1))),2),0))</f>
        <v>0</v>
      </c>
      <c r="I73" s="24">
        <f t="shared" si="26"/>
        <v>46903.630000000005</v>
      </c>
      <c r="J73" s="24">
        <f t="shared" si="55"/>
        <v>0</v>
      </c>
      <c r="K73" s="24">
        <f t="shared" ref="K73:K136" si="60">IF(S73=0,0,IF(S73=1,Q72,IF(Q72+L73+H73&gt;G72,G73-H73-L73,Q72)))</f>
        <v>0</v>
      </c>
      <c r="L73" s="24">
        <f t="shared" si="17"/>
        <v>0</v>
      </c>
      <c r="M73" s="24">
        <f t="shared" si="29"/>
        <v>0</v>
      </c>
      <c r="N73" s="24">
        <f t="shared" si="18"/>
        <v>0</v>
      </c>
      <c r="O73" s="24">
        <f t="shared" si="19"/>
        <v>0</v>
      </c>
      <c r="P73" s="24">
        <f t="shared" si="20"/>
        <v>0</v>
      </c>
      <c r="Q73" s="24">
        <f t="shared" ref="Q73:Q136" si="61">IF(OR(S73=1,Q72=0),0,Q72-K73)</f>
        <v>0</v>
      </c>
      <c r="R73" s="36">
        <f t="shared" si="30"/>
        <v>0</v>
      </c>
      <c r="S73" s="36">
        <f t="shared" ref="S73:S136" si="62">IF(ISERR(CEILING(FLOOR(NPER($C$19/12,-$AA$56,Q72),0.1),1))=TRUE,0,CEILING(FLOOR(NPER($C$19/12,-$AA$56,Q72),0.1),1))</f>
        <v>0</v>
      </c>
      <c r="T73" s="2">
        <f t="shared" si="47"/>
        <v>1090.32</v>
      </c>
      <c r="U73" s="34">
        <f t="shared" si="48"/>
        <v>2340</v>
      </c>
      <c r="V73" s="57">
        <f t="shared" si="51"/>
        <v>54075</v>
      </c>
      <c r="W73" s="16">
        <f t="shared" si="53"/>
        <v>24</v>
      </c>
      <c r="X73" s="170">
        <v>20000</v>
      </c>
      <c r="Y73" s="171">
        <v>220000</v>
      </c>
      <c r="Z73" s="134">
        <v>12</v>
      </c>
      <c r="AA73" s="134">
        <v>1.1000000000000001</v>
      </c>
      <c r="AB73" s="134">
        <f>IF($C$10&gt;48,AB85,IF($C$94&gt;36,AA85,Z85))</f>
        <v>1.42</v>
      </c>
      <c r="AC73" s="134">
        <v>1.43</v>
      </c>
      <c r="AD73" s="134">
        <f>IF($C$10&gt;48,AB94,IF($C$94&gt;36,AA94,Z94))</f>
        <v>1.7</v>
      </c>
      <c r="AE73" s="741">
        <v>1</v>
      </c>
      <c r="AF73" s="741">
        <v>1</v>
      </c>
      <c r="AG73" s="63"/>
      <c r="AH73" s="63"/>
      <c r="AI73" s="2">
        <f t="shared" si="49"/>
        <v>1087.22</v>
      </c>
      <c r="AJ73" s="34">
        <f t="shared" si="56"/>
        <v>2344</v>
      </c>
      <c r="AK73" s="57">
        <f t="shared" si="52"/>
        <v>54075</v>
      </c>
      <c r="AL73" s="130">
        <f t="shared" si="21"/>
        <v>0</v>
      </c>
      <c r="AM73" s="109">
        <f t="shared" si="31"/>
        <v>65</v>
      </c>
      <c r="AN73" s="110">
        <f t="shared" ref="AN73:AN129" si="63">IF((OR(DAY($AA$55)=29,DAY($AA$55)=30,DAY($AA$55)=31)),(EDATE($C$9-3,AM73)),(IF((OR(DAY($AA$55)=1,DAY($AA$55)=2,DAY($AA$55)=3)),(EDATE($C$9,AM73)+3),EDATE($C$9,AM73))))</f>
        <v>47293</v>
      </c>
      <c r="AO73" s="105">
        <f t="shared" si="35"/>
        <v>0</v>
      </c>
      <c r="AP73" s="105">
        <f t="shared" ref="AP73:AP129" si="64">IF(AND(E73&gt;=$T$14,E73&lt;=$T$14+5),0,IF($C$9&gt;$AC$52,ROUND(AW72*$D$19*((AN73-DATE(YEAR(AN73),MONTH(AN73),1)+1)/(DATE(YEAR(AN73)+1,1,1)-DATE(YEAR(AN73),1,1))+(EOMONTH(AN72,0)-AN72)/(DATE(YEAR(AN72)+1,1,1)-DATE(YEAR(AN72),1,1))),2),0))</f>
        <v>0</v>
      </c>
      <c r="AQ73" s="105">
        <f t="shared" si="41"/>
        <v>0</v>
      </c>
      <c r="AR73" s="105">
        <f t="shared" si="34"/>
        <v>0</v>
      </c>
      <c r="AS73" s="105">
        <f t="shared" si="42"/>
        <v>0</v>
      </c>
      <c r="AT73" s="105">
        <f t="shared" si="43"/>
        <v>0</v>
      </c>
      <c r="AU73" s="105">
        <f t="shared" si="44"/>
        <v>0</v>
      </c>
      <c r="AV73" s="105">
        <f t="shared" si="45"/>
        <v>0</v>
      </c>
      <c r="AW73" s="105">
        <f t="shared" si="46"/>
        <v>0</v>
      </c>
      <c r="AX73" s="108">
        <f t="shared" si="32"/>
        <v>0</v>
      </c>
      <c r="AY73" s="108">
        <f t="shared" ref="AY73:AY129" si="65">IF(ISERR(CEILING(FLOOR(NPER($D$19/12,-$AC$56,AW72),0.1),1))=TRUE,0,CEILING(FLOOR(NPER($D$19/12,-$AC$56,AW72),0.1),1))</f>
        <v>0</v>
      </c>
      <c r="AZ73" s="22">
        <f t="shared" si="57"/>
        <v>47293</v>
      </c>
      <c r="BA73" s="108">
        <f t="shared" si="57"/>
        <v>0</v>
      </c>
      <c r="BB73" s="2" t="e">
        <f t="shared" si="54"/>
        <v>#VALUE!</v>
      </c>
    </row>
    <row r="74" spans="1:54" s="16" customFormat="1" ht="12" x14ac:dyDescent="0.25">
      <c r="A74" s="2"/>
      <c r="B74" s="2"/>
      <c r="C74" s="2"/>
      <c r="D74" s="2"/>
      <c r="E74" s="114">
        <f t="shared" si="28"/>
        <v>66</v>
      </c>
      <c r="F74" s="111">
        <f t="shared" ref="F74:F137" si="66">IF(DAY($AA$55)=29,DATE(YEAR($F$8),MONTH($F$8)+E74,26),IF(DAY($AA$55)=30,DATE(YEAR($F$8),MONTH($F$8)+E74,27),IF(DAY($AA$55)=31,DATE(YEAR($F$8),MONTH($F$8)+E74,28),DATE(YEAR($F$8),MONTH($F$8)+E74,DAY($F$8)))))</f>
        <v>47323</v>
      </c>
      <c r="G74" s="24">
        <f t="shared" si="58"/>
        <v>0</v>
      </c>
      <c r="H74" s="24">
        <f t="shared" si="59"/>
        <v>0</v>
      </c>
      <c r="I74" s="24">
        <f t="shared" si="26"/>
        <v>46903.630000000005</v>
      </c>
      <c r="J74" s="24">
        <f t="shared" si="55"/>
        <v>0</v>
      </c>
      <c r="K74" s="24">
        <f t="shared" si="60"/>
        <v>0</v>
      </c>
      <c r="L74" s="24">
        <f t="shared" ref="L74:L137" si="67">IF(N74&gt;$C$29,$C$29-H74,IF(S74=0,0,O74))</f>
        <v>0</v>
      </c>
      <c r="M74" s="24">
        <f t="shared" si="29"/>
        <v>0</v>
      </c>
      <c r="N74" s="24">
        <f t="shared" si="18"/>
        <v>0</v>
      </c>
      <c r="O74" s="24">
        <f t="shared" ref="O74:O137" si="68">IF(S74=0,0,0)</f>
        <v>0</v>
      </c>
      <c r="P74" s="24">
        <f t="shared" ref="P74:P137" si="69">IF(S74=0,0,0)</f>
        <v>0</v>
      </c>
      <c r="Q74" s="24">
        <f t="shared" si="61"/>
        <v>0</v>
      </c>
      <c r="R74" s="36">
        <f t="shared" si="30"/>
        <v>0</v>
      </c>
      <c r="S74" s="36">
        <f t="shared" si="62"/>
        <v>0</v>
      </c>
      <c r="T74" s="2">
        <f t="shared" si="47"/>
        <v>1058.5899999999999</v>
      </c>
      <c r="U74" s="34">
        <f t="shared" si="48"/>
        <v>2340</v>
      </c>
      <c r="V74" s="57">
        <f t="shared" si="51"/>
        <v>54440</v>
      </c>
      <c r="W74" s="16">
        <f t="shared" si="53"/>
        <v>25</v>
      </c>
      <c r="X74" s="170">
        <v>20000</v>
      </c>
      <c r="Y74" s="171">
        <v>220000</v>
      </c>
      <c r="Z74" s="134">
        <v>12</v>
      </c>
      <c r="AA74" s="134">
        <v>1.1000000000000001</v>
      </c>
      <c r="AB74" s="134">
        <f>IF($C$10&gt;48,AB86,IF($C$94&gt;36,AA86,Z86))</f>
        <v>1.42</v>
      </c>
      <c r="AC74" s="134">
        <v>1.43</v>
      </c>
      <c r="AD74" s="134">
        <f>IF($C$10&gt;48,AB95,IF($C$94&gt;36,AA95,Z95))</f>
        <v>1.7</v>
      </c>
      <c r="AE74" s="741">
        <v>1</v>
      </c>
      <c r="AF74" s="741">
        <v>1</v>
      </c>
      <c r="AG74" s="63"/>
      <c r="AH74" s="63"/>
      <c r="AI74" s="2">
        <f t="shared" si="49"/>
        <v>1055.3</v>
      </c>
      <c r="AJ74" s="34">
        <f t="shared" si="56"/>
        <v>2344</v>
      </c>
      <c r="AK74" s="57">
        <f t="shared" si="52"/>
        <v>54440</v>
      </c>
      <c r="AL74" s="130">
        <f t="shared" si="21"/>
        <v>0</v>
      </c>
      <c r="AM74" s="109">
        <f t="shared" si="31"/>
        <v>66</v>
      </c>
      <c r="AN74" s="110">
        <f t="shared" si="63"/>
        <v>47323</v>
      </c>
      <c r="AO74" s="105">
        <f t="shared" si="35"/>
        <v>0</v>
      </c>
      <c r="AP74" s="105">
        <f t="shared" si="64"/>
        <v>0</v>
      </c>
      <c r="AQ74" s="105">
        <f t="shared" si="41"/>
        <v>0</v>
      </c>
      <c r="AR74" s="105">
        <f t="shared" si="34"/>
        <v>0</v>
      </c>
      <c r="AS74" s="105">
        <f t="shared" si="42"/>
        <v>0</v>
      </c>
      <c r="AT74" s="105">
        <f t="shared" si="43"/>
        <v>0</v>
      </c>
      <c r="AU74" s="105">
        <f t="shared" si="44"/>
        <v>0</v>
      </c>
      <c r="AV74" s="105">
        <f t="shared" si="45"/>
        <v>0</v>
      </c>
      <c r="AW74" s="105">
        <f t="shared" si="46"/>
        <v>0</v>
      </c>
      <c r="AX74" s="108">
        <f t="shared" si="32"/>
        <v>0</v>
      </c>
      <c r="AY74" s="108">
        <f t="shared" si="65"/>
        <v>0</v>
      </c>
      <c r="AZ74" s="22">
        <f t="shared" si="57"/>
        <v>47323</v>
      </c>
      <c r="BA74" s="108">
        <f t="shared" si="57"/>
        <v>0</v>
      </c>
      <c r="BB74" s="2" t="e">
        <f t="shared" si="54"/>
        <v>#VALUE!</v>
      </c>
    </row>
    <row r="75" spans="1:54" s="16" customFormat="1" ht="12" x14ac:dyDescent="0.25">
      <c r="A75" s="2"/>
      <c r="B75" s="2"/>
      <c r="C75" s="2"/>
      <c r="D75" s="2"/>
      <c r="E75" s="114">
        <f t="shared" si="28"/>
        <v>67</v>
      </c>
      <c r="F75" s="111">
        <f t="shared" si="66"/>
        <v>47354</v>
      </c>
      <c r="G75" s="24">
        <f t="shared" si="58"/>
        <v>0</v>
      </c>
      <c r="H75" s="24">
        <f t="shared" si="59"/>
        <v>0</v>
      </c>
      <c r="I75" s="24">
        <f t="shared" ref="I75:I138" si="70">H75+I74</f>
        <v>46903.630000000005</v>
      </c>
      <c r="J75" s="24">
        <f t="shared" si="55"/>
        <v>0</v>
      </c>
      <c r="K75" s="24">
        <f t="shared" si="60"/>
        <v>0</v>
      </c>
      <c r="L75" s="24">
        <f t="shared" si="67"/>
        <v>0</v>
      </c>
      <c r="M75" s="24">
        <f t="shared" si="29"/>
        <v>0</v>
      </c>
      <c r="N75" s="24">
        <f t="shared" si="18"/>
        <v>0</v>
      </c>
      <c r="O75" s="24">
        <f t="shared" si="68"/>
        <v>0</v>
      </c>
      <c r="P75" s="24">
        <f t="shared" si="69"/>
        <v>0</v>
      </c>
      <c r="Q75" s="24">
        <f t="shared" si="61"/>
        <v>0</v>
      </c>
      <c r="R75" s="36">
        <f t="shared" si="30"/>
        <v>0</v>
      </c>
      <c r="S75" s="36">
        <f t="shared" si="62"/>
        <v>0</v>
      </c>
      <c r="T75" s="2">
        <f t="shared" si="47"/>
        <v>926.75</v>
      </c>
      <c r="U75" s="34">
        <f t="shared" si="48"/>
        <v>2340</v>
      </c>
      <c r="V75" s="57">
        <f t="shared" si="51"/>
        <v>54805</v>
      </c>
      <c r="W75" s="16">
        <f t="shared" si="53"/>
        <v>26</v>
      </c>
      <c r="X75" s="170">
        <v>20000</v>
      </c>
      <c r="Y75" s="171">
        <v>220000</v>
      </c>
      <c r="Z75" s="134">
        <v>12</v>
      </c>
      <c r="AA75" s="134">
        <v>1.1000000000000001</v>
      </c>
      <c r="AB75" s="134">
        <f>IF($C$10&gt;48,AB87,IF($C$94&gt;36,AA87,Z87))</f>
        <v>1.42</v>
      </c>
      <c r="AC75" s="134">
        <v>1.43</v>
      </c>
      <c r="AD75" s="134">
        <f>IF($C$10&gt;48,AB96,IF($C$94&gt;36,AA96,Z96))</f>
        <v>1.7</v>
      </c>
      <c r="AE75" s="741">
        <v>1</v>
      </c>
      <c r="AF75" s="741">
        <v>1</v>
      </c>
      <c r="AG75" s="63"/>
      <c r="AH75" s="63"/>
      <c r="AI75" s="2">
        <f t="shared" si="49"/>
        <v>923.62</v>
      </c>
      <c r="AJ75" s="34">
        <f t="shared" si="56"/>
        <v>2344</v>
      </c>
      <c r="AK75" s="57">
        <f t="shared" si="52"/>
        <v>54805</v>
      </c>
      <c r="AL75" s="130">
        <f t="shared" ref="AL75:AL109" si="71">IF(OR(AO75="",AO75=0),0,1)</f>
        <v>0</v>
      </c>
      <c r="AM75" s="109">
        <f t="shared" si="31"/>
        <v>67</v>
      </c>
      <c r="AN75" s="110">
        <f t="shared" si="63"/>
        <v>47354</v>
      </c>
      <c r="AO75" s="105">
        <f t="shared" si="35"/>
        <v>0</v>
      </c>
      <c r="AP75" s="105">
        <f t="shared" si="64"/>
        <v>0</v>
      </c>
      <c r="AQ75" s="105">
        <f t="shared" si="41"/>
        <v>0</v>
      </c>
      <c r="AR75" s="105">
        <f t="shared" si="34"/>
        <v>0</v>
      </c>
      <c r="AS75" s="105">
        <f t="shared" si="42"/>
        <v>0</v>
      </c>
      <c r="AT75" s="105">
        <f t="shared" si="43"/>
        <v>0</v>
      </c>
      <c r="AU75" s="105">
        <f t="shared" si="44"/>
        <v>0</v>
      </c>
      <c r="AV75" s="105">
        <f t="shared" si="45"/>
        <v>0</v>
      </c>
      <c r="AW75" s="105">
        <f t="shared" si="46"/>
        <v>0</v>
      </c>
      <c r="AX75" s="108">
        <f t="shared" si="32"/>
        <v>0</v>
      </c>
      <c r="AY75" s="108">
        <f t="shared" si="65"/>
        <v>0</v>
      </c>
      <c r="AZ75" s="22">
        <f t="shared" si="57"/>
        <v>47354</v>
      </c>
      <c r="BA75" s="108">
        <f t="shared" si="57"/>
        <v>0</v>
      </c>
      <c r="BB75" s="2" t="e">
        <f t="shared" si="54"/>
        <v>#VALUE!</v>
      </c>
    </row>
    <row r="76" spans="1:54" s="16" customFormat="1" ht="12" x14ac:dyDescent="0.25">
      <c r="A76" s="2"/>
      <c r="B76" s="2"/>
      <c r="C76" s="2"/>
      <c r="D76" s="2"/>
      <c r="E76" s="114">
        <f t="shared" ref="E76:E139" si="72">E75+1</f>
        <v>68</v>
      </c>
      <c r="F76" s="111">
        <f t="shared" si="66"/>
        <v>47385</v>
      </c>
      <c r="G76" s="24">
        <f t="shared" si="58"/>
        <v>0</v>
      </c>
      <c r="H76" s="24">
        <f t="shared" si="59"/>
        <v>0</v>
      </c>
      <c r="I76" s="24">
        <f t="shared" si="70"/>
        <v>46903.630000000005</v>
      </c>
      <c r="J76" s="24">
        <f t="shared" si="55"/>
        <v>0</v>
      </c>
      <c r="K76" s="24">
        <f t="shared" si="60"/>
        <v>0</v>
      </c>
      <c r="L76" s="24">
        <f t="shared" si="67"/>
        <v>0</v>
      </c>
      <c r="M76" s="24">
        <f t="shared" si="29"/>
        <v>0</v>
      </c>
      <c r="N76" s="24">
        <f t="shared" si="18"/>
        <v>0</v>
      </c>
      <c r="O76" s="24">
        <f t="shared" si="68"/>
        <v>0</v>
      </c>
      <c r="P76" s="24">
        <f t="shared" si="69"/>
        <v>0</v>
      </c>
      <c r="Q76" s="24">
        <f t="shared" si="61"/>
        <v>0</v>
      </c>
      <c r="R76" s="36">
        <f t="shared" ref="R76" si="73">IF((R75-1)&lt;0,0,R75-1)</f>
        <v>0</v>
      </c>
      <c r="S76" s="36">
        <f t="shared" si="62"/>
        <v>0</v>
      </c>
      <c r="T76" s="2">
        <f t="shared" si="47"/>
        <v>990.16</v>
      </c>
      <c r="U76" s="34">
        <f t="shared" si="48"/>
        <v>2340</v>
      </c>
      <c r="V76" s="57">
        <f t="shared" si="51"/>
        <v>55170</v>
      </c>
      <c r="W76" s="16">
        <f t="shared" si="53"/>
        <v>27</v>
      </c>
      <c r="X76" s="170">
        <v>220001</v>
      </c>
      <c r="Y76" s="171">
        <v>500000</v>
      </c>
      <c r="Z76" s="134">
        <v>7</v>
      </c>
      <c r="AA76" s="134">
        <v>1.1000000000000001</v>
      </c>
      <c r="AB76" s="134">
        <f>IF($C$10&gt;48,AB88,IF($C$94&gt;36,AA88,Z88))</f>
        <v>0.97</v>
      </c>
      <c r="AC76" s="134">
        <v>1.43</v>
      </c>
      <c r="AD76" s="134">
        <f>IF($C$10&gt;48,AB97,IF($C$94&gt;36,AA97,Z97))</f>
        <v>0.97</v>
      </c>
      <c r="AE76" s="741">
        <v>1</v>
      </c>
      <c r="AF76" s="741">
        <v>1</v>
      </c>
      <c r="AG76" s="63"/>
      <c r="AH76" s="63"/>
      <c r="AI76" s="2">
        <f t="shared" si="49"/>
        <v>986.5</v>
      </c>
      <c r="AJ76" s="34">
        <f t="shared" si="56"/>
        <v>2344</v>
      </c>
      <c r="AK76" s="57">
        <f t="shared" si="52"/>
        <v>55170</v>
      </c>
      <c r="AL76" s="130">
        <f t="shared" si="71"/>
        <v>0</v>
      </c>
      <c r="AM76" s="109">
        <f t="shared" ref="AM76:AM129" si="74">AM75+1</f>
        <v>68</v>
      </c>
      <c r="AN76" s="110">
        <f t="shared" si="63"/>
        <v>47385</v>
      </c>
      <c r="AO76" s="105">
        <f t="shared" si="35"/>
        <v>0</v>
      </c>
      <c r="AP76" s="105">
        <f t="shared" si="64"/>
        <v>0</v>
      </c>
      <c r="AQ76" s="105">
        <f t="shared" si="41"/>
        <v>0</v>
      </c>
      <c r="AR76" s="105">
        <f t="shared" si="34"/>
        <v>0</v>
      </c>
      <c r="AS76" s="105">
        <f t="shared" si="42"/>
        <v>0</v>
      </c>
      <c r="AT76" s="105">
        <f t="shared" si="43"/>
        <v>0</v>
      </c>
      <c r="AU76" s="105">
        <f t="shared" si="44"/>
        <v>0</v>
      </c>
      <c r="AV76" s="105">
        <f t="shared" si="45"/>
        <v>0</v>
      </c>
      <c r="AW76" s="105">
        <f t="shared" si="46"/>
        <v>0</v>
      </c>
      <c r="AX76" s="108">
        <f t="shared" ref="AX76:AX129" si="75">IF((AX75-1)&lt;0,0,AX75-1)</f>
        <v>0</v>
      </c>
      <c r="AY76" s="108">
        <f t="shared" si="65"/>
        <v>0</v>
      </c>
      <c r="AZ76" s="22">
        <f t="shared" si="57"/>
        <v>47385</v>
      </c>
      <c r="BA76" s="108">
        <f t="shared" si="57"/>
        <v>0</v>
      </c>
      <c r="BB76" s="2" t="e">
        <f t="shared" si="54"/>
        <v>#VALUE!</v>
      </c>
    </row>
    <row r="77" spans="1:54" s="16" customFormat="1" ht="12" x14ac:dyDescent="0.25">
      <c r="A77" s="2"/>
      <c r="B77" s="2"/>
      <c r="C77" s="2"/>
      <c r="D77" s="2"/>
      <c r="E77" s="114">
        <f t="shared" si="72"/>
        <v>69</v>
      </c>
      <c r="F77" s="111">
        <f t="shared" si="66"/>
        <v>47415</v>
      </c>
      <c r="G77" s="24">
        <f t="shared" si="58"/>
        <v>0</v>
      </c>
      <c r="H77" s="24">
        <f t="shared" si="59"/>
        <v>0</v>
      </c>
      <c r="I77" s="24">
        <f t="shared" si="70"/>
        <v>46903.630000000005</v>
      </c>
      <c r="J77" s="24">
        <f t="shared" si="55"/>
        <v>0</v>
      </c>
      <c r="K77" s="24">
        <f t="shared" si="60"/>
        <v>0</v>
      </c>
      <c r="L77" s="24">
        <f t="shared" si="67"/>
        <v>0</v>
      </c>
      <c r="M77" s="24">
        <f t="shared" si="29"/>
        <v>0</v>
      </c>
      <c r="N77" s="24">
        <f t="shared" si="18"/>
        <v>0</v>
      </c>
      <c r="O77" s="24">
        <f t="shared" si="68"/>
        <v>0</v>
      </c>
      <c r="P77" s="24">
        <f t="shared" si="69"/>
        <v>0</v>
      </c>
      <c r="Q77" s="24">
        <f t="shared" si="61"/>
        <v>0</v>
      </c>
      <c r="R77" s="36">
        <f>IF((R76-1)&lt;0,0,R76-1)</f>
        <v>0</v>
      </c>
      <c r="S77" s="36">
        <f t="shared" si="62"/>
        <v>0</v>
      </c>
      <c r="T77" s="2">
        <f t="shared" si="47"/>
        <v>925.04</v>
      </c>
      <c r="U77" s="34">
        <f t="shared" si="48"/>
        <v>2340</v>
      </c>
      <c r="V77" s="57">
        <f t="shared" si="51"/>
        <v>55535</v>
      </c>
      <c r="W77" s="16">
        <f t="shared" si="53"/>
        <v>28</v>
      </c>
      <c r="X77" s="171">
        <v>500001</v>
      </c>
      <c r="Y77" s="171">
        <v>1000000</v>
      </c>
      <c r="Z77" s="134">
        <v>9</v>
      </c>
      <c r="AA77" s="134">
        <v>1.1000000000000001</v>
      </c>
      <c r="AB77" s="134">
        <f>IF($C$10&gt;72,AD89,IF($C$10&gt;60,AC89,IF($C$10&gt;48,AB89,IF($C$94&gt;36,AA89,Z89))))</f>
        <v>1.52</v>
      </c>
      <c r="AC77" s="134">
        <v>1.43</v>
      </c>
      <c r="AD77" s="134">
        <f>IF($C$10&gt;72,AD98,IF($C$10&gt;60,AC98,IF($C$10&gt;48,AB98,IF($C$94&gt;36,AA98,Z98))))</f>
        <v>1.26</v>
      </c>
      <c r="AE77" s="741">
        <v>1</v>
      </c>
      <c r="AF77" s="741">
        <v>1</v>
      </c>
      <c r="AG77" s="63"/>
      <c r="AH77" s="63"/>
      <c r="AI77" s="2">
        <f t="shared" si="49"/>
        <v>921.32</v>
      </c>
      <c r="AJ77" s="34">
        <f t="shared" si="56"/>
        <v>2344</v>
      </c>
      <c r="AK77" s="57">
        <f t="shared" si="52"/>
        <v>55535</v>
      </c>
      <c r="AL77" s="130">
        <f t="shared" si="71"/>
        <v>0</v>
      </c>
      <c r="AM77" s="109">
        <f t="shared" si="74"/>
        <v>69</v>
      </c>
      <c r="AN77" s="110">
        <f t="shared" si="63"/>
        <v>47415</v>
      </c>
      <c r="AO77" s="105">
        <f t="shared" si="35"/>
        <v>0</v>
      </c>
      <c r="AP77" s="105">
        <f t="shared" si="64"/>
        <v>0</v>
      </c>
      <c r="AQ77" s="105">
        <f t="shared" si="41"/>
        <v>0</v>
      </c>
      <c r="AR77" s="105">
        <f t="shared" si="34"/>
        <v>0</v>
      </c>
      <c r="AS77" s="105">
        <f t="shared" si="42"/>
        <v>0</v>
      </c>
      <c r="AT77" s="105">
        <f t="shared" si="43"/>
        <v>0</v>
      </c>
      <c r="AU77" s="105">
        <f t="shared" si="44"/>
        <v>0</v>
      </c>
      <c r="AV77" s="105">
        <f t="shared" si="45"/>
        <v>0</v>
      </c>
      <c r="AW77" s="105">
        <f t="shared" si="46"/>
        <v>0</v>
      </c>
      <c r="AX77" s="108">
        <f t="shared" si="75"/>
        <v>0</v>
      </c>
      <c r="AY77" s="108">
        <f t="shared" si="65"/>
        <v>0</v>
      </c>
      <c r="AZ77" s="22">
        <f t="shared" si="57"/>
        <v>47415</v>
      </c>
      <c r="BA77" s="108">
        <f t="shared" si="57"/>
        <v>0</v>
      </c>
      <c r="BB77" s="2" t="e">
        <f t="shared" si="54"/>
        <v>#VALUE!</v>
      </c>
    </row>
    <row r="78" spans="1:54" s="16" customFormat="1" ht="12" x14ac:dyDescent="0.25">
      <c r="A78" s="2"/>
      <c r="B78" s="2"/>
      <c r="C78" s="2"/>
      <c r="D78" s="2"/>
      <c r="E78" s="114">
        <f t="shared" si="72"/>
        <v>70</v>
      </c>
      <c r="F78" s="111">
        <f t="shared" si="66"/>
        <v>47446</v>
      </c>
      <c r="G78" s="24">
        <f t="shared" si="58"/>
        <v>0</v>
      </c>
      <c r="H78" s="24">
        <f t="shared" si="59"/>
        <v>0</v>
      </c>
      <c r="I78" s="24">
        <f t="shared" si="70"/>
        <v>46903.630000000005</v>
      </c>
      <c r="J78" s="24">
        <f t="shared" si="55"/>
        <v>0</v>
      </c>
      <c r="K78" s="24">
        <f t="shared" si="60"/>
        <v>0</v>
      </c>
      <c r="L78" s="24">
        <f t="shared" si="67"/>
        <v>0</v>
      </c>
      <c r="M78" s="24">
        <f t="shared" si="29"/>
        <v>0</v>
      </c>
      <c r="N78" s="24">
        <f t="shared" si="18"/>
        <v>0</v>
      </c>
      <c r="O78" s="24">
        <f t="shared" si="68"/>
        <v>0</v>
      </c>
      <c r="P78" s="24">
        <f t="shared" si="69"/>
        <v>0</v>
      </c>
      <c r="Q78" s="24">
        <f t="shared" si="61"/>
        <v>0</v>
      </c>
      <c r="R78" s="36">
        <f t="shared" ref="R78:R141" si="76">IF((R77-1)&lt;0,0,R77-1)</f>
        <v>0</v>
      </c>
      <c r="S78" s="36">
        <f t="shared" si="62"/>
        <v>0</v>
      </c>
      <c r="T78" s="2">
        <f t="shared" si="47"/>
        <v>919.94</v>
      </c>
      <c r="U78" s="34">
        <f t="shared" si="48"/>
        <v>2340</v>
      </c>
      <c r="V78" s="57">
        <f t="shared" si="51"/>
        <v>55900</v>
      </c>
      <c r="W78" s="16">
        <f t="shared" si="53"/>
        <v>29</v>
      </c>
      <c r="X78" s="171">
        <v>1000001</v>
      </c>
      <c r="Y78" s="171">
        <v>5000000</v>
      </c>
      <c r="Z78" s="134">
        <v>6</v>
      </c>
      <c r="AA78" s="134">
        <v>1.1000000000000001</v>
      </c>
      <c r="AB78" s="134">
        <f>IF($C$10&gt;72,AD90,IF($C$10&gt;60,AC90,IF($C$10&gt;48,AB90,IF($C$94&gt;36,AA90,Z90))))</f>
        <v>1.25</v>
      </c>
      <c r="AC78" s="134">
        <v>1.43</v>
      </c>
      <c r="AD78" s="134">
        <f>IF($C$10&gt;48,AB99,IF($C$94&gt;36,AA99,Z99))</f>
        <v>0.83</v>
      </c>
      <c r="AE78" s="741">
        <v>1</v>
      </c>
      <c r="AF78" s="741">
        <v>1</v>
      </c>
      <c r="AG78" s="63"/>
      <c r="AH78" s="63"/>
      <c r="AI78" s="2">
        <f t="shared" si="49"/>
        <v>915.9</v>
      </c>
      <c r="AJ78" s="34">
        <f t="shared" si="56"/>
        <v>2344</v>
      </c>
      <c r="AK78" s="57">
        <f t="shared" si="52"/>
        <v>55900</v>
      </c>
      <c r="AL78" s="130">
        <f t="shared" si="71"/>
        <v>0</v>
      </c>
      <c r="AM78" s="109">
        <f t="shared" si="74"/>
        <v>70</v>
      </c>
      <c r="AN78" s="110">
        <f t="shared" si="63"/>
        <v>47446</v>
      </c>
      <c r="AO78" s="105">
        <f t="shared" si="35"/>
        <v>0</v>
      </c>
      <c r="AP78" s="105">
        <f t="shared" si="64"/>
        <v>0</v>
      </c>
      <c r="AQ78" s="105">
        <f t="shared" si="41"/>
        <v>0</v>
      </c>
      <c r="AR78" s="105">
        <f t="shared" si="34"/>
        <v>0</v>
      </c>
      <c r="AS78" s="105">
        <f t="shared" si="42"/>
        <v>0</v>
      </c>
      <c r="AT78" s="105">
        <f t="shared" si="43"/>
        <v>0</v>
      </c>
      <c r="AU78" s="105">
        <f t="shared" si="44"/>
        <v>0</v>
      </c>
      <c r="AV78" s="105">
        <f t="shared" si="45"/>
        <v>0</v>
      </c>
      <c r="AW78" s="105">
        <f t="shared" si="46"/>
        <v>0</v>
      </c>
      <c r="AX78" s="108">
        <f t="shared" si="75"/>
        <v>0</v>
      </c>
      <c r="AY78" s="108">
        <f t="shared" si="65"/>
        <v>0</v>
      </c>
      <c r="AZ78" s="22">
        <f t="shared" si="57"/>
        <v>47446</v>
      </c>
      <c r="BA78" s="108">
        <f t="shared" si="57"/>
        <v>0</v>
      </c>
      <c r="BB78" s="2" t="e">
        <f t="shared" si="54"/>
        <v>#VALUE!</v>
      </c>
    </row>
    <row r="79" spans="1:54" s="16" customFormat="1" ht="12" x14ac:dyDescent="0.25">
      <c r="A79" s="53"/>
      <c r="C79" s="2"/>
      <c r="D79" s="13"/>
      <c r="E79" s="114">
        <f t="shared" si="72"/>
        <v>71</v>
      </c>
      <c r="F79" s="111">
        <f t="shared" si="66"/>
        <v>47476</v>
      </c>
      <c r="G79" s="24">
        <f t="shared" si="58"/>
        <v>0</v>
      </c>
      <c r="H79" s="24">
        <f t="shared" si="59"/>
        <v>0</v>
      </c>
      <c r="I79" s="24">
        <f t="shared" si="70"/>
        <v>46903.630000000005</v>
      </c>
      <c r="J79" s="24">
        <f t="shared" si="55"/>
        <v>0</v>
      </c>
      <c r="K79" s="24">
        <f t="shared" si="60"/>
        <v>0</v>
      </c>
      <c r="L79" s="24">
        <f t="shared" si="67"/>
        <v>0</v>
      </c>
      <c r="M79" s="24">
        <f t="shared" si="29"/>
        <v>0</v>
      </c>
      <c r="N79" s="24">
        <f t="shared" si="18"/>
        <v>0</v>
      </c>
      <c r="O79" s="24">
        <f t="shared" si="68"/>
        <v>0</v>
      </c>
      <c r="P79" s="24">
        <f t="shared" si="69"/>
        <v>0</v>
      </c>
      <c r="Q79" s="24">
        <f t="shared" si="61"/>
        <v>0</v>
      </c>
      <c r="R79" s="36">
        <f t="shared" si="76"/>
        <v>0</v>
      </c>
      <c r="S79" s="36">
        <f t="shared" si="62"/>
        <v>0</v>
      </c>
      <c r="T79" s="2">
        <f t="shared" si="47"/>
        <v>855.37</v>
      </c>
      <c r="U79" s="34">
        <f t="shared" si="48"/>
        <v>2340</v>
      </c>
      <c r="V79" s="57">
        <f t="shared" si="51"/>
        <v>56265</v>
      </c>
      <c r="W79" s="16">
        <f t="shared" si="53"/>
        <v>30</v>
      </c>
      <c r="X79" s="16" t="s">
        <v>101</v>
      </c>
      <c r="Y79" s="16">
        <v>1500000</v>
      </c>
      <c r="Z79" s="16">
        <v>2</v>
      </c>
      <c r="AA79" s="16">
        <v>1</v>
      </c>
      <c r="AB79" s="16">
        <v>1</v>
      </c>
      <c r="AC79" s="16">
        <v>2</v>
      </c>
      <c r="AD79" s="16">
        <v>2</v>
      </c>
      <c r="AE79" s="16">
        <v>2</v>
      </c>
      <c r="AF79" s="16">
        <v>2</v>
      </c>
      <c r="AG79" s="63"/>
      <c r="AH79" s="63"/>
      <c r="AI79" s="2">
        <f t="shared" si="49"/>
        <v>851.26</v>
      </c>
      <c r="AJ79" s="34">
        <f t="shared" si="56"/>
        <v>2344</v>
      </c>
      <c r="AK79" s="57">
        <f t="shared" si="52"/>
        <v>56265</v>
      </c>
      <c r="AL79" s="130">
        <f t="shared" si="71"/>
        <v>0</v>
      </c>
      <c r="AM79" s="109">
        <f t="shared" si="74"/>
        <v>71</v>
      </c>
      <c r="AN79" s="110">
        <f t="shared" si="63"/>
        <v>47476</v>
      </c>
      <c r="AO79" s="105">
        <f t="shared" si="35"/>
        <v>0</v>
      </c>
      <c r="AP79" s="105">
        <f t="shared" si="64"/>
        <v>0</v>
      </c>
      <c r="AQ79" s="105">
        <f t="shared" si="41"/>
        <v>0</v>
      </c>
      <c r="AR79" s="105">
        <f t="shared" si="34"/>
        <v>0</v>
      </c>
      <c r="AS79" s="105">
        <f t="shared" si="42"/>
        <v>0</v>
      </c>
      <c r="AT79" s="105">
        <f t="shared" si="43"/>
        <v>0</v>
      </c>
      <c r="AU79" s="105">
        <f t="shared" si="44"/>
        <v>0</v>
      </c>
      <c r="AV79" s="105">
        <f t="shared" si="45"/>
        <v>0</v>
      </c>
      <c r="AW79" s="105">
        <f t="shared" si="46"/>
        <v>0</v>
      </c>
      <c r="AX79" s="108">
        <f t="shared" si="75"/>
        <v>0</v>
      </c>
      <c r="AY79" s="108">
        <f t="shared" si="65"/>
        <v>0</v>
      </c>
      <c r="AZ79" s="22">
        <f t="shared" si="57"/>
        <v>47476</v>
      </c>
      <c r="BA79" s="108">
        <f t="shared" si="57"/>
        <v>0</v>
      </c>
      <c r="BB79" s="2" t="e">
        <f t="shared" si="54"/>
        <v>#VALUE!</v>
      </c>
    </row>
    <row r="80" spans="1:54" s="16" customFormat="1" ht="12" x14ac:dyDescent="0.25">
      <c r="A80" s="53"/>
      <c r="B80" s="2"/>
      <c r="C80" s="2"/>
      <c r="D80" s="2"/>
      <c r="E80" s="114">
        <f t="shared" si="72"/>
        <v>72</v>
      </c>
      <c r="F80" s="111">
        <f t="shared" si="66"/>
        <v>47507</v>
      </c>
      <c r="G80" s="24">
        <f t="shared" si="58"/>
        <v>0</v>
      </c>
      <c r="H80" s="24">
        <f t="shared" si="59"/>
        <v>0</v>
      </c>
      <c r="I80" s="24">
        <f t="shared" si="70"/>
        <v>46903.630000000005</v>
      </c>
      <c r="J80" s="24">
        <f t="shared" si="55"/>
        <v>0</v>
      </c>
      <c r="K80" s="24">
        <f t="shared" si="60"/>
        <v>0</v>
      </c>
      <c r="L80" s="24">
        <f t="shared" si="67"/>
        <v>0</v>
      </c>
      <c r="M80" s="24">
        <f t="shared" si="29"/>
        <v>0</v>
      </c>
      <c r="N80" s="24">
        <f t="shared" si="18"/>
        <v>0</v>
      </c>
      <c r="O80" s="24">
        <f t="shared" si="68"/>
        <v>0</v>
      </c>
      <c r="P80" s="24">
        <f t="shared" si="69"/>
        <v>0</v>
      </c>
      <c r="Q80" s="24">
        <f t="shared" si="61"/>
        <v>0</v>
      </c>
      <c r="R80" s="36">
        <f t="shared" si="76"/>
        <v>0</v>
      </c>
      <c r="S80" s="36">
        <f t="shared" si="62"/>
        <v>0</v>
      </c>
      <c r="T80" s="2">
        <f t="shared" si="47"/>
        <v>846.18</v>
      </c>
      <c r="U80" s="34">
        <f t="shared" si="48"/>
        <v>2340</v>
      </c>
      <c r="V80" s="57">
        <f t="shared" si="51"/>
        <v>56630</v>
      </c>
      <c r="W80" s="16">
        <f t="shared" si="53"/>
        <v>31</v>
      </c>
      <c r="Z80" s="16" t="s">
        <v>116</v>
      </c>
      <c r="AA80" s="16" t="s">
        <v>455</v>
      </c>
      <c r="AB80" s="16" t="s">
        <v>112</v>
      </c>
      <c r="AC80" s="16" t="s">
        <v>116</v>
      </c>
      <c r="AD80" s="16" t="s">
        <v>117</v>
      </c>
      <c r="AF80" s="16">
        <f>1000/1.7</f>
        <v>588.23529411764707</v>
      </c>
      <c r="AG80" s="63"/>
      <c r="AH80" s="63">
        <f>600/1.4</f>
        <v>428.57142857142861</v>
      </c>
      <c r="AI80" s="2">
        <f t="shared" si="49"/>
        <v>841.73</v>
      </c>
      <c r="AJ80" s="34">
        <f t="shared" si="56"/>
        <v>2344</v>
      </c>
      <c r="AK80" s="57">
        <f t="shared" si="52"/>
        <v>56630</v>
      </c>
      <c r="AL80" s="130">
        <f t="shared" si="71"/>
        <v>0</v>
      </c>
      <c r="AM80" s="109">
        <f t="shared" si="74"/>
        <v>72</v>
      </c>
      <c r="AN80" s="110">
        <f t="shared" si="63"/>
        <v>47507</v>
      </c>
      <c r="AO80" s="105">
        <f t="shared" si="35"/>
        <v>0</v>
      </c>
      <c r="AP80" s="105">
        <f t="shared" si="64"/>
        <v>0</v>
      </c>
      <c r="AQ80" s="105">
        <f t="shared" si="41"/>
        <v>0</v>
      </c>
      <c r="AR80" s="105">
        <f t="shared" si="34"/>
        <v>0</v>
      </c>
      <c r="AS80" s="105">
        <f t="shared" si="42"/>
        <v>0</v>
      </c>
      <c r="AT80" s="105">
        <f t="shared" si="43"/>
        <v>0</v>
      </c>
      <c r="AU80" s="105">
        <f t="shared" si="44"/>
        <v>0</v>
      </c>
      <c r="AV80" s="105">
        <f t="shared" si="45"/>
        <v>0</v>
      </c>
      <c r="AW80" s="105">
        <f t="shared" si="46"/>
        <v>0</v>
      </c>
      <c r="AX80" s="108">
        <f t="shared" si="75"/>
        <v>0</v>
      </c>
      <c r="AY80" s="108">
        <f t="shared" si="65"/>
        <v>0</v>
      </c>
      <c r="AZ80" s="22">
        <f t="shared" si="57"/>
        <v>47507</v>
      </c>
      <c r="BA80" s="108">
        <f t="shared" si="57"/>
        <v>0</v>
      </c>
      <c r="BB80" s="2" t="e">
        <f t="shared" si="54"/>
        <v>#VALUE!</v>
      </c>
    </row>
    <row r="81" spans="1:54" s="16" customFormat="1" ht="12" x14ac:dyDescent="0.25">
      <c r="A81" s="2"/>
      <c r="B81" s="2"/>
      <c r="C81" s="1"/>
      <c r="D81" s="1"/>
      <c r="E81" s="114">
        <f t="shared" si="72"/>
        <v>73</v>
      </c>
      <c r="F81" s="111">
        <f t="shared" si="66"/>
        <v>47538</v>
      </c>
      <c r="G81" s="24">
        <f t="shared" si="58"/>
        <v>0</v>
      </c>
      <c r="H81" s="24">
        <f t="shared" si="59"/>
        <v>0</v>
      </c>
      <c r="I81" s="24">
        <f t="shared" si="70"/>
        <v>46903.630000000005</v>
      </c>
      <c r="J81" s="24">
        <f t="shared" si="55"/>
        <v>0</v>
      </c>
      <c r="K81" s="24">
        <f t="shared" si="60"/>
        <v>0</v>
      </c>
      <c r="L81" s="24">
        <f t="shared" si="67"/>
        <v>0</v>
      </c>
      <c r="M81" s="24">
        <f t="shared" si="29"/>
        <v>0</v>
      </c>
      <c r="N81" s="24">
        <f t="shared" si="18"/>
        <v>0</v>
      </c>
      <c r="O81" s="24">
        <f t="shared" si="68"/>
        <v>0</v>
      </c>
      <c r="P81" s="24">
        <f t="shared" si="69"/>
        <v>0</v>
      </c>
      <c r="Q81" s="24">
        <f t="shared" si="61"/>
        <v>0</v>
      </c>
      <c r="R81" s="36">
        <f t="shared" si="76"/>
        <v>0</v>
      </c>
      <c r="S81" s="36">
        <f t="shared" si="62"/>
        <v>0</v>
      </c>
      <c r="T81" s="2">
        <f t="shared" si="47"/>
        <v>808.25</v>
      </c>
      <c r="U81" s="34">
        <f t="shared" si="48"/>
        <v>2340</v>
      </c>
      <c r="V81" s="57">
        <f t="shared" si="51"/>
        <v>56995</v>
      </c>
      <c r="W81" s="16">
        <f t="shared" si="53"/>
        <v>32</v>
      </c>
      <c r="Z81" s="143">
        <f>IF($C$7&gt;=$X$78,Z78,IF($C$7&gt;=$X$77,Z77,IF($C$7&gt;=$X$76,Z76,IF($C$7&gt;=$X$75,Z75,IF($C$7&gt;=$X$74,Z74,Z73)))))</f>
        <v>12</v>
      </c>
      <c r="AA81" s="143">
        <f>$C$7*IF($C$7&gt;=$X$78,AA78,IF($C$7&gt;=$X$77,AA77,IF($C$7&gt;=$X$76,AA76,IF($C$7&gt;=$X$75,AA75,IF($C$7&gt;=$X$74,AA74,AA73)))))</f>
        <v>66000</v>
      </c>
      <c r="AB81" s="143">
        <f>$C$7*IF($C$7&gt;=$X$78,AB78,IF($C$7&gt;=$X$77,AB77,IF($C$7&gt;=$X$76,AB76,IF($C$7&gt;=$X$75,AB75,IF($C$7&gt;=$X$74,AB74,AB73)))))</f>
        <v>85200</v>
      </c>
      <c r="AC81" s="143">
        <f>$C$7*IF($C$7&gt;=$X$78,AC78,IF($C$7&gt;=$X$77,AC77,IF($C$7&gt;=$X$76,AC76,IF($C$7&gt;=$X$75,AC75,IF($C$7&gt;=$X$74,AC74,AC73)))))</f>
        <v>85800</v>
      </c>
      <c r="AD81" s="143">
        <f>$C$7*IF($C$7&gt;=$X$78,AD78,IF($C$7&gt;=$X$77,AD77,IF($C$7&gt;=$X$76,AD76,IF($C$7&gt;=$X$75,AD75,IF($C$7&gt;=$X$74,AD74,AD73)))))</f>
        <v>102000</v>
      </c>
      <c r="AE81" s="143">
        <f t="shared" ref="AE81:AF81" si="77">$C$7*IF($C$7&gt;=$X$78,AE78,IF($C$7&gt;=$X$77,AE77,IF($C$7&gt;=$X$76,AE76,IF($C$7&gt;=$X$75,AE75,IF($C$7&gt;=$X$74,AE74,AE73)))))</f>
        <v>60000</v>
      </c>
      <c r="AF81" s="143">
        <f t="shared" si="77"/>
        <v>60000</v>
      </c>
      <c r="AI81" s="2">
        <f t="shared" si="49"/>
        <v>803.58</v>
      </c>
      <c r="AJ81" s="34">
        <f t="shared" si="56"/>
        <v>2344</v>
      </c>
      <c r="AK81" s="57">
        <f t="shared" si="52"/>
        <v>56995</v>
      </c>
      <c r="AL81" s="130">
        <f t="shared" si="71"/>
        <v>0</v>
      </c>
      <c r="AM81" s="109">
        <f t="shared" si="74"/>
        <v>73</v>
      </c>
      <c r="AN81" s="110">
        <f t="shared" si="63"/>
        <v>47538</v>
      </c>
      <c r="AO81" s="105">
        <f t="shared" si="35"/>
        <v>0</v>
      </c>
      <c r="AP81" s="105">
        <f t="shared" si="64"/>
        <v>0</v>
      </c>
      <c r="AQ81" s="105">
        <f t="shared" si="41"/>
        <v>0</v>
      </c>
      <c r="AR81" s="105">
        <f t="shared" si="34"/>
        <v>0</v>
      </c>
      <c r="AS81" s="105">
        <f t="shared" si="42"/>
        <v>0</v>
      </c>
      <c r="AT81" s="105">
        <f t="shared" si="43"/>
        <v>0</v>
      </c>
      <c r="AU81" s="105">
        <f t="shared" si="44"/>
        <v>0</v>
      </c>
      <c r="AV81" s="105">
        <f t="shared" si="45"/>
        <v>0</v>
      </c>
      <c r="AW81" s="105">
        <f t="shared" si="46"/>
        <v>0</v>
      </c>
      <c r="AX81" s="108">
        <f t="shared" si="75"/>
        <v>0</v>
      </c>
      <c r="AY81" s="108">
        <f t="shared" si="65"/>
        <v>0</v>
      </c>
      <c r="AZ81" s="22">
        <f t="shared" si="57"/>
        <v>47538</v>
      </c>
      <c r="BA81" s="108">
        <f t="shared" si="57"/>
        <v>0</v>
      </c>
      <c r="BB81" s="2" t="e">
        <f t="shared" si="54"/>
        <v>#VALUE!</v>
      </c>
    </row>
    <row r="82" spans="1:54" s="16" customFormat="1" ht="12" x14ac:dyDescent="0.25">
      <c r="A82" s="2"/>
      <c r="B82" s="2"/>
      <c r="C82" s="1"/>
      <c r="D82" s="1"/>
      <c r="E82" s="114">
        <f t="shared" si="72"/>
        <v>74</v>
      </c>
      <c r="F82" s="111">
        <f t="shared" si="66"/>
        <v>47566</v>
      </c>
      <c r="G82" s="24">
        <f t="shared" si="58"/>
        <v>0</v>
      </c>
      <c r="H82" s="24">
        <f t="shared" si="59"/>
        <v>0</v>
      </c>
      <c r="I82" s="24">
        <f t="shared" si="70"/>
        <v>46903.630000000005</v>
      </c>
      <c r="J82" s="24">
        <f t="shared" si="55"/>
        <v>0</v>
      </c>
      <c r="K82" s="24">
        <f t="shared" si="60"/>
        <v>0</v>
      </c>
      <c r="L82" s="24">
        <f t="shared" si="67"/>
        <v>0</v>
      </c>
      <c r="M82" s="24">
        <f t="shared" si="29"/>
        <v>0</v>
      </c>
      <c r="N82" s="24">
        <f t="shared" si="18"/>
        <v>0</v>
      </c>
      <c r="O82" s="24">
        <f t="shared" si="68"/>
        <v>0</v>
      </c>
      <c r="P82" s="24">
        <f t="shared" si="69"/>
        <v>0</v>
      </c>
      <c r="Q82" s="24">
        <f t="shared" si="61"/>
        <v>0</v>
      </c>
      <c r="R82" s="36">
        <f t="shared" si="76"/>
        <v>0</v>
      </c>
      <c r="S82" s="36">
        <f t="shared" si="62"/>
        <v>0</v>
      </c>
      <c r="T82" s="2">
        <f t="shared" si="47"/>
        <v>744.53</v>
      </c>
      <c r="U82" s="34">
        <f t="shared" si="48"/>
        <v>2340</v>
      </c>
      <c r="V82" s="57">
        <f t="shared" si="51"/>
        <v>57360</v>
      </c>
      <c r="W82" s="16">
        <f t="shared" si="53"/>
        <v>33</v>
      </c>
      <c r="AI82" s="2">
        <f t="shared" si="49"/>
        <v>739.8</v>
      </c>
      <c r="AJ82" s="34">
        <f t="shared" si="56"/>
        <v>2344</v>
      </c>
      <c r="AK82" s="57">
        <f>IF(AI82=0,AK81,AK81+365)</f>
        <v>57360</v>
      </c>
      <c r="AL82" s="130">
        <f t="shared" si="71"/>
        <v>0</v>
      </c>
      <c r="AM82" s="109">
        <f t="shared" si="74"/>
        <v>74</v>
      </c>
      <c r="AN82" s="110">
        <f t="shared" si="63"/>
        <v>47566</v>
      </c>
      <c r="AO82" s="105">
        <f t="shared" si="35"/>
        <v>0</v>
      </c>
      <c r="AP82" s="105">
        <f t="shared" si="64"/>
        <v>0</v>
      </c>
      <c r="AQ82" s="105">
        <f t="shared" si="41"/>
        <v>0</v>
      </c>
      <c r="AR82" s="105">
        <f t="shared" si="34"/>
        <v>0</v>
      </c>
      <c r="AS82" s="105">
        <f t="shared" si="42"/>
        <v>0</v>
      </c>
      <c r="AT82" s="105">
        <f t="shared" si="43"/>
        <v>0</v>
      </c>
      <c r="AU82" s="105">
        <f t="shared" si="44"/>
        <v>0</v>
      </c>
      <c r="AV82" s="105">
        <f t="shared" si="45"/>
        <v>0</v>
      </c>
      <c r="AW82" s="105">
        <f t="shared" si="46"/>
        <v>0</v>
      </c>
      <c r="AX82" s="108">
        <f t="shared" si="75"/>
        <v>0</v>
      </c>
      <c r="AY82" s="108">
        <f t="shared" si="65"/>
        <v>0</v>
      </c>
      <c r="AZ82" s="22">
        <f t="shared" si="57"/>
        <v>47566</v>
      </c>
      <c r="BA82" s="108">
        <f t="shared" si="57"/>
        <v>0</v>
      </c>
      <c r="BB82" s="2" t="e">
        <f t="shared" si="54"/>
        <v>#VALUE!</v>
      </c>
    </row>
    <row r="83" spans="1:54" s="16" customFormat="1" ht="12" x14ac:dyDescent="0.25">
      <c r="A83" s="2"/>
      <c r="B83" s="2"/>
      <c r="C83" s="1"/>
      <c r="D83" s="1"/>
      <c r="E83" s="114">
        <f t="shared" si="72"/>
        <v>75</v>
      </c>
      <c r="F83" s="111">
        <f t="shared" si="66"/>
        <v>47597</v>
      </c>
      <c r="G83" s="24">
        <f t="shared" si="58"/>
        <v>0</v>
      </c>
      <c r="H83" s="24">
        <f t="shared" si="59"/>
        <v>0</v>
      </c>
      <c r="I83" s="24">
        <f t="shared" si="70"/>
        <v>46903.630000000005</v>
      </c>
      <c r="J83" s="24">
        <f t="shared" si="55"/>
        <v>0</v>
      </c>
      <c r="K83" s="24">
        <f t="shared" si="60"/>
        <v>0</v>
      </c>
      <c r="L83" s="24">
        <f t="shared" si="67"/>
        <v>0</v>
      </c>
      <c r="M83" s="24">
        <f t="shared" si="29"/>
        <v>0</v>
      </c>
      <c r="N83" s="24">
        <f t="shared" si="18"/>
        <v>0</v>
      </c>
      <c r="O83" s="24">
        <f t="shared" si="68"/>
        <v>0</v>
      </c>
      <c r="P83" s="24">
        <f t="shared" si="69"/>
        <v>0</v>
      </c>
      <c r="Q83" s="24">
        <f t="shared" si="61"/>
        <v>0</v>
      </c>
      <c r="R83" s="36">
        <f t="shared" si="76"/>
        <v>0</v>
      </c>
      <c r="S83" s="36">
        <f t="shared" si="62"/>
        <v>0</v>
      </c>
      <c r="T83" s="2">
        <f t="shared" si="47"/>
        <v>728.83</v>
      </c>
      <c r="U83" s="34">
        <f t="shared" si="48"/>
        <v>2340</v>
      </c>
      <c r="V83" s="57">
        <f t="shared" si="51"/>
        <v>57725</v>
      </c>
      <c r="W83" s="16">
        <f t="shared" si="53"/>
        <v>34</v>
      </c>
      <c r="X83" s="903" t="s">
        <v>111</v>
      </c>
      <c r="Y83" s="903"/>
      <c r="Z83" s="145" t="s">
        <v>456</v>
      </c>
      <c r="AA83" s="145" t="s">
        <v>457</v>
      </c>
      <c r="AB83" s="145" t="s">
        <v>458</v>
      </c>
      <c r="AC83" s="145" t="s">
        <v>459</v>
      </c>
      <c r="AD83" s="145" t="s">
        <v>460</v>
      </c>
      <c r="AI83" s="2">
        <f t="shared" si="49"/>
        <v>723.72</v>
      </c>
      <c r="AJ83" s="34">
        <f>IF(AI83=0,IF(AI82=0,0,$AJ$46),AO42)</f>
        <v>2344</v>
      </c>
      <c r="AK83" s="57">
        <f t="shared" si="52"/>
        <v>57725</v>
      </c>
      <c r="AL83" s="130">
        <f t="shared" si="71"/>
        <v>0</v>
      </c>
      <c r="AM83" s="109">
        <f t="shared" si="74"/>
        <v>75</v>
      </c>
      <c r="AN83" s="110">
        <f t="shared" si="63"/>
        <v>47597</v>
      </c>
      <c r="AO83" s="105">
        <f t="shared" si="35"/>
        <v>0</v>
      </c>
      <c r="AP83" s="105">
        <f t="shared" si="64"/>
        <v>0</v>
      </c>
      <c r="AQ83" s="105">
        <f t="shared" si="41"/>
        <v>0</v>
      </c>
      <c r="AR83" s="105">
        <f t="shared" si="34"/>
        <v>0</v>
      </c>
      <c r="AS83" s="105">
        <f t="shared" si="42"/>
        <v>0</v>
      </c>
      <c r="AT83" s="105">
        <f t="shared" si="43"/>
        <v>0</v>
      </c>
      <c r="AU83" s="105">
        <f t="shared" si="44"/>
        <v>0</v>
      </c>
      <c r="AV83" s="105">
        <f t="shared" si="45"/>
        <v>0</v>
      </c>
      <c r="AW83" s="105">
        <f t="shared" si="46"/>
        <v>0</v>
      </c>
      <c r="AX83" s="108">
        <f t="shared" si="75"/>
        <v>0</v>
      </c>
      <c r="AY83" s="108">
        <f t="shared" si="65"/>
        <v>0</v>
      </c>
      <c r="AZ83" s="22">
        <f t="shared" si="57"/>
        <v>47597</v>
      </c>
      <c r="BA83" s="108">
        <f t="shared" si="57"/>
        <v>0</v>
      </c>
      <c r="BB83" s="2" t="e">
        <f t="shared" si="54"/>
        <v>#VALUE!</v>
      </c>
    </row>
    <row r="84" spans="1:54" s="16" customFormat="1" ht="12" x14ac:dyDescent="0.25">
      <c r="A84" s="2"/>
      <c r="B84" s="2"/>
      <c r="C84" s="1"/>
      <c r="D84" s="1"/>
      <c r="E84" s="114">
        <f t="shared" si="72"/>
        <v>76</v>
      </c>
      <c r="F84" s="111">
        <f t="shared" si="66"/>
        <v>47627</v>
      </c>
      <c r="G84" s="24">
        <f t="shared" si="58"/>
        <v>0</v>
      </c>
      <c r="H84" s="24">
        <f t="shared" si="59"/>
        <v>0</v>
      </c>
      <c r="I84" s="24">
        <f t="shared" si="70"/>
        <v>46903.630000000005</v>
      </c>
      <c r="J84" s="24">
        <f t="shared" si="55"/>
        <v>0</v>
      </c>
      <c r="K84" s="24">
        <f t="shared" si="60"/>
        <v>0</v>
      </c>
      <c r="L84" s="24">
        <f t="shared" si="67"/>
        <v>0</v>
      </c>
      <c r="M84" s="24">
        <f t="shared" si="29"/>
        <v>0</v>
      </c>
      <c r="N84" s="24">
        <f t="shared" si="18"/>
        <v>0</v>
      </c>
      <c r="O84" s="24">
        <f t="shared" si="68"/>
        <v>0</v>
      </c>
      <c r="P84" s="24">
        <f t="shared" si="69"/>
        <v>0</v>
      </c>
      <c r="Q84" s="24">
        <f t="shared" si="61"/>
        <v>0</v>
      </c>
      <c r="R84" s="36">
        <f t="shared" si="76"/>
        <v>0</v>
      </c>
      <c r="S84" s="36">
        <f t="shared" si="62"/>
        <v>0</v>
      </c>
      <c r="T84" s="2">
        <f t="shared" si="47"/>
        <v>665.73</v>
      </c>
      <c r="U84" s="34">
        <f t="shared" si="48"/>
        <v>2340</v>
      </c>
      <c r="V84" s="57">
        <f t="shared" si="51"/>
        <v>58090</v>
      </c>
      <c r="W84" s="16">
        <f t="shared" si="53"/>
        <v>35</v>
      </c>
      <c r="X84" s="133" t="s">
        <v>96</v>
      </c>
      <c r="Y84" s="133" t="s">
        <v>97</v>
      </c>
      <c r="Z84" s="133" t="s">
        <v>98</v>
      </c>
      <c r="AA84" s="134"/>
      <c r="AB84" s="134"/>
      <c r="AC84" s="134"/>
      <c r="AD84" s="134"/>
      <c r="AI84" s="2">
        <f t="shared" si="49"/>
        <v>660.56</v>
      </c>
      <c r="AJ84" s="34">
        <f>IF(AI84=0,IF(AI83=0,0,$AJ$46),AO43)</f>
        <v>2344</v>
      </c>
      <c r="AK84" s="57">
        <f t="shared" si="52"/>
        <v>58090</v>
      </c>
      <c r="AL84" s="130">
        <f t="shared" si="71"/>
        <v>0</v>
      </c>
      <c r="AM84" s="109">
        <f t="shared" si="74"/>
        <v>76</v>
      </c>
      <c r="AN84" s="110">
        <f t="shared" si="63"/>
        <v>47627</v>
      </c>
      <c r="AO84" s="105">
        <f t="shared" si="35"/>
        <v>0</v>
      </c>
      <c r="AP84" s="105">
        <f t="shared" si="64"/>
        <v>0</v>
      </c>
      <c r="AQ84" s="105">
        <f t="shared" si="41"/>
        <v>0</v>
      </c>
      <c r="AR84" s="105">
        <f t="shared" si="34"/>
        <v>0</v>
      </c>
      <c r="AS84" s="105">
        <f t="shared" si="42"/>
        <v>0</v>
      </c>
      <c r="AT84" s="105">
        <f t="shared" si="43"/>
        <v>0</v>
      </c>
      <c r="AU84" s="105">
        <f t="shared" si="44"/>
        <v>0</v>
      </c>
      <c r="AV84" s="105">
        <f t="shared" si="45"/>
        <v>0</v>
      </c>
      <c r="AW84" s="105">
        <f t="shared" si="46"/>
        <v>0</v>
      </c>
      <c r="AX84" s="108">
        <f t="shared" si="75"/>
        <v>0</v>
      </c>
      <c r="AY84" s="108">
        <f t="shared" si="65"/>
        <v>0</v>
      </c>
      <c r="AZ84" s="22">
        <f t="shared" si="57"/>
        <v>47627</v>
      </c>
      <c r="BA84" s="108">
        <f t="shared" si="57"/>
        <v>0</v>
      </c>
      <c r="BB84" s="2" t="e">
        <f t="shared" si="54"/>
        <v>#VALUE!</v>
      </c>
    </row>
    <row r="85" spans="1:54" s="16" customFormat="1" ht="12.6" thickBot="1" x14ac:dyDescent="0.3">
      <c r="A85" s="2"/>
      <c r="B85" s="2"/>
      <c r="C85" s="1"/>
      <c r="D85" s="1"/>
      <c r="E85" s="114">
        <f t="shared" si="72"/>
        <v>77</v>
      </c>
      <c r="F85" s="111">
        <f t="shared" si="66"/>
        <v>47658</v>
      </c>
      <c r="G85" s="24">
        <f t="shared" si="58"/>
        <v>0</v>
      </c>
      <c r="H85" s="24">
        <f t="shared" si="59"/>
        <v>0</v>
      </c>
      <c r="I85" s="24">
        <f t="shared" si="70"/>
        <v>46903.630000000005</v>
      </c>
      <c r="J85" s="24">
        <f t="shared" si="55"/>
        <v>0</v>
      </c>
      <c r="K85" s="24">
        <f t="shared" si="60"/>
        <v>0</v>
      </c>
      <c r="L85" s="24">
        <f t="shared" si="67"/>
        <v>0</v>
      </c>
      <c r="M85" s="24">
        <f t="shared" si="29"/>
        <v>0</v>
      </c>
      <c r="N85" s="24">
        <f t="shared" si="18"/>
        <v>0</v>
      </c>
      <c r="O85" s="24">
        <f t="shared" si="68"/>
        <v>0</v>
      </c>
      <c r="P85" s="24">
        <f t="shared" si="69"/>
        <v>0</v>
      </c>
      <c r="Q85" s="24">
        <f t="shared" si="61"/>
        <v>0</v>
      </c>
      <c r="R85" s="36">
        <f t="shared" si="76"/>
        <v>0</v>
      </c>
      <c r="S85" s="36">
        <f t="shared" si="62"/>
        <v>0</v>
      </c>
      <c r="T85" s="2">
        <f t="shared" si="47"/>
        <v>645.4</v>
      </c>
      <c r="U85" s="34">
        <f t="shared" si="48"/>
        <v>2340</v>
      </c>
      <c r="V85" s="57">
        <f t="shared" si="51"/>
        <v>58455</v>
      </c>
      <c r="W85" s="16">
        <f t="shared" si="53"/>
        <v>36</v>
      </c>
      <c r="X85" s="170">
        <v>20000</v>
      </c>
      <c r="Y85" s="171">
        <v>220000</v>
      </c>
      <c r="Z85" s="652">
        <v>1.42</v>
      </c>
      <c r="AA85" s="652">
        <v>1.4</v>
      </c>
      <c r="AB85" s="652">
        <v>1.35</v>
      </c>
      <c r="AC85" s="134"/>
      <c r="AD85" s="134"/>
      <c r="AE85" s="16">
        <f>IF($C$10&gt;48,AB85,IF($C$94&gt;36,AA85,Z85))</f>
        <v>1.42</v>
      </c>
      <c r="AI85" s="2">
        <f t="shared" si="49"/>
        <v>639.83000000000004</v>
      </c>
      <c r="AJ85" s="34">
        <f>IF(AI85=0,IF(AI84=0,0,$AJ$46),AO44)</f>
        <v>2344</v>
      </c>
      <c r="AK85" s="57">
        <f t="shared" si="52"/>
        <v>58455</v>
      </c>
      <c r="AL85" s="130">
        <f t="shared" si="71"/>
        <v>0</v>
      </c>
      <c r="AM85" s="109">
        <f t="shared" si="74"/>
        <v>77</v>
      </c>
      <c r="AN85" s="110">
        <f t="shared" si="63"/>
        <v>47658</v>
      </c>
      <c r="AO85" s="105">
        <f t="shared" si="35"/>
        <v>0</v>
      </c>
      <c r="AP85" s="105">
        <f t="shared" si="64"/>
        <v>0</v>
      </c>
      <c r="AQ85" s="105">
        <f t="shared" si="41"/>
        <v>0</v>
      </c>
      <c r="AR85" s="105">
        <f t="shared" si="34"/>
        <v>0</v>
      </c>
      <c r="AS85" s="105">
        <f t="shared" si="42"/>
        <v>0</v>
      </c>
      <c r="AT85" s="105">
        <f t="shared" si="43"/>
        <v>0</v>
      </c>
      <c r="AU85" s="105">
        <f t="shared" si="44"/>
        <v>0</v>
      </c>
      <c r="AV85" s="105">
        <f t="shared" si="45"/>
        <v>0</v>
      </c>
      <c r="AW85" s="105">
        <f t="shared" si="46"/>
        <v>0</v>
      </c>
      <c r="AX85" s="108">
        <f t="shared" si="75"/>
        <v>0</v>
      </c>
      <c r="AY85" s="108">
        <f t="shared" si="65"/>
        <v>0</v>
      </c>
      <c r="AZ85" s="22">
        <f t="shared" si="57"/>
        <v>47658</v>
      </c>
      <c r="BA85" s="108">
        <f t="shared" si="57"/>
        <v>0</v>
      </c>
      <c r="BB85" s="2" t="e">
        <f t="shared" si="54"/>
        <v>#VALUE!</v>
      </c>
    </row>
    <row r="86" spans="1:54" s="16" customFormat="1" ht="12.6" thickBot="1" x14ac:dyDescent="0.3">
      <c r="A86" s="2"/>
      <c r="B86" s="2"/>
      <c r="C86" s="1"/>
      <c r="D86" s="1"/>
      <c r="E86" s="114">
        <f t="shared" si="72"/>
        <v>78</v>
      </c>
      <c r="F86" s="111">
        <f t="shared" si="66"/>
        <v>47688</v>
      </c>
      <c r="G86" s="24">
        <f t="shared" si="58"/>
        <v>0</v>
      </c>
      <c r="H86" s="24">
        <f t="shared" si="59"/>
        <v>0</v>
      </c>
      <c r="I86" s="24">
        <f t="shared" si="70"/>
        <v>46903.630000000005</v>
      </c>
      <c r="J86" s="24">
        <f t="shared" si="55"/>
        <v>0</v>
      </c>
      <c r="K86" s="24">
        <f t="shared" si="60"/>
        <v>0</v>
      </c>
      <c r="L86" s="24">
        <f t="shared" si="67"/>
        <v>0</v>
      </c>
      <c r="M86" s="24">
        <f t="shared" si="29"/>
        <v>0</v>
      </c>
      <c r="N86" s="24">
        <f t="shared" si="18"/>
        <v>0</v>
      </c>
      <c r="O86" s="24">
        <f t="shared" si="68"/>
        <v>0</v>
      </c>
      <c r="P86" s="24">
        <f t="shared" si="69"/>
        <v>0</v>
      </c>
      <c r="Q86" s="24">
        <f t="shared" si="61"/>
        <v>0</v>
      </c>
      <c r="R86" s="36">
        <f t="shared" si="76"/>
        <v>0</v>
      </c>
      <c r="S86" s="36">
        <f t="shared" si="62"/>
        <v>0</v>
      </c>
      <c r="T86" s="2">
        <f t="shared" si="47"/>
        <v>602.37</v>
      </c>
      <c r="U86" s="34">
        <f t="shared" si="48"/>
        <v>2340</v>
      </c>
      <c r="V86" s="57">
        <f t="shared" si="51"/>
        <v>58820</v>
      </c>
      <c r="W86" s="16">
        <f t="shared" si="53"/>
        <v>37</v>
      </c>
      <c r="X86" s="170">
        <v>20000</v>
      </c>
      <c r="Y86" s="171">
        <v>220000</v>
      </c>
      <c r="Z86" s="652">
        <v>1.42</v>
      </c>
      <c r="AA86" s="652">
        <v>1.4</v>
      </c>
      <c r="AB86" s="652">
        <v>1.35</v>
      </c>
      <c r="AC86" s="134"/>
      <c r="AD86" s="134"/>
      <c r="AE86" s="16">
        <f>IF($C$10&gt;48,AB86,IF($C$94&gt;36,AA86,Z86))</f>
        <v>1.42</v>
      </c>
      <c r="AI86" s="2">
        <f t="shared" si="49"/>
        <v>596.54999999999995</v>
      </c>
      <c r="AJ86" s="34">
        <f>IF(AI86=0,IF(AI85=0,0,$AJ$46),AO45)</f>
        <v>2344</v>
      </c>
      <c r="AK86" s="57">
        <f t="shared" si="52"/>
        <v>58820</v>
      </c>
      <c r="AL86" s="130">
        <f t="shared" si="71"/>
        <v>0</v>
      </c>
      <c r="AM86" s="109">
        <f t="shared" si="74"/>
        <v>78</v>
      </c>
      <c r="AN86" s="110">
        <f t="shared" si="63"/>
        <v>47688</v>
      </c>
      <c r="AO86" s="105">
        <f t="shared" si="35"/>
        <v>0</v>
      </c>
      <c r="AP86" s="105">
        <f t="shared" si="64"/>
        <v>0</v>
      </c>
      <c r="AQ86" s="105">
        <f t="shared" si="41"/>
        <v>0</v>
      </c>
      <c r="AR86" s="105">
        <f t="shared" ref="AR86:AR129" si="78">IF(AT86&gt;$D$29,$D$29-AP86,IF(AY86=0,0,AV86)+BN135)</f>
        <v>0</v>
      </c>
      <c r="AS86" s="105">
        <f t="shared" si="42"/>
        <v>0</v>
      </c>
      <c r="AT86" s="105">
        <f t="shared" si="43"/>
        <v>0</v>
      </c>
      <c r="AU86" s="105">
        <f t="shared" si="44"/>
        <v>0</v>
      </c>
      <c r="AV86" s="105">
        <f t="shared" si="45"/>
        <v>0</v>
      </c>
      <c r="AW86" s="105">
        <f t="shared" si="46"/>
        <v>0</v>
      </c>
      <c r="AX86" s="108">
        <f t="shared" si="75"/>
        <v>0</v>
      </c>
      <c r="AY86" s="108">
        <f t="shared" si="65"/>
        <v>0</v>
      </c>
      <c r="AZ86" s="22">
        <f t="shared" si="57"/>
        <v>47688</v>
      </c>
      <c r="BA86" s="108">
        <f t="shared" si="57"/>
        <v>0</v>
      </c>
      <c r="BB86" s="2" t="e">
        <f t="shared" si="54"/>
        <v>#VALUE!</v>
      </c>
    </row>
    <row r="87" spans="1:54" s="16" customFormat="1" ht="12.6" thickBot="1" x14ac:dyDescent="0.3">
      <c r="A87" s="2"/>
      <c r="B87" s="2"/>
      <c r="C87" s="1"/>
      <c r="D87" s="1"/>
      <c r="E87" s="114">
        <f t="shared" si="72"/>
        <v>79</v>
      </c>
      <c r="F87" s="111">
        <f t="shared" si="66"/>
        <v>47719</v>
      </c>
      <c r="G87" s="24">
        <f t="shared" si="58"/>
        <v>0</v>
      </c>
      <c r="H87" s="24">
        <f t="shared" si="59"/>
        <v>0</v>
      </c>
      <c r="I87" s="24">
        <f t="shared" si="70"/>
        <v>46903.630000000005</v>
      </c>
      <c r="J87" s="24">
        <f t="shared" si="55"/>
        <v>0</v>
      </c>
      <c r="K87" s="24">
        <f t="shared" si="60"/>
        <v>0</v>
      </c>
      <c r="L87" s="24">
        <f t="shared" si="67"/>
        <v>0</v>
      </c>
      <c r="M87" s="24">
        <f t="shared" ref="M87:M150" si="79">O86-L86</f>
        <v>0</v>
      </c>
      <c r="N87" s="24">
        <f t="shared" ref="N87:N150" si="80">H87+O87</f>
        <v>0</v>
      </c>
      <c r="O87" s="24">
        <f t="shared" si="68"/>
        <v>0</v>
      </c>
      <c r="P87" s="24">
        <f t="shared" si="69"/>
        <v>0</v>
      </c>
      <c r="Q87" s="24">
        <f t="shared" si="61"/>
        <v>0</v>
      </c>
      <c r="R87" s="36">
        <f t="shared" si="76"/>
        <v>0</v>
      </c>
      <c r="S87" s="36">
        <f t="shared" si="62"/>
        <v>0</v>
      </c>
      <c r="T87" s="2">
        <f t="shared" si="47"/>
        <v>504.22</v>
      </c>
      <c r="U87" s="34">
        <f t="shared" si="48"/>
        <v>2340</v>
      </c>
      <c r="V87" s="57">
        <f t="shared" si="51"/>
        <v>59185</v>
      </c>
      <c r="W87" s="16">
        <f t="shared" si="53"/>
        <v>38</v>
      </c>
      <c r="X87" s="170">
        <v>20000</v>
      </c>
      <c r="Y87" s="171">
        <v>220000</v>
      </c>
      <c r="Z87" s="652">
        <v>1.42</v>
      </c>
      <c r="AA87" s="652">
        <v>1.4</v>
      </c>
      <c r="AB87" s="652">
        <v>1.35</v>
      </c>
      <c r="AC87" s="134"/>
      <c r="AD87" s="134"/>
      <c r="AE87" s="16">
        <f>IF($C$10&gt;48,AB87,IF($C$94&gt;36,AA87,Z87))</f>
        <v>1.42</v>
      </c>
      <c r="AI87" s="2">
        <f t="shared" si="49"/>
        <v>498.74</v>
      </c>
      <c r="AJ87" s="34">
        <f>IF(AI87=0,IF(AI86=0,0,$AJ$46),AO46)</f>
        <v>2344</v>
      </c>
      <c r="AK87" s="57">
        <f t="shared" si="52"/>
        <v>59185</v>
      </c>
      <c r="AL87" s="130">
        <f t="shared" si="71"/>
        <v>0</v>
      </c>
      <c r="AM87" s="109">
        <f t="shared" si="74"/>
        <v>79</v>
      </c>
      <c r="AN87" s="110">
        <f t="shared" si="63"/>
        <v>47719</v>
      </c>
      <c r="AO87" s="105">
        <f t="shared" si="35"/>
        <v>0</v>
      </c>
      <c r="AP87" s="105">
        <f t="shared" si="64"/>
        <v>0</v>
      </c>
      <c r="AQ87" s="105">
        <f t="shared" si="41"/>
        <v>0</v>
      </c>
      <c r="AR87" s="105">
        <f t="shared" si="78"/>
        <v>0</v>
      </c>
      <c r="AS87" s="105">
        <f t="shared" si="42"/>
        <v>0</v>
      </c>
      <c r="AT87" s="105">
        <f t="shared" si="43"/>
        <v>0</v>
      </c>
      <c r="AU87" s="105">
        <f t="shared" si="44"/>
        <v>0</v>
      </c>
      <c r="AV87" s="105">
        <f t="shared" si="45"/>
        <v>0</v>
      </c>
      <c r="AW87" s="105">
        <f t="shared" si="46"/>
        <v>0</v>
      </c>
      <c r="AX87" s="108">
        <f t="shared" si="75"/>
        <v>0</v>
      </c>
      <c r="AY87" s="108">
        <f t="shared" si="65"/>
        <v>0</v>
      </c>
      <c r="AZ87" s="22">
        <f t="shared" si="57"/>
        <v>47719</v>
      </c>
      <c r="BA87" s="108">
        <f t="shared" si="57"/>
        <v>0</v>
      </c>
      <c r="BB87" s="2" t="e">
        <f t="shared" si="54"/>
        <v>#VALUE!</v>
      </c>
    </row>
    <row r="88" spans="1:54" s="16" customFormat="1" ht="12.6" thickBot="1" x14ac:dyDescent="0.3">
      <c r="A88" s="2"/>
      <c r="B88" s="2"/>
      <c r="C88" s="1"/>
      <c r="D88" s="1"/>
      <c r="E88" s="114">
        <f t="shared" si="72"/>
        <v>80</v>
      </c>
      <c r="F88" s="111">
        <f t="shared" si="66"/>
        <v>47750</v>
      </c>
      <c r="G88" s="24">
        <f t="shared" si="58"/>
        <v>0</v>
      </c>
      <c r="H88" s="24">
        <f t="shared" si="59"/>
        <v>0</v>
      </c>
      <c r="I88" s="24">
        <f t="shared" si="70"/>
        <v>46903.630000000005</v>
      </c>
      <c r="J88" s="24">
        <f t="shared" si="55"/>
        <v>0</v>
      </c>
      <c r="K88" s="24">
        <f t="shared" si="60"/>
        <v>0</v>
      </c>
      <c r="L88" s="24">
        <f t="shared" si="67"/>
        <v>0</v>
      </c>
      <c r="M88" s="24">
        <f t="shared" si="79"/>
        <v>0</v>
      </c>
      <c r="N88" s="24">
        <f t="shared" si="80"/>
        <v>0</v>
      </c>
      <c r="O88" s="24">
        <f t="shared" si="68"/>
        <v>0</v>
      </c>
      <c r="P88" s="24">
        <f t="shared" si="69"/>
        <v>0</v>
      </c>
      <c r="Q88" s="24">
        <f t="shared" si="61"/>
        <v>0</v>
      </c>
      <c r="R88" s="36">
        <f t="shared" si="76"/>
        <v>0</v>
      </c>
      <c r="S88" s="36">
        <f t="shared" si="62"/>
        <v>0</v>
      </c>
      <c r="T88" s="2">
        <f t="shared" si="47"/>
        <v>511.62</v>
      </c>
      <c r="U88" s="34">
        <f t="shared" si="48"/>
        <v>2340</v>
      </c>
      <c r="V88" s="57">
        <f t="shared" si="51"/>
        <v>59550</v>
      </c>
      <c r="W88" s="16">
        <f t="shared" si="53"/>
        <v>39</v>
      </c>
      <c r="X88" s="170">
        <v>220001</v>
      </c>
      <c r="Y88" s="171">
        <v>500000</v>
      </c>
      <c r="Z88" s="652">
        <v>0.97</v>
      </c>
      <c r="AA88" s="652">
        <v>0.95</v>
      </c>
      <c r="AB88" s="652">
        <v>0.93</v>
      </c>
      <c r="AC88" s="134"/>
      <c r="AD88" s="134"/>
      <c r="AE88" s="16">
        <f>IF($C$10&gt;48,AB88,IF($C$94&gt;36,AA88,Z88))</f>
        <v>0.97</v>
      </c>
      <c r="AI88" s="2">
        <f>IF(AND(AM48&gt;=$T$14,AM48&lt;=$T$14+5),0,IF($C$9&gt;$AC$52,ROUND(AW46*$AI$46/(DATEVALUE(CONCATENATE("01/01/",YEAR(AN48)+1))-DATEVALUE(CONCATENATE("01/01/",YEAR(AN48))))*(AN48-AN46),2),0))</f>
        <v>994.33</v>
      </c>
      <c r="AJ88" s="34">
        <f t="shared" ref="AJ88:AJ108" si="81">IF(AI88=0,IF(AI87=0,0,$AJ$46),AO48)</f>
        <v>2344</v>
      </c>
      <c r="AK88" s="57">
        <f t="shared" si="52"/>
        <v>59550</v>
      </c>
      <c r="AL88" s="130">
        <f t="shared" si="71"/>
        <v>0</v>
      </c>
      <c r="AM88" s="109">
        <f t="shared" si="74"/>
        <v>80</v>
      </c>
      <c r="AN88" s="110">
        <f t="shared" si="63"/>
        <v>47750</v>
      </c>
      <c r="AO88" s="105">
        <f t="shared" si="35"/>
        <v>0</v>
      </c>
      <c r="AP88" s="105">
        <f t="shared" si="64"/>
        <v>0</v>
      </c>
      <c r="AQ88" s="105">
        <f t="shared" si="41"/>
        <v>0</v>
      </c>
      <c r="AR88" s="105">
        <f t="shared" si="78"/>
        <v>0</v>
      </c>
      <c r="AS88" s="105">
        <f t="shared" si="42"/>
        <v>0</v>
      </c>
      <c r="AT88" s="105">
        <f t="shared" si="43"/>
        <v>0</v>
      </c>
      <c r="AU88" s="105">
        <f t="shared" si="44"/>
        <v>0</v>
      </c>
      <c r="AV88" s="105">
        <f t="shared" si="45"/>
        <v>0</v>
      </c>
      <c r="AW88" s="105">
        <f t="shared" si="46"/>
        <v>0</v>
      </c>
      <c r="AX88" s="108">
        <f t="shared" si="75"/>
        <v>0</v>
      </c>
      <c r="AY88" s="108">
        <f t="shared" si="65"/>
        <v>0</v>
      </c>
      <c r="AZ88" s="22">
        <f t="shared" si="57"/>
        <v>47750</v>
      </c>
      <c r="BA88" s="108">
        <f t="shared" si="57"/>
        <v>0</v>
      </c>
      <c r="BB88" s="2" t="e">
        <f t="shared" si="54"/>
        <v>#VALUE!</v>
      </c>
    </row>
    <row r="89" spans="1:54" s="16" customFormat="1" ht="12.6" thickBot="1" x14ac:dyDescent="0.3">
      <c r="A89" s="2"/>
      <c r="B89" s="2"/>
      <c r="C89" s="1"/>
      <c r="D89" s="1"/>
      <c r="E89" s="114">
        <f t="shared" si="72"/>
        <v>81</v>
      </c>
      <c r="F89" s="111">
        <f t="shared" si="66"/>
        <v>47780</v>
      </c>
      <c r="G89" s="24">
        <f t="shared" si="58"/>
        <v>0</v>
      </c>
      <c r="H89" s="24">
        <f t="shared" si="59"/>
        <v>0</v>
      </c>
      <c r="I89" s="24">
        <f t="shared" si="70"/>
        <v>46903.630000000005</v>
      </c>
      <c r="J89" s="24">
        <f t="shared" si="55"/>
        <v>0</v>
      </c>
      <c r="K89" s="24">
        <f t="shared" si="60"/>
        <v>0</v>
      </c>
      <c r="L89" s="24">
        <f t="shared" si="67"/>
        <v>0</v>
      </c>
      <c r="M89" s="24">
        <f t="shared" si="79"/>
        <v>0</v>
      </c>
      <c r="N89" s="24">
        <f t="shared" si="80"/>
        <v>0</v>
      </c>
      <c r="O89" s="24">
        <f t="shared" si="68"/>
        <v>0</v>
      </c>
      <c r="P89" s="24">
        <f t="shared" si="69"/>
        <v>0</v>
      </c>
      <c r="Q89" s="24">
        <f t="shared" si="61"/>
        <v>0</v>
      </c>
      <c r="R89" s="36">
        <f t="shared" si="76"/>
        <v>0</v>
      </c>
      <c r="S89" s="36">
        <f t="shared" si="62"/>
        <v>0</v>
      </c>
      <c r="T89" s="2">
        <f t="shared" si="47"/>
        <v>450.18</v>
      </c>
      <c r="U89" s="34">
        <f t="shared" si="48"/>
        <v>2340</v>
      </c>
      <c r="V89" s="57">
        <f t="shared" si="51"/>
        <v>59915</v>
      </c>
      <c r="W89" s="16">
        <f t="shared" si="53"/>
        <v>40</v>
      </c>
      <c r="X89" s="171">
        <v>500001</v>
      </c>
      <c r="Y89" s="171">
        <v>1000000</v>
      </c>
      <c r="Z89" s="652">
        <v>1.52</v>
      </c>
      <c r="AA89" s="652">
        <v>1.52</v>
      </c>
      <c r="AB89" s="652">
        <v>1.52</v>
      </c>
      <c r="AC89" s="652">
        <v>1.52</v>
      </c>
      <c r="AD89" s="652">
        <v>1.52</v>
      </c>
      <c r="AE89" s="16">
        <f>IF($C$10&gt;72,AD89,IF($C$10&gt;60,AC89,IF($C$10&gt;48,AB89,IF($C$94&gt;36,AA89,Z89))))</f>
        <v>1.52</v>
      </c>
      <c r="AI89" s="2">
        <f t="shared" ref="AI89:AI149" si="82">IF(AND(AM49&gt;=$T$14,AM49&lt;=$T$14+5),0,IF($C$9&gt;$AC$52,ROUND(AW48*$AI$46/(DATEVALUE(CONCATENATE("01/01/",YEAR(AN49)+1))-DATEVALUE(CONCATENATE("01/01/",YEAR(AN49))))*(AN49-AN48),2),0))</f>
        <v>410.37</v>
      </c>
      <c r="AJ89" s="34">
        <f t="shared" si="81"/>
        <v>2344</v>
      </c>
      <c r="AK89" s="57">
        <f t="shared" si="52"/>
        <v>59915</v>
      </c>
      <c r="AL89" s="130">
        <f t="shared" si="71"/>
        <v>0</v>
      </c>
      <c r="AM89" s="109">
        <f t="shared" si="74"/>
        <v>81</v>
      </c>
      <c r="AN89" s="110">
        <f t="shared" si="63"/>
        <v>47780</v>
      </c>
      <c r="AO89" s="105">
        <f t="shared" si="35"/>
        <v>0</v>
      </c>
      <c r="AP89" s="105">
        <f t="shared" si="64"/>
        <v>0</v>
      </c>
      <c r="AQ89" s="105">
        <f t="shared" si="41"/>
        <v>0</v>
      </c>
      <c r="AR89" s="105">
        <f t="shared" si="78"/>
        <v>0</v>
      </c>
      <c r="AS89" s="105">
        <f t="shared" si="42"/>
        <v>0</v>
      </c>
      <c r="AT89" s="105">
        <f t="shared" si="43"/>
        <v>0</v>
      </c>
      <c r="AU89" s="105">
        <f t="shared" si="44"/>
        <v>0</v>
      </c>
      <c r="AV89" s="105">
        <f t="shared" si="45"/>
        <v>0</v>
      </c>
      <c r="AW89" s="105">
        <f t="shared" si="46"/>
        <v>0</v>
      </c>
      <c r="AX89" s="108">
        <f t="shared" si="75"/>
        <v>0</v>
      </c>
      <c r="AY89" s="108">
        <f t="shared" si="65"/>
        <v>0</v>
      </c>
      <c r="AZ89" s="22">
        <f t="shared" si="57"/>
        <v>47780</v>
      </c>
      <c r="BA89" s="108">
        <f t="shared" si="57"/>
        <v>0</v>
      </c>
      <c r="BB89" s="2" t="e">
        <f t="shared" si="54"/>
        <v>#VALUE!</v>
      </c>
    </row>
    <row r="90" spans="1:54" s="16" customFormat="1" ht="12.6" thickBot="1" x14ac:dyDescent="0.3">
      <c r="A90" s="2"/>
      <c r="B90" s="2"/>
      <c r="C90" s="1"/>
      <c r="D90" s="1"/>
      <c r="E90" s="114">
        <f t="shared" si="72"/>
        <v>82</v>
      </c>
      <c r="F90" s="111">
        <f t="shared" si="66"/>
        <v>47811</v>
      </c>
      <c r="G90" s="24">
        <f t="shared" si="58"/>
        <v>0</v>
      </c>
      <c r="H90" s="24">
        <f t="shared" si="59"/>
        <v>0</v>
      </c>
      <c r="I90" s="24">
        <f t="shared" si="70"/>
        <v>46903.630000000005</v>
      </c>
      <c r="J90" s="24">
        <f t="shared" si="55"/>
        <v>0</v>
      </c>
      <c r="K90" s="24">
        <f t="shared" si="60"/>
        <v>0</v>
      </c>
      <c r="L90" s="24">
        <f t="shared" si="67"/>
        <v>0</v>
      </c>
      <c r="M90" s="24">
        <f t="shared" si="79"/>
        <v>0</v>
      </c>
      <c r="N90" s="24">
        <f t="shared" si="80"/>
        <v>0</v>
      </c>
      <c r="O90" s="24">
        <f t="shared" si="68"/>
        <v>0</v>
      </c>
      <c r="P90" s="24">
        <f t="shared" si="69"/>
        <v>0</v>
      </c>
      <c r="Q90" s="24">
        <f t="shared" si="61"/>
        <v>0</v>
      </c>
      <c r="R90" s="36">
        <f t="shared" si="76"/>
        <v>0</v>
      </c>
      <c r="S90" s="36">
        <f t="shared" si="62"/>
        <v>0</v>
      </c>
      <c r="T90" s="2">
        <f t="shared" si="47"/>
        <v>417.2</v>
      </c>
      <c r="U90" s="34">
        <f t="shared" si="48"/>
        <v>2340</v>
      </c>
      <c r="V90" s="57">
        <f t="shared" si="51"/>
        <v>60280</v>
      </c>
      <c r="W90" s="16">
        <f t="shared" si="53"/>
        <v>41</v>
      </c>
      <c r="X90" s="171">
        <v>1000001</v>
      </c>
      <c r="Y90" s="171">
        <v>5000000</v>
      </c>
      <c r="Z90" s="652">
        <v>1.25</v>
      </c>
      <c r="AA90" s="652">
        <v>1.25</v>
      </c>
      <c r="AB90" s="652">
        <v>1.25</v>
      </c>
      <c r="AC90" s="652">
        <v>1.25</v>
      </c>
      <c r="AD90" s="652">
        <v>1.25</v>
      </c>
      <c r="AE90" s="16">
        <f>IF($C$10&gt;72,AD90,IF($C$10&gt;60,AC90,IF($C$10&gt;48,AB90,IF($C$94&gt;36,AA90,Z90))))</f>
        <v>1.25</v>
      </c>
      <c r="AI90" s="2">
        <f t="shared" si="82"/>
        <v>349.61</v>
      </c>
      <c r="AJ90" s="34">
        <f t="shared" si="81"/>
        <v>2344</v>
      </c>
      <c r="AK90" s="57">
        <f t="shared" si="52"/>
        <v>60280</v>
      </c>
      <c r="AL90" s="130">
        <f t="shared" si="71"/>
        <v>0</v>
      </c>
      <c r="AM90" s="109">
        <f t="shared" si="74"/>
        <v>82</v>
      </c>
      <c r="AN90" s="110">
        <f t="shared" si="63"/>
        <v>47811</v>
      </c>
      <c r="AO90" s="105">
        <f t="shared" si="35"/>
        <v>0</v>
      </c>
      <c r="AP90" s="105">
        <f t="shared" si="64"/>
        <v>0</v>
      </c>
      <c r="AQ90" s="105">
        <f t="shared" si="41"/>
        <v>0</v>
      </c>
      <c r="AR90" s="105">
        <f t="shared" si="78"/>
        <v>0</v>
      </c>
      <c r="AS90" s="105">
        <f t="shared" si="42"/>
        <v>0</v>
      </c>
      <c r="AT90" s="105">
        <f t="shared" si="43"/>
        <v>0</v>
      </c>
      <c r="AU90" s="105">
        <f t="shared" si="44"/>
        <v>0</v>
      </c>
      <c r="AV90" s="105">
        <f t="shared" si="45"/>
        <v>0</v>
      </c>
      <c r="AW90" s="105">
        <f t="shared" si="46"/>
        <v>0</v>
      </c>
      <c r="AX90" s="108">
        <f t="shared" si="75"/>
        <v>0</v>
      </c>
      <c r="AY90" s="108">
        <f t="shared" si="65"/>
        <v>0</v>
      </c>
      <c r="AZ90" s="22">
        <f t="shared" si="57"/>
        <v>47811</v>
      </c>
      <c r="BA90" s="108">
        <f t="shared" si="57"/>
        <v>0</v>
      </c>
      <c r="BB90" s="2" t="e">
        <f t="shared" si="54"/>
        <v>#VALUE!</v>
      </c>
    </row>
    <row r="91" spans="1:54" s="16" customFormat="1" ht="12" x14ac:dyDescent="0.25">
      <c r="A91" s="2"/>
      <c r="B91" s="2"/>
      <c r="C91" s="1"/>
      <c r="D91" s="1"/>
      <c r="E91" s="114">
        <f t="shared" si="72"/>
        <v>83</v>
      </c>
      <c r="F91" s="111">
        <f t="shared" si="66"/>
        <v>47841</v>
      </c>
      <c r="G91" s="24">
        <f t="shared" si="58"/>
        <v>0</v>
      </c>
      <c r="H91" s="24">
        <f t="shared" si="59"/>
        <v>0</v>
      </c>
      <c r="I91" s="24">
        <f t="shared" si="70"/>
        <v>46903.630000000005</v>
      </c>
      <c r="J91" s="24">
        <f t="shared" si="55"/>
        <v>0</v>
      </c>
      <c r="K91" s="24">
        <f t="shared" si="60"/>
        <v>0</v>
      </c>
      <c r="L91" s="24">
        <f t="shared" si="67"/>
        <v>0</v>
      </c>
      <c r="M91" s="24">
        <f t="shared" si="79"/>
        <v>0</v>
      </c>
      <c r="N91" s="24">
        <f t="shared" si="80"/>
        <v>0</v>
      </c>
      <c r="O91" s="24">
        <f t="shared" si="68"/>
        <v>0</v>
      </c>
      <c r="P91" s="24">
        <f t="shared" si="69"/>
        <v>0</v>
      </c>
      <c r="Q91" s="24">
        <f t="shared" si="61"/>
        <v>0</v>
      </c>
      <c r="R91" s="36">
        <f t="shared" si="76"/>
        <v>0</v>
      </c>
      <c r="S91" s="36">
        <f t="shared" si="62"/>
        <v>0</v>
      </c>
      <c r="T91" s="2">
        <f t="shared" si="47"/>
        <v>356.49</v>
      </c>
      <c r="U91" s="34">
        <f t="shared" si="48"/>
        <v>2340</v>
      </c>
      <c r="V91" s="57">
        <f t="shared" si="51"/>
        <v>60645</v>
      </c>
      <c r="W91" s="16">
        <f t="shared" si="53"/>
        <v>42</v>
      </c>
      <c r="AI91" s="2">
        <f t="shared" si="82"/>
        <v>310.62</v>
      </c>
      <c r="AJ91" s="34">
        <f t="shared" si="81"/>
        <v>2344</v>
      </c>
      <c r="AK91" s="57">
        <f t="shared" si="52"/>
        <v>60645</v>
      </c>
      <c r="AL91" s="130">
        <f t="shared" si="71"/>
        <v>0</v>
      </c>
      <c r="AM91" s="109">
        <f t="shared" si="74"/>
        <v>83</v>
      </c>
      <c r="AN91" s="110">
        <f t="shared" si="63"/>
        <v>47841</v>
      </c>
      <c r="AO91" s="105">
        <f t="shared" si="35"/>
        <v>0</v>
      </c>
      <c r="AP91" s="105">
        <f t="shared" si="64"/>
        <v>0</v>
      </c>
      <c r="AQ91" s="105">
        <f t="shared" si="41"/>
        <v>0</v>
      </c>
      <c r="AR91" s="105">
        <f t="shared" si="78"/>
        <v>0</v>
      </c>
      <c r="AS91" s="105">
        <f t="shared" si="42"/>
        <v>0</v>
      </c>
      <c r="AT91" s="105">
        <f t="shared" si="43"/>
        <v>0</v>
      </c>
      <c r="AU91" s="105">
        <f t="shared" si="44"/>
        <v>0</v>
      </c>
      <c r="AV91" s="105">
        <f t="shared" si="45"/>
        <v>0</v>
      </c>
      <c r="AW91" s="105">
        <f t="shared" si="46"/>
        <v>0</v>
      </c>
      <c r="AX91" s="108">
        <f t="shared" si="75"/>
        <v>0</v>
      </c>
      <c r="AY91" s="108">
        <f t="shared" si="65"/>
        <v>0</v>
      </c>
      <c r="AZ91" s="22">
        <f t="shared" si="57"/>
        <v>47841</v>
      </c>
      <c r="BA91" s="108">
        <f t="shared" si="57"/>
        <v>0</v>
      </c>
      <c r="BB91" s="2" t="e">
        <f t="shared" si="54"/>
        <v>#VALUE!</v>
      </c>
    </row>
    <row r="92" spans="1:54" s="16" customFormat="1" ht="12" x14ac:dyDescent="0.25">
      <c r="A92" s="2"/>
      <c r="B92" s="2"/>
      <c r="C92" s="1"/>
      <c r="D92" s="1"/>
      <c r="E92" s="114">
        <f t="shared" si="72"/>
        <v>84</v>
      </c>
      <c r="F92" s="111">
        <f t="shared" si="66"/>
        <v>47872</v>
      </c>
      <c r="G92" s="24">
        <f t="shared" si="58"/>
        <v>0</v>
      </c>
      <c r="H92" s="24">
        <f t="shared" si="59"/>
        <v>0</v>
      </c>
      <c r="I92" s="24">
        <f t="shared" si="70"/>
        <v>46903.630000000005</v>
      </c>
      <c r="J92" s="24">
        <f t="shared" si="55"/>
        <v>0</v>
      </c>
      <c r="K92" s="24">
        <f t="shared" si="60"/>
        <v>0</v>
      </c>
      <c r="L92" s="24">
        <f t="shared" si="67"/>
        <v>0</v>
      </c>
      <c r="M92" s="24">
        <f t="shared" si="79"/>
        <v>0</v>
      </c>
      <c r="N92" s="24">
        <f t="shared" si="80"/>
        <v>0</v>
      </c>
      <c r="O92" s="24">
        <f t="shared" si="68"/>
        <v>0</v>
      </c>
      <c r="P92" s="24">
        <f t="shared" si="69"/>
        <v>0</v>
      </c>
      <c r="Q92" s="24">
        <f t="shared" si="61"/>
        <v>0</v>
      </c>
      <c r="R92" s="36">
        <f t="shared" si="76"/>
        <v>0</v>
      </c>
      <c r="S92" s="36">
        <f t="shared" si="62"/>
        <v>0</v>
      </c>
      <c r="T92" s="2">
        <f t="shared" si="47"/>
        <v>318</v>
      </c>
      <c r="U92" s="34">
        <f t="shared" si="48"/>
        <v>2340</v>
      </c>
      <c r="V92" s="57">
        <f t="shared" si="51"/>
        <v>61010</v>
      </c>
      <c r="W92" s="16">
        <f t="shared" si="53"/>
        <v>43</v>
      </c>
      <c r="X92" s="903" t="s">
        <v>115</v>
      </c>
      <c r="Y92" s="903"/>
      <c r="Z92" s="145" t="s">
        <v>456</v>
      </c>
      <c r="AA92" s="145" t="s">
        <v>457</v>
      </c>
      <c r="AB92" s="145" t="s">
        <v>458</v>
      </c>
      <c r="AC92" s="145" t="s">
        <v>459</v>
      </c>
      <c r="AD92" s="145" t="s">
        <v>460</v>
      </c>
      <c r="AI92" s="2">
        <f t="shared" si="82"/>
        <v>258.98</v>
      </c>
      <c r="AJ92" s="34">
        <f t="shared" si="81"/>
        <v>2344</v>
      </c>
      <c r="AK92" s="57">
        <f t="shared" si="52"/>
        <v>61010</v>
      </c>
      <c r="AL92" s="130">
        <f t="shared" si="71"/>
        <v>0</v>
      </c>
      <c r="AM92" s="109">
        <f t="shared" si="74"/>
        <v>84</v>
      </c>
      <c r="AN92" s="110">
        <f t="shared" si="63"/>
        <v>47872</v>
      </c>
      <c r="AO92" s="105">
        <f t="shared" si="35"/>
        <v>0</v>
      </c>
      <c r="AP92" s="105">
        <f t="shared" si="64"/>
        <v>0</v>
      </c>
      <c r="AQ92" s="105">
        <f t="shared" si="41"/>
        <v>0</v>
      </c>
      <c r="AR92" s="105">
        <f t="shared" si="78"/>
        <v>0</v>
      </c>
      <c r="AS92" s="105">
        <f t="shared" si="42"/>
        <v>0</v>
      </c>
      <c r="AT92" s="105">
        <f t="shared" si="43"/>
        <v>0</v>
      </c>
      <c r="AU92" s="105">
        <f t="shared" si="44"/>
        <v>0</v>
      </c>
      <c r="AV92" s="105">
        <f t="shared" si="45"/>
        <v>0</v>
      </c>
      <c r="AW92" s="105">
        <f t="shared" si="46"/>
        <v>0</v>
      </c>
      <c r="AX92" s="108">
        <f t="shared" si="75"/>
        <v>0</v>
      </c>
      <c r="AY92" s="108">
        <f t="shared" si="65"/>
        <v>0</v>
      </c>
      <c r="AZ92" s="22">
        <f t="shared" si="57"/>
        <v>47872</v>
      </c>
      <c r="BA92" s="108">
        <f t="shared" si="57"/>
        <v>0</v>
      </c>
      <c r="BB92" s="2" t="e">
        <f t="shared" si="54"/>
        <v>#VALUE!</v>
      </c>
    </row>
    <row r="93" spans="1:54" s="16" customFormat="1" ht="12" x14ac:dyDescent="0.25">
      <c r="A93" s="2"/>
      <c r="B93" s="2"/>
      <c r="C93" s="1"/>
      <c r="D93" s="1"/>
      <c r="E93" s="114">
        <f t="shared" si="72"/>
        <v>85</v>
      </c>
      <c r="F93" s="111">
        <f t="shared" si="66"/>
        <v>47903</v>
      </c>
      <c r="G93" s="24">
        <f t="shared" si="58"/>
        <v>0</v>
      </c>
      <c r="H93" s="24">
        <f t="shared" si="59"/>
        <v>0</v>
      </c>
      <c r="I93" s="24">
        <f t="shared" si="70"/>
        <v>46903.630000000005</v>
      </c>
      <c r="J93" s="24">
        <f t="shared" si="55"/>
        <v>0</v>
      </c>
      <c r="K93" s="24">
        <f t="shared" si="60"/>
        <v>0</v>
      </c>
      <c r="L93" s="24">
        <f t="shared" si="67"/>
        <v>0</v>
      </c>
      <c r="M93" s="24">
        <f t="shared" si="79"/>
        <v>0</v>
      </c>
      <c r="N93" s="24">
        <f t="shared" si="80"/>
        <v>0</v>
      </c>
      <c r="O93" s="24">
        <f t="shared" si="68"/>
        <v>0</v>
      </c>
      <c r="P93" s="24">
        <f t="shared" si="69"/>
        <v>0</v>
      </c>
      <c r="Q93" s="24">
        <f t="shared" si="61"/>
        <v>0</v>
      </c>
      <c r="R93" s="36">
        <f t="shared" si="76"/>
        <v>0</v>
      </c>
      <c r="S93" s="36">
        <f t="shared" si="62"/>
        <v>0</v>
      </c>
      <c r="T93" s="2">
        <f t="shared" si="47"/>
        <v>266.64999999999998</v>
      </c>
      <c r="U93" s="34">
        <f t="shared" si="48"/>
        <v>2340</v>
      </c>
      <c r="V93" s="57">
        <f t="shared" si="51"/>
        <v>61375</v>
      </c>
      <c r="W93" s="16">
        <f t="shared" si="53"/>
        <v>44</v>
      </c>
      <c r="X93" s="133" t="s">
        <v>96</v>
      </c>
      <c r="Y93" s="133" t="s">
        <v>97</v>
      </c>
      <c r="Z93" s="133" t="s">
        <v>98</v>
      </c>
      <c r="AA93" s="134"/>
      <c r="AB93" s="134"/>
      <c r="AC93" s="134"/>
      <c r="AD93" s="134"/>
      <c r="AI93" s="2">
        <f t="shared" si="82"/>
        <v>199.39</v>
      </c>
      <c r="AJ93" s="34">
        <f t="shared" si="81"/>
        <v>2344</v>
      </c>
      <c r="AK93" s="57">
        <f t="shared" si="52"/>
        <v>61375</v>
      </c>
      <c r="AL93" s="130">
        <f t="shared" si="71"/>
        <v>0</v>
      </c>
      <c r="AM93" s="109">
        <f t="shared" si="74"/>
        <v>85</v>
      </c>
      <c r="AN93" s="110">
        <f t="shared" si="63"/>
        <v>47903</v>
      </c>
      <c r="AO93" s="105">
        <f t="shared" si="35"/>
        <v>0</v>
      </c>
      <c r="AP93" s="105">
        <f t="shared" si="64"/>
        <v>0</v>
      </c>
      <c r="AQ93" s="105">
        <f t="shared" si="41"/>
        <v>0</v>
      </c>
      <c r="AR93" s="105">
        <f t="shared" si="78"/>
        <v>0</v>
      </c>
      <c r="AS93" s="105">
        <f t="shared" si="42"/>
        <v>0</v>
      </c>
      <c r="AT93" s="105">
        <f t="shared" si="43"/>
        <v>0</v>
      </c>
      <c r="AU93" s="105">
        <f t="shared" si="44"/>
        <v>0</v>
      </c>
      <c r="AV93" s="105">
        <f t="shared" si="45"/>
        <v>0</v>
      </c>
      <c r="AW93" s="105">
        <f t="shared" si="46"/>
        <v>0</v>
      </c>
      <c r="AX93" s="108">
        <f t="shared" si="75"/>
        <v>0</v>
      </c>
      <c r="AY93" s="108">
        <f t="shared" si="65"/>
        <v>0</v>
      </c>
      <c r="AZ93" s="22">
        <f t="shared" si="57"/>
        <v>47903</v>
      </c>
      <c r="BA93" s="108">
        <f t="shared" si="57"/>
        <v>0</v>
      </c>
      <c r="BB93" s="2" t="e">
        <f>IF(AND(E48&gt;=$T$14,E48&lt;=$T$14+5),0,IF($C$9&gt;$AC$52,ROUND(AW46*IF($D$23="",0,$D$23)/(DATEVALUE(CONCATENATE("01/01/",YEAR(AN48)+1))-DATEVALUE(CONCATENATE("01/01/",YEAR(AN48))))*(AN48-AN46),2),0))</f>
        <v>#VALUE!</v>
      </c>
    </row>
    <row r="94" spans="1:54" s="16" customFormat="1" ht="12.6" thickBot="1" x14ac:dyDescent="0.3">
      <c r="A94" s="2"/>
      <c r="B94" s="2"/>
      <c r="C94" s="1"/>
      <c r="D94" s="1"/>
      <c r="E94" s="114">
        <f t="shared" si="72"/>
        <v>86</v>
      </c>
      <c r="F94" s="111">
        <f t="shared" si="66"/>
        <v>47931</v>
      </c>
      <c r="G94" s="24">
        <f t="shared" si="58"/>
        <v>0</v>
      </c>
      <c r="H94" s="24">
        <f t="shared" si="59"/>
        <v>0</v>
      </c>
      <c r="I94" s="24">
        <f t="shared" si="70"/>
        <v>46903.630000000005</v>
      </c>
      <c r="J94" s="24">
        <f t="shared" si="55"/>
        <v>0</v>
      </c>
      <c r="K94" s="24">
        <f t="shared" si="60"/>
        <v>0</v>
      </c>
      <c r="L94" s="24">
        <f t="shared" si="67"/>
        <v>0</v>
      </c>
      <c r="M94" s="24">
        <f t="shared" si="79"/>
        <v>0</v>
      </c>
      <c r="N94" s="24">
        <f t="shared" si="80"/>
        <v>0</v>
      </c>
      <c r="O94" s="24">
        <f t="shared" si="68"/>
        <v>0</v>
      </c>
      <c r="P94" s="24">
        <f t="shared" si="69"/>
        <v>0</v>
      </c>
      <c r="Q94" s="24">
        <f t="shared" si="61"/>
        <v>0</v>
      </c>
      <c r="R94" s="36">
        <f t="shared" si="76"/>
        <v>0</v>
      </c>
      <c r="S94" s="36">
        <f t="shared" si="62"/>
        <v>0</v>
      </c>
      <c r="T94" s="2">
        <f t="shared" si="47"/>
        <v>207.1</v>
      </c>
      <c r="U94" s="34">
        <f t="shared" si="48"/>
        <v>2340</v>
      </c>
      <c r="V94" s="57">
        <f t="shared" si="51"/>
        <v>61740</v>
      </c>
      <c r="W94" s="16">
        <f t="shared" si="53"/>
        <v>45</v>
      </c>
      <c r="X94" s="170">
        <v>20000</v>
      </c>
      <c r="Y94" s="171">
        <v>220000</v>
      </c>
      <c r="Z94" s="652">
        <v>1.7</v>
      </c>
      <c r="AA94" s="652">
        <v>1.7</v>
      </c>
      <c r="AB94" s="652">
        <v>1.7</v>
      </c>
      <c r="AC94" s="134"/>
      <c r="AD94" s="134"/>
      <c r="AI94" s="2">
        <f t="shared" si="82"/>
        <v>151.57</v>
      </c>
      <c r="AJ94" s="34">
        <f t="shared" si="81"/>
        <v>2344</v>
      </c>
      <c r="AK94" s="57">
        <f t="shared" si="52"/>
        <v>61740</v>
      </c>
      <c r="AL94" s="130">
        <f t="shared" si="71"/>
        <v>0</v>
      </c>
      <c r="AM94" s="109">
        <f t="shared" si="74"/>
        <v>86</v>
      </c>
      <c r="AN94" s="110">
        <f t="shared" si="63"/>
        <v>47931</v>
      </c>
      <c r="AO94" s="105">
        <f t="shared" si="35"/>
        <v>0</v>
      </c>
      <c r="AP94" s="105">
        <f t="shared" si="64"/>
        <v>0</v>
      </c>
      <c r="AQ94" s="105">
        <f t="shared" si="41"/>
        <v>0</v>
      </c>
      <c r="AR94" s="105">
        <f t="shared" si="78"/>
        <v>0</v>
      </c>
      <c r="AS94" s="105">
        <f t="shared" si="42"/>
        <v>0</v>
      </c>
      <c r="AT94" s="105">
        <f t="shared" si="43"/>
        <v>0</v>
      </c>
      <c r="AU94" s="105">
        <f t="shared" si="44"/>
        <v>0</v>
      </c>
      <c r="AV94" s="105">
        <f t="shared" si="45"/>
        <v>0</v>
      </c>
      <c r="AW94" s="105">
        <f t="shared" si="46"/>
        <v>0</v>
      </c>
      <c r="AX94" s="108">
        <f t="shared" si="75"/>
        <v>0</v>
      </c>
      <c r="AY94" s="108">
        <f t="shared" si="65"/>
        <v>0</v>
      </c>
      <c r="AZ94" s="22">
        <f t="shared" si="57"/>
        <v>47931</v>
      </c>
      <c r="BA94" s="108">
        <f t="shared" si="57"/>
        <v>0</v>
      </c>
      <c r="BB94" s="2" t="e">
        <f t="shared" ref="BB94:BB152" si="83">IF(AND(E49&gt;=$T$14,E49&lt;=$T$14+5),0,IF($C$9&gt;$AC$52,ROUND(AW48*IF($D$23="",0,$D$23)/(DATEVALUE(CONCATENATE("01/01/",YEAR(AN49)+1))-DATEVALUE(CONCATENATE("01/01/",YEAR(AN49))))*(AN49-AN48),2),0))</f>
        <v>#VALUE!</v>
      </c>
    </row>
    <row r="95" spans="1:54" s="16" customFormat="1" ht="12.6" thickBot="1" x14ac:dyDescent="0.3">
      <c r="A95" s="2"/>
      <c r="B95" s="2"/>
      <c r="C95" s="1"/>
      <c r="D95" s="1"/>
      <c r="E95" s="114">
        <f t="shared" si="72"/>
        <v>87</v>
      </c>
      <c r="F95" s="111">
        <f t="shared" si="66"/>
        <v>47962</v>
      </c>
      <c r="G95" s="24">
        <f t="shared" si="58"/>
        <v>0</v>
      </c>
      <c r="H95" s="24">
        <f t="shared" si="59"/>
        <v>0</v>
      </c>
      <c r="I95" s="24">
        <f t="shared" si="70"/>
        <v>46903.630000000005</v>
      </c>
      <c r="J95" s="24">
        <f t="shared" si="55"/>
        <v>0</v>
      </c>
      <c r="K95" s="24">
        <f t="shared" si="60"/>
        <v>0</v>
      </c>
      <c r="L95" s="24">
        <f t="shared" si="67"/>
        <v>0</v>
      </c>
      <c r="M95" s="24">
        <f t="shared" si="79"/>
        <v>0</v>
      </c>
      <c r="N95" s="24">
        <f t="shared" si="80"/>
        <v>0</v>
      </c>
      <c r="O95" s="24">
        <f t="shared" si="68"/>
        <v>0</v>
      </c>
      <c r="P95" s="24">
        <f t="shared" si="69"/>
        <v>0</v>
      </c>
      <c r="Q95" s="24">
        <f t="shared" si="61"/>
        <v>0</v>
      </c>
      <c r="R95" s="36">
        <f t="shared" si="76"/>
        <v>0</v>
      </c>
      <c r="S95" s="36">
        <f t="shared" si="62"/>
        <v>0</v>
      </c>
      <c r="T95" s="2">
        <f t="shared" si="47"/>
        <v>159.84</v>
      </c>
      <c r="U95" s="34">
        <f t="shared" si="48"/>
        <v>2340</v>
      </c>
      <c r="V95" s="57">
        <f t="shared" si="51"/>
        <v>62105</v>
      </c>
      <c r="W95" s="16">
        <f t="shared" si="53"/>
        <v>46</v>
      </c>
      <c r="X95" s="170">
        <v>20000</v>
      </c>
      <c r="Y95" s="171">
        <v>220000</v>
      </c>
      <c r="Z95" s="652">
        <v>1.7</v>
      </c>
      <c r="AA95" s="652">
        <v>1.7</v>
      </c>
      <c r="AB95" s="652">
        <v>1.7</v>
      </c>
      <c r="AC95" s="134"/>
      <c r="AD95" s="134"/>
      <c r="AI95" s="2">
        <f t="shared" si="82"/>
        <v>92.8</v>
      </c>
      <c r="AJ95" s="34">
        <f t="shared" si="81"/>
        <v>2344</v>
      </c>
      <c r="AK95" s="57">
        <f t="shared" si="52"/>
        <v>62105</v>
      </c>
      <c r="AL95" s="130">
        <f t="shared" si="71"/>
        <v>0</v>
      </c>
      <c r="AM95" s="109">
        <f t="shared" si="74"/>
        <v>87</v>
      </c>
      <c r="AN95" s="110">
        <f t="shared" si="63"/>
        <v>47962</v>
      </c>
      <c r="AO95" s="105">
        <f t="shared" si="35"/>
        <v>0</v>
      </c>
      <c r="AP95" s="105">
        <f t="shared" si="64"/>
        <v>0</v>
      </c>
      <c r="AQ95" s="105">
        <f t="shared" si="41"/>
        <v>0</v>
      </c>
      <c r="AR95" s="105">
        <f t="shared" si="78"/>
        <v>0</v>
      </c>
      <c r="AS95" s="105">
        <f t="shared" si="42"/>
        <v>0</v>
      </c>
      <c r="AT95" s="105">
        <f t="shared" si="43"/>
        <v>0</v>
      </c>
      <c r="AU95" s="105">
        <f t="shared" si="44"/>
        <v>0</v>
      </c>
      <c r="AV95" s="105">
        <f t="shared" si="45"/>
        <v>0</v>
      </c>
      <c r="AW95" s="105">
        <f t="shared" si="46"/>
        <v>0</v>
      </c>
      <c r="AX95" s="108">
        <f t="shared" si="75"/>
        <v>0</v>
      </c>
      <c r="AY95" s="108">
        <f t="shared" si="65"/>
        <v>0</v>
      </c>
      <c r="AZ95" s="22">
        <f t="shared" si="57"/>
        <v>47962</v>
      </c>
      <c r="BA95" s="108">
        <f t="shared" si="57"/>
        <v>0</v>
      </c>
      <c r="BB95" s="2" t="e">
        <f t="shared" si="83"/>
        <v>#VALUE!</v>
      </c>
    </row>
    <row r="96" spans="1:54" s="16" customFormat="1" ht="12.6" thickBot="1" x14ac:dyDescent="0.3">
      <c r="A96" s="2"/>
      <c r="B96" s="2"/>
      <c r="C96" s="1"/>
      <c r="D96" s="1"/>
      <c r="E96" s="114">
        <f t="shared" si="72"/>
        <v>88</v>
      </c>
      <c r="F96" s="111">
        <f t="shared" si="66"/>
        <v>47992</v>
      </c>
      <c r="G96" s="24">
        <f t="shared" si="58"/>
        <v>0</v>
      </c>
      <c r="H96" s="24">
        <f t="shared" si="59"/>
        <v>0</v>
      </c>
      <c r="I96" s="24">
        <f t="shared" si="70"/>
        <v>46903.630000000005</v>
      </c>
      <c r="J96" s="24">
        <f t="shared" si="55"/>
        <v>0</v>
      </c>
      <c r="K96" s="24">
        <f t="shared" si="60"/>
        <v>0</v>
      </c>
      <c r="L96" s="24">
        <f t="shared" si="67"/>
        <v>0</v>
      </c>
      <c r="M96" s="24">
        <f t="shared" si="79"/>
        <v>0</v>
      </c>
      <c r="N96" s="24">
        <f t="shared" si="80"/>
        <v>0</v>
      </c>
      <c r="O96" s="24">
        <f t="shared" si="68"/>
        <v>0</v>
      </c>
      <c r="P96" s="24">
        <f t="shared" si="69"/>
        <v>0</v>
      </c>
      <c r="Q96" s="24">
        <f t="shared" si="61"/>
        <v>0</v>
      </c>
      <c r="R96" s="36">
        <f t="shared" si="76"/>
        <v>0</v>
      </c>
      <c r="S96" s="36">
        <f t="shared" si="62"/>
        <v>0</v>
      </c>
      <c r="T96" s="2">
        <f t="shared" si="47"/>
        <v>101.1</v>
      </c>
      <c r="U96" s="34">
        <f t="shared" si="48"/>
        <v>2340</v>
      </c>
      <c r="V96" s="57">
        <f t="shared" si="51"/>
        <v>62470</v>
      </c>
      <c r="W96" s="16">
        <f t="shared" si="53"/>
        <v>47</v>
      </c>
      <c r="X96" s="170">
        <v>20000</v>
      </c>
      <c r="Y96" s="171">
        <v>220000</v>
      </c>
      <c r="Z96" s="652">
        <v>1.7</v>
      </c>
      <c r="AA96" s="652">
        <v>1.7</v>
      </c>
      <c r="AB96" s="652">
        <v>1.7</v>
      </c>
      <c r="AC96" s="134"/>
      <c r="AD96" s="134"/>
      <c r="AI96" s="2">
        <f t="shared" si="82"/>
        <v>38.619999999999997</v>
      </c>
      <c r="AJ96" s="34">
        <f t="shared" si="81"/>
        <v>1563.7800000000061</v>
      </c>
      <c r="AK96" s="57">
        <f t="shared" si="52"/>
        <v>62470</v>
      </c>
      <c r="AL96" s="130">
        <f t="shared" si="71"/>
        <v>0</v>
      </c>
      <c r="AM96" s="109">
        <f t="shared" si="74"/>
        <v>88</v>
      </c>
      <c r="AN96" s="110">
        <f t="shared" si="63"/>
        <v>47992</v>
      </c>
      <c r="AO96" s="105">
        <f t="shared" si="35"/>
        <v>0</v>
      </c>
      <c r="AP96" s="105">
        <f t="shared" si="64"/>
        <v>0</v>
      </c>
      <c r="AQ96" s="105">
        <f t="shared" si="41"/>
        <v>0</v>
      </c>
      <c r="AR96" s="105">
        <f t="shared" si="78"/>
        <v>0</v>
      </c>
      <c r="AS96" s="105">
        <f t="shared" si="42"/>
        <v>0</v>
      </c>
      <c r="AT96" s="105">
        <f t="shared" si="43"/>
        <v>0</v>
      </c>
      <c r="AU96" s="105">
        <f t="shared" si="44"/>
        <v>0</v>
      </c>
      <c r="AV96" s="105">
        <f t="shared" si="45"/>
        <v>0</v>
      </c>
      <c r="AW96" s="105">
        <f t="shared" si="46"/>
        <v>0</v>
      </c>
      <c r="AX96" s="108">
        <f t="shared" si="75"/>
        <v>0</v>
      </c>
      <c r="AY96" s="108">
        <f t="shared" si="65"/>
        <v>0</v>
      </c>
      <c r="AZ96" s="22">
        <f t="shared" si="57"/>
        <v>47992</v>
      </c>
      <c r="BA96" s="108">
        <f t="shared" si="57"/>
        <v>0</v>
      </c>
      <c r="BB96" s="2" t="e">
        <f t="shared" si="83"/>
        <v>#VALUE!</v>
      </c>
    </row>
    <row r="97" spans="1:1207" s="16" customFormat="1" ht="12.6" thickBot="1" x14ac:dyDescent="0.3">
      <c r="A97" s="2"/>
      <c r="B97" s="2"/>
      <c r="C97" s="1"/>
      <c r="D97" s="1"/>
      <c r="E97" s="114">
        <f t="shared" si="72"/>
        <v>89</v>
      </c>
      <c r="F97" s="111">
        <f t="shared" si="66"/>
        <v>48023</v>
      </c>
      <c r="G97" s="24">
        <f t="shared" si="58"/>
        <v>0</v>
      </c>
      <c r="H97" s="24">
        <f t="shared" si="59"/>
        <v>0</v>
      </c>
      <c r="I97" s="24">
        <f t="shared" si="70"/>
        <v>46903.630000000005</v>
      </c>
      <c r="J97" s="24">
        <f t="shared" si="55"/>
        <v>0</v>
      </c>
      <c r="K97" s="24">
        <f t="shared" si="60"/>
        <v>0</v>
      </c>
      <c r="L97" s="24">
        <f t="shared" si="67"/>
        <v>0</v>
      </c>
      <c r="M97" s="24">
        <f t="shared" si="79"/>
        <v>0</v>
      </c>
      <c r="N97" s="24">
        <f t="shared" si="80"/>
        <v>0</v>
      </c>
      <c r="O97" s="24">
        <f t="shared" si="68"/>
        <v>0</v>
      </c>
      <c r="P97" s="24">
        <f t="shared" si="69"/>
        <v>0</v>
      </c>
      <c r="Q97" s="24">
        <f t="shared" si="61"/>
        <v>0</v>
      </c>
      <c r="R97" s="36">
        <f t="shared" si="76"/>
        <v>0</v>
      </c>
      <c r="S97" s="36">
        <f t="shared" si="62"/>
        <v>0</v>
      </c>
      <c r="T97" s="2">
        <f t="shared" si="47"/>
        <v>47.49</v>
      </c>
      <c r="U97" s="34">
        <f t="shared" si="48"/>
        <v>1922.6300000000147</v>
      </c>
      <c r="V97" s="57">
        <f t="shared" si="51"/>
        <v>62835</v>
      </c>
      <c r="W97" s="16">
        <f t="shared" si="53"/>
        <v>48</v>
      </c>
      <c r="X97" s="170">
        <v>220001</v>
      </c>
      <c r="Y97" s="171">
        <v>500000</v>
      </c>
      <c r="Z97" s="652">
        <v>0.97</v>
      </c>
      <c r="AA97" s="652">
        <v>0.95</v>
      </c>
      <c r="AB97" s="652">
        <v>0.93</v>
      </c>
      <c r="AC97" s="134"/>
      <c r="AD97" s="134"/>
      <c r="AI97" s="2">
        <f t="shared" si="82"/>
        <v>0</v>
      </c>
      <c r="AJ97" s="34">
        <f t="shared" si="81"/>
        <v>0</v>
      </c>
      <c r="AK97" s="57">
        <f t="shared" si="52"/>
        <v>62470</v>
      </c>
      <c r="AL97" s="130">
        <f t="shared" si="71"/>
        <v>0</v>
      </c>
      <c r="AM97" s="109">
        <f t="shared" si="74"/>
        <v>89</v>
      </c>
      <c r="AN97" s="110">
        <f t="shared" si="63"/>
        <v>48023</v>
      </c>
      <c r="AO97" s="105">
        <f t="shared" si="35"/>
        <v>0</v>
      </c>
      <c r="AP97" s="105">
        <f t="shared" si="64"/>
        <v>0</v>
      </c>
      <c r="AQ97" s="105">
        <f t="shared" si="41"/>
        <v>0</v>
      </c>
      <c r="AR97" s="105">
        <f t="shared" si="78"/>
        <v>0</v>
      </c>
      <c r="AS97" s="105">
        <f t="shared" si="42"/>
        <v>0</v>
      </c>
      <c r="AT97" s="105">
        <f t="shared" si="43"/>
        <v>0</v>
      </c>
      <c r="AU97" s="105">
        <f t="shared" si="44"/>
        <v>0</v>
      </c>
      <c r="AV97" s="105">
        <f t="shared" si="45"/>
        <v>0</v>
      </c>
      <c r="AW97" s="105">
        <f t="shared" si="46"/>
        <v>0</v>
      </c>
      <c r="AX97" s="108">
        <f t="shared" si="75"/>
        <v>0</v>
      </c>
      <c r="AY97" s="108">
        <f t="shared" si="65"/>
        <v>0</v>
      </c>
      <c r="AZ97" s="22">
        <f t="shared" si="57"/>
        <v>48023</v>
      </c>
      <c r="BA97" s="108">
        <f t="shared" si="57"/>
        <v>0</v>
      </c>
      <c r="BB97" s="2" t="e">
        <f t="shared" si="83"/>
        <v>#VALUE!</v>
      </c>
    </row>
    <row r="98" spans="1:1207" s="16" customFormat="1" ht="12.6" thickBot="1" x14ac:dyDescent="0.3">
      <c r="A98" s="2"/>
      <c r="B98" s="2"/>
      <c r="C98" s="1"/>
      <c r="D98" s="1"/>
      <c r="E98" s="114">
        <f t="shared" si="72"/>
        <v>90</v>
      </c>
      <c r="F98" s="111">
        <f t="shared" si="66"/>
        <v>48053</v>
      </c>
      <c r="G98" s="24">
        <f t="shared" si="58"/>
        <v>0</v>
      </c>
      <c r="H98" s="24">
        <f t="shared" si="59"/>
        <v>0</v>
      </c>
      <c r="I98" s="24">
        <f t="shared" si="70"/>
        <v>46903.630000000005</v>
      </c>
      <c r="J98" s="24">
        <f t="shared" si="55"/>
        <v>0</v>
      </c>
      <c r="K98" s="24">
        <f t="shared" si="60"/>
        <v>0</v>
      </c>
      <c r="L98" s="24">
        <f t="shared" si="67"/>
        <v>0</v>
      </c>
      <c r="M98" s="24">
        <f t="shared" si="79"/>
        <v>0</v>
      </c>
      <c r="N98" s="24">
        <f t="shared" si="80"/>
        <v>0</v>
      </c>
      <c r="O98" s="24">
        <f t="shared" si="68"/>
        <v>0</v>
      </c>
      <c r="P98" s="24">
        <f t="shared" si="69"/>
        <v>0</v>
      </c>
      <c r="Q98" s="24">
        <f t="shared" si="61"/>
        <v>0</v>
      </c>
      <c r="R98" s="36">
        <f t="shared" si="76"/>
        <v>0</v>
      </c>
      <c r="S98" s="36">
        <f t="shared" si="62"/>
        <v>0</v>
      </c>
      <c r="T98" s="2">
        <f t="shared" si="47"/>
        <v>0</v>
      </c>
      <c r="U98" s="34">
        <f t="shared" si="48"/>
        <v>0</v>
      </c>
      <c r="V98" s="57">
        <f t="shared" si="51"/>
        <v>62835</v>
      </c>
      <c r="W98" s="16">
        <f t="shared" si="53"/>
        <v>49</v>
      </c>
      <c r="X98" s="171">
        <v>500001</v>
      </c>
      <c r="Y98" s="171">
        <v>1000000</v>
      </c>
      <c r="Z98" s="652">
        <v>1.26</v>
      </c>
      <c r="AA98" s="652">
        <v>1.26</v>
      </c>
      <c r="AB98" s="652">
        <v>1.26</v>
      </c>
      <c r="AC98" s="652">
        <v>1.26</v>
      </c>
      <c r="AD98" s="652">
        <v>1.26</v>
      </c>
      <c r="AI98" s="2">
        <f t="shared" si="82"/>
        <v>0</v>
      </c>
      <c r="AJ98" s="34">
        <f t="shared" si="81"/>
        <v>0</v>
      </c>
      <c r="AK98" s="57">
        <f t="shared" si="52"/>
        <v>62470</v>
      </c>
      <c r="AL98" s="130">
        <f t="shared" si="71"/>
        <v>0</v>
      </c>
      <c r="AM98" s="109">
        <f t="shared" si="74"/>
        <v>90</v>
      </c>
      <c r="AN98" s="110">
        <f t="shared" si="63"/>
        <v>48053</v>
      </c>
      <c r="AO98" s="105">
        <f t="shared" si="35"/>
        <v>0</v>
      </c>
      <c r="AP98" s="105">
        <f t="shared" si="64"/>
        <v>0</v>
      </c>
      <c r="AQ98" s="105">
        <f t="shared" si="41"/>
        <v>0</v>
      </c>
      <c r="AR98" s="105">
        <f t="shared" si="78"/>
        <v>0</v>
      </c>
      <c r="AS98" s="105">
        <f t="shared" si="42"/>
        <v>0</v>
      </c>
      <c r="AT98" s="105">
        <f t="shared" si="43"/>
        <v>0</v>
      </c>
      <c r="AU98" s="105">
        <f t="shared" si="44"/>
        <v>0</v>
      </c>
      <c r="AV98" s="105">
        <f t="shared" si="45"/>
        <v>0</v>
      </c>
      <c r="AW98" s="105">
        <f t="shared" si="46"/>
        <v>0</v>
      </c>
      <c r="AX98" s="108">
        <f t="shared" si="75"/>
        <v>0</v>
      </c>
      <c r="AY98" s="108">
        <f t="shared" si="65"/>
        <v>0</v>
      </c>
      <c r="AZ98" s="22">
        <f t="shared" si="57"/>
        <v>48053</v>
      </c>
      <c r="BA98" s="108">
        <f t="shared" si="57"/>
        <v>0</v>
      </c>
      <c r="BB98" s="2" t="e">
        <f t="shared" si="83"/>
        <v>#VALUE!</v>
      </c>
    </row>
    <row r="99" spans="1:1207" s="16" customFormat="1" ht="12.6" thickBot="1" x14ac:dyDescent="0.3">
      <c r="A99" s="2"/>
      <c r="B99" s="2"/>
      <c r="C99" s="1"/>
      <c r="D99" s="1"/>
      <c r="E99" s="114">
        <f t="shared" si="72"/>
        <v>91</v>
      </c>
      <c r="F99" s="111">
        <f t="shared" si="66"/>
        <v>48084</v>
      </c>
      <c r="G99" s="24">
        <f t="shared" si="58"/>
        <v>0</v>
      </c>
      <c r="H99" s="24">
        <f t="shared" si="59"/>
        <v>0</v>
      </c>
      <c r="I99" s="24">
        <f t="shared" si="70"/>
        <v>46903.630000000005</v>
      </c>
      <c r="J99" s="24">
        <f t="shared" si="55"/>
        <v>0</v>
      </c>
      <c r="K99" s="24">
        <f t="shared" si="60"/>
        <v>0</v>
      </c>
      <c r="L99" s="24">
        <f t="shared" si="67"/>
        <v>0</v>
      </c>
      <c r="M99" s="24">
        <f t="shared" si="79"/>
        <v>0</v>
      </c>
      <c r="N99" s="24">
        <f t="shared" si="80"/>
        <v>0</v>
      </c>
      <c r="O99" s="24">
        <f t="shared" si="68"/>
        <v>0</v>
      </c>
      <c r="P99" s="24">
        <f t="shared" si="69"/>
        <v>0</v>
      </c>
      <c r="Q99" s="24">
        <f t="shared" si="61"/>
        <v>0</v>
      </c>
      <c r="R99" s="36">
        <f t="shared" si="76"/>
        <v>0</v>
      </c>
      <c r="S99" s="36">
        <f t="shared" si="62"/>
        <v>0</v>
      </c>
      <c r="T99" s="2">
        <f t="shared" si="47"/>
        <v>0</v>
      </c>
      <c r="U99" s="34">
        <f t="shared" si="48"/>
        <v>0</v>
      </c>
      <c r="V99" s="57">
        <f t="shared" si="51"/>
        <v>62835</v>
      </c>
      <c r="W99" s="16">
        <f t="shared" si="53"/>
        <v>50</v>
      </c>
      <c r="X99" s="171">
        <v>1000001</v>
      </c>
      <c r="Y99" s="171">
        <v>5000000</v>
      </c>
      <c r="Z99" s="652">
        <v>0.83</v>
      </c>
      <c r="AA99" s="652">
        <v>0.83</v>
      </c>
      <c r="AB99" s="652">
        <v>0.83</v>
      </c>
      <c r="AC99" s="652">
        <v>0.83</v>
      </c>
      <c r="AD99" s="652">
        <v>0.83</v>
      </c>
      <c r="AI99" s="2">
        <f t="shared" si="82"/>
        <v>0</v>
      </c>
      <c r="AJ99" s="34">
        <f t="shared" si="81"/>
        <v>0</v>
      </c>
      <c r="AK99" s="57">
        <f t="shared" si="52"/>
        <v>62470</v>
      </c>
      <c r="AL99" s="130">
        <f t="shared" si="71"/>
        <v>0</v>
      </c>
      <c r="AM99" s="109">
        <f t="shared" si="74"/>
        <v>91</v>
      </c>
      <c r="AN99" s="110">
        <f t="shared" si="63"/>
        <v>48084</v>
      </c>
      <c r="AO99" s="105">
        <f t="shared" si="35"/>
        <v>0</v>
      </c>
      <c r="AP99" s="105">
        <f t="shared" si="64"/>
        <v>0</v>
      </c>
      <c r="AQ99" s="105">
        <f t="shared" si="41"/>
        <v>0</v>
      </c>
      <c r="AR99" s="105">
        <f t="shared" si="78"/>
        <v>0</v>
      </c>
      <c r="AS99" s="105">
        <f t="shared" si="42"/>
        <v>0</v>
      </c>
      <c r="AT99" s="105">
        <f t="shared" si="43"/>
        <v>0</v>
      </c>
      <c r="AU99" s="105">
        <f t="shared" si="44"/>
        <v>0</v>
      </c>
      <c r="AV99" s="105">
        <f t="shared" si="45"/>
        <v>0</v>
      </c>
      <c r="AW99" s="105">
        <f t="shared" si="46"/>
        <v>0</v>
      </c>
      <c r="AX99" s="108">
        <f t="shared" si="75"/>
        <v>0</v>
      </c>
      <c r="AY99" s="108">
        <f t="shared" si="65"/>
        <v>0</v>
      </c>
      <c r="AZ99" s="22">
        <f t="shared" si="57"/>
        <v>48084</v>
      </c>
      <c r="BA99" s="108">
        <f t="shared" si="57"/>
        <v>0</v>
      </c>
      <c r="BB99" s="2" t="e">
        <f t="shared" si="83"/>
        <v>#VALUE!</v>
      </c>
    </row>
    <row r="100" spans="1:1207" s="16" customFormat="1" ht="12" x14ac:dyDescent="0.25">
      <c r="A100" s="2"/>
      <c r="B100" s="2"/>
      <c r="C100" s="1"/>
      <c r="D100" s="1"/>
      <c r="E100" s="114">
        <f t="shared" si="72"/>
        <v>92</v>
      </c>
      <c r="F100" s="111">
        <f t="shared" si="66"/>
        <v>48115</v>
      </c>
      <c r="G100" s="24">
        <f t="shared" si="58"/>
        <v>0</v>
      </c>
      <c r="H100" s="24">
        <f t="shared" si="59"/>
        <v>0</v>
      </c>
      <c r="I100" s="24">
        <f t="shared" si="70"/>
        <v>46903.630000000005</v>
      </c>
      <c r="J100" s="24">
        <f t="shared" si="55"/>
        <v>0</v>
      </c>
      <c r="K100" s="24">
        <f t="shared" si="60"/>
        <v>0</v>
      </c>
      <c r="L100" s="24">
        <f t="shared" si="67"/>
        <v>0</v>
      </c>
      <c r="M100" s="24">
        <f t="shared" si="79"/>
        <v>0</v>
      </c>
      <c r="N100" s="24">
        <f t="shared" si="80"/>
        <v>0</v>
      </c>
      <c r="O100" s="24">
        <f t="shared" si="68"/>
        <v>0</v>
      </c>
      <c r="P100" s="24">
        <f t="shared" si="69"/>
        <v>0</v>
      </c>
      <c r="Q100" s="24">
        <f t="shared" si="61"/>
        <v>0</v>
      </c>
      <c r="R100" s="36">
        <f t="shared" si="76"/>
        <v>0</v>
      </c>
      <c r="S100" s="36">
        <f t="shared" si="62"/>
        <v>0</v>
      </c>
      <c r="T100" s="2">
        <f t="shared" si="47"/>
        <v>0</v>
      </c>
      <c r="U100" s="34">
        <f t="shared" si="48"/>
        <v>0</v>
      </c>
      <c r="V100" s="57">
        <f t="shared" si="51"/>
        <v>62835</v>
      </c>
      <c r="W100" s="16">
        <f t="shared" si="53"/>
        <v>51</v>
      </c>
      <c r="AI100" s="2">
        <f t="shared" si="82"/>
        <v>0</v>
      </c>
      <c r="AJ100" s="34">
        <f t="shared" si="81"/>
        <v>0</v>
      </c>
      <c r="AK100" s="57">
        <f t="shared" si="52"/>
        <v>62470</v>
      </c>
      <c r="AL100" s="130">
        <f t="shared" si="71"/>
        <v>0</v>
      </c>
      <c r="AM100" s="109">
        <f t="shared" si="74"/>
        <v>92</v>
      </c>
      <c r="AN100" s="110">
        <f t="shared" si="63"/>
        <v>48115</v>
      </c>
      <c r="AO100" s="105">
        <f t="shared" si="35"/>
        <v>0</v>
      </c>
      <c r="AP100" s="105">
        <f t="shared" si="64"/>
        <v>0</v>
      </c>
      <c r="AQ100" s="105">
        <f t="shared" si="41"/>
        <v>0</v>
      </c>
      <c r="AR100" s="105">
        <f t="shared" si="78"/>
        <v>0</v>
      </c>
      <c r="AS100" s="105">
        <f t="shared" si="42"/>
        <v>0</v>
      </c>
      <c r="AT100" s="105">
        <f t="shared" si="43"/>
        <v>0</v>
      </c>
      <c r="AU100" s="105">
        <f t="shared" si="44"/>
        <v>0</v>
      </c>
      <c r="AV100" s="105">
        <f t="shared" si="45"/>
        <v>0</v>
      </c>
      <c r="AW100" s="105">
        <f t="shared" si="46"/>
        <v>0</v>
      </c>
      <c r="AX100" s="108">
        <f t="shared" si="75"/>
        <v>0</v>
      </c>
      <c r="AY100" s="108">
        <f t="shared" si="65"/>
        <v>0</v>
      </c>
      <c r="AZ100" s="22">
        <f t="shared" si="57"/>
        <v>48115</v>
      </c>
      <c r="BA100" s="108">
        <f t="shared" si="57"/>
        <v>0</v>
      </c>
      <c r="BB100" s="2" t="e">
        <f t="shared" si="83"/>
        <v>#VALUE!</v>
      </c>
    </row>
    <row r="101" spans="1:1207" s="16" customFormat="1" ht="12" x14ac:dyDescent="0.25">
      <c r="A101" s="2"/>
      <c r="B101" s="2"/>
      <c r="C101" s="1"/>
      <c r="D101" s="1"/>
      <c r="E101" s="114">
        <f t="shared" si="72"/>
        <v>93</v>
      </c>
      <c r="F101" s="111">
        <f t="shared" si="66"/>
        <v>48145</v>
      </c>
      <c r="G101" s="24">
        <f t="shared" si="58"/>
        <v>0</v>
      </c>
      <c r="H101" s="24">
        <f t="shared" si="59"/>
        <v>0</v>
      </c>
      <c r="I101" s="24">
        <f t="shared" si="70"/>
        <v>46903.630000000005</v>
      </c>
      <c r="J101" s="24">
        <f t="shared" si="55"/>
        <v>0</v>
      </c>
      <c r="K101" s="24">
        <f t="shared" si="60"/>
        <v>0</v>
      </c>
      <c r="L101" s="24">
        <f t="shared" si="67"/>
        <v>0</v>
      </c>
      <c r="M101" s="24">
        <f t="shared" si="79"/>
        <v>0</v>
      </c>
      <c r="N101" s="24">
        <f t="shared" si="80"/>
        <v>0</v>
      </c>
      <c r="O101" s="24">
        <f t="shared" si="68"/>
        <v>0</v>
      </c>
      <c r="P101" s="24">
        <f t="shared" si="69"/>
        <v>0</v>
      </c>
      <c r="Q101" s="24">
        <f t="shared" si="61"/>
        <v>0</v>
      </c>
      <c r="R101" s="36">
        <f t="shared" si="76"/>
        <v>0</v>
      </c>
      <c r="S101" s="36">
        <f t="shared" si="62"/>
        <v>0</v>
      </c>
      <c r="T101" s="2">
        <f t="shared" si="47"/>
        <v>0</v>
      </c>
      <c r="U101" s="34">
        <f t="shared" si="48"/>
        <v>0</v>
      </c>
      <c r="V101" s="57">
        <f t="shared" si="51"/>
        <v>62835</v>
      </c>
      <c r="W101" s="16">
        <f t="shared" si="53"/>
        <v>52</v>
      </c>
      <c r="AI101" s="2">
        <f t="shared" si="82"/>
        <v>0</v>
      </c>
      <c r="AJ101" s="34">
        <f t="shared" si="81"/>
        <v>0</v>
      </c>
      <c r="AK101" s="57">
        <f t="shared" si="52"/>
        <v>62470</v>
      </c>
      <c r="AL101" s="130">
        <f t="shared" si="71"/>
        <v>0</v>
      </c>
      <c r="AM101" s="109">
        <f t="shared" si="74"/>
        <v>93</v>
      </c>
      <c r="AN101" s="110">
        <f t="shared" si="63"/>
        <v>48145</v>
      </c>
      <c r="AO101" s="105">
        <f t="shared" si="35"/>
        <v>0</v>
      </c>
      <c r="AP101" s="105">
        <f t="shared" si="64"/>
        <v>0</v>
      </c>
      <c r="AQ101" s="105">
        <f t="shared" si="41"/>
        <v>0</v>
      </c>
      <c r="AR101" s="105">
        <f t="shared" si="78"/>
        <v>0</v>
      </c>
      <c r="AS101" s="105">
        <f t="shared" si="42"/>
        <v>0</v>
      </c>
      <c r="AT101" s="105">
        <f t="shared" si="43"/>
        <v>0</v>
      </c>
      <c r="AU101" s="105">
        <f t="shared" si="44"/>
        <v>0</v>
      </c>
      <c r="AV101" s="105">
        <f t="shared" si="45"/>
        <v>0</v>
      </c>
      <c r="AW101" s="105">
        <f t="shared" si="46"/>
        <v>0</v>
      </c>
      <c r="AX101" s="108">
        <f t="shared" si="75"/>
        <v>0</v>
      </c>
      <c r="AY101" s="108">
        <f t="shared" si="65"/>
        <v>0</v>
      </c>
      <c r="AZ101" s="22">
        <f t="shared" si="57"/>
        <v>48145</v>
      </c>
      <c r="BA101" s="108">
        <f t="shared" si="57"/>
        <v>0</v>
      </c>
      <c r="BB101" s="2" t="e">
        <f t="shared" si="83"/>
        <v>#VALUE!</v>
      </c>
    </row>
    <row r="102" spans="1:1207" s="16" customFormat="1" ht="12" x14ac:dyDescent="0.25">
      <c r="A102" s="2"/>
      <c r="B102" s="2"/>
      <c r="C102" s="1"/>
      <c r="D102" s="1"/>
      <c r="E102" s="114">
        <f t="shared" si="72"/>
        <v>94</v>
      </c>
      <c r="F102" s="111">
        <f t="shared" si="66"/>
        <v>48176</v>
      </c>
      <c r="G102" s="24">
        <f t="shared" si="58"/>
        <v>0</v>
      </c>
      <c r="H102" s="24">
        <f t="shared" si="59"/>
        <v>0</v>
      </c>
      <c r="I102" s="24">
        <f t="shared" si="70"/>
        <v>46903.630000000005</v>
      </c>
      <c r="J102" s="24">
        <f t="shared" si="55"/>
        <v>0</v>
      </c>
      <c r="K102" s="24">
        <f t="shared" si="60"/>
        <v>0</v>
      </c>
      <c r="L102" s="24">
        <f t="shared" si="67"/>
        <v>0</v>
      </c>
      <c r="M102" s="24">
        <f t="shared" si="79"/>
        <v>0</v>
      </c>
      <c r="N102" s="24">
        <f t="shared" si="80"/>
        <v>0</v>
      </c>
      <c r="O102" s="24">
        <f t="shared" si="68"/>
        <v>0</v>
      </c>
      <c r="P102" s="24">
        <f t="shared" si="69"/>
        <v>0</v>
      </c>
      <c r="Q102" s="24">
        <f t="shared" si="61"/>
        <v>0</v>
      </c>
      <c r="R102" s="36">
        <f t="shared" si="76"/>
        <v>0</v>
      </c>
      <c r="S102" s="36">
        <f t="shared" si="62"/>
        <v>0</v>
      </c>
      <c r="T102" s="2">
        <f t="shared" si="47"/>
        <v>0</v>
      </c>
      <c r="U102" s="34">
        <f t="shared" si="48"/>
        <v>0</v>
      </c>
      <c r="V102" s="57">
        <f t="shared" si="51"/>
        <v>62835</v>
      </c>
      <c r="W102" s="16">
        <f t="shared" si="53"/>
        <v>53</v>
      </c>
      <c r="AI102" s="2">
        <f t="shared" si="82"/>
        <v>0</v>
      </c>
      <c r="AJ102" s="34">
        <f t="shared" si="81"/>
        <v>0</v>
      </c>
      <c r="AK102" s="57">
        <f t="shared" si="52"/>
        <v>62470</v>
      </c>
      <c r="AL102" s="130">
        <f t="shared" si="71"/>
        <v>0</v>
      </c>
      <c r="AM102" s="109">
        <f t="shared" si="74"/>
        <v>94</v>
      </c>
      <c r="AN102" s="110">
        <f t="shared" si="63"/>
        <v>48176</v>
      </c>
      <c r="AO102" s="105">
        <f t="shared" si="35"/>
        <v>0</v>
      </c>
      <c r="AP102" s="105">
        <f t="shared" si="64"/>
        <v>0</v>
      </c>
      <c r="AQ102" s="105">
        <f t="shared" si="41"/>
        <v>0</v>
      </c>
      <c r="AR102" s="105">
        <f t="shared" si="78"/>
        <v>0</v>
      </c>
      <c r="AS102" s="105">
        <f t="shared" si="42"/>
        <v>0</v>
      </c>
      <c r="AT102" s="105">
        <f t="shared" si="43"/>
        <v>0</v>
      </c>
      <c r="AU102" s="105">
        <f t="shared" si="44"/>
        <v>0</v>
      </c>
      <c r="AV102" s="105">
        <f t="shared" si="45"/>
        <v>0</v>
      </c>
      <c r="AW102" s="105">
        <f t="shared" si="46"/>
        <v>0</v>
      </c>
      <c r="AX102" s="108">
        <f t="shared" si="75"/>
        <v>0</v>
      </c>
      <c r="AY102" s="108">
        <f t="shared" si="65"/>
        <v>0</v>
      </c>
      <c r="AZ102" s="22">
        <f t="shared" si="57"/>
        <v>48176</v>
      </c>
      <c r="BA102" s="108">
        <f t="shared" si="57"/>
        <v>0</v>
      </c>
      <c r="BB102" s="2" t="e">
        <f t="shared" si="83"/>
        <v>#VALUE!</v>
      </c>
    </row>
    <row r="103" spans="1:1207" s="16" customFormat="1" ht="12" x14ac:dyDescent="0.25">
      <c r="A103" s="2"/>
      <c r="B103" s="2"/>
      <c r="C103" s="1"/>
      <c r="D103" s="1"/>
      <c r="E103" s="114">
        <f t="shared" si="72"/>
        <v>95</v>
      </c>
      <c r="F103" s="111">
        <f t="shared" si="66"/>
        <v>48206</v>
      </c>
      <c r="G103" s="24">
        <f t="shared" si="58"/>
        <v>0</v>
      </c>
      <c r="H103" s="24">
        <f t="shared" si="59"/>
        <v>0</v>
      </c>
      <c r="I103" s="24">
        <f t="shared" si="70"/>
        <v>46903.630000000005</v>
      </c>
      <c r="J103" s="24">
        <f t="shared" si="55"/>
        <v>0</v>
      </c>
      <c r="K103" s="24">
        <f t="shared" si="60"/>
        <v>0</v>
      </c>
      <c r="L103" s="24">
        <f t="shared" si="67"/>
        <v>0</v>
      </c>
      <c r="M103" s="24">
        <f t="shared" si="79"/>
        <v>0</v>
      </c>
      <c r="N103" s="24">
        <f t="shared" si="80"/>
        <v>0</v>
      </c>
      <c r="O103" s="24">
        <f t="shared" si="68"/>
        <v>0</v>
      </c>
      <c r="P103" s="24">
        <f t="shared" si="69"/>
        <v>0</v>
      </c>
      <c r="Q103" s="24">
        <f t="shared" si="61"/>
        <v>0</v>
      </c>
      <c r="R103" s="36">
        <f t="shared" si="76"/>
        <v>0</v>
      </c>
      <c r="S103" s="36">
        <f t="shared" si="62"/>
        <v>0</v>
      </c>
      <c r="T103" s="2">
        <f t="shared" si="47"/>
        <v>0</v>
      </c>
      <c r="U103" s="34">
        <f t="shared" si="48"/>
        <v>0</v>
      </c>
      <c r="V103" s="57">
        <f t="shared" si="51"/>
        <v>62835</v>
      </c>
      <c r="W103" s="16">
        <f t="shared" si="53"/>
        <v>54</v>
      </c>
      <c r="AI103" s="2">
        <f t="shared" si="82"/>
        <v>0</v>
      </c>
      <c r="AJ103" s="34">
        <f t="shared" si="81"/>
        <v>0</v>
      </c>
      <c r="AK103" s="57">
        <f t="shared" si="52"/>
        <v>62470</v>
      </c>
      <c r="AL103" s="130">
        <f t="shared" si="71"/>
        <v>0</v>
      </c>
      <c r="AM103" s="109">
        <f t="shared" si="74"/>
        <v>95</v>
      </c>
      <c r="AN103" s="110">
        <f t="shared" si="63"/>
        <v>48206</v>
      </c>
      <c r="AO103" s="105">
        <f t="shared" ref="AO103:AO129" si="84">IF(AX102=1,AR103+AP103+AQ103,IF(AW102+AR103+AP103&gt;AO102,$D$29,IF(AW102=0,0,AW102+AR103+AP103+AP135)))</f>
        <v>0</v>
      </c>
      <c r="AP103" s="105">
        <f t="shared" si="64"/>
        <v>0</v>
      </c>
      <c r="AQ103" s="105">
        <f t="shared" si="41"/>
        <v>0</v>
      </c>
      <c r="AR103" s="105">
        <f t="shared" si="78"/>
        <v>0</v>
      </c>
      <c r="AS103" s="105">
        <f t="shared" si="42"/>
        <v>0</v>
      </c>
      <c r="AT103" s="105">
        <f t="shared" si="43"/>
        <v>0</v>
      </c>
      <c r="AU103" s="105">
        <f t="shared" si="44"/>
        <v>0</v>
      </c>
      <c r="AV103" s="105">
        <f t="shared" si="45"/>
        <v>0</v>
      </c>
      <c r="AW103" s="105">
        <f t="shared" si="46"/>
        <v>0</v>
      </c>
      <c r="AX103" s="108">
        <f t="shared" si="75"/>
        <v>0</v>
      </c>
      <c r="AY103" s="108">
        <f t="shared" si="65"/>
        <v>0</v>
      </c>
      <c r="AZ103" s="22">
        <f t="shared" si="57"/>
        <v>48206</v>
      </c>
      <c r="BA103" s="108">
        <f t="shared" si="57"/>
        <v>0</v>
      </c>
      <c r="BB103" s="2" t="e">
        <f t="shared" si="83"/>
        <v>#VALUE!</v>
      </c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2"/>
      <c r="LX103" s="2"/>
      <c r="LY103" s="2"/>
      <c r="LZ103" s="2"/>
      <c r="MA103" s="2"/>
      <c r="MB103" s="2"/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  <c r="MQ103" s="2"/>
      <c r="MR103" s="2"/>
      <c r="MS103" s="2"/>
      <c r="MT103" s="2"/>
      <c r="MU103" s="2"/>
      <c r="MV103" s="2"/>
      <c r="MW103" s="2"/>
      <c r="MX103" s="2"/>
      <c r="MY103" s="2"/>
      <c r="MZ103" s="2"/>
      <c r="NA103" s="2"/>
      <c r="NB103" s="2"/>
      <c r="NC103" s="2"/>
      <c r="ND103" s="2"/>
      <c r="NE103" s="2"/>
      <c r="NF103" s="2"/>
      <c r="NG103" s="2"/>
      <c r="NH103" s="2"/>
      <c r="NI103" s="2"/>
      <c r="NJ103" s="2"/>
      <c r="NK103" s="2"/>
      <c r="NL103" s="2"/>
      <c r="NM103" s="2"/>
      <c r="NN103" s="2"/>
      <c r="NO103" s="2"/>
      <c r="NP103" s="2"/>
      <c r="NQ103" s="2"/>
      <c r="NR103" s="2"/>
      <c r="NS103" s="2"/>
      <c r="NT103" s="2"/>
      <c r="NU103" s="2"/>
      <c r="NV103" s="2"/>
      <c r="NW103" s="2"/>
      <c r="NX103" s="2"/>
      <c r="NY103" s="2"/>
      <c r="NZ103" s="2"/>
      <c r="OA103" s="2"/>
      <c r="OB103" s="2"/>
      <c r="OC103" s="2"/>
      <c r="OD103" s="2"/>
      <c r="OE103" s="2"/>
      <c r="OF103" s="2"/>
      <c r="OG103" s="2"/>
      <c r="OH103" s="2"/>
      <c r="OI103" s="2"/>
      <c r="OJ103" s="2"/>
      <c r="OK103" s="2"/>
      <c r="OL103" s="2"/>
      <c r="OM103" s="2"/>
      <c r="ON103" s="2"/>
      <c r="OO103" s="2"/>
      <c r="OP103" s="2"/>
      <c r="OQ103" s="2"/>
      <c r="OR103" s="2"/>
      <c r="OS103" s="2"/>
      <c r="OT103" s="2"/>
      <c r="OU103" s="2"/>
      <c r="OV103" s="2"/>
      <c r="OW103" s="2"/>
      <c r="OX103" s="2"/>
      <c r="OY103" s="2"/>
      <c r="OZ103" s="2"/>
      <c r="PA103" s="2"/>
      <c r="PB103" s="2"/>
      <c r="PC103" s="2"/>
      <c r="PD103" s="2"/>
      <c r="PE103" s="2"/>
      <c r="PF103" s="2"/>
      <c r="PG103" s="2"/>
      <c r="PH103" s="2"/>
      <c r="PI103" s="2"/>
      <c r="PJ103" s="2"/>
      <c r="PK103" s="2"/>
      <c r="PL103" s="2"/>
      <c r="PM103" s="2"/>
      <c r="PN103" s="2"/>
      <c r="PO103" s="2"/>
      <c r="PP103" s="2"/>
      <c r="PQ103" s="2"/>
      <c r="PR103" s="2"/>
      <c r="PS103" s="2"/>
      <c r="PT103" s="2"/>
      <c r="PU103" s="2"/>
      <c r="PV103" s="2"/>
      <c r="PW103" s="2"/>
      <c r="PX103" s="2"/>
      <c r="PY103" s="2"/>
      <c r="PZ103" s="2"/>
      <c r="QA103" s="2"/>
      <c r="QB103" s="2"/>
      <c r="QC103" s="2"/>
      <c r="QD103" s="2"/>
      <c r="QE103" s="2"/>
      <c r="QF103" s="2"/>
      <c r="QG103" s="2"/>
      <c r="QH103" s="2"/>
      <c r="QI103" s="2"/>
      <c r="QJ103" s="2"/>
      <c r="QK103" s="2"/>
      <c r="QL103" s="2"/>
      <c r="QM103" s="2"/>
      <c r="QN103" s="2"/>
      <c r="QO103" s="2"/>
      <c r="QP103" s="2"/>
      <c r="QQ103" s="2"/>
      <c r="QR103" s="2"/>
      <c r="QS103" s="2"/>
      <c r="QT103" s="2"/>
      <c r="QU103" s="2"/>
      <c r="QV103" s="2"/>
      <c r="QW103" s="2"/>
      <c r="QX103" s="2"/>
      <c r="QY103" s="2"/>
      <c r="QZ103" s="2"/>
      <c r="RA103" s="2"/>
      <c r="RB103" s="2"/>
      <c r="RC103" s="2"/>
      <c r="RD103" s="2"/>
      <c r="RE103" s="2"/>
      <c r="RF103" s="2"/>
      <c r="RG103" s="2"/>
      <c r="RH103" s="2"/>
      <c r="RI103" s="2"/>
      <c r="RJ103" s="2"/>
      <c r="RK103" s="2"/>
      <c r="RL103" s="2"/>
      <c r="RM103" s="2"/>
      <c r="RN103" s="2"/>
      <c r="RO103" s="2"/>
      <c r="RP103" s="2"/>
      <c r="RQ103" s="2"/>
      <c r="RR103" s="2"/>
      <c r="RS103" s="2"/>
      <c r="RT103" s="2"/>
      <c r="RU103" s="2"/>
      <c r="RV103" s="2"/>
      <c r="RW103" s="2"/>
      <c r="RX103" s="2"/>
      <c r="RY103" s="2"/>
      <c r="RZ103" s="2"/>
      <c r="SA103" s="2"/>
      <c r="SB103" s="2"/>
      <c r="SC103" s="2"/>
      <c r="SD103" s="2"/>
      <c r="SE103" s="2"/>
      <c r="SF103" s="2"/>
      <c r="SG103" s="2"/>
      <c r="SH103" s="2"/>
      <c r="SI103" s="2"/>
      <c r="SJ103" s="2"/>
      <c r="SK103" s="2"/>
      <c r="SL103" s="2"/>
      <c r="SM103" s="2"/>
      <c r="SN103" s="2"/>
      <c r="SO103" s="2"/>
      <c r="SP103" s="2"/>
      <c r="SQ103" s="2"/>
      <c r="SR103" s="2"/>
      <c r="SS103" s="2"/>
      <c r="ST103" s="2"/>
      <c r="SU103" s="2"/>
      <c r="SV103" s="2"/>
      <c r="SW103" s="2"/>
      <c r="SX103" s="2"/>
      <c r="SY103" s="2"/>
      <c r="SZ103" s="2"/>
      <c r="TA103" s="2"/>
      <c r="TB103" s="2"/>
      <c r="TC103" s="2"/>
      <c r="TD103" s="2"/>
      <c r="TE103" s="2"/>
      <c r="TF103" s="2"/>
      <c r="TG103" s="2"/>
      <c r="TH103" s="2"/>
      <c r="TI103" s="2"/>
      <c r="TJ103" s="2"/>
      <c r="TK103" s="2"/>
      <c r="TL103" s="2"/>
      <c r="TM103" s="2"/>
      <c r="TN103" s="2"/>
      <c r="TO103" s="2"/>
      <c r="TP103" s="2"/>
      <c r="TQ103" s="2"/>
      <c r="TR103" s="2"/>
      <c r="TS103" s="2"/>
      <c r="TT103" s="2"/>
      <c r="TU103" s="2"/>
      <c r="TV103" s="2"/>
      <c r="TW103" s="2"/>
      <c r="TX103" s="2"/>
      <c r="TY103" s="2"/>
      <c r="TZ103" s="2"/>
      <c r="UA103" s="2"/>
      <c r="UB103" s="2"/>
      <c r="UC103" s="2"/>
      <c r="UD103" s="2"/>
      <c r="UE103" s="2"/>
      <c r="UF103" s="2"/>
      <c r="UG103" s="2"/>
      <c r="UH103" s="2"/>
      <c r="UI103" s="2"/>
      <c r="UJ103" s="2"/>
      <c r="UK103" s="2"/>
      <c r="UL103" s="2"/>
      <c r="UM103" s="2"/>
      <c r="UN103" s="2"/>
      <c r="UO103" s="2"/>
      <c r="UP103" s="2"/>
      <c r="UQ103" s="2"/>
      <c r="UR103" s="2"/>
      <c r="US103" s="2"/>
      <c r="UT103" s="2"/>
      <c r="UU103" s="2"/>
      <c r="UV103" s="2"/>
      <c r="UW103" s="2"/>
      <c r="UX103" s="2"/>
      <c r="UY103" s="2"/>
      <c r="UZ103" s="2"/>
      <c r="VA103" s="2"/>
      <c r="VB103" s="2"/>
      <c r="VC103" s="2"/>
      <c r="VD103" s="2"/>
      <c r="VE103" s="2"/>
      <c r="VF103" s="2"/>
      <c r="VG103" s="2"/>
      <c r="VH103" s="2"/>
      <c r="VI103" s="2"/>
      <c r="VJ103" s="2"/>
      <c r="VK103" s="2"/>
      <c r="VL103" s="2"/>
      <c r="VM103" s="2"/>
      <c r="VN103" s="2"/>
      <c r="VO103" s="2"/>
      <c r="VP103" s="2"/>
      <c r="VQ103" s="2"/>
      <c r="VR103" s="2"/>
      <c r="VS103" s="2"/>
      <c r="VT103" s="2"/>
      <c r="VU103" s="2"/>
      <c r="VV103" s="2"/>
      <c r="VW103" s="2"/>
      <c r="VX103" s="2"/>
      <c r="VY103" s="2"/>
      <c r="VZ103" s="2"/>
      <c r="WA103" s="2"/>
      <c r="WB103" s="2"/>
      <c r="WC103" s="2"/>
      <c r="WD103" s="2"/>
      <c r="WE103" s="2"/>
      <c r="WF103" s="2"/>
      <c r="WG103" s="2"/>
      <c r="WH103" s="2"/>
      <c r="WI103" s="2"/>
      <c r="WJ103" s="2"/>
      <c r="WK103" s="2"/>
      <c r="WL103" s="2"/>
      <c r="WM103" s="2"/>
      <c r="WN103" s="2"/>
      <c r="WO103" s="2"/>
      <c r="WP103" s="2"/>
      <c r="WQ103" s="2"/>
      <c r="WR103" s="2"/>
      <c r="WS103" s="2"/>
      <c r="WT103" s="2"/>
      <c r="WU103" s="2"/>
      <c r="WV103" s="2"/>
      <c r="WW103" s="2"/>
      <c r="WX103" s="2"/>
      <c r="WY103" s="2"/>
      <c r="WZ103" s="2"/>
      <c r="XA103" s="2"/>
      <c r="XB103" s="2"/>
      <c r="XC103" s="2"/>
      <c r="XD103" s="2"/>
      <c r="XE103" s="2"/>
      <c r="XF103" s="2"/>
      <c r="XG103" s="2"/>
      <c r="XH103" s="2"/>
      <c r="XI103" s="2"/>
      <c r="XJ103" s="2"/>
      <c r="XK103" s="2"/>
      <c r="XL103" s="2"/>
      <c r="XM103" s="2"/>
      <c r="XN103" s="2"/>
      <c r="XO103" s="2"/>
      <c r="XP103" s="2"/>
      <c r="XQ103" s="2"/>
      <c r="XR103" s="2"/>
      <c r="XS103" s="2"/>
      <c r="XT103" s="2"/>
      <c r="XU103" s="2"/>
      <c r="XV103" s="2"/>
      <c r="XW103" s="2"/>
      <c r="XX103" s="2"/>
      <c r="XY103" s="2"/>
      <c r="XZ103" s="2"/>
      <c r="YA103" s="2"/>
      <c r="YB103" s="2"/>
      <c r="YC103" s="2"/>
      <c r="YD103" s="2"/>
      <c r="YE103" s="2"/>
      <c r="YF103" s="2"/>
      <c r="YG103" s="2"/>
      <c r="YH103" s="2"/>
      <c r="YI103" s="2"/>
      <c r="YJ103" s="2"/>
      <c r="YK103" s="2"/>
      <c r="YL103" s="2"/>
      <c r="YM103" s="2"/>
      <c r="YN103" s="2"/>
      <c r="YO103" s="2"/>
      <c r="YP103" s="2"/>
      <c r="YQ103" s="2"/>
      <c r="YR103" s="2"/>
      <c r="YS103" s="2"/>
      <c r="YT103" s="2"/>
      <c r="YU103" s="2"/>
      <c r="YV103" s="2"/>
      <c r="YW103" s="2"/>
      <c r="YX103" s="2"/>
      <c r="YY103" s="2"/>
      <c r="YZ103" s="2"/>
      <c r="ZA103" s="2"/>
      <c r="ZB103" s="2"/>
      <c r="ZC103" s="2"/>
      <c r="ZD103" s="2"/>
      <c r="ZE103" s="2"/>
      <c r="ZF103" s="2"/>
      <c r="ZG103" s="2"/>
      <c r="ZH103" s="2"/>
      <c r="ZI103" s="2"/>
      <c r="ZJ103" s="2"/>
      <c r="ZK103" s="2"/>
      <c r="ZL103" s="2"/>
      <c r="ZM103" s="2"/>
      <c r="ZN103" s="2"/>
      <c r="ZO103" s="2"/>
      <c r="ZP103" s="2"/>
      <c r="ZQ103" s="2"/>
      <c r="ZR103" s="2"/>
      <c r="ZS103" s="2"/>
      <c r="ZT103" s="2"/>
      <c r="ZU103" s="2"/>
      <c r="ZV103" s="2"/>
      <c r="ZW103" s="2"/>
      <c r="ZX103" s="2"/>
      <c r="ZY103" s="2"/>
      <c r="ZZ103" s="2"/>
      <c r="AAA103" s="2"/>
      <c r="AAB103" s="2"/>
      <c r="AAC103" s="2"/>
      <c r="AAD103" s="2"/>
      <c r="AAE103" s="2"/>
      <c r="AAF103" s="2"/>
      <c r="AAG103" s="2"/>
      <c r="AAH103" s="2"/>
      <c r="AAI103" s="2"/>
      <c r="AAJ103" s="2"/>
      <c r="AAK103" s="2"/>
      <c r="AAL103" s="2"/>
      <c r="AAM103" s="2"/>
      <c r="AAN103" s="2"/>
      <c r="AAO103" s="2"/>
      <c r="AAP103" s="2"/>
      <c r="AAQ103" s="2"/>
      <c r="AAR103" s="2"/>
      <c r="AAS103" s="2"/>
      <c r="AAT103" s="2"/>
      <c r="AAU103" s="2"/>
      <c r="AAV103" s="2"/>
      <c r="AAW103" s="2"/>
      <c r="AAX103" s="2"/>
      <c r="AAY103" s="2"/>
      <c r="AAZ103" s="2"/>
      <c r="ABA103" s="2"/>
      <c r="ABB103" s="2"/>
      <c r="ABC103" s="2"/>
      <c r="ABD103" s="2"/>
      <c r="ABE103" s="2"/>
      <c r="ABF103" s="2"/>
      <c r="ABG103" s="2"/>
      <c r="ABH103" s="2"/>
      <c r="ABI103" s="2"/>
      <c r="ABJ103" s="2"/>
      <c r="ABK103" s="2"/>
      <c r="ABL103" s="2"/>
      <c r="ABM103" s="2"/>
      <c r="ABN103" s="2"/>
      <c r="ABO103" s="2"/>
      <c r="ABP103" s="2"/>
      <c r="ABQ103" s="2"/>
      <c r="ABR103" s="2"/>
      <c r="ABS103" s="2"/>
      <c r="ABT103" s="2"/>
      <c r="ABU103" s="2"/>
      <c r="ABV103" s="2"/>
      <c r="ABW103" s="2"/>
      <c r="ABX103" s="2"/>
      <c r="ABY103" s="2"/>
      <c r="ABZ103" s="2"/>
      <c r="ACA103" s="2"/>
      <c r="ACB103" s="2"/>
      <c r="ACC103" s="2"/>
      <c r="ACD103" s="2"/>
      <c r="ACE103" s="2"/>
      <c r="ACF103" s="2"/>
      <c r="ACG103" s="2"/>
      <c r="ACH103" s="2"/>
      <c r="ACI103" s="2"/>
      <c r="ACJ103" s="2"/>
      <c r="ACK103" s="2"/>
      <c r="ACL103" s="2"/>
      <c r="ACM103" s="2"/>
      <c r="ACN103" s="2"/>
      <c r="ACO103" s="2"/>
      <c r="ACP103" s="2"/>
      <c r="ACQ103" s="2"/>
      <c r="ACR103" s="2"/>
      <c r="ACS103" s="2"/>
      <c r="ACT103" s="2"/>
      <c r="ACU103" s="2"/>
      <c r="ACV103" s="2"/>
      <c r="ACW103" s="2"/>
      <c r="ACX103" s="2"/>
      <c r="ACY103" s="2"/>
      <c r="ACZ103" s="2"/>
      <c r="ADA103" s="2"/>
      <c r="ADB103" s="2"/>
      <c r="ADC103" s="2"/>
      <c r="ADD103" s="2"/>
      <c r="ADE103" s="2"/>
      <c r="ADF103" s="2"/>
      <c r="ADG103" s="2"/>
      <c r="ADH103" s="2"/>
      <c r="ADI103" s="2"/>
      <c r="ADJ103" s="2"/>
      <c r="ADK103" s="2"/>
      <c r="ADL103" s="2"/>
      <c r="ADM103" s="2"/>
      <c r="ADN103" s="2"/>
      <c r="ADO103" s="2"/>
      <c r="ADP103" s="2"/>
      <c r="ADQ103" s="2"/>
      <c r="ADR103" s="2"/>
      <c r="ADS103" s="2"/>
      <c r="ADT103" s="2"/>
      <c r="ADU103" s="2"/>
      <c r="ADV103" s="2"/>
      <c r="ADW103" s="2"/>
      <c r="ADX103" s="2"/>
      <c r="ADY103" s="2"/>
      <c r="ADZ103" s="2"/>
      <c r="AEA103" s="2"/>
      <c r="AEB103" s="2"/>
      <c r="AEC103" s="2"/>
      <c r="AED103" s="2"/>
      <c r="AEE103" s="2"/>
      <c r="AEF103" s="2"/>
      <c r="AEG103" s="2"/>
      <c r="AEH103" s="2"/>
      <c r="AEI103" s="2"/>
      <c r="AEJ103" s="2"/>
      <c r="AEK103" s="2"/>
      <c r="AEL103" s="2"/>
      <c r="AEM103" s="2"/>
      <c r="AEN103" s="2"/>
      <c r="AEO103" s="2"/>
      <c r="AEP103" s="2"/>
      <c r="AEQ103" s="2"/>
      <c r="AER103" s="2"/>
      <c r="AES103" s="2"/>
      <c r="AET103" s="2"/>
      <c r="AEU103" s="2"/>
      <c r="AEV103" s="2"/>
      <c r="AEW103" s="2"/>
      <c r="AEX103" s="2"/>
      <c r="AEY103" s="2"/>
      <c r="AEZ103" s="2"/>
      <c r="AFA103" s="2"/>
      <c r="AFB103" s="2"/>
      <c r="AFC103" s="2"/>
      <c r="AFD103" s="2"/>
      <c r="AFE103" s="2"/>
      <c r="AFF103" s="2"/>
      <c r="AFG103" s="2"/>
      <c r="AFH103" s="2"/>
      <c r="AFI103" s="2"/>
      <c r="AFJ103" s="2"/>
      <c r="AFK103" s="2"/>
      <c r="AFL103" s="2"/>
      <c r="AFM103" s="2"/>
      <c r="AFN103" s="2"/>
      <c r="AFO103" s="2"/>
      <c r="AFP103" s="2"/>
      <c r="AFQ103" s="2"/>
      <c r="AFR103" s="2"/>
      <c r="AFS103" s="2"/>
      <c r="AFT103" s="2"/>
      <c r="AFU103" s="2"/>
      <c r="AFV103" s="2"/>
      <c r="AFW103" s="2"/>
      <c r="AFX103" s="2"/>
      <c r="AFY103" s="2"/>
      <c r="AFZ103" s="2"/>
      <c r="AGA103" s="2"/>
      <c r="AGB103" s="2"/>
      <c r="AGC103" s="2"/>
      <c r="AGD103" s="2"/>
      <c r="AGE103" s="2"/>
      <c r="AGF103" s="2"/>
      <c r="AGG103" s="2"/>
      <c r="AGH103" s="2"/>
      <c r="AGI103" s="2"/>
      <c r="AGJ103" s="2"/>
      <c r="AGK103" s="2"/>
      <c r="AGL103" s="2"/>
      <c r="AGM103" s="2"/>
      <c r="AGN103" s="2"/>
      <c r="AGO103" s="2"/>
      <c r="AGP103" s="2"/>
      <c r="AGQ103" s="2"/>
      <c r="AGR103" s="2"/>
      <c r="AGS103" s="2"/>
      <c r="AGT103" s="2"/>
      <c r="AGU103" s="2"/>
      <c r="AGV103" s="2"/>
      <c r="AGW103" s="2"/>
      <c r="AGX103" s="2"/>
      <c r="AGY103" s="2"/>
      <c r="AGZ103" s="2"/>
      <c r="AHA103" s="2"/>
      <c r="AHB103" s="2"/>
      <c r="AHC103" s="2"/>
      <c r="AHD103" s="2"/>
      <c r="AHE103" s="2"/>
      <c r="AHF103" s="2"/>
      <c r="AHG103" s="2"/>
      <c r="AHH103" s="2"/>
      <c r="AHI103" s="2"/>
      <c r="AHJ103" s="2"/>
      <c r="AHK103" s="2"/>
      <c r="AHL103" s="2"/>
      <c r="AHM103" s="2"/>
      <c r="AHN103" s="2"/>
      <c r="AHO103" s="2"/>
      <c r="AHP103" s="2"/>
      <c r="AHQ103" s="2"/>
      <c r="AHR103" s="2"/>
      <c r="AHS103" s="2"/>
      <c r="AHT103" s="2"/>
      <c r="AHU103" s="2"/>
      <c r="AHV103" s="2"/>
      <c r="AHW103" s="2"/>
      <c r="AHX103" s="2"/>
      <c r="AHY103" s="2"/>
      <c r="AHZ103" s="2"/>
      <c r="AIA103" s="2"/>
      <c r="AIB103" s="2"/>
      <c r="AIC103" s="2"/>
      <c r="AID103" s="2"/>
      <c r="AIE103" s="2"/>
      <c r="AIF103" s="2"/>
      <c r="AIG103" s="2"/>
      <c r="AIH103" s="2"/>
      <c r="AII103" s="2"/>
      <c r="AIJ103" s="2"/>
      <c r="AIK103" s="2"/>
      <c r="AIL103" s="2"/>
      <c r="AIM103" s="2"/>
      <c r="AIN103" s="2"/>
      <c r="AIO103" s="2"/>
      <c r="AIP103" s="2"/>
      <c r="AIQ103" s="2"/>
      <c r="AIR103" s="2"/>
      <c r="AIS103" s="2"/>
      <c r="AIT103" s="2"/>
      <c r="AIU103" s="2"/>
      <c r="AIV103" s="2"/>
      <c r="AIW103" s="2"/>
      <c r="AIX103" s="2"/>
      <c r="AIY103" s="2"/>
      <c r="AIZ103" s="2"/>
      <c r="AJA103" s="2"/>
      <c r="AJB103" s="2"/>
      <c r="AJC103" s="2"/>
      <c r="AJD103" s="2"/>
      <c r="AJE103" s="2"/>
      <c r="AJF103" s="2"/>
      <c r="AJG103" s="2"/>
      <c r="AJH103" s="2"/>
      <c r="AJI103" s="2"/>
      <c r="AJJ103" s="2"/>
      <c r="AJK103" s="2"/>
      <c r="AJL103" s="2"/>
      <c r="AJM103" s="2"/>
      <c r="AJN103" s="2"/>
      <c r="AJO103" s="2"/>
      <c r="AJP103" s="2"/>
      <c r="AJQ103" s="2"/>
      <c r="AJR103" s="2"/>
      <c r="AJS103" s="2"/>
      <c r="AJT103" s="2"/>
      <c r="AJU103" s="2"/>
      <c r="AJV103" s="2"/>
      <c r="AJW103" s="2"/>
      <c r="AJX103" s="2"/>
      <c r="AJY103" s="2"/>
      <c r="AJZ103" s="2"/>
      <c r="AKA103" s="2"/>
      <c r="AKB103" s="2"/>
      <c r="AKC103" s="2"/>
      <c r="AKD103" s="2"/>
      <c r="AKE103" s="2"/>
      <c r="AKF103" s="2"/>
      <c r="AKG103" s="2"/>
      <c r="AKH103" s="2"/>
      <c r="AKI103" s="2"/>
      <c r="AKJ103" s="2"/>
      <c r="AKK103" s="2"/>
      <c r="AKL103" s="2"/>
      <c r="AKM103" s="2"/>
      <c r="AKN103" s="2"/>
      <c r="AKO103" s="2"/>
      <c r="AKP103" s="2"/>
      <c r="AKQ103" s="2"/>
      <c r="AKR103" s="2"/>
      <c r="AKS103" s="2"/>
      <c r="AKT103" s="2"/>
      <c r="AKU103" s="2"/>
      <c r="AKV103" s="2"/>
      <c r="AKW103" s="2"/>
      <c r="AKX103" s="2"/>
      <c r="AKY103" s="2"/>
      <c r="AKZ103" s="2"/>
      <c r="ALA103" s="2"/>
      <c r="ALB103" s="2"/>
      <c r="ALC103" s="2"/>
      <c r="ALD103" s="2"/>
      <c r="ALE103" s="2"/>
      <c r="ALF103" s="2"/>
      <c r="ALG103" s="2"/>
      <c r="ALH103" s="2"/>
      <c r="ALI103" s="2"/>
      <c r="ALJ103" s="2"/>
      <c r="ALK103" s="2"/>
      <c r="ALL103" s="2"/>
      <c r="ALM103" s="2"/>
      <c r="ALN103" s="2"/>
      <c r="ALO103" s="2"/>
      <c r="ALP103" s="2"/>
      <c r="ALQ103" s="2"/>
      <c r="ALR103" s="2"/>
      <c r="ALS103" s="2"/>
      <c r="ALT103" s="2"/>
      <c r="ALU103" s="2"/>
      <c r="ALV103" s="2"/>
      <c r="ALW103" s="2"/>
      <c r="ALX103" s="2"/>
      <c r="ALY103" s="2"/>
      <c r="ALZ103" s="2"/>
      <c r="AMA103" s="2"/>
      <c r="AMB103" s="2"/>
      <c r="AMC103" s="2"/>
      <c r="AMD103" s="2"/>
      <c r="AME103" s="2"/>
      <c r="AMF103" s="2"/>
      <c r="AMG103" s="2"/>
      <c r="AMH103" s="2"/>
      <c r="AMI103" s="2"/>
      <c r="AMJ103" s="2"/>
      <c r="AMK103" s="2"/>
      <c r="AML103" s="2"/>
      <c r="AMM103" s="2"/>
      <c r="AMN103" s="2"/>
      <c r="AMO103" s="2"/>
      <c r="AMP103" s="2"/>
      <c r="AMQ103" s="2"/>
      <c r="AMR103" s="2"/>
      <c r="AMS103" s="2"/>
      <c r="AMT103" s="2"/>
      <c r="AMU103" s="2"/>
      <c r="AMV103" s="2"/>
      <c r="AMW103" s="2"/>
      <c r="AMX103" s="2"/>
      <c r="AMY103" s="2"/>
      <c r="AMZ103" s="2"/>
      <c r="ANA103" s="2"/>
      <c r="ANB103" s="2"/>
      <c r="ANC103" s="2"/>
      <c r="AND103" s="2"/>
      <c r="ANE103" s="2"/>
      <c r="ANF103" s="2"/>
      <c r="ANG103" s="2"/>
      <c r="ANH103" s="2"/>
      <c r="ANI103" s="2"/>
      <c r="ANJ103" s="2"/>
      <c r="ANK103" s="2"/>
      <c r="ANL103" s="2"/>
      <c r="ANM103" s="2"/>
      <c r="ANN103" s="2"/>
      <c r="ANO103" s="2"/>
      <c r="ANP103" s="2"/>
      <c r="ANQ103" s="2"/>
      <c r="ANR103" s="2"/>
      <c r="ANS103" s="2"/>
      <c r="ANT103" s="2"/>
      <c r="ANU103" s="2"/>
      <c r="ANV103" s="2"/>
      <c r="ANW103" s="2"/>
      <c r="ANX103" s="2"/>
      <c r="ANY103" s="2"/>
      <c r="ANZ103" s="2"/>
      <c r="AOA103" s="2"/>
      <c r="AOB103" s="2"/>
      <c r="AOC103" s="2"/>
      <c r="AOD103" s="2"/>
      <c r="AOE103" s="2"/>
      <c r="AOF103" s="2"/>
      <c r="AOG103" s="2"/>
      <c r="AOH103" s="2"/>
      <c r="AOI103" s="2"/>
      <c r="AOJ103" s="2"/>
      <c r="AOK103" s="2"/>
      <c r="AOL103" s="2"/>
      <c r="AOM103" s="2"/>
      <c r="AON103" s="2"/>
      <c r="AOO103" s="2"/>
      <c r="AOP103" s="2"/>
      <c r="AOQ103" s="2"/>
      <c r="AOR103" s="2"/>
      <c r="AOS103" s="2"/>
      <c r="AOT103" s="2"/>
      <c r="AOU103" s="2"/>
      <c r="AOV103" s="2"/>
      <c r="AOW103" s="2"/>
      <c r="AOX103" s="2"/>
      <c r="AOY103" s="2"/>
      <c r="AOZ103" s="2"/>
      <c r="APA103" s="2"/>
      <c r="APB103" s="2"/>
      <c r="APC103" s="2"/>
      <c r="APD103" s="2"/>
      <c r="APE103" s="2"/>
      <c r="APF103" s="2"/>
      <c r="APG103" s="2"/>
      <c r="APH103" s="2"/>
      <c r="API103" s="2"/>
      <c r="APJ103" s="2"/>
      <c r="APK103" s="2"/>
      <c r="APL103" s="2"/>
      <c r="APM103" s="2"/>
      <c r="APN103" s="2"/>
      <c r="APO103" s="2"/>
      <c r="APP103" s="2"/>
      <c r="APQ103" s="2"/>
      <c r="APR103" s="2"/>
      <c r="APS103" s="2"/>
      <c r="APT103" s="2"/>
      <c r="APU103" s="2"/>
      <c r="APV103" s="2"/>
      <c r="APW103" s="2"/>
      <c r="APX103" s="2"/>
      <c r="APY103" s="2"/>
      <c r="APZ103" s="2"/>
      <c r="AQA103" s="2"/>
      <c r="AQB103" s="2"/>
      <c r="AQC103" s="2"/>
      <c r="AQD103" s="2"/>
      <c r="AQE103" s="2"/>
      <c r="AQF103" s="2"/>
      <c r="AQG103" s="2"/>
      <c r="AQH103" s="2"/>
      <c r="AQI103" s="2"/>
      <c r="AQJ103" s="2"/>
      <c r="AQK103" s="2"/>
      <c r="AQL103" s="2"/>
      <c r="AQM103" s="2"/>
      <c r="AQN103" s="2"/>
      <c r="AQO103" s="2"/>
      <c r="AQP103" s="2"/>
      <c r="AQQ103" s="2"/>
      <c r="AQR103" s="2"/>
      <c r="AQS103" s="2"/>
      <c r="AQT103" s="2"/>
      <c r="AQU103" s="2"/>
      <c r="AQV103" s="2"/>
      <c r="AQW103" s="2"/>
      <c r="AQX103" s="2"/>
      <c r="AQY103" s="2"/>
      <c r="AQZ103" s="2"/>
      <c r="ARA103" s="2"/>
      <c r="ARB103" s="2"/>
      <c r="ARC103" s="2"/>
      <c r="ARD103" s="2"/>
      <c r="ARE103" s="2"/>
      <c r="ARF103" s="2"/>
      <c r="ARG103" s="2"/>
      <c r="ARH103" s="2"/>
      <c r="ARI103" s="2"/>
      <c r="ARJ103" s="2"/>
      <c r="ARK103" s="2"/>
      <c r="ARL103" s="2"/>
      <c r="ARM103" s="2"/>
      <c r="ARN103" s="2"/>
      <c r="ARO103" s="2"/>
      <c r="ARP103" s="2"/>
      <c r="ARQ103" s="2"/>
      <c r="ARR103" s="2"/>
      <c r="ARS103" s="2"/>
      <c r="ART103" s="2"/>
      <c r="ARU103" s="2"/>
      <c r="ARV103" s="2"/>
      <c r="ARW103" s="2"/>
      <c r="ARX103" s="2"/>
      <c r="ARY103" s="2"/>
      <c r="ARZ103" s="2"/>
      <c r="ASA103" s="2"/>
      <c r="ASB103" s="2"/>
      <c r="ASC103" s="2"/>
      <c r="ASD103" s="2"/>
      <c r="ASE103" s="2"/>
      <c r="ASF103" s="2"/>
      <c r="ASG103" s="2"/>
      <c r="ASH103" s="2"/>
      <c r="ASI103" s="2"/>
      <c r="ASJ103" s="2"/>
      <c r="ASK103" s="2"/>
      <c r="ASL103" s="2"/>
      <c r="ASM103" s="2"/>
      <c r="ASN103" s="2"/>
      <c r="ASO103" s="2"/>
      <c r="ASP103" s="2"/>
      <c r="ASQ103" s="2"/>
      <c r="ASR103" s="2"/>
      <c r="ASS103" s="2"/>
      <c r="AST103" s="2"/>
      <c r="ASU103" s="2"/>
      <c r="ASV103" s="2"/>
      <c r="ASW103" s="2"/>
      <c r="ASX103" s="2"/>
      <c r="ASY103" s="2"/>
      <c r="ASZ103" s="2"/>
      <c r="ATA103" s="2"/>
      <c r="ATB103" s="2"/>
      <c r="ATC103" s="2"/>
      <c r="ATD103" s="2"/>
      <c r="ATE103" s="2"/>
      <c r="ATF103" s="2"/>
      <c r="ATG103" s="2"/>
      <c r="ATH103" s="2"/>
      <c r="ATI103" s="2"/>
      <c r="ATJ103" s="2"/>
      <c r="ATK103" s="2"/>
    </row>
    <row r="104" spans="1:1207" ht="12" x14ac:dyDescent="0.25">
      <c r="E104" s="114">
        <f t="shared" si="72"/>
        <v>96</v>
      </c>
      <c r="F104" s="111">
        <f t="shared" si="66"/>
        <v>48237</v>
      </c>
      <c r="G104" s="24">
        <f t="shared" si="58"/>
        <v>0</v>
      </c>
      <c r="H104" s="24">
        <f t="shared" si="59"/>
        <v>0</v>
      </c>
      <c r="I104" s="24">
        <f t="shared" si="70"/>
        <v>46903.630000000005</v>
      </c>
      <c r="J104" s="24">
        <f t="shared" si="55"/>
        <v>0</v>
      </c>
      <c r="K104" s="24">
        <f t="shared" si="60"/>
        <v>0</v>
      </c>
      <c r="L104" s="24">
        <f t="shared" si="67"/>
        <v>0</v>
      </c>
      <c r="M104" s="24">
        <f t="shared" si="79"/>
        <v>0</v>
      </c>
      <c r="N104" s="24">
        <f t="shared" si="80"/>
        <v>0</v>
      </c>
      <c r="O104" s="24">
        <f t="shared" si="68"/>
        <v>0</v>
      </c>
      <c r="P104" s="24">
        <f t="shared" si="69"/>
        <v>0</v>
      </c>
      <c r="Q104" s="24">
        <f t="shared" si="61"/>
        <v>0</v>
      </c>
      <c r="R104" s="36">
        <f t="shared" si="76"/>
        <v>0</v>
      </c>
      <c r="S104" s="36">
        <f t="shared" si="62"/>
        <v>0</v>
      </c>
      <c r="T104" s="2">
        <f t="shared" si="47"/>
        <v>0</v>
      </c>
      <c r="U104" s="34">
        <f t="shared" si="48"/>
        <v>0</v>
      </c>
      <c r="V104" s="57">
        <f t="shared" si="51"/>
        <v>62835</v>
      </c>
      <c r="W104" s="16">
        <f t="shared" si="53"/>
        <v>55</v>
      </c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2">
        <f t="shared" si="82"/>
        <v>0</v>
      </c>
      <c r="AJ104" s="34">
        <f t="shared" si="81"/>
        <v>0</v>
      </c>
      <c r="AK104" s="57">
        <f t="shared" si="52"/>
        <v>62470</v>
      </c>
      <c r="AL104" s="130">
        <f t="shared" si="71"/>
        <v>0</v>
      </c>
      <c r="AM104" s="109">
        <f t="shared" si="74"/>
        <v>96</v>
      </c>
      <c r="AN104" s="110">
        <f t="shared" si="63"/>
        <v>48237</v>
      </c>
      <c r="AO104" s="105">
        <f t="shared" si="84"/>
        <v>0</v>
      </c>
      <c r="AP104" s="105">
        <f t="shared" si="64"/>
        <v>0</v>
      </c>
      <c r="AQ104" s="105">
        <f t="shared" si="41"/>
        <v>0</v>
      </c>
      <c r="AR104" s="105">
        <f t="shared" si="78"/>
        <v>0</v>
      </c>
      <c r="AS104" s="105">
        <f t="shared" si="42"/>
        <v>0</v>
      </c>
      <c r="AT104" s="105">
        <f t="shared" si="43"/>
        <v>0</v>
      </c>
      <c r="AU104" s="105">
        <f t="shared" si="44"/>
        <v>0</v>
      </c>
      <c r="AV104" s="105">
        <f t="shared" si="45"/>
        <v>0</v>
      </c>
      <c r="AW104" s="105">
        <f t="shared" si="46"/>
        <v>0</v>
      </c>
      <c r="AX104" s="108">
        <f t="shared" si="75"/>
        <v>0</v>
      </c>
      <c r="AY104" s="108">
        <f t="shared" si="65"/>
        <v>0</v>
      </c>
      <c r="AZ104" s="22">
        <f t="shared" si="57"/>
        <v>48237</v>
      </c>
      <c r="BA104" s="108">
        <f t="shared" si="57"/>
        <v>0</v>
      </c>
      <c r="BB104" s="2" t="e">
        <f t="shared" si="83"/>
        <v>#VALUE!</v>
      </c>
    </row>
    <row r="105" spans="1:1207" ht="12" x14ac:dyDescent="0.25">
      <c r="E105" s="114">
        <f t="shared" si="72"/>
        <v>97</v>
      </c>
      <c r="F105" s="111">
        <f t="shared" si="66"/>
        <v>48268</v>
      </c>
      <c r="G105" s="24">
        <f t="shared" si="58"/>
        <v>0</v>
      </c>
      <c r="H105" s="24">
        <f t="shared" si="59"/>
        <v>0</v>
      </c>
      <c r="I105" s="24">
        <f t="shared" si="70"/>
        <v>46903.630000000005</v>
      </c>
      <c r="J105" s="24">
        <f t="shared" si="55"/>
        <v>0</v>
      </c>
      <c r="K105" s="24">
        <f t="shared" si="60"/>
        <v>0</v>
      </c>
      <c r="L105" s="24">
        <f t="shared" si="67"/>
        <v>0</v>
      </c>
      <c r="M105" s="24">
        <f t="shared" si="79"/>
        <v>0</v>
      </c>
      <c r="N105" s="24">
        <f t="shared" si="80"/>
        <v>0</v>
      </c>
      <c r="O105" s="24">
        <f t="shared" si="68"/>
        <v>0</v>
      </c>
      <c r="P105" s="24">
        <f t="shared" si="69"/>
        <v>0</v>
      </c>
      <c r="Q105" s="24">
        <f t="shared" si="61"/>
        <v>0</v>
      </c>
      <c r="R105" s="36">
        <f t="shared" si="76"/>
        <v>0</v>
      </c>
      <c r="S105" s="36">
        <f t="shared" si="62"/>
        <v>0</v>
      </c>
      <c r="T105" s="2">
        <f t="shared" si="47"/>
        <v>0</v>
      </c>
      <c r="U105" s="34">
        <f t="shared" si="48"/>
        <v>0</v>
      </c>
      <c r="V105" s="57">
        <f t="shared" si="51"/>
        <v>62835</v>
      </c>
      <c r="W105" s="16">
        <f t="shared" si="53"/>
        <v>56</v>
      </c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2">
        <f t="shared" si="82"/>
        <v>0</v>
      </c>
      <c r="AJ105" s="34">
        <f t="shared" si="81"/>
        <v>0</v>
      </c>
      <c r="AK105" s="57">
        <f t="shared" si="52"/>
        <v>62470</v>
      </c>
      <c r="AL105" s="130">
        <f t="shared" si="71"/>
        <v>0</v>
      </c>
      <c r="AM105" s="109">
        <f t="shared" si="74"/>
        <v>97</v>
      </c>
      <c r="AN105" s="110">
        <f t="shared" si="63"/>
        <v>48268</v>
      </c>
      <c r="AO105" s="105">
        <f t="shared" si="84"/>
        <v>0</v>
      </c>
      <c r="AP105" s="105">
        <f t="shared" si="64"/>
        <v>0</v>
      </c>
      <c r="AQ105" s="105">
        <f t="shared" si="41"/>
        <v>0</v>
      </c>
      <c r="AR105" s="105">
        <f t="shared" si="78"/>
        <v>0</v>
      </c>
      <c r="AS105" s="105">
        <f t="shared" si="42"/>
        <v>0</v>
      </c>
      <c r="AT105" s="105">
        <f t="shared" si="43"/>
        <v>0</v>
      </c>
      <c r="AU105" s="105">
        <f t="shared" si="44"/>
        <v>0</v>
      </c>
      <c r="AV105" s="105">
        <f t="shared" si="45"/>
        <v>0</v>
      </c>
      <c r="AW105" s="105">
        <f t="shared" si="46"/>
        <v>0</v>
      </c>
      <c r="AX105" s="108">
        <f t="shared" si="75"/>
        <v>0</v>
      </c>
      <c r="AY105" s="108">
        <f t="shared" si="65"/>
        <v>0</v>
      </c>
      <c r="AZ105" s="22">
        <f t="shared" si="57"/>
        <v>48268</v>
      </c>
      <c r="BA105" s="108">
        <f t="shared" si="57"/>
        <v>0</v>
      </c>
      <c r="BB105" s="2" t="e">
        <f t="shared" si="83"/>
        <v>#VALUE!</v>
      </c>
    </row>
    <row r="106" spans="1:1207" ht="12" x14ac:dyDescent="0.25">
      <c r="E106" s="114">
        <f t="shared" si="72"/>
        <v>98</v>
      </c>
      <c r="F106" s="111">
        <f t="shared" si="66"/>
        <v>48297</v>
      </c>
      <c r="G106" s="24">
        <f t="shared" si="58"/>
        <v>0</v>
      </c>
      <c r="H106" s="24">
        <f t="shared" si="59"/>
        <v>0</v>
      </c>
      <c r="I106" s="24">
        <f t="shared" si="70"/>
        <v>46903.630000000005</v>
      </c>
      <c r="J106" s="24">
        <f t="shared" si="55"/>
        <v>0</v>
      </c>
      <c r="K106" s="24">
        <f t="shared" si="60"/>
        <v>0</v>
      </c>
      <c r="L106" s="24">
        <f t="shared" si="67"/>
        <v>0</v>
      </c>
      <c r="M106" s="24">
        <f t="shared" si="79"/>
        <v>0</v>
      </c>
      <c r="N106" s="24">
        <f t="shared" si="80"/>
        <v>0</v>
      </c>
      <c r="O106" s="24">
        <f t="shared" si="68"/>
        <v>0</v>
      </c>
      <c r="P106" s="24">
        <f t="shared" si="69"/>
        <v>0</v>
      </c>
      <c r="Q106" s="24">
        <f t="shared" si="61"/>
        <v>0</v>
      </c>
      <c r="R106" s="36">
        <f t="shared" si="76"/>
        <v>0</v>
      </c>
      <c r="S106" s="36">
        <f t="shared" si="62"/>
        <v>0</v>
      </c>
      <c r="T106" s="2">
        <f t="shared" si="47"/>
        <v>0</v>
      </c>
      <c r="U106" s="34">
        <f t="shared" si="48"/>
        <v>0</v>
      </c>
      <c r="V106" s="57">
        <f t="shared" si="51"/>
        <v>62835</v>
      </c>
      <c r="W106" s="16">
        <f t="shared" si="53"/>
        <v>57</v>
      </c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2">
        <f t="shared" si="82"/>
        <v>0</v>
      </c>
      <c r="AJ106" s="34">
        <f t="shared" si="81"/>
        <v>0</v>
      </c>
      <c r="AK106" s="57">
        <f t="shared" si="52"/>
        <v>62470</v>
      </c>
      <c r="AL106" s="130">
        <f t="shared" si="71"/>
        <v>0</v>
      </c>
      <c r="AM106" s="109">
        <f t="shared" si="74"/>
        <v>98</v>
      </c>
      <c r="AN106" s="110">
        <f t="shared" si="63"/>
        <v>48297</v>
      </c>
      <c r="AO106" s="105">
        <f t="shared" si="84"/>
        <v>0</v>
      </c>
      <c r="AP106" s="105">
        <f t="shared" si="64"/>
        <v>0</v>
      </c>
      <c r="AQ106" s="105">
        <f t="shared" si="41"/>
        <v>0</v>
      </c>
      <c r="AR106" s="105">
        <f t="shared" si="78"/>
        <v>0</v>
      </c>
      <c r="AS106" s="105">
        <f t="shared" si="42"/>
        <v>0</v>
      </c>
      <c r="AT106" s="105">
        <f t="shared" si="43"/>
        <v>0</v>
      </c>
      <c r="AU106" s="105">
        <f t="shared" si="44"/>
        <v>0</v>
      </c>
      <c r="AV106" s="105">
        <f t="shared" si="45"/>
        <v>0</v>
      </c>
      <c r="AW106" s="105">
        <f t="shared" si="46"/>
        <v>0</v>
      </c>
      <c r="AX106" s="108">
        <f t="shared" si="75"/>
        <v>0</v>
      </c>
      <c r="AY106" s="108">
        <f t="shared" si="65"/>
        <v>0</v>
      </c>
      <c r="AZ106" s="22">
        <f t="shared" si="57"/>
        <v>48297</v>
      </c>
      <c r="BA106" s="108">
        <f t="shared" si="57"/>
        <v>0</v>
      </c>
      <c r="BB106" s="2" t="e">
        <f t="shared" si="83"/>
        <v>#VALUE!</v>
      </c>
    </row>
    <row r="107" spans="1:1207" ht="12" x14ac:dyDescent="0.25">
      <c r="E107" s="114">
        <f t="shared" si="72"/>
        <v>99</v>
      </c>
      <c r="F107" s="111">
        <f t="shared" si="66"/>
        <v>48328</v>
      </c>
      <c r="G107" s="24">
        <f t="shared" si="58"/>
        <v>0</v>
      </c>
      <c r="H107" s="24">
        <f t="shared" si="59"/>
        <v>0</v>
      </c>
      <c r="I107" s="24">
        <f t="shared" si="70"/>
        <v>46903.630000000005</v>
      </c>
      <c r="J107" s="24">
        <f t="shared" si="55"/>
        <v>0</v>
      </c>
      <c r="K107" s="24">
        <f t="shared" si="60"/>
        <v>0</v>
      </c>
      <c r="L107" s="24">
        <f t="shared" si="67"/>
        <v>0</v>
      </c>
      <c r="M107" s="24">
        <f t="shared" si="79"/>
        <v>0</v>
      </c>
      <c r="N107" s="24">
        <f t="shared" si="80"/>
        <v>0</v>
      </c>
      <c r="O107" s="24">
        <f t="shared" si="68"/>
        <v>0</v>
      </c>
      <c r="P107" s="24">
        <f t="shared" si="69"/>
        <v>0</v>
      </c>
      <c r="Q107" s="24">
        <f t="shared" si="61"/>
        <v>0</v>
      </c>
      <c r="R107" s="36">
        <f t="shared" si="76"/>
        <v>0</v>
      </c>
      <c r="S107" s="36">
        <f t="shared" si="62"/>
        <v>0</v>
      </c>
      <c r="T107" s="2">
        <f t="shared" si="47"/>
        <v>0</v>
      </c>
      <c r="U107" s="34">
        <f t="shared" si="48"/>
        <v>0</v>
      </c>
      <c r="V107" s="57">
        <f t="shared" si="51"/>
        <v>62835</v>
      </c>
      <c r="W107" s="16">
        <f t="shared" si="53"/>
        <v>58</v>
      </c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2">
        <f t="shared" si="82"/>
        <v>0</v>
      </c>
      <c r="AJ107" s="34">
        <f t="shared" si="81"/>
        <v>0</v>
      </c>
      <c r="AK107" s="57">
        <f t="shared" si="52"/>
        <v>62470</v>
      </c>
      <c r="AL107" s="130">
        <f t="shared" si="71"/>
        <v>0</v>
      </c>
      <c r="AM107" s="109">
        <f t="shared" si="74"/>
        <v>99</v>
      </c>
      <c r="AN107" s="110">
        <f t="shared" si="63"/>
        <v>48328</v>
      </c>
      <c r="AO107" s="105">
        <f t="shared" si="84"/>
        <v>0</v>
      </c>
      <c r="AP107" s="105">
        <f t="shared" si="64"/>
        <v>0</v>
      </c>
      <c r="AQ107" s="105">
        <f t="shared" si="41"/>
        <v>0</v>
      </c>
      <c r="AR107" s="105">
        <f t="shared" si="78"/>
        <v>0</v>
      </c>
      <c r="AS107" s="105">
        <f t="shared" si="42"/>
        <v>0</v>
      </c>
      <c r="AT107" s="105">
        <f t="shared" si="43"/>
        <v>0</v>
      </c>
      <c r="AU107" s="105">
        <f t="shared" si="44"/>
        <v>0</v>
      </c>
      <c r="AV107" s="105">
        <f t="shared" si="45"/>
        <v>0</v>
      </c>
      <c r="AW107" s="105">
        <f t="shared" si="46"/>
        <v>0</v>
      </c>
      <c r="AX107" s="108">
        <f t="shared" si="75"/>
        <v>0</v>
      </c>
      <c r="AY107" s="108">
        <f t="shared" si="65"/>
        <v>0</v>
      </c>
      <c r="AZ107" s="22">
        <f t="shared" si="57"/>
        <v>48328</v>
      </c>
      <c r="BA107" s="108">
        <f t="shared" si="57"/>
        <v>0</v>
      </c>
      <c r="BB107" s="2" t="e">
        <f t="shared" si="83"/>
        <v>#VALUE!</v>
      </c>
    </row>
    <row r="108" spans="1:1207" ht="12" x14ac:dyDescent="0.25">
      <c r="E108" s="114">
        <f t="shared" si="72"/>
        <v>100</v>
      </c>
      <c r="F108" s="111">
        <f t="shared" si="66"/>
        <v>48358</v>
      </c>
      <c r="G108" s="24">
        <f t="shared" si="58"/>
        <v>0</v>
      </c>
      <c r="H108" s="24">
        <f t="shared" si="59"/>
        <v>0</v>
      </c>
      <c r="I108" s="24">
        <f t="shared" si="70"/>
        <v>46903.630000000005</v>
      </c>
      <c r="J108" s="24">
        <f t="shared" si="55"/>
        <v>0</v>
      </c>
      <c r="K108" s="24">
        <f t="shared" si="60"/>
        <v>0</v>
      </c>
      <c r="L108" s="24">
        <f t="shared" si="67"/>
        <v>0</v>
      </c>
      <c r="M108" s="24">
        <f t="shared" si="79"/>
        <v>0</v>
      </c>
      <c r="N108" s="24">
        <f t="shared" si="80"/>
        <v>0</v>
      </c>
      <c r="O108" s="24">
        <f t="shared" si="68"/>
        <v>0</v>
      </c>
      <c r="P108" s="24">
        <f t="shared" si="69"/>
        <v>0</v>
      </c>
      <c r="Q108" s="24">
        <f t="shared" si="61"/>
        <v>0</v>
      </c>
      <c r="R108" s="36">
        <f t="shared" si="76"/>
        <v>0</v>
      </c>
      <c r="S108" s="36">
        <f t="shared" si="62"/>
        <v>0</v>
      </c>
      <c r="T108" s="2">
        <f t="shared" si="47"/>
        <v>0</v>
      </c>
      <c r="U108" s="34">
        <f t="shared" si="48"/>
        <v>0</v>
      </c>
      <c r="V108" s="57">
        <f t="shared" si="51"/>
        <v>62835</v>
      </c>
      <c r="W108" s="16">
        <f t="shared" si="53"/>
        <v>59</v>
      </c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2">
        <f t="shared" si="82"/>
        <v>0</v>
      </c>
      <c r="AJ108" s="34">
        <f t="shared" si="81"/>
        <v>0</v>
      </c>
      <c r="AK108" s="57">
        <f t="shared" si="52"/>
        <v>62470</v>
      </c>
      <c r="AL108" s="130">
        <f t="shared" si="71"/>
        <v>0</v>
      </c>
      <c r="AM108" s="109">
        <f t="shared" si="74"/>
        <v>100</v>
      </c>
      <c r="AN108" s="110">
        <f t="shared" si="63"/>
        <v>48358</v>
      </c>
      <c r="AO108" s="105">
        <f t="shared" si="84"/>
        <v>0</v>
      </c>
      <c r="AP108" s="105">
        <f t="shared" si="64"/>
        <v>0</v>
      </c>
      <c r="AQ108" s="105">
        <f t="shared" si="41"/>
        <v>0</v>
      </c>
      <c r="AR108" s="105">
        <f t="shared" si="78"/>
        <v>0</v>
      </c>
      <c r="AS108" s="105">
        <f t="shared" si="42"/>
        <v>0</v>
      </c>
      <c r="AT108" s="105">
        <f t="shared" si="43"/>
        <v>0</v>
      </c>
      <c r="AU108" s="105">
        <f t="shared" si="44"/>
        <v>0</v>
      </c>
      <c r="AV108" s="105">
        <f t="shared" si="45"/>
        <v>0</v>
      </c>
      <c r="AW108" s="105">
        <f t="shared" si="46"/>
        <v>0</v>
      </c>
      <c r="AX108" s="108">
        <f t="shared" si="75"/>
        <v>0</v>
      </c>
      <c r="AY108" s="108">
        <f t="shared" si="65"/>
        <v>0</v>
      </c>
      <c r="AZ108" s="22">
        <f t="shared" ref="AZ108:BA110" si="85">F158</f>
        <v>49880</v>
      </c>
      <c r="BA108" s="108">
        <f t="shared" si="85"/>
        <v>0</v>
      </c>
      <c r="BB108" s="2" t="e">
        <f t="shared" si="83"/>
        <v>#VALUE!</v>
      </c>
    </row>
    <row r="109" spans="1:1207" ht="12" x14ac:dyDescent="0.25">
      <c r="E109" s="114">
        <f t="shared" si="72"/>
        <v>101</v>
      </c>
      <c r="F109" s="111">
        <f t="shared" si="66"/>
        <v>48389</v>
      </c>
      <c r="G109" s="24">
        <f t="shared" si="58"/>
        <v>0</v>
      </c>
      <c r="H109" s="24">
        <f t="shared" si="59"/>
        <v>0</v>
      </c>
      <c r="I109" s="24">
        <f t="shared" si="70"/>
        <v>46903.630000000005</v>
      </c>
      <c r="J109" s="24">
        <f t="shared" si="55"/>
        <v>0</v>
      </c>
      <c r="K109" s="24">
        <f t="shared" si="60"/>
        <v>0</v>
      </c>
      <c r="L109" s="24">
        <f t="shared" si="67"/>
        <v>0</v>
      </c>
      <c r="M109" s="24">
        <f t="shared" si="79"/>
        <v>0</v>
      </c>
      <c r="N109" s="24">
        <f t="shared" si="80"/>
        <v>0</v>
      </c>
      <c r="O109" s="24">
        <f t="shared" si="68"/>
        <v>0</v>
      </c>
      <c r="P109" s="24">
        <f t="shared" si="69"/>
        <v>0</v>
      </c>
      <c r="Q109" s="24">
        <f t="shared" si="61"/>
        <v>0</v>
      </c>
      <c r="R109" s="36">
        <f t="shared" si="76"/>
        <v>0</v>
      </c>
      <c r="S109" s="36">
        <f t="shared" si="62"/>
        <v>0</v>
      </c>
      <c r="T109" s="2">
        <f t="shared" si="47"/>
        <v>0</v>
      </c>
      <c r="U109" s="34">
        <f>IF(U108&lt;0,0,IF(T109=0,IF(T108=0,0,$U$46),G68)-IF(AND(T109&gt;0,T110=0),$C$26,0))</f>
        <v>0</v>
      </c>
      <c r="V109" s="57">
        <f t="shared" si="51"/>
        <v>62835</v>
      </c>
      <c r="W109" s="16">
        <f t="shared" si="53"/>
        <v>60</v>
      </c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2">
        <f t="shared" si="82"/>
        <v>0</v>
      </c>
      <c r="AJ109" s="34">
        <f>IF(AI109=0,IF(AI108=0,0,$AJ$46),AO69)</f>
        <v>0</v>
      </c>
      <c r="AK109" s="57">
        <f>IF(AI109=0,AK108,AK108+365)</f>
        <v>62470</v>
      </c>
      <c r="AL109" s="130">
        <f t="shared" si="71"/>
        <v>0</v>
      </c>
      <c r="AM109" s="109">
        <f t="shared" si="74"/>
        <v>101</v>
      </c>
      <c r="AN109" s="110">
        <f t="shared" si="63"/>
        <v>48389</v>
      </c>
      <c r="AO109" s="105">
        <f t="shared" si="84"/>
        <v>0</v>
      </c>
      <c r="AP109" s="105">
        <f t="shared" si="64"/>
        <v>0</v>
      </c>
      <c r="AQ109" s="105">
        <f t="shared" si="41"/>
        <v>0</v>
      </c>
      <c r="AR109" s="105">
        <f t="shared" si="78"/>
        <v>0</v>
      </c>
      <c r="AS109" s="105">
        <f t="shared" si="42"/>
        <v>0</v>
      </c>
      <c r="AT109" s="105">
        <f t="shared" si="43"/>
        <v>0</v>
      </c>
      <c r="AU109" s="105">
        <f t="shared" si="44"/>
        <v>0</v>
      </c>
      <c r="AV109" s="105">
        <f t="shared" si="45"/>
        <v>0</v>
      </c>
      <c r="AW109" s="105">
        <f t="shared" si="46"/>
        <v>0</v>
      </c>
      <c r="AX109" s="108">
        <f t="shared" si="75"/>
        <v>0</v>
      </c>
      <c r="AY109" s="108">
        <f t="shared" si="65"/>
        <v>0</v>
      </c>
      <c r="AZ109" s="22">
        <f t="shared" si="85"/>
        <v>49911</v>
      </c>
      <c r="BA109" s="108">
        <f t="shared" si="85"/>
        <v>0</v>
      </c>
      <c r="BB109" s="2" t="e">
        <f t="shared" si="83"/>
        <v>#VALUE!</v>
      </c>
    </row>
    <row r="110" spans="1:1207" ht="12" x14ac:dyDescent="0.25">
      <c r="E110" s="114">
        <f t="shared" si="72"/>
        <v>102</v>
      </c>
      <c r="F110" s="111">
        <f t="shared" si="66"/>
        <v>48419</v>
      </c>
      <c r="G110" s="24">
        <f t="shared" si="58"/>
        <v>0</v>
      </c>
      <c r="H110" s="24">
        <f t="shared" si="59"/>
        <v>0</v>
      </c>
      <c r="I110" s="24">
        <f t="shared" si="70"/>
        <v>46903.630000000005</v>
      </c>
      <c r="J110" s="24">
        <f t="shared" si="55"/>
        <v>0</v>
      </c>
      <c r="K110" s="24">
        <f t="shared" si="60"/>
        <v>0</v>
      </c>
      <c r="L110" s="24">
        <f t="shared" si="67"/>
        <v>0</v>
      </c>
      <c r="M110" s="24">
        <f t="shared" si="79"/>
        <v>0</v>
      </c>
      <c r="N110" s="24">
        <f t="shared" si="80"/>
        <v>0</v>
      </c>
      <c r="O110" s="24">
        <f t="shared" si="68"/>
        <v>0</v>
      </c>
      <c r="P110" s="24">
        <f t="shared" si="69"/>
        <v>0</v>
      </c>
      <c r="Q110" s="24">
        <f t="shared" si="61"/>
        <v>0</v>
      </c>
      <c r="R110" s="36">
        <f t="shared" si="76"/>
        <v>0</v>
      </c>
      <c r="S110" s="36">
        <f t="shared" si="62"/>
        <v>0</v>
      </c>
      <c r="T110" s="2">
        <f t="shared" si="47"/>
        <v>0</v>
      </c>
      <c r="U110" s="34">
        <f>IF(U109&lt;0,0,IF(T110=0,IF(T109=0,0,$U$46),G69)-IF(AND(T110&gt;0,T111=0),$C$26,0))</f>
        <v>0</v>
      </c>
      <c r="V110" s="57">
        <f t="shared" si="51"/>
        <v>62835</v>
      </c>
      <c r="W110" s="16">
        <f t="shared" si="53"/>
        <v>61</v>
      </c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2">
        <f t="shared" si="82"/>
        <v>0</v>
      </c>
      <c r="AJ110" s="34">
        <f>IF(AI110=0,IF(AI109=0,0,$AJ$46),AO70)</f>
        <v>0</v>
      </c>
      <c r="AK110" s="57">
        <f>IF(AI110=0,AK109,AK109+365)</f>
        <v>62470</v>
      </c>
      <c r="AL110" s="130"/>
      <c r="AM110" s="109">
        <f t="shared" si="74"/>
        <v>102</v>
      </c>
      <c r="AN110" s="110">
        <f t="shared" si="63"/>
        <v>48419</v>
      </c>
      <c r="AO110" s="105">
        <f t="shared" si="84"/>
        <v>0</v>
      </c>
      <c r="AP110" s="105">
        <f t="shared" si="64"/>
        <v>0</v>
      </c>
      <c r="AQ110" s="105">
        <f t="shared" si="41"/>
        <v>0</v>
      </c>
      <c r="AR110" s="105">
        <f t="shared" si="78"/>
        <v>0</v>
      </c>
      <c r="AS110" s="105">
        <f t="shared" si="42"/>
        <v>0</v>
      </c>
      <c r="AT110" s="105">
        <f t="shared" si="43"/>
        <v>0</v>
      </c>
      <c r="AU110" s="105">
        <f t="shared" si="44"/>
        <v>0</v>
      </c>
      <c r="AV110" s="105">
        <f t="shared" si="45"/>
        <v>0</v>
      </c>
      <c r="AW110" s="105">
        <f t="shared" si="46"/>
        <v>0</v>
      </c>
      <c r="AX110" s="108">
        <f t="shared" si="75"/>
        <v>0</v>
      </c>
      <c r="AY110" s="108">
        <f t="shared" si="65"/>
        <v>0</v>
      </c>
      <c r="AZ110" s="22">
        <f t="shared" si="85"/>
        <v>45315</v>
      </c>
      <c r="BA110" s="108">
        <f t="shared" si="85"/>
        <v>111902.63000000002</v>
      </c>
      <c r="BB110" s="2" t="e">
        <f t="shared" si="83"/>
        <v>#VALUE!</v>
      </c>
    </row>
    <row r="111" spans="1:1207" ht="12" x14ac:dyDescent="0.25">
      <c r="E111" s="114">
        <f t="shared" si="72"/>
        <v>103</v>
      </c>
      <c r="F111" s="111">
        <f t="shared" si="66"/>
        <v>48450</v>
      </c>
      <c r="G111" s="24">
        <f t="shared" si="58"/>
        <v>0</v>
      </c>
      <c r="H111" s="24">
        <f t="shared" si="59"/>
        <v>0</v>
      </c>
      <c r="I111" s="24">
        <f t="shared" si="70"/>
        <v>46903.630000000005</v>
      </c>
      <c r="J111" s="24">
        <f t="shared" si="55"/>
        <v>0</v>
      </c>
      <c r="K111" s="24">
        <f t="shared" si="60"/>
        <v>0</v>
      </c>
      <c r="L111" s="24">
        <f t="shared" si="67"/>
        <v>0</v>
      </c>
      <c r="M111" s="24">
        <f t="shared" si="79"/>
        <v>0</v>
      </c>
      <c r="N111" s="24">
        <f t="shared" si="80"/>
        <v>0</v>
      </c>
      <c r="O111" s="24">
        <f t="shared" si="68"/>
        <v>0</v>
      </c>
      <c r="P111" s="24">
        <f t="shared" si="69"/>
        <v>0</v>
      </c>
      <c r="Q111" s="24">
        <f t="shared" si="61"/>
        <v>0</v>
      </c>
      <c r="R111" s="36">
        <f t="shared" si="76"/>
        <v>0</v>
      </c>
      <c r="S111" s="36">
        <f t="shared" si="62"/>
        <v>0</v>
      </c>
      <c r="T111" s="2">
        <f t="shared" si="47"/>
        <v>0</v>
      </c>
      <c r="U111" s="34">
        <f t="shared" ref="U111:U174" si="86">IF(U110&lt;0,0,IF(T111=0,IF(T110=0,0,$U$46),G70)-IF(AND(T111&gt;0,T112=0),$C$26,0))</f>
        <v>0</v>
      </c>
      <c r="V111" s="57">
        <f t="shared" si="51"/>
        <v>62835</v>
      </c>
      <c r="W111" s="16">
        <f t="shared" si="53"/>
        <v>62</v>
      </c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2">
        <f t="shared" si="82"/>
        <v>0</v>
      </c>
      <c r="AJ111" s="34">
        <f t="shared" ref="AJ111:AJ149" si="87">IF(AI111=0,IF(AI110=0,0,$AJ$46),AO71)</f>
        <v>0</v>
      </c>
      <c r="AK111" s="57">
        <f t="shared" ref="AK111:AK149" si="88">IF(AI111=0,AK110,AK110+365)</f>
        <v>62470</v>
      </c>
      <c r="AL111" s="130"/>
      <c r="AM111" s="109">
        <f t="shared" si="74"/>
        <v>103</v>
      </c>
      <c r="AN111" s="110">
        <f t="shared" si="63"/>
        <v>48450</v>
      </c>
      <c r="AO111" s="105">
        <f t="shared" si="84"/>
        <v>0</v>
      </c>
      <c r="AP111" s="105">
        <f t="shared" si="64"/>
        <v>0</v>
      </c>
      <c r="AQ111" s="105">
        <f t="shared" si="41"/>
        <v>0</v>
      </c>
      <c r="AR111" s="105">
        <f t="shared" si="78"/>
        <v>0</v>
      </c>
      <c r="AS111" s="105">
        <f t="shared" si="42"/>
        <v>0</v>
      </c>
      <c r="AT111" s="105">
        <f t="shared" si="43"/>
        <v>0</v>
      </c>
      <c r="AU111" s="105">
        <f t="shared" si="44"/>
        <v>0</v>
      </c>
      <c r="AV111" s="105">
        <f t="shared" si="45"/>
        <v>0</v>
      </c>
      <c r="AW111" s="105">
        <f t="shared" si="46"/>
        <v>0</v>
      </c>
      <c r="AX111" s="108">
        <f t="shared" si="75"/>
        <v>0</v>
      </c>
      <c r="AY111" s="108">
        <f t="shared" si="65"/>
        <v>0</v>
      </c>
      <c r="AZ111" s="22"/>
      <c r="BA111" s="108">
        <f>G161</f>
        <v>0</v>
      </c>
      <c r="BB111" s="2" t="e">
        <f t="shared" si="83"/>
        <v>#VALUE!</v>
      </c>
    </row>
    <row r="112" spans="1:1207" ht="12" x14ac:dyDescent="0.25">
      <c r="E112" s="114">
        <f t="shared" si="72"/>
        <v>104</v>
      </c>
      <c r="F112" s="111">
        <f t="shared" si="66"/>
        <v>48481</v>
      </c>
      <c r="G112" s="24">
        <f t="shared" si="58"/>
        <v>0</v>
      </c>
      <c r="H112" s="24">
        <f t="shared" si="59"/>
        <v>0</v>
      </c>
      <c r="I112" s="24">
        <f t="shared" si="70"/>
        <v>46903.630000000005</v>
      </c>
      <c r="J112" s="24">
        <f t="shared" si="55"/>
        <v>0</v>
      </c>
      <c r="K112" s="24">
        <f t="shared" si="60"/>
        <v>0</v>
      </c>
      <c r="L112" s="24">
        <f t="shared" si="67"/>
        <v>0</v>
      </c>
      <c r="M112" s="24">
        <f t="shared" si="79"/>
        <v>0</v>
      </c>
      <c r="N112" s="24">
        <f t="shared" si="80"/>
        <v>0</v>
      </c>
      <c r="O112" s="24">
        <f t="shared" si="68"/>
        <v>0</v>
      </c>
      <c r="P112" s="24">
        <f t="shared" si="69"/>
        <v>0</v>
      </c>
      <c r="Q112" s="24">
        <f t="shared" si="61"/>
        <v>0</v>
      </c>
      <c r="R112" s="36">
        <f t="shared" si="76"/>
        <v>0</v>
      </c>
      <c r="S112" s="36">
        <f t="shared" si="62"/>
        <v>0</v>
      </c>
      <c r="T112" s="2">
        <f t="shared" si="47"/>
        <v>0</v>
      </c>
      <c r="U112" s="34">
        <f t="shared" si="86"/>
        <v>0</v>
      </c>
      <c r="V112" s="57">
        <f t="shared" si="51"/>
        <v>62835</v>
      </c>
      <c r="W112" s="16">
        <f t="shared" si="53"/>
        <v>63</v>
      </c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2">
        <f t="shared" si="82"/>
        <v>0</v>
      </c>
      <c r="AJ112" s="34">
        <f t="shared" si="87"/>
        <v>0</v>
      </c>
      <c r="AK112" s="57">
        <f t="shared" si="88"/>
        <v>62470</v>
      </c>
      <c r="AL112" s="130"/>
      <c r="AM112" s="109">
        <f t="shared" si="74"/>
        <v>104</v>
      </c>
      <c r="AN112" s="110">
        <f t="shared" si="63"/>
        <v>48481</v>
      </c>
      <c r="AO112" s="105">
        <f t="shared" si="84"/>
        <v>0</v>
      </c>
      <c r="AP112" s="105">
        <f t="shared" si="64"/>
        <v>0</v>
      </c>
      <c r="AQ112" s="105">
        <f t="shared" ref="AQ112:AQ129" si="89">IF(AY112=0,0,IF(AY112=1,AW111,IF(AW111+AR112+AP112&gt;AO111,AO112-AP112-AR112,AW111)))</f>
        <v>0</v>
      </c>
      <c r="AR112" s="105">
        <f t="shared" si="78"/>
        <v>0</v>
      </c>
      <c r="AS112" s="105">
        <f t="shared" ref="AS112:AS129" si="90">AU111-AR111</f>
        <v>0</v>
      </c>
      <c r="AT112" s="105">
        <f t="shared" ref="AT112:AT129" si="91">AP112+AU112</f>
        <v>0</v>
      </c>
      <c r="AU112" s="105">
        <f t="shared" ref="AU112:AU129" si="92">IF(AY112=0,0,0)</f>
        <v>0</v>
      </c>
      <c r="AV112" s="105">
        <f t="shared" ref="AV112:AV129" si="93">IF(AY112=0,0,0)</f>
        <v>0</v>
      </c>
      <c r="AW112" s="105">
        <f t="shared" ref="AW112:AW129" si="94">IF(OR(AY112=1,AW111=0),0,AW111-AQ112)</f>
        <v>0</v>
      </c>
      <c r="AX112" s="108">
        <f t="shared" si="75"/>
        <v>0</v>
      </c>
      <c r="AY112" s="108">
        <f t="shared" si="65"/>
        <v>0</v>
      </c>
      <c r="AZ112" s="22"/>
      <c r="BA112" s="108">
        <f>G162</f>
        <v>0</v>
      </c>
      <c r="BB112" s="2" t="e">
        <f t="shared" si="83"/>
        <v>#VALUE!</v>
      </c>
    </row>
    <row r="113" spans="5:54" ht="12" x14ac:dyDescent="0.25">
      <c r="E113" s="114">
        <f t="shared" si="72"/>
        <v>105</v>
      </c>
      <c r="F113" s="111">
        <f t="shared" si="66"/>
        <v>48511</v>
      </c>
      <c r="G113" s="24">
        <f t="shared" si="58"/>
        <v>0</v>
      </c>
      <c r="H113" s="24">
        <f t="shared" si="59"/>
        <v>0</v>
      </c>
      <c r="I113" s="24">
        <f t="shared" si="70"/>
        <v>46903.630000000005</v>
      </c>
      <c r="J113" s="24">
        <f t="shared" si="55"/>
        <v>0</v>
      </c>
      <c r="K113" s="24">
        <f t="shared" si="60"/>
        <v>0</v>
      </c>
      <c r="L113" s="24">
        <f t="shared" si="67"/>
        <v>0</v>
      </c>
      <c r="M113" s="24">
        <f t="shared" si="79"/>
        <v>0</v>
      </c>
      <c r="N113" s="24">
        <f t="shared" si="80"/>
        <v>0</v>
      </c>
      <c r="O113" s="24">
        <f t="shared" si="68"/>
        <v>0</v>
      </c>
      <c r="P113" s="24">
        <f t="shared" si="69"/>
        <v>0</v>
      </c>
      <c r="Q113" s="24">
        <f t="shared" si="61"/>
        <v>0</v>
      </c>
      <c r="R113" s="36">
        <f t="shared" si="76"/>
        <v>0</v>
      </c>
      <c r="S113" s="36">
        <f t="shared" si="62"/>
        <v>0</v>
      </c>
      <c r="T113" s="2">
        <f t="shared" si="47"/>
        <v>0</v>
      </c>
      <c r="U113" s="34">
        <f t="shared" si="86"/>
        <v>0</v>
      </c>
      <c r="V113" s="57">
        <f t="shared" si="51"/>
        <v>62835</v>
      </c>
      <c r="W113" s="16">
        <f t="shared" si="53"/>
        <v>64</v>
      </c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2">
        <f t="shared" si="82"/>
        <v>0</v>
      </c>
      <c r="AJ113" s="34">
        <f t="shared" si="87"/>
        <v>0</v>
      </c>
      <c r="AK113" s="57">
        <f t="shared" si="88"/>
        <v>62470</v>
      </c>
      <c r="AL113" s="130"/>
      <c r="AM113" s="109">
        <f t="shared" si="74"/>
        <v>105</v>
      </c>
      <c r="AN113" s="110">
        <f t="shared" si="63"/>
        <v>48511</v>
      </c>
      <c r="AO113" s="105">
        <f t="shared" si="84"/>
        <v>0</v>
      </c>
      <c r="AP113" s="105">
        <f t="shared" si="64"/>
        <v>0</v>
      </c>
      <c r="AQ113" s="105">
        <f t="shared" si="89"/>
        <v>0</v>
      </c>
      <c r="AR113" s="105">
        <f t="shared" si="78"/>
        <v>0</v>
      </c>
      <c r="AS113" s="105">
        <f t="shared" si="90"/>
        <v>0</v>
      </c>
      <c r="AT113" s="105">
        <f t="shared" si="91"/>
        <v>0</v>
      </c>
      <c r="AU113" s="105">
        <f t="shared" si="92"/>
        <v>0</v>
      </c>
      <c r="AV113" s="105">
        <f t="shared" si="93"/>
        <v>0</v>
      </c>
      <c r="AW113" s="105">
        <f t="shared" si="94"/>
        <v>0</v>
      </c>
      <c r="AX113" s="108">
        <f t="shared" si="75"/>
        <v>0</v>
      </c>
      <c r="AY113" s="108">
        <f t="shared" si="65"/>
        <v>0</v>
      </c>
      <c r="AZ113" s="22"/>
      <c r="BA113" s="108">
        <f>G163</f>
        <v>0</v>
      </c>
      <c r="BB113" s="2" t="e">
        <f t="shared" si="83"/>
        <v>#VALUE!</v>
      </c>
    </row>
    <row r="114" spans="5:54" ht="12" x14ac:dyDescent="0.25">
      <c r="E114" s="114">
        <f t="shared" si="72"/>
        <v>106</v>
      </c>
      <c r="F114" s="111">
        <f t="shared" si="66"/>
        <v>48542</v>
      </c>
      <c r="G114" s="24">
        <f t="shared" si="58"/>
        <v>0</v>
      </c>
      <c r="H114" s="24">
        <f t="shared" si="59"/>
        <v>0</v>
      </c>
      <c r="I114" s="24">
        <f t="shared" si="70"/>
        <v>46903.630000000005</v>
      </c>
      <c r="J114" s="24">
        <f t="shared" si="55"/>
        <v>0</v>
      </c>
      <c r="K114" s="24">
        <f t="shared" si="60"/>
        <v>0</v>
      </c>
      <c r="L114" s="24">
        <f t="shared" si="67"/>
        <v>0</v>
      </c>
      <c r="M114" s="24">
        <f t="shared" si="79"/>
        <v>0</v>
      </c>
      <c r="N114" s="24">
        <f t="shared" si="80"/>
        <v>0</v>
      </c>
      <c r="O114" s="24">
        <f t="shared" si="68"/>
        <v>0</v>
      </c>
      <c r="P114" s="24">
        <f t="shared" si="69"/>
        <v>0</v>
      </c>
      <c r="Q114" s="24">
        <f t="shared" si="61"/>
        <v>0</v>
      </c>
      <c r="R114" s="36">
        <f t="shared" si="76"/>
        <v>0</v>
      </c>
      <c r="S114" s="36">
        <f t="shared" si="62"/>
        <v>0</v>
      </c>
      <c r="T114" s="2">
        <f t="shared" ref="T114:T177" si="95">IF(AND(E73&gt;=$T$14,E73&lt;=$T$14+5),0,IF($C$9&gt;$AC$52,ROUND(Q72*$T$46/(DATEVALUE(CONCATENATE("01/01/",YEAR(F73)+1))-DATEVALUE(CONCATENATE("01/01/",YEAR(F73))))*(F73-F72),2),0))</f>
        <v>0</v>
      </c>
      <c r="U114" s="34">
        <f t="shared" si="86"/>
        <v>0</v>
      </c>
      <c r="V114" s="57">
        <f t="shared" si="51"/>
        <v>62835</v>
      </c>
      <c r="W114" s="16">
        <f t="shared" si="53"/>
        <v>65</v>
      </c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2">
        <f t="shared" si="82"/>
        <v>0</v>
      </c>
      <c r="AJ114" s="34">
        <f t="shared" si="87"/>
        <v>0</v>
      </c>
      <c r="AK114" s="57">
        <f t="shared" si="88"/>
        <v>62470</v>
      </c>
      <c r="AL114" s="130"/>
      <c r="AM114" s="109">
        <f t="shared" si="74"/>
        <v>106</v>
      </c>
      <c r="AN114" s="110">
        <f t="shared" si="63"/>
        <v>48542</v>
      </c>
      <c r="AO114" s="105">
        <f t="shared" si="84"/>
        <v>0</v>
      </c>
      <c r="AP114" s="105">
        <f t="shared" si="64"/>
        <v>0</v>
      </c>
      <c r="AQ114" s="105">
        <f t="shared" si="89"/>
        <v>0</v>
      </c>
      <c r="AR114" s="105">
        <f t="shared" si="78"/>
        <v>0</v>
      </c>
      <c r="AS114" s="105">
        <f t="shared" si="90"/>
        <v>0</v>
      </c>
      <c r="AT114" s="105">
        <f t="shared" si="91"/>
        <v>0</v>
      </c>
      <c r="AU114" s="105">
        <f t="shared" si="92"/>
        <v>0</v>
      </c>
      <c r="AV114" s="105">
        <f t="shared" si="93"/>
        <v>0</v>
      </c>
      <c r="AW114" s="105">
        <f t="shared" si="94"/>
        <v>0</v>
      </c>
      <c r="AX114" s="108">
        <f t="shared" si="75"/>
        <v>0</v>
      </c>
      <c r="AY114" s="108">
        <f t="shared" si="65"/>
        <v>0</v>
      </c>
      <c r="AZ114" s="22"/>
      <c r="BA114" s="108">
        <f>G164</f>
        <v>0</v>
      </c>
      <c r="BB114" s="2" t="e">
        <f t="shared" si="83"/>
        <v>#VALUE!</v>
      </c>
    </row>
    <row r="115" spans="5:54" ht="12" x14ac:dyDescent="0.25">
      <c r="E115" s="114">
        <f t="shared" si="72"/>
        <v>107</v>
      </c>
      <c r="F115" s="111">
        <f t="shared" si="66"/>
        <v>48572</v>
      </c>
      <c r="G115" s="24">
        <f t="shared" si="58"/>
        <v>0</v>
      </c>
      <c r="H115" s="24">
        <f t="shared" si="59"/>
        <v>0</v>
      </c>
      <c r="I115" s="24">
        <f t="shared" si="70"/>
        <v>46903.630000000005</v>
      </c>
      <c r="J115" s="24">
        <f t="shared" si="55"/>
        <v>0</v>
      </c>
      <c r="K115" s="24">
        <f t="shared" si="60"/>
        <v>0</v>
      </c>
      <c r="L115" s="24">
        <f t="shared" si="67"/>
        <v>0</v>
      </c>
      <c r="M115" s="24">
        <f t="shared" si="79"/>
        <v>0</v>
      </c>
      <c r="N115" s="24">
        <f t="shared" si="80"/>
        <v>0</v>
      </c>
      <c r="O115" s="24">
        <f t="shared" si="68"/>
        <v>0</v>
      </c>
      <c r="P115" s="24">
        <f t="shared" si="69"/>
        <v>0</v>
      </c>
      <c r="Q115" s="24">
        <f t="shared" si="61"/>
        <v>0</v>
      </c>
      <c r="R115" s="36">
        <f t="shared" si="76"/>
        <v>0</v>
      </c>
      <c r="S115" s="36">
        <f t="shared" si="62"/>
        <v>0</v>
      </c>
      <c r="T115" s="2">
        <f t="shared" si="95"/>
        <v>0</v>
      </c>
      <c r="U115" s="34">
        <f t="shared" si="86"/>
        <v>0</v>
      </c>
      <c r="V115" s="57">
        <f t="shared" ref="V115:V178" si="96">IF(T115=0,V114,V114+365)</f>
        <v>62835</v>
      </c>
      <c r="W115" s="16">
        <f t="shared" si="53"/>
        <v>66</v>
      </c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2">
        <f t="shared" si="82"/>
        <v>0</v>
      </c>
      <c r="AJ115" s="34">
        <f t="shared" si="87"/>
        <v>0</v>
      </c>
      <c r="AK115" s="57">
        <f t="shared" si="88"/>
        <v>62470</v>
      </c>
      <c r="AL115" s="130"/>
      <c r="AM115" s="109">
        <f t="shared" si="74"/>
        <v>107</v>
      </c>
      <c r="AN115" s="110">
        <f t="shared" si="63"/>
        <v>48572</v>
      </c>
      <c r="AO115" s="105">
        <f t="shared" si="84"/>
        <v>0</v>
      </c>
      <c r="AP115" s="105">
        <f t="shared" si="64"/>
        <v>0</v>
      </c>
      <c r="AQ115" s="105">
        <f t="shared" si="89"/>
        <v>0</v>
      </c>
      <c r="AR115" s="105">
        <f t="shared" si="78"/>
        <v>0</v>
      </c>
      <c r="AS115" s="105">
        <f t="shared" si="90"/>
        <v>0</v>
      </c>
      <c r="AT115" s="105">
        <f t="shared" si="91"/>
        <v>0</v>
      </c>
      <c r="AU115" s="105">
        <f t="shared" si="92"/>
        <v>0</v>
      </c>
      <c r="AV115" s="105">
        <f t="shared" si="93"/>
        <v>0</v>
      </c>
      <c r="AW115" s="105">
        <f t="shared" si="94"/>
        <v>0</v>
      </c>
      <c r="AX115" s="108">
        <f t="shared" si="75"/>
        <v>0</v>
      </c>
      <c r="AY115" s="108">
        <f t="shared" si="65"/>
        <v>0</v>
      </c>
      <c r="AZ115" s="22"/>
      <c r="BA115" s="108">
        <f>G165</f>
        <v>0</v>
      </c>
      <c r="BB115" s="2" t="e">
        <f t="shared" si="83"/>
        <v>#VALUE!</v>
      </c>
    </row>
    <row r="116" spans="5:54" ht="12" x14ac:dyDescent="0.25">
      <c r="E116" s="114">
        <f t="shared" si="72"/>
        <v>108</v>
      </c>
      <c r="F116" s="111">
        <f t="shared" si="66"/>
        <v>48603</v>
      </c>
      <c r="G116" s="24">
        <f t="shared" si="58"/>
        <v>0</v>
      </c>
      <c r="H116" s="24">
        <f t="shared" si="59"/>
        <v>0</v>
      </c>
      <c r="I116" s="24">
        <f t="shared" si="70"/>
        <v>46903.630000000005</v>
      </c>
      <c r="J116" s="24">
        <f t="shared" si="55"/>
        <v>0</v>
      </c>
      <c r="K116" s="24">
        <f t="shared" si="60"/>
        <v>0</v>
      </c>
      <c r="L116" s="24">
        <f t="shared" si="67"/>
        <v>0</v>
      </c>
      <c r="M116" s="24">
        <f t="shared" si="79"/>
        <v>0</v>
      </c>
      <c r="N116" s="24">
        <f t="shared" si="80"/>
        <v>0</v>
      </c>
      <c r="O116" s="24">
        <f t="shared" si="68"/>
        <v>0</v>
      </c>
      <c r="P116" s="24">
        <f t="shared" si="69"/>
        <v>0</v>
      </c>
      <c r="Q116" s="24">
        <f t="shared" si="61"/>
        <v>0</v>
      </c>
      <c r="R116" s="36">
        <f t="shared" si="76"/>
        <v>0</v>
      </c>
      <c r="S116" s="36">
        <f t="shared" si="62"/>
        <v>0</v>
      </c>
      <c r="T116" s="2">
        <f t="shared" si="95"/>
        <v>0</v>
      </c>
      <c r="U116" s="34">
        <f t="shared" si="86"/>
        <v>0</v>
      </c>
      <c r="V116" s="57">
        <f t="shared" si="96"/>
        <v>62835</v>
      </c>
      <c r="W116" s="16">
        <f>W115+1</f>
        <v>67</v>
      </c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2">
        <f t="shared" si="82"/>
        <v>0</v>
      </c>
      <c r="AJ116" s="34">
        <f t="shared" si="87"/>
        <v>0</v>
      </c>
      <c r="AK116" s="57">
        <f t="shared" si="88"/>
        <v>62470</v>
      </c>
      <c r="AL116" s="130"/>
      <c r="AM116" s="109">
        <f t="shared" si="74"/>
        <v>108</v>
      </c>
      <c r="AN116" s="110">
        <f t="shared" si="63"/>
        <v>48603</v>
      </c>
      <c r="AO116" s="105">
        <f t="shared" si="84"/>
        <v>0</v>
      </c>
      <c r="AP116" s="105">
        <f t="shared" si="64"/>
        <v>0</v>
      </c>
      <c r="AQ116" s="105">
        <f t="shared" si="89"/>
        <v>0</v>
      </c>
      <c r="AR116" s="105">
        <f t="shared" si="78"/>
        <v>0</v>
      </c>
      <c r="AS116" s="105">
        <f t="shared" si="90"/>
        <v>0</v>
      </c>
      <c r="AT116" s="105">
        <f t="shared" si="91"/>
        <v>0</v>
      </c>
      <c r="AU116" s="105">
        <f t="shared" si="92"/>
        <v>0</v>
      </c>
      <c r="AV116" s="105">
        <f t="shared" si="93"/>
        <v>0</v>
      </c>
      <c r="AW116" s="105">
        <f t="shared" si="94"/>
        <v>0</v>
      </c>
      <c r="AX116" s="108">
        <f t="shared" si="75"/>
        <v>0</v>
      </c>
      <c r="AY116" s="108">
        <f t="shared" si="65"/>
        <v>0</v>
      </c>
      <c r="AZ116" s="29" t="s">
        <v>67</v>
      </c>
      <c r="BA116" s="152" t="e">
        <f>XIRR(BA7:BA115,AZ7:AZ115)</f>
        <v>#NUM!</v>
      </c>
      <c r="BB116" s="2" t="e">
        <f t="shared" si="83"/>
        <v>#VALUE!</v>
      </c>
    </row>
    <row r="117" spans="5:54" ht="12" x14ac:dyDescent="0.25">
      <c r="E117" s="114">
        <f t="shared" si="72"/>
        <v>109</v>
      </c>
      <c r="F117" s="111">
        <f t="shared" si="66"/>
        <v>48634</v>
      </c>
      <c r="G117" s="24">
        <f t="shared" si="58"/>
        <v>0</v>
      </c>
      <c r="H117" s="24">
        <f t="shared" si="59"/>
        <v>0</v>
      </c>
      <c r="I117" s="24">
        <f t="shared" si="70"/>
        <v>46903.630000000005</v>
      </c>
      <c r="J117" s="24">
        <f t="shared" si="55"/>
        <v>0</v>
      </c>
      <c r="K117" s="24">
        <f t="shared" si="60"/>
        <v>0</v>
      </c>
      <c r="L117" s="24">
        <f t="shared" si="67"/>
        <v>0</v>
      </c>
      <c r="M117" s="24">
        <f t="shared" si="79"/>
        <v>0</v>
      </c>
      <c r="N117" s="24">
        <f t="shared" si="80"/>
        <v>0</v>
      </c>
      <c r="O117" s="24">
        <f t="shared" si="68"/>
        <v>0</v>
      </c>
      <c r="P117" s="24">
        <f t="shared" si="69"/>
        <v>0</v>
      </c>
      <c r="Q117" s="24">
        <f t="shared" si="61"/>
        <v>0</v>
      </c>
      <c r="R117" s="36">
        <f t="shared" si="76"/>
        <v>0</v>
      </c>
      <c r="S117" s="36">
        <f t="shared" si="62"/>
        <v>0</v>
      </c>
      <c r="T117" s="2">
        <f t="shared" si="95"/>
        <v>0</v>
      </c>
      <c r="U117" s="34">
        <f t="shared" si="86"/>
        <v>0</v>
      </c>
      <c r="V117" s="57">
        <f t="shared" si="96"/>
        <v>62835</v>
      </c>
      <c r="W117" s="16">
        <f>W116+1</f>
        <v>68</v>
      </c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2">
        <f t="shared" si="82"/>
        <v>0</v>
      </c>
      <c r="AJ117" s="34">
        <f t="shared" si="87"/>
        <v>0</v>
      </c>
      <c r="AK117" s="57">
        <f t="shared" si="88"/>
        <v>62470</v>
      </c>
      <c r="AL117" s="130"/>
      <c r="AM117" s="109">
        <f t="shared" si="74"/>
        <v>109</v>
      </c>
      <c r="AN117" s="110">
        <f t="shared" si="63"/>
        <v>48634</v>
      </c>
      <c r="AO117" s="105">
        <f t="shared" si="84"/>
        <v>0</v>
      </c>
      <c r="AP117" s="105">
        <f t="shared" si="64"/>
        <v>0</v>
      </c>
      <c r="AQ117" s="105">
        <f t="shared" si="89"/>
        <v>0</v>
      </c>
      <c r="AR117" s="105">
        <f t="shared" si="78"/>
        <v>0</v>
      </c>
      <c r="AS117" s="105">
        <f t="shared" si="90"/>
        <v>0</v>
      </c>
      <c r="AT117" s="105">
        <f t="shared" si="91"/>
        <v>0</v>
      </c>
      <c r="AU117" s="105">
        <f t="shared" si="92"/>
        <v>0</v>
      </c>
      <c r="AV117" s="105">
        <f t="shared" si="93"/>
        <v>0</v>
      </c>
      <c r="AW117" s="105">
        <f t="shared" si="94"/>
        <v>0</v>
      </c>
      <c r="AX117" s="108">
        <f t="shared" si="75"/>
        <v>0</v>
      </c>
      <c r="AY117" s="108">
        <f t="shared" si="65"/>
        <v>0</v>
      </c>
      <c r="BB117" s="2" t="e">
        <f t="shared" si="83"/>
        <v>#VALUE!</v>
      </c>
    </row>
    <row r="118" spans="5:54" ht="12" x14ac:dyDescent="0.25">
      <c r="E118" s="114">
        <f t="shared" si="72"/>
        <v>110</v>
      </c>
      <c r="F118" s="111">
        <f t="shared" si="66"/>
        <v>48662</v>
      </c>
      <c r="G118" s="24">
        <f t="shared" si="58"/>
        <v>0</v>
      </c>
      <c r="H118" s="24">
        <f t="shared" si="59"/>
        <v>0</v>
      </c>
      <c r="I118" s="24">
        <f t="shared" si="70"/>
        <v>46903.630000000005</v>
      </c>
      <c r="J118" s="24">
        <f t="shared" si="55"/>
        <v>0</v>
      </c>
      <c r="K118" s="24">
        <f t="shared" si="60"/>
        <v>0</v>
      </c>
      <c r="L118" s="24">
        <f t="shared" si="67"/>
        <v>0</v>
      </c>
      <c r="M118" s="24">
        <f t="shared" si="79"/>
        <v>0</v>
      </c>
      <c r="N118" s="24">
        <f t="shared" si="80"/>
        <v>0</v>
      </c>
      <c r="O118" s="24">
        <f t="shared" si="68"/>
        <v>0</v>
      </c>
      <c r="P118" s="24">
        <f t="shared" si="69"/>
        <v>0</v>
      </c>
      <c r="Q118" s="24">
        <f t="shared" si="61"/>
        <v>0</v>
      </c>
      <c r="R118" s="36">
        <f t="shared" si="76"/>
        <v>0</v>
      </c>
      <c r="S118" s="36">
        <f t="shared" si="62"/>
        <v>0</v>
      </c>
      <c r="T118" s="2">
        <f t="shared" si="95"/>
        <v>0</v>
      </c>
      <c r="U118" s="34">
        <f t="shared" si="86"/>
        <v>0</v>
      </c>
      <c r="V118" s="57">
        <f t="shared" si="96"/>
        <v>62835</v>
      </c>
      <c r="W118" s="16">
        <f t="shared" ref="W118:W180" si="97">W117+1</f>
        <v>69</v>
      </c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2">
        <f t="shared" si="82"/>
        <v>0</v>
      </c>
      <c r="AJ118" s="34">
        <f t="shared" si="87"/>
        <v>0</v>
      </c>
      <c r="AK118" s="57">
        <f t="shared" si="88"/>
        <v>62470</v>
      </c>
      <c r="AL118" s="130"/>
      <c r="AM118" s="109">
        <f t="shared" si="74"/>
        <v>110</v>
      </c>
      <c r="AN118" s="110">
        <f t="shared" si="63"/>
        <v>48662</v>
      </c>
      <c r="AO118" s="105">
        <f t="shared" si="84"/>
        <v>0</v>
      </c>
      <c r="AP118" s="105">
        <f t="shared" si="64"/>
        <v>0</v>
      </c>
      <c r="AQ118" s="105">
        <f t="shared" si="89"/>
        <v>0</v>
      </c>
      <c r="AR118" s="105">
        <f t="shared" si="78"/>
        <v>0</v>
      </c>
      <c r="AS118" s="105">
        <f t="shared" si="90"/>
        <v>0</v>
      </c>
      <c r="AT118" s="105">
        <f t="shared" si="91"/>
        <v>0</v>
      </c>
      <c r="AU118" s="105">
        <f t="shared" si="92"/>
        <v>0</v>
      </c>
      <c r="AV118" s="105">
        <f t="shared" si="93"/>
        <v>0</v>
      </c>
      <c r="AW118" s="105">
        <f t="shared" si="94"/>
        <v>0</v>
      </c>
      <c r="AX118" s="108">
        <f t="shared" si="75"/>
        <v>0</v>
      </c>
      <c r="AY118" s="108">
        <f t="shared" si="65"/>
        <v>0</v>
      </c>
      <c r="BB118" s="2" t="e">
        <f t="shared" si="83"/>
        <v>#VALUE!</v>
      </c>
    </row>
    <row r="119" spans="5:54" ht="12" x14ac:dyDescent="0.25">
      <c r="E119" s="114">
        <f t="shared" si="72"/>
        <v>111</v>
      </c>
      <c r="F119" s="111">
        <f t="shared" si="66"/>
        <v>48693</v>
      </c>
      <c r="G119" s="24">
        <f t="shared" si="58"/>
        <v>0</v>
      </c>
      <c r="H119" s="24">
        <f t="shared" si="59"/>
        <v>0</v>
      </c>
      <c r="I119" s="24">
        <f t="shared" si="70"/>
        <v>46903.630000000005</v>
      </c>
      <c r="J119" s="24">
        <f t="shared" si="55"/>
        <v>0</v>
      </c>
      <c r="K119" s="24">
        <f t="shared" si="60"/>
        <v>0</v>
      </c>
      <c r="L119" s="24">
        <f t="shared" si="67"/>
        <v>0</v>
      </c>
      <c r="M119" s="24">
        <f t="shared" si="79"/>
        <v>0</v>
      </c>
      <c r="N119" s="24">
        <f t="shared" si="80"/>
        <v>0</v>
      </c>
      <c r="O119" s="24">
        <f t="shared" si="68"/>
        <v>0</v>
      </c>
      <c r="P119" s="24">
        <f t="shared" si="69"/>
        <v>0</v>
      </c>
      <c r="Q119" s="24">
        <f t="shared" si="61"/>
        <v>0</v>
      </c>
      <c r="R119" s="36">
        <f t="shared" si="76"/>
        <v>0</v>
      </c>
      <c r="S119" s="36">
        <f t="shared" si="62"/>
        <v>0</v>
      </c>
      <c r="T119" s="2">
        <f t="shared" si="95"/>
        <v>0</v>
      </c>
      <c r="U119" s="34">
        <f t="shared" si="86"/>
        <v>0</v>
      </c>
      <c r="V119" s="57">
        <f t="shared" si="96"/>
        <v>62835</v>
      </c>
      <c r="W119" s="16">
        <f t="shared" si="97"/>
        <v>70</v>
      </c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2">
        <f t="shared" si="82"/>
        <v>0</v>
      </c>
      <c r="AJ119" s="34">
        <f t="shared" si="87"/>
        <v>0</v>
      </c>
      <c r="AK119" s="57">
        <f t="shared" si="88"/>
        <v>62470</v>
      </c>
      <c r="AL119" s="130"/>
      <c r="AM119" s="109">
        <f t="shared" si="74"/>
        <v>111</v>
      </c>
      <c r="AN119" s="110">
        <f t="shared" si="63"/>
        <v>48693</v>
      </c>
      <c r="AO119" s="105">
        <f t="shared" si="84"/>
        <v>0</v>
      </c>
      <c r="AP119" s="105">
        <f t="shared" si="64"/>
        <v>0</v>
      </c>
      <c r="AQ119" s="105">
        <f t="shared" si="89"/>
        <v>0</v>
      </c>
      <c r="AR119" s="105">
        <f t="shared" si="78"/>
        <v>0</v>
      </c>
      <c r="AS119" s="105">
        <f t="shared" si="90"/>
        <v>0</v>
      </c>
      <c r="AT119" s="105">
        <f t="shared" si="91"/>
        <v>0</v>
      </c>
      <c r="AU119" s="105">
        <f t="shared" si="92"/>
        <v>0</v>
      </c>
      <c r="AV119" s="105">
        <f t="shared" si="93"/>
        <v>0</v>
      </c>
      <c r="AW119" s="105">
        <f t="shared" si="94"/>
        <v>0</v>
      </c>
      <c r="AX119" s="108">
        <f t="shared" si="75"/>
        <v>0</v>
      </c>
      <c r="AY119" s="108">
        <f t="shared" si="65"/>
        <v>0</v>
      </c>
      <c r="BB119" s="2" t="e">
        <f t="shared" si="83"/>
        <v>#VALUE!</v>
      </c>
    </row>
    <row r="120" spans="5:54" ht="12" x14ac:dyDescent="0.25">
      <c r="E120" s="114">
        <f t="shared" si="72"/>
        <v>112</v>
      </c>
      <c r="F120" s="111">
        <f t="shared" si="66"/>
        <v>48723</v>
      </c>
      <c r="G120" s="24">
        <f t="shared" si="58"/>
        <v>0</v>
      </c>
      <c r="H120" s="24">
        <f t="shared" si="59"/>
        <v>0</v>
      </c>
      <c r="I120" s="24">
        <f t="shared" si="70"/>
        <v>46903.630000000005</v>
      </c>
      <c r="J120" s="24">
        <f t="shared" si="55"/>
        <v>0</v>
      </c>
      <c r="K120" s="24">
        <f t="shared" si="60"/>
        <v>0</v>
      </c>
      <c r="L120" s="24">
        <f t="shared" si="67"/>
        <v>0</v>
      </c>
      <c r="M120" s="24">
        <f t="shared" si="79"/>
        <v>0</v>
      </c>
      <c r="N120" s="24">
        <f t="shared" si="80"/>
        <v>0</v>
      </c>
      <c r="O120" s="24">
        <f t="shared" si="68"/>
        <v>0</v>
      </c>
      <c r="P120" s="24">
        <f t="shared" si="69"/>
        <v>0</v>
      </c>
      <c r="Q120" s="24">
        <f t="shared" si="61"/>
        <v>0</v>
      </c>
      <c r="R120" s="36">
        <f t="shared" si="76"/>
        <v>0</v>
      </c>
      <c r="S120" s="36">
        <f t="shared" si="62"/>
        <v>0</v>
      </c>
      <c r="T120" s="2">
        <f t="shared" si="95"/>
        <v>0</v>
      </c>
      <c r="U120" s="34">
        <f t="shared" si="86"/>
        <v>0</v>
      </c>
      <c r="V120" s="57">
        <f t="shared" si="96"/>
        <v>62835</v>
      </c>
      <c r="W120" s="16">
        <f t="shared" si="97"/>
        <v>71</v>
      </c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2">
        <f t="shared" si="82"/>
        <v>0</v>
      </c>
      <c r="AJ120" s="34">
        <f t="shared" si="87"/>
        <v>0</v>
      </c>
      <c r="AK120" s="57">
        <f t="shared" si="88"/>
        <v>62470</v>
      </c>
      <c r="AL120" s="130"/>
      <c r="AM120" s="109">
        <f t="shared" si="74"/>
        <v>112</v>
      </c>
      <c r="AN120" s="110">
        <f t="shared" si="63"/>
        <v>48723</v>
      </c>
      <c r="AO120" s="105">
        <f t="shared" si="84"/>
        <v>0</v>
      </c>
      <c r="AP120" s="105">
        <f t="shared" si="64"/>
        <v>0</v>
      </c>
      <c r="AQ120" s="105">
        <f t="shared" si="89"/>
        <v>0</v>
      </c>
      <c r="AR120" s="105">
        <f t="shared" si="78"/>
        <v>0</v>
      </c>
      <c r="AS120" s="105">
        <f t="shared" si="90"/>
        <v>0</v>
      </c>
      <c r="AT120" s="105">
        <f t="shared" si="91"/>
        <v>0</v>
      </c>
      <c r="AU120" s="105">
        <f t="shared" si="92"/>
        <v>0</v>
      </c>
      <c r="AV120" s="105">
        <f t="shared" si="93"/>
        <v>0</v>
      </c>
      <c r="AW120" s="105">
        <f t="shared" si="94"/>
        <v>0</v>
      </c>
      <c r="AX120" s="108">
        <f t="shared" si="75"/>
        <v>0</v>
      </c>
      <c r="AY120" s="108">
        <f t="shared" si="65"/>
        <v>0</v>
      </c>
      <c r="BB120" s="2" t="e">
        <f t="shared" si="83"/>
        <v>#VALUE!</v>
      </c>
    </row>
    <row r="121" spans="5:54" ht="12" x14ac:dyDescent="0.25">
      <c r="E121" s="114">
        <f t="shared" si="72"/>
        <v>113</v>
      </c>
      <c r="F121" s="111">
        <f t="shared" si="66"/>
        <v>48754</v>
      </c>
      <c r="G121" s="24">
        <f t="shared" si="58"/>
        <v>0</v>
      </c>
      <c r="H121" s="24">
        <f t="shared" si="59"/>
        <v>0</v>
      </c>
      <c r="I121" s="24">
        <f t="shared" si="70"/>
        <v>46903.630000000005</v>
      </c>
      <c r="J121" s="24">
        <f t="shared" si="55"/>
        <v>0</v>
      </c>
      <c r="K121" s="24">
        <f t="shared" si="60"/>
        <v>0</v>
      </c>
      <c r="L121" s="24">
        <f t="shared" si="67"/>
        <v>0</v>
      </c>
      <c r="M121" s="24">
        <f t="shared" si="79"/>
        <v>0</v>
      </c>
      <c r="N121" s="24">
        <f t="shared" si="80"/>
        <v>0</v>
      </c>
      <c r="O121" s="24">
        <f t="shared" si="68"/>
        <v>0</v>
      </c>
      <c r="P121" s="24">
        <f t="shared" si="69"/>
        <v>0</v>
      </c>
      <c r="Q121" s="24">
        <f t="shared" si="61"/>
        <v>0</v>
      </c>
      <c r="R121" s="36">
        <f t="shared" si="76"/>
        <v>0</v>
      </c>
      <c r="S121" s="36">
        <f t="shared" si="62"/>
        <v>0</v>
      </c>
      <c r="T121" s="2">
        <f t="shared" si="95"/>
        <v>0</v>
      </c>
      <c r="U121" s="34">
        <f t="shared" si="86"/>
        <v>0</v>
      </c>
      <c r="V121" s="57">
        <f t="shared" si="96"/>
        <v>62835</v>
      </c>
      <c r="W121" s="16">
        <f t="shared" si="97"/>
        <v>72</v>
      </c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2">
        <f t="shared" si="82"/>
        <v>0</v>
      </c>
      <c r="AJ121" s="34">
        <f t="shared" si="87"/>
        <v>0</v>
      </c>
      <c r="AK121" s="57">
        <f t="shared" si="88"/>
        <v>62470</v>
      </c>
      <c r="AL121" s="130"/>
      <c r="AM121" s="109">
        <f t="shared" si="74"/>
        <v>113</v>
      </c>
      <c r="AN121" s="110">
        <f t="shared" si="63"/>
        <v>48754</v>
      </c>
      <c r="AO121" s="105">
        <f t="shared" si="84"/>
        <v>0</v>
      </c>
      <c r="AP121" s="105">
        <f t="shared" si="64"/>
        <v>0</v>
      </c>
      <c r="AQ121" s="105">
        <f t="shared" si="89"/>
        <v>0</v>
      </c>
      <c r="AR121" s="105">
        <f t="shared" si="78"/>
        <v>0</v>
      </c>
      <c r="AS121" s="105">
        <f t="shared" si="90"/>
        <v>0</v>
      </c>
      <c r="AT121" s="105">
        <f t="shared" si="91"/>
        <v>0</v>
      </c>
      <c r="AU121" s="105">
        <f t="shared" si="92"/>
        <v>0</v>
      </c>
      <c r="AV121" s="105">
        <f t="shared" si="93"/>
        <v>0</v>
      </c>
      <c r="AW121" s="105">
        <f t="shared" si="94"/>
        <v>0</v>
      </c>
      <c r="AX121" s="108">
        <f t="shared" si="75"/>
        <v>0</v>
      </c>
      <c r="AY121" s="108">
        <f t="shared" si="65"/>
        <v>0</v>
      </c>
      <c r="BB121" s="2" t="e">
        <f t="shared" si="83"/>
        <v>#VALUE!</v>
      </c>
    </row>
    <row r="122" spans="5:54" ht="12" x14ac:dyDescent="0.25">
      <c r="E122" s="114">
        <f t="shared" si="72"/>
        <v>114</v>
      </c>
      <c r="F122" s="111">
        <f t="shared" si="66"/>
        <v>48784</v>
      </c>
      <c r="G122" s="24">
        <f t="shared" si="58"/>
        <v>0</v>
      </c>
      <c r="H122" s="24">
        <f t="shared" si="59"/>
        <v>0</v>
      </c>
      <c r="I122" s="24">
        <f t="shared" si="70"/>
        <v>46903.630000000005</v>
      </c>
      <c r="J122" s="24">
        <f t="shared" si="55"/>
        <v>0</v>
      </c>
      <c r="K122" s="24">
        <f t="shared" si="60"/>
        <v>0</v>
      </c>
      <c r="L122" s="24">
        <f t="shared" si="67"/>
        <v>0</v>
      </c>
      <c r="M122" s="24">
        <f t="shared" si="79"/>
        <v>0</v>
      </c>
      <c r="N122" s="24">
        <f t="shared" si="80"/>
        <v>0</v>
      </c>
      <c r="O122" s="24">
        <f t="shared" si="68"/>
        <v>0</v>
      </c>
      <c r="P122" s="24">
        <f t="shared" si="69"/>
        <v>0</v>
      </c>
      <c r="Q122" s="24">
        <f t="shared" si="61"/>
        <v>0</v>
      </c>
      <c r="R122" s="36">
        <f t="shared" si="76"/>
        <v>0</v>
      </c>
      <c r="S122" s="36">
        <f t="shared" si="62"/>
        <v>0</v>
      </c>
      <c r="T122" s="2">
        <f t="shared" si="95"/>
        <v>0</v>
      </c>
      <c r="U122" s="34">
        <f t="shared" si="86"/>
        <v>0</v>
      </c>
      <c r="V122" s="57">
        <f t="shared" si="96"/>
        <v>62835</v>
      </c>
      <c r="W122" s="16">
        <f t="shared" si="97"/>
        <v>73</v>
      </c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2">
        <f t="shared" si="82"/>
        <v>0</v>
      </c>
      <c r="AJ122" s="34">
        <f t="shared" si="87"/>
        <v>0</v>
      </c>
      <c r="AK122" s="57">
        <f t="shared" si="88"/>
        <v>62470</v>
      </c>
      <c r="AL122" s="130"/>
      <c r="AM122" s="109">
        <f t="shared" si="74"/>
        <v>114</v>
      </c>
      <c r="AN122" s="110">
        <f t="shared" si="63"/>
        <v>48784</v>
      </c>
      <c r="AO122" s="105">
        <f t="shared" si="84"/>
        <v>0</v>
      </c>
      <c r="AP122" s="105">
        <f t="shared" si="64"/>
        <v>0</v>
      </c>
      <c r="AQ122" s="105">
        <f t="shared" si="89"/>
        <v>0</v>
      </c>
      <c r="AR122" s="105">
        <f t="shared" si="78"/>
        <v>0</v>
      </c>
      <c r="AS122" s="105">
        <f t="shared" si="90"/>
        <v>0</v>
      </c>
      <c r="AT122" s="105">
        <f t="shared" si="91"/>
        <v>0</v>
      </c>
      <c r="AU122" s="105">
        <f t="shared" si="92"/>
        <v>0</v>
      </c>
      <c r="AV122" s="105">
        <f t="shared" si="93"/>
        <v>0</v>
      </c>
      <c r="AW122" s="105">
        <f t="shared" si="94"/>
        <v>0</v>
      </c>
      <c r="AX122" s="108">
        <f t="shared" si="75"/>
        <v>0</v>
      </c>
      <c r="AY122" s="108">
        <f t="shared" si="65"/>
        <v>0</v>
      </c>
      <c r="BB122" s="2" t="e">
        <f t="shared" si="83"/>
        <v>#VALUE!</v>
      </c>
    </row>
    <row r="123" spans="5:54" ht="12" x14ac:dyDescent="0.25">
      <c r="E123" s="114">
        <f t="shared" si="72"/>
        <v>115</v>
      </c>
      <c r="F123" s="111">
        <f t="shared" si="66"/>
        <v>48815</v>
      </c>
      <c r="G123" s="24">
        <f t="shared" si="58"/>
        <v>0</v>
      </c>
      <c r="H123" s="24">
        <f t="shared" si="59"/>
        <v>0</v>
      </c>
      <c r="I123" s="24">
        <f t="shared" si="70"/>
        <v>46903.630000000005</v>
      </c>
      <c r="J123" s="24">
        <f t="shared" si="55"/>
        <v>0</v>
      </c>
      <c r="K123" s="24">
        <f t="shared" si="60"/>
        <v>0</v>
      </c>
      <c r="L123" s="24">
        <f t="shared" si="67"/>
        <v>0</v>
      </c>
      <c r="M123" s="24">
        <f t="shared" si="79"/>
        <v>0</v>
      </c>
      <c r="N123" s="24">
        <f t="shared" si="80"/>
        <v>0</v>
      </c>
      <c r="O123" s="24">
        <f t="shared" si="68"/>
        <v>0</v>
      </c>
      <c r="P123" s="24">
        <f t="shared" si="69"/>
        <v>0</v>
      </c>
      <c r="Q123" s="24">
        <f t="shared" si="61"/>
        <v>0</v>
      </c>
      <c r="R123" s="36">
        <f t="shared" si="76"/>
        <v>0</v>
      </c>
      <c r="S123" s="36">
        <f t="shared" si="62"/>
        <v>0</v>
      </c>
      <c r="T123" s="2">
        <f t="shared" si="95"/>
        <v>0</v>
      </c>
      <c r="U123" s="34">
        <f t="shared" si="86"/>
        <v>0</v>
      </c>
      <c r="V123" s="57">
        <f t="shared" si="96"/>
        <v>62835</v>
      </c>
      <c r="W123" s="16">
        <f t="shared" si="97"/>
        <v>74</v>
      </c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2">
        <f t="shared" si="82"/>
        <v>0</v>
      </c>
      <c r="AJ123" s="34">
        <f t="shared" si="87"/>
        <v>0</v>
      </c>
      <c r="AK123" s="57">
        <f t="shared" si="88"/>
        <v>62470</v>
      </c>
      <c r="AL123" s="130"/>
      <c r="AM123" s="109">
        <f t="shared" si="74"/>
        <v>115</v>
      </c>
      <c r="AN123" s="110">
        <f t="shared" si="63"/>
        <v>48815</v>
      </c>
      <c r="AO123" s="105">
        <f t="shared" si="84"/>
        <v>0</v>
      </c>
      <c r="AP123" s="105">
        <f t="shared" si="64"/>
        <v>0</v>
      </c>
      <c r="AQ123" s="105">
        <f t="shared" si="89"/>
        <v>0</v>
      </c>
      <c r="AR123" s="105">
        <f t="shared" si="78"/>
        <v>0</v>
      </c>
      <c r="AS123" s="105">
        <f t="shared" si="90"/>
        <v>0</v>
      </c>
      <c r="AT123" s="105">
        <f t="shared" si="91"/>
        <v>0</v>
      </c>
      <c r="AU123" s="105">
        <f t="shared" si="92"/>
        <v>0</v>
      </c>
      <c r="AV123" s="105">
        <f t="shared" si="93"/>
        <v>0</v>
      </c>
      <c r="AW123" s="105">
        <f t="shared" si="94"/>
        <v>0</v>
      </c>
      <c r="AX123" s="108">
        <f t="shared" si="75"/>
        <v>0</v>
      </c>
      <c r="AY123" s="108">
        <f t="shared" si="65"/>
        <v>0</v>
      </c>
      <c r="BB123" s="2" t="e">
        <f t="shared" si="83"/>
        <v>#VALUE!</v>
      </c>
    </row>
    <row r="124" spans="5:54" ht="12" x14ac:dyDescent="0.25">
      <c r="E124" s="114">
        <f t="shared" si="72"/>
        <v>116</v>
      </c>
      <c r="F124" s="111">
        <f t="shared" si="66"/>
        <v>48846</v>
      </c>
      <c r="G124" s="24">
        <f t="shared" si="58"/>
        <v>0</v>
      </c>
      <c r="H124" s="24">
        <f t="shared" si="59"/>
        <v>0</v>
      </c>
      <c r="I124" s="24">
        <f t="shared" si="70"/>
        <v>46903.630000000005</v>
      </c>
      <c r="J124" s="24">
        <f t="shared" si="55"/>
        <v>0</v>
      </c>
      <c r="K124" s="24">
        <f t="shared" si="60"/>
        <v>0</v>
      </c>
      <c r="L124" s="24">
        <f t="shared" si="67"/>
        <v>0</v>
      </c>
      <c r="M124" s="24">
        <f t="shared" si="79"/>
        <v>0</v>
      </c>
      <c r="N124" s="24">
        <f t="shared" si="80"/>
        <v>0</v>
      </c>
      <c r="O124" s="24">
        <f t="shared" si="68"/>
        <v>0</v>
      </c>
      <c r="P124" s="24">
        <f t="shared" si="69"/>
        <v>0</v>
      </c>
      <c r="Q124" s="24">
        <f t="shared" si="61"/>
        <v>0</v>
      </c>
      <c r="R124" s="36">
        <f t="shared" si="76"/>
        <v>0</v>
      </c>
      <c r="S124" s="36">
        <f t="shared" si="62"/>
        <v>0</v>
      </c>
      <c r="T124" s="2">
        <f t="shared" si="95"/>
        <v>0</v>
      </c>
      <c r="U124" s="34">
        <f t="shared" si="86"/>
        <v>0</v>
      </c>
      <c r="V124" s="57">
        <f t="shared" si="96"/>
        <v>62835</v>
      </c>
      <c r="W124" s="16">
        <f t="shared" si="97"/>
        <v>75</v>
      </c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2">
        <f t="shared" si="82"/>
        <v>0</v>
      </c>
      <c r="AJ124" s="34">
        <f t="shared" si="87"/>
        <v>0</v>
      </c>
      <c r="AK124" s="57">
        <f t="shared" si="88"/>
        <v>62470</v>
      </c>
      <c r="AL124" s="130"/>
      <c r="AM124" s="109">
        <f t="shared" si="74"/>
        <v>116</v>
      </c>
      <c r="AN124" s="110">
        <f t="shared" si="63"/>
        <v>48846</v>
      </c>
      <c r="AO124" s="105">
        <f t="shared" si="84"/>
        <v>0</v>
      </c>
      <c r="AP124" s="105">
        <f t="shared" si="64"/>
        <v>0</v>
      </c>
      <c r="AQ124" s="105">
        <f t="shared" si="89"/>
        <v>0</v>
      </c>
      <c r="AR124" s="105">
        <f t="shared" si="78"/>
        <v>0</v>
      </c>
      <c r="AS124" s="105">
        <f t="shared" si="90"/>
        <v>0</v>
      </c>
      <c r="AT124" s="105">
        <f t="shared" si="91"/>
        <v>0</v>
      </c>
      <c r="AU124" s="105">
        <f t="shared" si="92"/>
        <v>0</v>
      </c>
      <c r="AV124" s="105">
        <f t="shared" si="93"/>
        <v>0</v>
      </c>
      <c r="AW124" s="105">
        <f t="shared" si="94"/>
        <v>0</v>
      </c>
      <c r="AX124" s="108">
        <f t="shared" si="75"/>
        <v>0</v>
      </c>
      <c r="AY124" s="108">
        <f t="shared" si="65"/>
        <v>0</v>
      </c>
      <c r="BB124" s="2" t="e">
        <f t="shared" si="83"/>
        <v>#VALUE!</v>
      </c>
    </row>
    <row r="125" spans="5:54" ht="12" x14ac:dyDescent="0.25">
      <c r="E125" s="114">
        <f t="shared" si="72"/>
        <v>117</v>
      </c>
      <c r="F125" s="111">
        <f t="shared" si="66"/>
        <v>48876</v>
      </c>
      <c r="G125" s="24">
        <f t="shared" si="58"/>
        <v>0</v>
      </c>
      <c r="H125" s="24">
        <f t="shared" si="59"/>
        <v>0</v>
      </c>
      <c r="I125" s="24">
        <f t="shared" si="70"/>
        <v>46903.630000000005</v>
      </c>
      <c r="J125" s="24">
        <f t="shared" si="55"/>
        <v>0</v>
      </c>
      <c r="K125" s="24">
        <f t="shared" si="60"/>
        <v>0</v>
      </c>
      <c r="L125" s="24">
        <f t="shared" si="67"/>
        <v>0</v>
      </c>
      <c r="M125" s="24">
        <f t="shared" si="79"/>
        <v>0</v>
      </c>
      <c r="N125" s="24">
        <f t="shared" si="80"/>
        <v>0</v>
      </c>
      <c r="O125" s="24">
        <f t="shared" si="68"/>
        <v>0</v>
      </c>
      <c r="P125" s="24">
        <f t="shared" si="69"/>
        <v>0</v>
      </c>
      <c r="Q125" s="24">
        <f t="shared" si="61"/>
        <v>0</v>
      </c>
      <c r="R125" s="36">
        <f t="shared" si="76"/>
        <v>0</v>
      </c>
      <c r="S125" s="36">
        <f t="shared" si="62"/>
        <v>0</v>
      </c>
      <c r="T125" s="2">
        <f t="shared" si="95"/>
        <v>0</v>
      </c>
      <c r="U125" s="34">
        <f t="shared" si="86"/>
        <v>0</v>
      </c>
      <c r="V125" s="57">
        <f t="shared" si="96"/>
        <v>62835</v>
      </c>
      <c r="W125" s="16">
        <f t="shared" si="97"/>
        <v>76</v>
      </c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2">
        <f t="shared" si="82"/>
        <v>0</v>
      </c>
      <c r="AJ125" s="34">
        <f t="shared" si="87"/>
        <v>0</v>
      </c>
      <c r="AK125" s="57">
        <f t="shared" si="88"/>
        <v>62470</v>
      </c>
      <c r="AL125" s="130"/>
      <c r="AM125" s="109">
        <f t="shared" si="74"/>
        <v>117</v>
      </c>
      <c r="AN125" s="110">
        <f t="shared" si="63"/>
        <v>48876</v>
      </c>
      <c r="AO125" s="105">
        <f t="shared" si="84"/>
        <v>0</v>
      </c>
      <c r="AP125" s="105">
        <f t="shared" si="64"/>
        <v>0</v>
      </c>
      <c r="AQ125" s="105">
        <f t="shared" si="89"/>
        <v>0</v>
      </c>
      <c r="AR125" s="105">
        <f t="shared" si="78"/>
        <v>0</v>
      </c>
      <c r="AS125" s="105">
        <f t="shared" si="90"/>
        <v>0</v>
      </c>
      <c r="AT125" s="105">
        <f t="shared" si="91"/>
        <v>0</v>
      </c>
      <c r="AU125" s="105">
        <f t="shared" si="92"/>
        <v>0</v>
      </c>
      <c r="AV125" s="105">
        <f t="shared" si="93"/>
        <v>0</v>
      </c>
      <c r="AW125" s="105">
        <f t="shared" si="94"/>
        <v>0</v>
      </c>
      <c r="AX125" s="108">
        <f t="shared" si="75"/>
        <v>0</v>
      </c>
      <c r="AY125" s="108">
        <f t="shared" si="65"/>
        <v>0</v>
      </c>
      <c r="BB125" s="2" t="e">
        <f t="shared" si="83"/>
        <v>#VALUE!</v>
      </c>
    </row>
    <row r="126" spans="5:54" ht="12" x14ac:dyDescent="0.25">
      <c r="E126" s="114">
        <f t="shared" si="72"/>
        <v>118</v>
      </c>
      <c r="F126" s="111">
        <f t="shared" si="66"/>
        <v>48907</v>
      </c>
      <c r="G126" s="24">
        <f t="shared" si="58"/>
        <v>0</v>
      </c>
      <c r="H126" s="24">
        <f t="shared" si="59"/>
        <v>0</v>
      </c>
      <c r="I126" s="24">
        <f t="shared" si="70"/>
        <v>46903.630000000005</v>
      </c>
      <c r="J126" s="24">
        <f t="shared" si="55"/>
        <v>0</v>
      </c>
      <c r="K126" s="24">
        <f t="shared" si="60"/>
        <v>0</v>
      </c>
      <c r="L126" s="24">
        <f t="shared" si="67"/>
        <v>0</v>
      </c>
      <c r="M126" s="24">
        <f t="shared" si="79"/>
        <v>0</v>
      </c>
      <c r="N126" s="24">
        <f t="shared" si="80"/>
        <v>0</v>
      </c>
      <c r="O126" s="24">
        <f t="shared" si="68"/>
        <v>0</v>
      </c>
      <c r="P126" s="24">
        <f t="shared" si="69"/>
        <v>0</v>
      </c>
      <c r="Q126" s="24">
        <f t="shared" si="61"/>
        <v>0</v>
      </c>
      <c r="R126" s="36">
        <f t="shared" si="76"/>
        <v>0</v>
      </c>
      <c r="S126" s="36">
        <f t="shared" si="62"/>
        <v>0</v>
      </c>
      <c r="T126" s="2">
        <f t="shared" si="95"/>
        <v>0</v>
      </c>
      <c r="U126" s="34">
        <f t="shared" si="86"/>
        <v>0</v>
      </c>
      <c r="V126" s="57">
        <f t="shared" si="96"/>
        <v>62835</v>
      </c>
      <c r="W126" s="16">
        <f t="shared" si="97"/>
        <v>77</v>
      </c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2">
        <f t="shared" si="82"/>
        <v>0</v>
      </c>
      <c r="AJ126" s="34">
        <f t="shared" si="87"/>
        <v>0</v>
      </c>
      <c r="AK126" s="57">
        <f t="shared" si="88"/>
        <v>62470</v>
      </c>
      <c r="AL126" s="130"/>
      <c r="AM126" s="109">
        <f t="shared" si="74"/>
        <v>118</v>
      </c>
      <c r="AN126" s="110">
        <f t="shared" si="63"/>
        <v>48907</v>
      </c>
      <c r="AO126" s="105">
        <f t="shared" si="84"/>
        <v>0</v>
      </c>
      <c r="AP126" s="105">
        <f t="shared" si="64"/>
        <v>0</v>
      </c>
      <c r="AQ126" s="105">
        <f t="shared" si="89"/>
        <v>0</v>
      </c>
      <c r="AR126" s="105">
        <f t="shared" si="78"/>
        <v>0</v>
      </c>
      <c r="AS126" s="105">
        <f t="shared" si="90"/>
        <v>0</v>
      </c>
      <c r="AT126" s="105">
        <f t="shared" si="91"/>
        <v>0</v>
      </c>
      <c r="AU126" s="105">
        <f t="shared" si="92"/>
        <v>0</v>
      </c>
      <c r="AV126" s="105">
        <f t="shared" si="93"/>
        <v>0</v>
      </c>
      <c r="AW126" s="105">
        <f t="shared" si="94"/>
        <v>0</v>
      </c>
      <c r="AX126" s="108">
        <f t="shared" si="75"/>
        <v>0</v>
      </c>
      <c r="AY126" s="108">
        <f t="shared" si="65"/>
        <v>0</v>
      </c>
      <c r="BB126" s="2" t="e">
        <f t="shared" si="83"/>
        <v>#VALUE!</v>
      </c>
    </row>
    <row r="127" spans="5:54" ht="12" x14ac:dyDescent="0.25">
      <c r="E127" s="114">
        <f t="shared" si="72"/>
        <v>119</v>
      </c>
      <c r="F127" s="111">
        <f t="shared" si="66"/>
        <v>48937</v>
      </c>
      <c r="G127" s="24">
        <f t="shared" si="58"/>
        <v>0</v>
      </c>
      <c r="H127" s="24">
        <f t="shared" si="59"/>
        <v>0</v>
      </c>
      <c r="I127" s="24">
        <f t="shared" si="70"/>
        <v>46903.630000000005</v>
      </c>
      <c r="J127" s="24">
        <f t="shared" si="55"/>
        <v>0</v>
      </c>
      <c r="K127" s="24">
        <f t="shared" si="60"/>
        <v>0</v>
      </c>
      <c r="L127" s="24">
        <f t="shared" si="67"/>
        <v>0</v>
      </c>
      <c r="M127" s="24">
        <f t="shared" si="79"/>
        <v>0</v>
      </c>
      <c r="N127" s="24">
        <f t="shared" si="80"/>
        <v>0</v>
      </c>
      <c r="O127" s="24">
        <f t="shared" si="68"/>
        <v>0</v>
      </c>
      <c r="P127" s="24">
        <f t="shared" si="69"/>
        <v>0</v>
      </c>
      <c r="Q127" s="24">
        <f t="shared" si="61"/>
        <v>0</v>
      </c>
      <c r="R127" s="36">
        <f t="shared" si="76"/>
        <v>0</v>
      </c>
      <c r="S127" s="36">
        <f t="shared" si="62"/>
        <v>0</v>
      </c>
      <c r="T127" s="2">
        <f t="shared" si="95"/>
        <v>0</v>
      </c>
      <c r="U127" s="34">
        <f t="shared" si="86"/>
        <v>0</v>
      </c>
      <c r="V127" s="57">
        <f t="shared" si="96"/>
        <v>62835</v>
      </c>
      <c r="W127" s="16">
        <f t="shared" si="97"/>
        <v>78</v>
      </c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2">
        <f t="shared" si="82"/>
        <v>0</v>
      </c>
      <c r="AJ127" s="34">
        <f t="shared" si="87"/>
        <v>0</v>
      </c>
      <c r="AK127" s="57">
        <f t="shared" si="88"/>
        <v>62470</v>
      </c>
      <c r="AL127" s="130"/>
      <c r="AM127" s="109">
        <f t="shared" si="74"/>
        <v>119</v>
      </c>
      <c r="AN127" s="110">
        <f t="shared" si="63"/>
        <v>48937</v>
      </c>
      <c r="AO127" s="105">
        <f t="shared" si="84"/>
        <v>0</v>
      </c>
      <c r="AP127" s="105">
        <f t="shared" si="64"/>
        <v>0</v>
      </c>
      <c r="AQ127" s="105">
        <f t="shared" si="89"/>
        <v>0</v>
      </c>
      <c r="AR127" s="105">
        <f t="shared" si="78"/>
        <v>0</v>
      </c>
      <c r="AS127" s="105">
        <f t="shared" si="90"/>
        <v>0</v>
      </c>
      <c r="AT127" s="105">
        <f t="shared" si="91"/>
        <v>0</v>
      </c>
      <c r="AU127" s="105">
        <f t="shared" si="92"/>
        <v>0</v>
      </c>
      <c r="AV127" s="105">
        <f t="shared" si="93"/>
        <v>0</v>
      </c>
      <c r="AW127" s="105">
        <f t="shared" si="94"/>
        <v>0</v>
      </c>
      <c r="AX127" s="108">
        <f t="shared" si="75"/>
        <v>0</v>
      </c>
      <c r="AY127" s="108">
        <f t="shared" si="65"/>
        <v>0</v>
      </c>
      <c r="BB127" s="2" t="e">
        <f t="shared" si="83"/>
        <v>#VALUE!</v>
      </c>
    </row>
    <row r="128" spans="5:54" ht="12" x14ac:dyDescent="0.25">
      <c r="E128" s="114">
        <f t="shared" si="72"/>
        <v>120</v>
      </c>
      <c r="F128" s="111">
        <f t="shared" si="66"/>
        <v>48968</v>
      </c>
      <c r="G128" s="24">
        <f t="shared" si="58"/>
        <v>0</v>
      </c>
      <c r="H128" s="24">
        <f t="shared" si="59"/>
        <v>0</v>
      </c>
      <c r="I128" s="24">
        <f t="shared" si="70"/>
        <v>46903.630000000005</v>
      </c>
      <c r="J128" s="24">
        <f t="shared" si="55"/>
        <v>0</v>
      </c>
      <c r="K128" s="24">
        <f t="shared" si="60"/>
        <v>0</v>
      </c>
      <c r="L128" s="24">
        <f t="shared" si="67"/>
        <v>0</v>
      </c>
      <c r="M128" s="24">
        <f t="shared" si="79"/>
        <v>0</v>
      </c>
      <c r="N128" s="24">
        <f t="shared" si="80"/>
        <v>0</v>
      </c>
      <c r="O128" s="24">
        <f t="shared" si="68"/>
        <v>0</v>
      </c>
      <c r="P128" s="24">
        <f t="shared" si="69"/>
        <v>0</v>
      </c>
      <c r="Q128" s="24">
        <f t="shared" si="61"/>
        <v>0</v>
      </c>
      <c r="R128" s="36">
        <f t="shared" si="76"/>
        <v>0</v>
      </c>
      <c r="S128" s="36">
        <f t="shared" si="62"/>
        <v>0</v>
      </c>
      <c r="T128" s="2">
        <f t="shared" si="95"/>
        <v>0</v>
      </c>
      <c r="U128" s="34">
        <f t="shared" si="86"/>
        <v>0</v>
      </c>
      <c r="V128" s="57">
        <f t="shared" si="96"/>
        <v>62835</v>
      </c>
      <c r="W128" s="16">
        <f t="shared" si="97"/>
        <v>79</v>
      </c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2">
        <f t="shared" si="82"/>
        <v>0</v>
      </c>
      <c r="AJ128" s="34">
        <f t="shared" si="87"/>
        <v>0</v>
      </c>
      <c r="AK128" s="57">
        <f t="shared" si="88"/>
        <v>62470</v>
      </c>
      <c r="AM128" s="109">
        <f t="shared" si="74"/>
        <v>120</v>
      </c>
      <c r="AN128" s="110">
        <f t="shared" si="63"/>
        <v>48968</v>
      </c>
      <c r="AO128" s="105">
        <f t="shared" si="84"/>
        <v>0</v>
      </c>
      <c r="AP128" s="105">
        <f t="shared" si="64"/>
        <v>0</v>
      </c>
      <c r="AQ128" s="105">
        <f t="shared" si="89"/>
        <v>0</v>
      </c>
      <c r="AR128" s="105">
        <f t="shared" si="78"/>
        <v>0</v>
      </c>
      <c r="AS128" s="105">
        <f t="shared" si="90"/>
        <v>0</v>
      </c>
      <c r="AT128" s="105">
        <f t="shared" si="91"/>
        <v>0</v>
      </c>
      <c r="AU128" s="105">
        <f t="shared" si="92"/>
        <v>0</v>
      </c>
      <c r="AV128" s="105">
        <f t="shared" si="93"/>
        <v>0</v>
      </c>
      <c r="AW128" s="105">
        <f t="shared" si="94"/>
        <v>0</v>
      </c>
      <c r="AX128" s="108">
        <f t="shared" si="75"/>
        <v>0</v>
      </c>
      <c r="AY128" s="108">
        <f t="shared" si="65"/>
        <v>0</v>
      </c>
      <c r="BB128" s="2" t="e">
        <f t="shared" si="83"/>
        <v>#VALUE!</v>
      </c>
    </row>
    <row r="129" spans="5:54" ht="12" x14ac:dyDescent="0.25">
      <c r="E129" s="114">
        <f t="shared" si="72"/>
        <v>121</v>
      </c>
      <c r="F129" s="111">
        <f t="shared" si="66"/>
        <v>48999</v>
      </c>
      <c r="G129" s="24">
        <f t="shared" si="58"/>
        <v>0</v>
      </c>
      <c r="H129" s="24">
        <f t="shared" si="59"/>
        <v>0</v>
      </c>
      <c r="I129" s="24">
        <f t="shared" si="70"/>
        <v>46903.630000000005</v>
      </c>
      <c r="J129" s="24">
        <f t="shared" si="55"/>
        <v>0</v>
      </c>
      <c r="K129" s="24">
        <f t="shared" si="60"/>
        <v>0</v>
      </c>
      <c r="L129" s="24">
        <f t="shared" si="67"/>
        <v>0</v>
      </c>
      <c r="M129" s="24">
        <f t="shared" si="79"/>
        <v>0</v>
      </c>
      <c r="N129" s="24">
        <f t="shared" si="80"/>
        <v>0</v>
      </c>
      <c r="O129" s="24">
        <f t="shared" si="68"/>
        <v>0</v>
      </c>
      <c r="P129" s="24">
        <f t="shared" si="69"/>
        <v>0</v>
      </c>
      <c r="Q129" s="24">
        <f t="shared" si="61"/>
        <v>0</v>
      </c>
      <c r="R129" s="36">
        <f t="shared" si="76"/>
        <v>0</v>
      </c>
      <c r="S129" s="36">
        <f t="shared" si="62"/>
        <v>0</v>
      </c>
      <c r="T129" s="2">
        <f t="shared" si="95"/>
        <v>0</v>
      </c>
      <c r="U129" s="34">
        <f t="shared" si="86"/>
        <v>0</v>
      </c>
      <c r="V129" s="57">
        <f t="shared" si="96"/>
        <v>62835</v>
      </c>
      <c r="W129" s="16">
        <f t="shared" si="97"/>
        <v>80</v>
      </c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60"/>
      <c r="AI129" s="2">
        <f t="shared" si="82"/>
        <v>0</v>
      </c>
      <c r="AJ129" s="34">
        <f t="shared" si="87"/>
        <v>0</v>
      </c>
      <c r="AK129" s="57">
        <f t="shared" si="88"/>
        <v>62470</v>
      </c>
      <c r="AM129" s="109">
        <f t="shared" si="74"/>
        <v>121</v>
      </c>
      <c r="AN129" s="110">
        <f t="shared" si="63"/>
        <v>48999</v>
      </c>
      <c r="AO129" s="105">
        <f t="shared" si="84"/>
        <v>0</v>
      </c>
      <c r="AP129" s="105">
        <f t="shared" si="64"/>
        <v>0</v>
      </c>
      <c r="AQ129" s="105">
        <f t="shared" si="89"/>
        <v>0</v>
      </c>
      <c r="AR129" s="105">
        <f t="shared" si="78"/>
        <v>0</v>
      </c>
      <c r="AS129" s="105">
        <f t="shared" si="90"/>
        <v>0</v>
      </c>
      <c r="AT129" s="105">
        <f t="shared" si="91"/>
        <v>0</v>
      </c>
      <c r="AU129" s="105">
        <f t="shared" si="92"/>
        <v>0</v>
      </c>
      <c r="AV129" s="105">
        <f t="shared" si="93"/>
        <v>0</v>
      </c>
      <c r="AW129" s="105">
        <f t="shared" si="94"/>
        <v>0</v>
      </c>
      <c r="AX129" s="108">
        <f t="shared" si="75"/>
        <v>0</v>
      </c>
      <c r="AY129" s="108">
        <f t="shared" si="65"/>
        <v>0</v>
      </c>
      <c r="BB129" s="2" t="e">
        <f t="shared" si="83"/>
        <v>#VALUE!</v>
      </c>
    </row>
    <row r="130" spans="5:54" ht="12" x14ac:dyDescent="0.25">
      <c r="E130" s="114">
        <f t="shared" si="72"/>
        <v>122</v>
      </c>
      <c r="F130" s="111">
        <f t="shared" si="66"/>
        <v>49027</v>
      </c>
      <c r="G130" s="24">
        <f t="shared" si="58"/>
        <v>0</v>
      </c>
      <c r="H130" s="24">
        <f t="shared" si="59"/>
        <v>0</v>
      </c>
      <c r="I130" s="24">
        <f t="shared" si="70"/>
        <v>46903.630000000005</v>
      </c>
      <c r="J130" s="24">
        <f t="shared" si="55"/>
        <v>0</v>
      </c>
      <c r="K130" s="24">
        <f t="shared" si="60"/>
        <v>0</v>
      </c>
      <c r="L130" s="24">
        <f t="shared" si="67"/>
        <v>0</v>
      </c>
      <c r="M130" s="24">
        <f t="shared" si="79"/>
        <v>0</v>
      </c>
      <c r="N130" s="24">
        <f t="shared" si="80"/>
        <v>0</v>
      </c>
      <c r="O130" s="24">
        <f t="shared" si="68"/>
        <v>0</v>
      </c>
      <c r="P130" s="24">
        <f t="shared" si="69"/>
        <v>0</v>
      </c>
      <c r="Q130" s="24">
        <f t="shared" si="61"/>
        <v>0</v>
      </c>
      <c r="R130" s="36">
        <f t="shared" si="76"/>
        <v>0</v>
      </c>
      <c r="S130" s="36">
        <f t="shared" si="62"/>
        <v>0</v>
      </c>
      <c r="T130" s="2">
        <f t="shared" si="95"/>
        <v>0</v>
      </c>
      <c r="U130" s="34">
        <f t="shared" si="86"/>
        <v>0</v>
      </c>
      <c r="V130" s="57">
        <f t="shared" si="96"/>
        <v>62835</v>
      </c>
      <c r="W130" s="16">
        <f t="shared" si="97"/>
        <v>81</v>
      </c>
      <c r="X130" s="16"/>
      <c r="Y130" s="16"/>
      <c r="Z130" s="16"/>
      <c r="AA130" s="16"/>
      <c r="AB130" s="16"/>
      <c r="AC130" s="16"/>
      <c r="AD130" s="16"/>
      <c r="AE130" s="16"/>
      <c r="AF130" s="16"/>
      <c r="AI130" s="2">
        <f t="shared" si="82"/>
        <v>0</v>
      </c>
      <c r="AJ130" s="34">
        <f t="shared" si="87"/>
        <v>0</v>
      </c>
      <c r="AK130" s="57">
        <f t="shared" si="88"/>
        <v>62470</v>
      </c>
      <c r="BB130" s="2" t="e">
        <f t="shared" si="83"/>
        <v>#VALUE!</v>
      </c>
    </row>
    <row r="131" spans="5:54" ht="12" x14ac:dyDescent="0.25">
      <c r="E131" s="114">
        <f t="shared" si="72"/>
        <v>123</v>
      </c>
      <c r="F131" s="111">
        <f t="shared" si="66"/>
        <v>49058</v>
      </c>
      <c r="G131" s="24">
        <f t="shared" si="58"/>
        <v>0</v>
      </c>
      <c r="H131" s="24">
        <f t="shared" si="59"/>
        <v>0</v>
      </c>
      <c r="I131" s="24">
        <f t="shared" si="70"/>
        <v>46903.630000000005</v>
      </c>
      <c r="J131" s="24">
        <f t="shared" si="55"/>
        <v>0</v>
      </c>
      <c r="K131" s="24">
        <f t="shared" si="60"/>
        <v>0</v>
      </c>
      <c r="L131" s="24">
        <f t="shared" si="67"/>
        <v>0</v>
      </c>
      <c r="M131" s="24">
        <f t="shared" si="79"/>
        <v>0</v>
      </c>
      <c r="N131" s="24">
        <f t="shared" si="80"/>
        <v>0</v>
      </c>
      <c r="O131" s="24">
        <f t="shared" si="68"/>
        <v>0</v>
      </c>
      <c r="P131" s="24">
        <f t="shared" si="69"/>
        <v>0</v>
      </c>
      <c r="Q131" s="24">
        <f t="shared" si="61"/>
        <v>0</v>
      </c>
      <c r="R131" s="36">
        <f t="shared" si="76"/>
        <v>0</v>
      </c>
      <c r="S131" s="36">
        <f t="shared" si="62"/>
        <v>0</v>
      </c>
      <c r="T131" s="2">
        <f t="shared" si="95"/>
        <v>0</v>
      </c>
      <c r="U131" s="34">
        <f t="shared" si="86"/>
        <v>0</v>
      </c>
      <c r="V131" s="57">
        <f t="shared" si="96"/>
        <v>62835</v>
      </c>
      <c r="W131" s="16">
        <f t="shared" si="97"/>
        <v>82</v>
      </c>
      <c r="X131" s="16"/>
      <c r="Y131" s="16"/>
      <c r="Z131" s="16"/>
      <c r="AA131" s="16"/>
      <c r="AB131" s="33"/>
      <c r="AC131" s="33"/>
      <c r="AD131" s="33"/>
      <c r="AE131" s="33"/>
      <c r="AI131" s="2">
        <f t="shared" si="82"/>
        <v>0</v>
      </c>
      <c r="AJ131" s="34">
        <f t="shared" si="87"/>
        <v>0</v>
      </c>
      <c r="AK131" s="57">
        <f t="shared" si="88"/>
        <v>62470</v>
      </c>
      <c r="AM131" s="28"/>
      <c r="AN131" s="29" t="s">
        <v>7</v>
      </c>
      <c r="AO131" s="30">
        <f>(SUM(AO9:AO129)-IF(CODE(C18)=209,BN58,0))</f>
        <v>111731.78</v>
      </c>
      <c r="AP131" s="30">
        <f>(SUM(AP9:AP129)-IF(CODE(D18)=209,BO58,0))</f>
        <v>46732.780000000035</v>
      </c>
      <c r="AQ131" s="30">
        <f>SUM(AQ9:AQ129)</f>
        <v>64998.999999999985</v>
      </c>
      <c r="AR131" s="105">
        <f>IF(AT131&gt;$D$29,$D$29-AP131,IF(AY110=0,0,AV131)+BN158)</f>
        <v>0</v>
      </c>
      <c r="AS131" s="31"/>
      <c r="AT131" s="31"/>
      <c r="AU131" s="31"/>
      <c r="AV131" s="31"/>
      <c r="AW131" s="31"/>
      <c r="BB131" s="2" t="e">
        <f t="shared" si="83"/>
        <v>#VALUE!</v>
      </c>
    </row>
    <row r="132" spans="5:54" x14ac:dyDescent="0.25">
      <c r="E132" s="114">
        <f t="shared" si="72"/>
        <v>124</v>
      </c>
      <c r="F132" s="111">
        <f t="shared" si="66"/>
        <v>49088</v>
      </c>
      <c r="G132" s="24">
        <f t="shared" si="58"/>
        <v>0</v>
      </c>
      <c r="H132" s="24">
        <f t="shared" si="59"/>
        <v>0</v>
      </c>
      <c r="I132" s="24">
        <f t="shared" si="70"/>
        <v>46903.630000000005</v>
      </c>
      <c r="J132" s="24">
        <f t="shared" si="55"/>
        <v>0</v>
      </c>
      <c r="K132" s="24">
        <f t="shared" si="60"/>
        <v>0</v>
      </c>
      <c r="L132" s="24">
        <f t="shared" si="67"/>
        <v>0</v>
      </c>
      <c r="M132" s="24">
        <f t="shared" si="79"/>
        <v>0</v>
      </c>
      <c r="N132" s="24">
        <f t="shared" si="80"/>
        <v>0</v>
      </c>
      <c r="O132" s="24">
        <f t="shared" si="68"/>
        <v>0</v>
      </c>
      <c r="P132" s="24">
        <f t="shared" si="69"/>
        <v>0</v>
      </c>
      <c r="Q132" s="24">
        <f t="shared" si="61"/>
        <v>0</v>
      </c>
      <c r="R132" s="36">
        <f t="shared" si="76"/>
        <v>0</v>
      </c>
      <c r="S132" s="36">
        <f t="shared" si="62"/>
        <v>0</v>
      </c>
      <c r="T132" s="2">
        <f t="shared" si="95"/>
        <v>0</v>
      </c>
      <c r="U132" s="34">
        <f t="shared" si="86"/>
        <v>0</v>
      </c>
      <c r="V132" s="57">
        <f t="shared" si="96"/>
        <v>62835</v>
      </c>
      <c r="W132" s="16">
        <f t="shared" si="97"/>
        <v>83</v>
      </c>
      <c r="AI132" s="2">
        <f t="shared" si="82"/>
        <v>0</v>
      </c>
      <c r="AJ132" s="34">
        <f t="shared" si="87"/>
        <v>0</v>
      </c>
      <c r="AK132" s="57">
        <f t="shared" si="88"/>
        <v>62470</v>
      </c>
      <c r="BB132" s="2" t="e">
        <f t="shared" si="83"/>
        <v>#VALUE!</v>
      </c>
    </row>
    <row r="133" spans="5:54" x14ac:dyDescent="0.25">
      <c r="E133" s="114">
        <f t="shared" si="72"/>
        <v>125</v>
      </c>
      <c r="F133" s="111">
        <f t="shared" si="66"/>
        <v>49119</v>
      </c>
      <c r="G133" s="24">
        <f t="shared" si="58"/>
        <v>0</v>
      </c>
      <c r="H133" s="24">
        <f t="shared" si="59"/>
        <v>0</v>
      </c>
      <c r="I133" s="24">
        <f t="shared" si="70"/>
        <v>46903.630000000005</v>
      </c>
      <c r="J133" s="24">
        <f t="shared" ref="J133:J159" si="98">IF(AND(E133=$C$10,$C$22&lt;&gt;"Нет"),MIN((I133-I133/$C$19*$C$23),Q132+H133-G132),0)</f>
        <v>0</v>
      </c>
      <c r="K133" s="24">
        <f t="shared" si="60"/>
        <v>0</v>
      </c>
      <c r="L133" s="24">
        <f t="shared" si="67"/>
        <v>0</v>
      </c>
      <c r="M133" s="24">
        <f t="shared" si="79"/>
        <v>0</v>
      </c>
      <c r="N133" s="24">
        <f t="shared" si="80"/>
        <v>0</v>
      </c>
      <c r="O133" s="24">
        <f t="shared" si="68"/>
        <v>0</v>
      </c>
      <c r="P133" s="24">
        <f t="shared" si="69"/>
        <v>0</v>
      </c>
      <c r="Q133" s="24">
        <f t="shared" si="61"/>
        <v>0</v>
      </c>
      <c r="R133" s="36">
        <f t="shared" si="76"/>
        <v>0</v>
      </c>
      <c r="S133" s="36">
        <f t="shared" si="62"/>
        <v>0</v>
      </c>
      <c r="T133" s="2">
        <f t="shared" si="95"/>
        <v>0</v>
      </c>
      <c r="U133" s="34">
        <f t="shared" si="86"/>
        <v>0</v>
      </c>
      <c r="V133" s="57">
        <f t="shared" si="96"/>
        <v>62835</v>
      </c>
      <c r="W133" s="16">
        <f t="shared" si="97"/>
        <v>84</v>
      </c>
      <c r="AI133" s="2">
        <f t="shared" si="82"/>
        <v>0</v>
      </c>
      <c r="AJ133" s="34">
        <f t="shared" si="87"/>
        <v>0</v>
      </c>
      <c r="AK133" s="57">
        <f t="shared" si="88"/>
        <v>62470</v>
      </c>
      <c r="BB133" s="2" t="e">
        <f t="shared" si="83"/>
        <v>#VALUE!</v>
      </c>
    </row>
    <row r="134" spans="5:54" x14ac:dyDescent="0.25">
      <c r="E134" s="114">
        <f t="shared" si="72"/>
        <v>126</v>
      </c>
      <c r="F134" s="111">
        <f t="shared" si="66"/>
        <v>49149</v>
      </c>
      <c r="G134" s="24">
        <f t="shared" si="58"/>
        <v>0</v>
      </c>
      <c r="H134" s="24">
        <f t="shared" si="59"/>
        <v>0</v>
      </c>
      <c r="I134" s="24">
        <f t="shared" si="70"/>
        <v>46903.630000000005</v>
      </c>
      <c r="J134" s="24">
        <f t="shared" si="98"/>
        <v>0</v>
      </c>
      <c r="K134" s="24">
        <f t="shared" si="60"/>
        <v>0</v>
      </c>
      <c r="L134" s="24">
        <f t="shared" si="67"/>
        <v>0</v>
      </c>
      <c r="M134" s="24">
        <f t="shared" si="79"/>
        <v>0</v>
      </c>
      <c r="N134" s="24">
        <f t="shared" si="80"/>
        <v>0</v>
      </c>
      <c r="O134" s="24">
        <f t="shared" si="68"/>
        <v>0</v>
      </c>
      <c r="P134" s="24">
        <f t="shared" si="69"/>
        <v>0</v>
      </c>
      <c r="Q134" s="24">
        <f t="shared" si="61"/>
        <v>0</v>
      </c>
      <c r="R134" s="36">
        <f t="shared" si="76"/>
        <v>0</v>
      </c>
      <c r="S134" s="36">
        <f t="shared" si="62"/>
        <v>0</v>
      </c>
      <c r="T134" s="2">
        <f t="shared" si="95"/>
        <v>0</v>
      </c>
      <c r="U134" s="34">
        <f t="shared" si="86"/>
        <v>0</v>
      </c>
      <c r="V134" s="57">
        <f t="shared" si="96"/>
        <v>62835</v>
      </c>
      <c r="W134" s="16">
        <f t="shared" si="97"/>
        <v>85</v>
      </c>
      <c r="AI134" s="2">
        <f t="shared" si="82"/>
        <v>0</v>
      </c>
      <c r="AJ134" s="34">
        <f t="shared" si="87"/>
        <v>0</v>
      </c>
      <c r="AK134" s="57">
        <f t="shared" si="88"/>
        <v>62470</v>
      </c>
      <c r="BB134" s="2" t="e">
        <f t="shared" si="83"/>
        <v>#VALUE!</v>
      </c>
    </row>
    <row r="135" spans="5:54" x14ac:dyDescent="0.25">
      <c r="E135" s="114">
        <f t="shared" si="72"/>
        <v>127</v>
      </c>
      <c r="F135" s="111">
        <f t="shared" si="66"/>
        <v>49180</v>
      </c>
      <c r="G135" s="24">
        <f t="shared" si="58"/>
        <v>0</v>
      </c>
      <c r="H135" s="24">
        <f t="shared" si="59"/>
        <v>0</v>
      </c>
      <c r="I135" s="24">
        <f t="shared" si="70"/>
        <v>46903.630000000005</v>
      </c>
      <c r="J135" s="24">
        <f t="shared" si="98"/>
        <v>0</v>
      </c>
      <c r="K135" s="24">
        <f t="shared" si="60"/>
        <v>0</v>
      </c>
      <c r="L135" s="24">
        <f t="shared" si="67"/>
        <v>0</v>
      </c>
      <c r="M135" s="24">
        <f t="shared" si="79"/>
        <v>0</v>
      </c>
      <c r="N135" s="24">
        <f t="shared" si="80"/>
        <v>0</v>
      </c>
      <c r="O135" s="24">
        <f t="shared" si="68"/>
        <v>0</v>
      </c>
      <c r="P135" s="24">
        <f t="shared" si="69"/>
        <v>0</v>
      </c>
      <c r="Q135" s="24">
        <f t="shared" si="61"/>
        <v>0</v>
      </c>
      <c r="R135" s="36">
        <f t="shared" si="76"/>
        <v>0</v>
      </c>
      <c r="S135" s="36">
        <f t="shared" si="62"/>
        <v>0</v>
      </c>
      <c r="T135" s="2">
        <f t="shared" si="95"/>
        <v>0</v>
      </c>
      <c r="U135" s="34">
        <f t="shared" si="86"/>
        <v>0</v>
      </c>
      <c r="V135" s="57">
        <f t="shared" si="96"/>
        <v>62835</v>
      </c>
      <c r="W135" s="16">
        <f t="shared" si="97"/>
        <v>86</v>
      </c>
      <c r="AI135" s="2">
        <f t="shared" si="82"/>
        <v>0</v>
      </c>
      <c r="AJ135" s="34">
        <f t="shared" si="87"/>
        <v>0</v>
      </c>
      <c r="AK135" s="57">
        <f t="shared" si="88"/>
        <v>62470</v>
      </c>
      <c r="BB135" s="2" t="e">
        <f t="shared" si="83"/>
        <v>#VALUE!</v>
      </c>
    </row>
    <row r="136" spans="5:54" x14ac:dyDescent="0.25">
      <c r="E136" s="114">
        <f t="shared" si="72"/>
        <v>128</v>
      </c>
      <c r="F136" s="111">
        <f t="shared" si="66"/>
        <v>49211</v>
      </c>
      <c r="G136" s="24">
        <f t="shared" si="58"/>
        <v>0</v>
      </c>
      <c r="H136" s="24">
        <f t="shared" si="59"/>
        <v>0</v>
      </c>
      <c r="I136" s="24">
        <f t="shared" si="70"/>
        <v>46903.630000000005</v>
      </c>
      <c r="J136" s="24">
        <f t="shared" si="98"/>
        <v>0</v>
      </c>
      <c r="K136" s="24">
        <f t="shared" si="60"/>
        <v>0</v>
      </c>
      <c r="L136" s="24">
        <f t="shared" si="67"/>
        <v>0</v>
      </c>
      <c r="M136" s="24">
        <f t="shared" si="79"/>
        <v>0</v>
      </c>
      <c r="N136" s="24">
        <f t="shared" si="80"/>
        <v>0</v>
      </c>
      <c r="O136" s="24">
        <f t="shared" si="68"/>
        <v>0</v>
      </c>
      <c r="P136" s="24">
        <f t="shared" si="69"/>
        <v>0</v>
      </c>
      <c r="Q136" s="24">
        <f t="shared" si="61"/>
        <v>0</v>
      </c>
      <c r="R136" s="36">
        <f t="shared" si="76"/>
        <v>0</v>
      </c>
      <c r="S136" s="36">
        <f t="shared" si="62"/>
        <v>0</v>
      </c>
      <c r="T136" s="2">
        <f t="shared" si="95"/>
        <v>0</v>
      </c>
      <c r="U136" s="34">
        <f t="shared" si="86"/>
        <v>0</v>
      </c>
      <c r="V136" s="57">
        <f t="shared" si="96"/>
        <v>62835</v>
      </c>
      <c r="W136" s="16">
        <f t="shared" si="97"/>
        <v>87</v>
      </c>
      <c r="AI136" s="2">
        <f t="shared" si="82"/>
        <v>0</v>
      </c>
      <c r="AJ136" s="34">
        <f t="shared" si="87"/>
        <v>0</v>
      </c>
      <c r="AK136" s="57">
        <f t="shared" si="88"/>
        <v>62470</v>
      </c>
      <c r="BB136" s="2" t="e">
        <f t="shared" si="83"/>
        <v>#VALUE!</v>
      </c>
    </row>
    <row r="137" spans="5:54" x14ac:dyDescent="0.25">
      <c r="E137" s="114">
        <f t="shared" si="72"/>
        <v>129</v>
      </c>
      <c r="F137" s="111">
        <f t="shared" si="66"/>
        <v>49241</v>
      </c>
      <c r="G137" s="24">
        <f t="shared" ref="G137:G159" si="99">IF(AND(E137&gt;=$T$14,E137&lt;=$T$14+5),$T$15,IF(AND(Q136+L137+H137&gt;G136,G136&lt;&gt;0),$C$29,IF(Q136=0,0,Q136+L137+H137+H138)))+IF(AND(E137=$C$10,$C$22&lt;&gt;"Нет"),MIN((I137-I137/$C$19*$C$23),Q136+H137-G136),0)</f>
        <v>0</v>
      </c>
      <c r="H137" s="24">
        <f t="shared" ref="H137:H159" si="100">IF(AND(E137&gt;=$T$14,E137&lt;=$T$14+5),0,IF($C$9&gt;$AC$52,ROUND(Q136*$C$19*((F137-DATE(YEAR(F137),MONTH(F137),1)+1)/(DATE(YEAR(F137)+1,1,1)-DATE(YEAR(F137),1,1))+(EOMONTH(F136,0)-F136)/(DATE(YEAR(F136)+1,1,1)-DATE(YEAR(F136),1,1))),2),0))</f>
        <v>0</v>
      </c>
      <c r="I137" s="24">
        <f t="shared" si="70"/>
        <v>46903.630000000005</v>
      </c>
      <c r="J137" s="24">
        <f t="shared" si="98"/>
        <v>0</v>
      </c>
      <c r="K137" s="24">
        <f t="shared" ref="K137:K159" si="101">IF(S137=0,0,IF(S137=1,Q136,IF(Q136+L137+H137&gt;G136,G137-H137-L137,Q136)))</f>
        <v>0</v>
      </c>
      <c r="L137" s="24">
        <f t="shared" si="67"/>
        <v>0</v>
      </c>
      <c r="M137" s="24">
        <f t="shared" si="79"/>
        <v>0</v>
      </c>
      <c r="N137" s="24">
        <f t="shared" si="80"/>
        <v>0</v>
      </c>
      <c r="O137" s="24">
        <f t="shared" si="68"/>
        <v>0</v>
      </c>
      <c r="P137" s="24">
        <f t="shared" si="69"/>
        <v>0</v>
      </c>
      <c r="Q137" s="24">
        <f t="shared" ref="Q137:Q159" si="102">IF(OR(S137=1,Q136=0),0,Q136-K137)</f>
        <v>0</v>
      </c>
      <c r="R137" s="36">
        <f t="shared" si="76"/>
        <v>0</v>
      </c>
      <c r="S137" s="36">
        <f t="shared" ref="S137:S159" si="103">IF(ISERR(CEILING(FLOOR(NPER($C$19/12,-$AA$56,Q136),0.1),1))=TRUE,0,CEILING(FLOOR(NPER($C$19/12,-$AA$56,Q136),0.1),1))</f>
        <v>0</v>
      </c>
      <c r="T137" s="2">
        <f t="shared" si="95"/>
        <v>0</v>
      </c>
      <c r="U137" s="34">
        <f t="shared" si="86"/>
        <v>0</v>
      </c>
      <c r="V137" s="57">
        <f t="shared" si="96"/>
        <v>62835</v>
      </c>
      <c r="W137" s="16">
        <f t="shared" si="97"/>
        <v>88</v>
      </c>
      <c r="AI137" s="2">
        <f t="shared" si="82"/>
        <v>0</v>
      </c>
      <c r="AJ137" s="34">
        <f t="shared" si="87"/>
        <v>0</v>
      </c>
      <c r="AK137" s="57">
        <f t="shared" si="88"/>
        <v>62470</v>
      </c>
      <c r="BB137" s="2" t="e">
        <f t="shared" si="83"/>
        <v>#VALUE!</v>
      </c>
    </row>
    <row r="138" spans="5:54" x14ac:dyDescent="0.25">
      <c r="E138" s="114">
        <f t="shared" si="72"/>
        <v>130</v>
      </c>
      <c r="F138" s="111">
        <f t="shared" ref="F138:F160" si="104">IF(DAY($AA$55)=29,DATE(YEAR($F$8),MONTH($F$8)+E138,26),IF(DAY($AA$55)=30,DATE(YEAR($F$8),MONTH($F$8)+E138,27),IF(DAY($AA$55)=31,DATE(YEAR($F$8),MONTH($F$8)+E138,28),DATE(YEAR($F$8),MONTH($F$8)+E138,DAY($F$8)))))</f>
        <v>49272</v>
      </c>
      <c r="G138" s="24">
        <f t="shared" si="99"/>
        <v>0</v>
      </c>
      <c r="H138" s="24">
        <f t="shared" si="100"/>
        <v>0</v>
      </c>
      <c r="I138" s="24">
        <f t="shared" si="70"/>
        <v>46903.630000000005</v>
      </c>
      <c r="J138" s="24">
        <f t="shared" si="98"/>
        <v>0</v>
      </c>
      <c r="K138" s="24">
        <f t="shared" si="101"/>
        <v>0</v>
      </c>
      <c r="L138" s="24">
        <f t="shared" ref="L138:L159" si="105">IF(N138&gt;$C$29,$C$29-H138,IF(S138=0,0,O138))</f>
        <v>0</v>
      </c>
      <c r="M138" s="24">
        <f t="shared" si="79"/>
        <v>0</v>
      </c>
      <c r="N138" s="24">
        <f t="shared" si="80"/>
        <v>0</v>
      </c>
      <c r="O138" s="24">
        <f t="shared" ref="O138:O156" si="106">IF(S138=0,0,0)</f>
        <v>0</v>
      </c>
      <c r="P138" s="24">
        <f t="shared" ref="P138:P159" si="107">IF(S138=0,0,0)</f>
        <v>0</v>
      </c>
      <c r="Q138" s="24">
        <f t="shared" si="102"/>
        <v>0</v>
      </c>
      <c r="R138" s="36">
        <f t="shared" si="76"/>
        <v>0</v>
      </c>
      <c r="S138" s="36">
        <f t="shared" si="103"/>
        <v>0</v>
      </c>
      <c r="T138" s="2">
        <f t="shared" si="95"/>
        <v>0</v>
      </c>
      <c r="U138" s="34">
        <f t="shared" si="86"/>
        <v>0</v>
      </c>
      <c r="V138" s="57">
        <f t="shared" si="96"/>
        <v>62835</v>
      </c>
      <c r="W138" s="16">
        <f t="shared" si="97"/>
        <v>89</v>
      </c>
      <c r="AI138" s="2">
        <f t="shared" si="82"/>
        <v>0</v>
      </c>
      <c r="AJ138" s="34">
        <f t="shared" si="87"/>
        <v>0</v>
      </c>
      <c r="AK138" s="57">
        <f t="shared" si="88"/>
        <v>62470</v>
      </c>
      <c r="BB138" s="2" t="e">
        <f t="shared" si="83"/>
        <v>#VALUE!</v>
      </c>
    </row>
    <row r="139" spans="5:54" x14ac:dyDescent="0.25">
      <c r="E139" s="114">
        <f t="shared" si="72"/>
        <v>131</v>
      </c>
      <c r="F139" s="111">
        <f t="shared" si="104"/>
        <v>49302</v>
      </c>
      <c r="G139" s="24">
        <f t="shared" si="99"/>
        <v>0</v>
      </c>
      <c r="H139" s="24">
        <f t="shared" si="100"/>
        <v>0</v>
      </c>
      <c r="I139" s="24">
        <f t="shared" ref="I139:I159" si="108">H139+I138</f>
        <v>46903.630000000005</v>
      </c>
      <c r="J139" s="24">
        <f t="shared" si="98"/>
        <v>0</v>
      </c>
      <c r="K139" s="24">
        <f t="shared" si="101"/>
        <v>0</v>
      </c>
      <c r="L139" s="24">
        <f t="shared" si="105"/>
        <v>0</v>
      </c>
      <c r="M139" s="24">
        <f t="shared" si="79"/>
        <v>0</v>
      </c>
      <c r="N139" s="24">
        <f t="shared" si="80"/>
        <v>0</v>
      </c>
      <c r="O139" s="24">
        <f t="shared" si="106"/>
        <v>0</v>
      </c>
      <c r="P139" s="24">
        <f t="shared" si="107"/>
        <v>0</v>
      </c>
      <c r="Q139" s="24">
        <f t="shared" si="102"/>
        <v>0</v>
      </c>
      <c r="R139" s="36">
        <f t="shared" si="76"/>
        <v>0</v>
      </c>
      <c r="S139" s="36">
        <f t="shared" si="103"/>
        <v>0</v>
      </c>
      <c r="T139" s="2">
        <f t="shared" si="95"/>
        <v>0</v>
      </c>
      <c r="U139" s="34">
        <f t="shared" si="86"/>
        <v>0</v>
      </c>
      <c r="V139" s="57">
        <f t="shared" si="96"/>
        <v>62835</v>
      </c>
      <c r="W139" s="16">
        <f t="shared" si="97"/>
        <v>90</v>
      </c>
      <c r="AI139" s="2">
        <f t="shared" si="82"/>
        <v>0</v>
      </c>
      <c r="AJ139" s="34">
        <f t="shared" si="87"/>
        <v>0</v>
      </c>
      <c r="AK139" s="57">
        <f t="shared" si="88"/>
        <v>62470</v>
      </c>
      <c r="BB139" s="2" t="e">
        <f t="shared" si="83"/>
        <v>#VALUE!</v>
      </c>
    </row>
    <row r="140" spans="5:54" x14ac:dyDescent="0.25">
      <c r="E140" s="114">
        <f t="shared" ref="E140:E159" si="109">E139+1</f>
        <v>132</v>
      </c>
      <c r="F140" s="111">
        <f t="shared" si="104"/>
        <v>49333</v>
      </c>
      <c r="G140" s="24">
        <f t="shared" si="99"/>
        <v>0</v>
      </c>
      <c r="H140" s="24">
        <f t="shared" si="100"/>
        <v>0</v>
      </c>
      <c r="I140" s="24">
        <f t="shared" si="108"/>
        <v>46903.630000000005</v>
      </c>
      <c r="J140" s="24">
        <f t="shared" si="98"/>
        <v>0</v>
      </c>
      <c r="K140" s="24">
        <f t="shared" si="101"/>
        <v>0</v>
      </c>
      <c r="L140" s="24">
        <f t="shared" si="105"/>
        <v>0</v>
      </c>
      <c r="M140" s="24">
        <f t="shared" si="79"/>
        <v>0</v>
      </c>
      <c r="N140" s="24">
        <f t="shared" si="80"/>
        <v>0</v>
      </c>
      <c r="O140" s="24">
        <f t="shared" si="106"/>
        <v>0</v>
      </c>
      <c r="P140" s="24">
        <f t="shared" si="107"/>
        <v>0</v>
      </c>
      <c r="Q140" s="24">
        <f t="shared" si="102"/>
        <v>0</v>
      </c>
      <c r="R140" s="36">
        <f t="shared" si="76"/>
        <v>0</v>
      </c>
      <c r="S140" s="36">
        <f t="shared" si="103"/>
        <v>0</v>
      </c>
      <c r="T140" s="2">
        <f t="shared" si="95"/>
        <v>0</v>
      </c>
      <c r="U140" s="34">
        <f t="shared" si="86"/>
        <v>0</v>
      </c>
      <c r="V140" s="57">
        <f t="shared" si="96"/>
        <v>62835</v>
      </c>
      <c r="W140" s="16">
        <f t="shared" si="97"/>
        <v>91</v>
      </c>
      <c r="AI140" s="2">
        <f t="shared" si="82"/>
        <v>0</v>
      </c>
      <c r="AJ140" s="34">
        <f t="shared" si="87"/>
        <v>0</v>
      </c>
      <c r="AK140" s="57">
        <f t="shared" si="88"/>
        <v>62470</v>
      </c>
      <c r="BB140" s="2" t="e">
        <f t="shared" si="83"/>
        <v>#VALUE!</v>
      </c>
    </row>
    <row r="141" spans="5:54" x14ac:dyDescent="0.25">
      <c r="E141" s="114">
        <f t="shared" si="109"/>
        <v>133</v>
      </c>
      <c r="F141" s="111">
        <f t="shared" si="104"/>
        <v>49364</v>
      </c>
      <c r="G141" s="24">
        <f t="shared" si="99"/>
        <v>0</v>
      </c>
      <c r="H141" s="24">
        <f t="shared" si="100"/>
        <v>0</v>
      </c>
      <c r="I141" s="24">
        <f t="shared" si="108"/>
        <v>46903.630000000005</v>
      </c>
      <c r="J141" s="24">
        <f t="shared" si="98"/>
        <v>0</v>
      </c>
      <c r="K141" s="24">
        <f t="shared" si="101"/>
        <v>0</v>
      </c>
      <c r="L141" s="24">
        <f t="shared" si="105"/>
        <v>0</v>
      </c>
      <c r="M141" s="24">
        <f t="shared" si="79"/>
        <v>0</v>
      </c>
      <c r="N141" s="24">
        <f t="shared" si="80"/>
        <v>0</v>
      </c>
      <c r="O141" s="24">
        <f t="shared" si="106"/>
        <v>0</v>
      </c>
      <c r="P141" s="24">
        <f t="shared" si="107"/>
        <v>0</v>
      </c>
      <c r="Q141" s="24">
        <f t="shared" si="102"/>
        <v>0</v>
      </c>
      <c r="R141" s="36">
        <f t="shared" si="76"/>
        <v>0</v>
      </c>
      <c r="S141" s="36">
        <f t="shared" si="103"/>
        <v>0</v>
      </c>
      <c r="T141" s="2">
        <f t="shared" si="95"/>
        <v>0</v>
      </c>
      <c r="U141" s="34">
        <f t="shared" si="86"/>
        <v>0</v>
      </c>
      <c r="V141" s="57">
        <f t="shared" si="96"/>
        <v>62835</v>
      </c>
      <c r="W141" s="16">
        <f t="shared" si="97"/>
        <v>92</v>
      </c>
      <c r="AI141" s="2">
        <f t="shared" si="82"/>
        <v>0</v>
      </c>
      <c r="AJ141" s="34">
        <f t="shared" si="87"/>
        <v>0</v>
      </c>
      <c r="AK141" s="57">
        <f t="shared" si="88"/>
        <v>62470</v>
      </c>
      <c r="BB141" s="2" t="e">
        <f t="shared" si="83"/>
        <v>#VALUE!</v>
      </c>
    </row>
    <row r="142" spans="5:54" x14ac:dyDescent="0.25">
      <c r="E142" s="114">
        <f t="shared" si="109"/>
        <v>134</v>
      </c>
      <c r="F142" s="111">
        <f t="shared" si="104"/>
        <v>49392</v>
      </c>
      <c r="G142" s="24">
        <f t="shared" si="99"/>
        <v>0</v>
      </c>
      <c r="H142" s="24">
        <f t="shared" si="100"/>
        <v>0</v>
      </c>
      <c r="I142" s="24">
        <f t="shared" si="108"/>
        <v>46903.630000000005</v>
      </c>
      <c r="J142" s="24">
        <f t="shared" si="98"/>
        <v>0</v>
      </c>
      <c r="K142" s="24">
        <f t="shared" si="101"/>
        <v>0</v>
      </c>
      <c r="L142" s="24">
        <f t="shared" si="105"/>
        <v>0</v>
      </c>
      <c r="M142" s="24">
        <f t="shared" si="79"/>
        <v>0</v>
      </c>
      <c r="N142" s="24">
        <f t="shared" si="80"/>
        <v>0</v>
      </c>
      <c r="O142" s="24">
        <f t="shared" si="106"/>
        <v>0</v>
      </c>
      <c r="P142" s="24">
        <f t="shared" si="107"/>
        <v>0</v>
      </c>
      <c r="Q142" s="24">
        <f t="shared" si="102"/>
        <v>0</v>
      </c>
      <c r="R142" s="36">
        <f t="shared" ref="R142:R159" si="110">IF((R141-1)&lt;0,0,R141-1)</f>
        <v>0</v>
      </c>
      <c r="S142" s="36">
        <f t="shared" si="103"/>
        <v>0</v>
      </c>
      <c r="T142" s="2">
        <f t="shared" si="95"/>
        <v>0</v>
      </c>
      <c r="U142" s="34">
        <f t="shared" si="86"/>
        <v>0</v>
      </c>
      <c r="V142" s="57">
        <f t="shared" si="96"/>
        <v>62835</v>
      </c>
      <c r="W142" s="16">
        <f t="shared" si="97"/>
        <v>93</v>
      </c>
      <c r="AI142" s="2">
        <f t="shared" si="82"/>
        <v>0</v>
      </c>
      <c r="AJ142" s="34">
        <f t="shared" si="87"/>
        <v>0</v>
      </c>
      <c r="AK142" s="57">
        <f t="shared" si="88"/>
        <v>62470</v>
      </c>
      <c r="BB142" s="2" t="e">
        <f t="shared" si="83"/>
        <v>#VALUE!</v>
      </c>
    </row>
    <row r="143" spans="5:54" x14ac:dyDescent="0.25">
      <c r="E143" s="114">
        <f t="shared" si="109"/>
        <v>135</v>
      </c>
      <c r="F143" s="111">
        <f t="shared" si="104"/>
        <v>49423</v>
      </c>
      <c r="G143" s="24">
        <f t="shared" si="99"/>
        <v>0</v>
      </c>
      <c r="H143" s="24">
        <f t="shared" si="100"/>
        <v>0</v>
      </c>
      <c r="I143" s="24">
        <f t="shared" si="108"/>
        <v>46903.630000000005</v>
      </c>
      <c r="J143" s="24">
        <f t="shared" si="98"/>
        <v>0</v>
      </c>
      <c r="K143" s="24">
        <f t="shared" si="101"/>
        <v>0</v>
      </c>
      <c r="L143" s="24">
        <f t="shared" si="105"/>
        <v>0</v>
      </c>
      <c r="M143" s="24">
        <f t="shared" si="79"/>
        <v>0</v>
      </c>
      <c r="N143" s="24">
        <f t="shared" si="80"/>
        <v>0</v>
      </c>
      <c r="O143" s="24">
        <f t="shared" si="106"/>
        <v>0</v>
      </c>
      <c r="P143" s="24">
        <f t="shared" si="107"/>
        <v>0</v>
      </c>
      <c r="Q143" s="24">
        <f t="shared" si="102"/>
        <v>0</v>
      </c>
      <c r="R143" s="36">
        <f t="shared" si="110"/>
        <v>0</v>
      </c>
      <c r="S143" s="36">
        <f t="shared" si="103"/>
        <v>0</v>
      </c>
      <c r="T143" s="2">
        <f t="shared" si="95"/>
        <v>0</v>
      </c>
      <c r="U143" s="34">
        <f t="shared" si="86"/>
        <v>0</v>
      </c>
      <c r="V143" s="57">
        <f t="shared" si="96"/>
        <v>62835</v>
      </c>
      <c r="W143" s="16">
        <f t="shared" si="97"/>
        <v>94</v>
      </c>
      <c r="AI143" s="2">
        <f t="shared" si="82"/>
        <v>0</v>
      </c>
      <c r="AJ143" s="34">
        <f t="shared" si="87"/>
        <v>0</v>
      </c>
      <c r="AK143" s="57">
        <f t="shared" si="88"/>
        <v>62470</v>
      </c>
      <c r="BB143" s="2" t="e">
        <f t="shared" si="83"/>
        <v>#VALUE!</v>
      </c>
    </row>
    <row r="144" spans="5:54" x14ac:dyDescent="0.25">
      <c r="E144" s="114">
        <f t="shared" si="109"/>
        <v>136</v>
      </c>
      <c r="F144" s="111">
        <f t="shared" si="104"/>
        <v>49453</v>
      </c>
      <c r="G144" s="24">
        <f t="shared" si="99"/>
        <v>0</v>
      </c>
      <c r="H144" s="24">
        <f t="shared" si="100"/>
        <v>0</v>
      </c>
      <c r="I144" s="24">
        <f t="shared" si="108"/>
        <v>46903.630000000005</v>
      </c>
      <c r="J144" s="24">
        <f t="shared" si="98"/>
        <v>0</v>
      </c>
      <c r="K144" s="24">
        <f t="shared" si="101"/>
        <v>0</v>
      </c>
      <c r="L144" s="24">
        <f t="shared" si="105"/>
        <v>0</v>
      </c>
      <c r="M144" s="24">
        <f t="shared" si="79"/>
        <v>0</v>
      </c>
      <c r="N144" s="24">
        <f t="shared" si="80"/>
        <v>0</v>
      </c>
      <c r="O144" s="24">
        <f t="shared" si="106"/>
        <v>0</v>
      </c>
      <c r="P144" s="24">
        <f t="shared" si="107"/>
        <v>0</v>
      </c>
      <c r="Q144" s="24">
        <f t="shared" si="102"/>
        <v>0</v>
      </c>
      <c r="R144" s="36">
        <f t="shared" si="110"/>
        <v>0</v>
      </c>
      <c r="S144" s="36">
        <f t="shared" si="103"/>
        <v>0</v>
      </c>
      <c r="T144" s="2">
        <f t="shared" si="95"/>
        <v>0</v>
      </c>
      <c r="U144" s="34">
        <f t="shared" si="86"/>
        <v>0</v>
      </c>
      <c r="V144" s="57">
        <f t="shared" si="96"/>
        <v>62835</v>
      </c>
      <c r="W144" s="16">
        <f t="shared" si="97"/>
        <v>95</v>
      </c>
      <c r="AI144" s="2">
        <f t="shared" si="82"/>
        <v>0</v>
      </c>
      <c r="AJ144" s="34">
        <f t="shared" si="87"/>
        <v>0</v>
      </c>
      <c r="AK144" s="57">
        <f t="shared" si="88"/>
        <v>62470</v>
      </c>
      <c r="BB144" s="2" t="e">
        <f t="shared" si="83"/>
        <v>#VALUE!</v>
      </c>
    </row>
    <row r="145" spans="5:54" x14ac:dyDescent="0.25">
      <c r="E145" s="114">
        <f t="shared" si="109"/>
        <v>137</v>
      </c>
      <c r="F145" s="111">
        <f t="shared" si="104"/>
        <v>49484</v>
      </c>
      <c r="G145" s="24">
        <f t="shared" si="99"/>
        <v>0</v>
      </c>
      <c r="H145" s="24">
        <f t="shared" si="100"/>
        <v>0</v>
      </c>
      <c r="I145" s="24">
        <f t="shared" si="108"/>
        <v>46903.630000000005</v>
      </c>
      <c r="J145" s="24">
        <f t="shared" si="98"/>
        <v>0</v>
      </c>
      <c r="K145" s="24">
        <f t="shared" si="101"/>
        <v>0</v>
      </c>
      <c r="L145" s="24">
        <f t="shared" si="105"/>
        <v>0</v>
      </c>
      <c r="M145" s="24">
        <f t="shared" si="79"/>
        <v>0</v>
      </c>
      <c r="N145" s="24">
        <f t="shared" si="80"/>
        <v>0</v>
      </c>
      <c r="O145" s="24">
        <f t="shared" si="106"/>
        <v>0</v>
      </c>
      <c r="P145" s="24">
        <f t="shared" si="107"/>
        <v>0</v>
      </c>
      <c r="Q145" s="24">
        <f t="shared" si="102"/>
        <v>0</v>
      </c>
      <c r="R145" s="36">
        <f t="shared" si="110"/>
        <v>0</v>
      </c>
      <c r="S145" s="36">
        <f t="shared" si="103"/>
        <v>0</v>
      </c>
      <c r="T145" s="2">
        <f t="shared" si="95"/>
        <v>0</v>
      </c>
      <c r="U145" s="34">
        <f t="shared" si="86"/>
        <v>0</v>
      </c>
      <c r="V145" s="57">
        <f t="shared" si="96"/>
        <v>62835</v>
      </c>
      <c r="W145" s="16">
        <f t="shared" si="97"/>
        <v>96</v>
      </c>
      <c r="AI145" s="2">
        <f t="shared" si="82"/>
        <v>0</v>
      </c>
      <c r="AJ145" s="34">
        <f t="shared" si="87"/>
        <v>0</v>
      </c>
      <c r="AK145" s="57">
        <f t="shared" si="88"/>
        <v>62470</v>
      </c>
      <c r="BB145" s="2" t="e">
        <f t="shared" si="83"/>
        <v>#VALUE!</v>
      </c>
    </row>
    <row r="146" spans="5:54" x14ac:dyDescent="0.25">
      <c r="E146" s="114">
        <f t="shared" si="109"/>
        <v>138</v>
      </c>
      <c r="F146" s="111">
        <f t="shared" si="104"/>
        <v>49514</v>
      </c>
      <c r="G146" s="24">
        <f t="shared" si="99"/>
        <v>0</v>
      </c>
      <c r="H146" s="24">
        <f t="shared" si="100"/>
        <v>0</v>
      </c>
      <c r="I146" s="24">
        <f t="shared" si="108"/>
        <v>46903.630000000005</v>
      </c>
      <c r="J146" s="24">
        <f t="shared" si="98"/>
        <v>0</v>
      </c>
      <c r="K146" s="24">
        <f t="shared" si="101"/>
        <v>0</v>
      </c>
      <c r="L146" s="24">
        <f t="shared" si="105"/>
        <v>0</v>
      </c>
      <c r="M146" s="24">
        <f t="shared" si="79"/>
        <v>0</v>
      </c>
      <c r="N146" s="24">
        <f t="shared" si="80"/>
        <v>0</v>
      </c>
      <c r="O146" s="24">
        <f t="shared" si="106"/>
        <v>0</v>
      </c>
      <c r="P146" s="24">
        <f t="shared" si="107"/>
        <v>0</v>
      </c>
      <c r="Q146" s="24">
        <f t="shared" si="102"/>
        <v>0</v>
      </c>
      <c r="R146" s="36">
        <f t="shared" si="110"/>
        <v>0</v>
      </c>
      <c r="S146" s="36">
        <f t="shared" si="103"/>
        <v>0</v>
      </c>
      <c r="T146" s="2">
        <f t="shared" si="95"/>
        <v>0</v>
      </c>
      <c r="U146" s="34">
        <f t="shared" si="86"/>
        <v>0</v>
      </c>
      <c r="V146" s="57">
        <f t="shared" si="96"/>
        <v>62835</v>
      </c>
      <c r="W146" s="16">
        <f t="shared" si="97"/>
        <v>97</v>
      </c>
      <c r="AI146" s="2">
        <f t="shared" si="82"/>
        <v>0</v>
      </c>
      <c r="AJ146" s="34">
        <f t="shared" si="87"/>
        <v>0</v>
      </c>
      <c r="AK146" s="57">
        <f t="shared" si="88"/>
        <v>62470</v>
      </c>
      <c r="BB146" s="2" t="e">
        <f t="shared" si="83"/>
        <v>#VALUE!</v>
      </c>
    </row>
    <row r="147" spans="5:54" x14ac:dyDescent="0.25">
      <c r="E147" s="114">
        <f t="shared" si="109"/>
        <v>139</v>
      </c>
      <c r="F147" s="111">
        <f t="shared" si="104"/>
        <v>49545</v>
      </c>
      <c r="G147" s="24">
        <f t="shared" si="99"/>
        <v>0</v>
      </c>
      <c r="H147" s="24">
        <f t="shared" si="100"/>
        <v>0</v>
      </c>
      <c r="I147" s="24">
        <f t="shared" si="108"/>
        <v>46903.630000000005</v>
      </c>
      <c r="J147" s="24">
        <f t="shared" si="98"/>
        <v>0</v>
      </c>
      <c r="K147" s="24">
        <f t="shared" si="101"/>
        <v>0</v>
      </c>
      <c r="L147" s="24">
        <f t="shared" si="105"/>
        <v>0</v>
      </c>
      <c r="M147" s="24">
        <f t="shared" si="79"/>
        <v>0</v>
      </c>
      <c r="N147" s="24">
        <f t="shared" si="80"/>
        <v>0</v>
      </c>
      <c r="O147" s="24">
        <f t="shared" si="106"/>
        <v>0</v>
      </c>
      <c r="P147" s="24">
        <f t="shared" si="107"/>
        <v>0</v>
      </c>
      <c r="Q147" s="24">
        <f t="shared" si="102"/>
        <v>0</v>
      </c>
      <c r="R147" s="36">
        <f t="shared" si="110"/>
        <v>0</v>
      </c>
      <c r="S147" s="36">
        <f t="shared" si="103"/>
        <v>0</v>
      </c>
      <c r="T147" s="2">
        <f t="shared" si="95"/>
        <v>0</v>
      </c>
      <c r="U147" s="34">
        <f t="shared" si="86"/>
        <v>0</v>
      </c>
      <c r="V147" s="57">
        <f t="shared" si="96"/>
        <v>62835</v>
      </c>
      <c r="W147" s="16">
        <f t="shared" si="97"/>
        <v>98</v>
      </c>
      <c r="AI147" s="2">
        <f t="shared" si="82"/>
        <v>0</v>
      </c>
      <c r="AJ147" s="34">
        <f t="shared" si="87"/>
        <v>0</v>
      </c>
      <c r="AK147" s="57">
        <f t="shared" si="88"/>
        <v>62470</v>
      </c>
      <c r="BB147" s="2" t="e">
        <f t="shared" si="83"/>
        <v>#VALUE!</v>
      </c>
    </row>
    <row r="148" spans="5:54" x14ac:dyDescent="0.25">
      <c r="E148" s="114">
        <f t="shared" si="109"/>
        <v>140</v>
      </c>
      <c r="F148" s="111">
        <f t="shared" si="104"/>
        <v>49576</v>
      </c>
      <c r="G148" s="24">
        <f t="shared" si="99"/>
        <v>0</v>
      </c>
      <c r="H148" s="24">
        <f t="shared" si="100"/>
        <v>0</v>
      </c>
      <c r="I148" s="24">
        <f t="shared" si="108"/>
        <v>46903.630000000005</v>
      </c>
      <c r="J148" s="24">
        <f t="shared" si="98"/>
        <v>0</v>
      </c>
      <c r="K148" s="24">
        <f t="shared" si="101"/>
        <v>0</v>
      </c>
      <c r="L148" s="24">
        <f t="shared" si="105"/>
        <v>0</v>
      </c>
      <c r="M148" s="24">
        <f t="shared" si="79"/>
        <v>0</v>
      </c>
      <c r="N148" s="24">
        <f t="shared" si="80"/>
        <v>0</v>
      </c>
      <c r="O148" s="24">
        <f t="shared" si="106"/>
        <v>0</v>
      </c>
      <c r="P148" s="24">
        <f t="shared" si="107"/>
        <v>0</v>
      </c>
      <c r="Q148" s="24">
        <f t="shared" si="102"/>
        <v>0</v>
      </c>
      <c r="R148" s="36">
        <f t="shared" si="110"/>
        <v>0</v>
      </c>
      <c r="S148" s="36">
        <f t="shared" si="103"/>
        <v>0</v>
      </c>
      <c r="T148" s="2">
        <f t="shared" si="95"/>
        <v>0</v>
      </c>
      <c r="U148" s="34">
        <f t="shared" si="86"/>
        <v>0</v>
      </c>
      <c r="V148" s="57">
        <f t="shared" si="96"/>
        <v>62835</v>
      </c>
      <c r="W148" s="16">
        <f t="shared" si="97"/>
        <v>99</v>
      </c>
      <c r="AI148" s="2">
        <f t="shared" si="82"/>
        <v>0</v>
      </c>
      <c r="AJ148" s="34">
        <f t="shared" si="87"/>
        <v>0</v>
      </c>
      <c r="AK148" s="57">
        <f t="shared" si="88"/>
        <v>62470</v>
      </c>
      <c r="BB148" s="2" t="e">
        <f t="shared" si="83"/>
        <v>#VALUE!</v>
      </c>
    </row>
    <row r="149" spans="5:54" x14ac:dyDescent="0.25">
      <c r="E149" s="114">
        <f t="shared" si="109"/>
        <v>141</v>
      </c>
      <c r="F149" s="111">
        <f t="shared" si="104"/>
        <v>49606</v>
      </c>
      <c r="G149" s="24">
        <f t="shared" si="99"/>
        <v>0</v>
      </c>
      <c r="H149" s="24">
        <f t="shared" si="100"/>
        <v>0</v>
      </c>
      <c r="I149" s="24">
        <f t="shared" si="108"/>
        <v>46903.630000000005</v>
      </c>
      <c r="J149" s="24">
        <f t="shared" si="98"/>
        <v>0</v>
      </c>
      <c r="K149" s="24">
        <f t="shared" si="101"/>
        <v>0</v>
      </c>
      <c r="L149" s="24">
        <f t="shared" si="105"/>
        <v>0</v>
      </c>
      <c r="M149" s="24">
        <f t="shared" si="79"/>
        <v>0</v>
      </c>
      <c r="N149" s="24">
        <f t="shared" si="80"/>
        <v>0</v>
      </c>
      <c r="O149" s="24">
        <f t="shared" si="106"/>
        <v>0</v>
      </c>
      <c r="P149" s="24">
        <f t="shared" si="107"/>
        <v>0</v>
      </c>
      <c r="Q149" s="24">
        <f t="shared" si="102"/>
        <v>0</v>
      </c>
      <c r="R149" s="36">
        <f t="shared" si="110"/>
        <v>0</v>
      </c>
      <c r="S149" s="36">
        <f t="shared" si="103"/>
        <v>0</v>
      </c>
      <c r="T149" s="2">
        <f t="shared" si="95"/>
        <v>0</v>
      </c>
      <c r="U149" s="34">
        <f t="shared" si="86"/>
        <v>0</v>
      </c>
      <c r="V149" s="57">
        <f t="shared" si="96"/>
        <v>62835</v>
      </c>
      <c r="W149" s="16">
        <f t="shared" si="97"/>
        <v>100</v>
      </c>
      <c r="AI149" s="2">
        <f t="shared" si="82"/>
        <v>0</v>
      </c>
      <c r="AJ149" s="34">
        <f t="shared" si="87"/>
        <v>0</v>
      </c>
      <c r="AK149" s="57">
        <f t="shared" si="88"/>
        <v>62470</v>
      </c>
      <c r="BB149" s="2" t="e">
        <f t="shared" si="83"/>
        <v>#VALUE!</v>
      </c>
    </row>
    <row r="150" spans="5:54" x14ac:dyDescent="0.25">
      <c r="E150" s="114">
        <f t="shared" si="109"/>
        <v>142</v>
      </c>
      <c r="F150" s="111">
        <f t="shared" si="104"/>
        <v>49637</v>
      </c>
      <c r="G150" s="24">
        <f t="shared" si="99"/>
        <v>0</v>
      </c>
      <c r="H150" s="24">
        <f t="shared" si="100"/>
        <v>0</v>
      </c>
      <c r="I150" s="24">
        <f t="shared" si="108"/>
        <v>46903.630000000005</v>
      </c>
      <c r="J150" s="24">
        <f t="shared" si="98"/>
        <v>0</v>
      </c>
      <c r="K150" s="24">
        <f t="shared" si="101"/>
        <v>0</v>
      </c>
      <c r="L150" s="24">
        <f t="shared" si="105"/>
        <v>0</v>
      </c>
      <c r="M150" s="24">
        <f t="shared" si="79"/>
        <v>0</v>
      </c>
      <c r="N150" s="24">
        <f t="shared" si="80"/>
        <v>0</v>
      </c>
      <c r="O150" s="24">
        <f t="shared" si="106"/>
        <v>0</v>
      </c>
      <c r="P150" s="24">
        <f t="shared" si="107"/>
        <v>0</v>
      </c>
      <c r="Q150" s="24">
        <f t="shared" si="102"/>
        <v>0</v>
      </c>
      <c r="R150" s="36">
        <f t="shared" si="110"/>
        <v>0</v>
      </c>
      <c r="S150" s="36">
        <f t="shared" si="103"/>
        <v>0</v>
      </c>
      <c r="T150" s="2">
        <f t="shared" si="95"/>
        <v>0</v>
      </c>
      <c r="U150" s="34">
        <f t="shared" si="86"/>
        <v>0</v>
      </c>
      <c r="V150" s="57">
        <f t="shared" si="96"/>
        <v>62835</v>
      </c>
      <c r="W150" s="16">
        <f t="shared" si="97"/>
        <v>101</v>
      </c>
      <c r="AI150" s="35">
        <f>SUM(AI50:AI149)</f>
        <v>46778.810000000034</v>
      </c>
      <c r="AJ150" s="35">
        <f>SUM(AJ50:AJ149)</f>
        <v>109387.78</v>
      </c>
      <c r="AK150" s="154">
        <f>XIRR(AJ48:AJ149,AK48:AK149)*12</f>
        <v>0.34290951490402222</v>
      </c>
      <c r="BB150" s="2" t="e">
        <f t="shared" si="83"/>
        <v>#VALUE!</v>
      </c>
    </row>
    <row r="151" spans="5:54" x14ac:dyDescent="0.25">
      <c r="E151" s="114">
        <f t="shared" si="109"/>
        <v>143</v>
      </c>
      <c r="F151" s="111">
        <f t="shared" si="104"/>
        <v>49667</v>
      </c>
      <c r="G151" s="24">
        <f t="shared" si="99"/>
        <v>0</v>
      </c>
      <c r="H151" s="24">
        <f t="shared" si="100"/>
        <v>0</v>
      </c>
      <c r="I151" s="24">
        <f t="shared" si="108"/>
        <v>46903.630000000005</v>
      </c>
      <c r="J151" s="24">
        <f t="shared" si="98"/>
        <v>0</v>
      </c>
      <c r="K151" s="24">
        <f t="shared" si="101"/>
        <v>0</v>
      </c>
      <c r="L151" s="24">
        <f t="shared" si="105"/>
        <v>0</v>
      </c>
      <c r="M151" s="24">
        <f t="shared" ref="M151:M159" si="111">O150-L150</f>
        <v>0</v>
      </c>
      <c r="N151" s="24">
        <f t="shared" ref="N151:N159" si="112">H151+O151</f>
        <v>0</v>
      </c>
      <c r="O151" s="24">
        <f t="shared" si="106"/>
        <v>0</v>
      </c>
      <c r="P151" s="24">
        <f t="shared" si="107"/>
        <v>0</v>
      </c>
      <c r="Q151" s="24">
        <f t="shared" si="102"/>
        <v>0</v>
      </c>
      <c r="R151" s="36">
        <f t="shared" si="110"/>
        <v>0</v>
      </c>
      <c r="S151" s="36">
        <f t="shared" si="103"/>
        <v>0</v>
      </c>
      <c r="T151" s="2">
        <f t="shared" si="95"/>
        <v>0</v>
      </c>
      <c r="U151" s="34">
        <f t="shared" si="86"/>
        <v>0</v>
      </c>
      <c r="V151" s="57">
        <f t="shared" si="96"/>
        <v>62835</v>
      </c>
      <c r="W151" s="16">
        <f t="shared" si="97"/>
        <v>102</v>
      </c>
      <c r="BB151" s="2" t="e">
        <f t="shared" si="83"/>
        <v>#VALUE!</v>
      </c>
    </row>
    <row r="152" spans="5:54" x14ac:dyDescent="0.25">
      <c r="E152" s="114">
        <f t="shared" si="109"/>
        <v>144</v>
      </c>
      <c r="F152" s="111">
        <f t="shared" si="104"/>
        <v>49698</v>
      </c>
      <c r="G152" s="24">
        <f t="shared" si="99"/>
        <v>0</v>
      </c>
      <c r="H152" s="24">
        <f t="shared" si="100"/>
        <v>0</v>
      </c>
      <c r="I152" s="24">
        <f t="shared" si="108"/>
        <v>46903.630000000005</v>
      </c>
      <c r="J152" s="24">
        <f t="shared" si="98"/>
        <v>0</v>
      </c>
      <c r="K152" s="24">
        <f t="shared" si="101"/>
        <v>0</v>
      </c>
      <c r="L152" s="24">
        <f t="shared" si="105"/>
        <v>0</v>
      </c>
      <c r="M152" s="24">
        <f t="shared" si="111"/>
        <v>0</v>
      </c>
      <c r="N152" s="24">
        <f t="shared" si="112"/>
        <v>0</v>
      </c>
      <c r="O152" s="24">
        <f t="shared" si="106"/>
        <v>0</v>
      </c>
      <c r="P152" s="24">
        <f t="shared" si="107"/>
        <v>0</v>
      </c>
      <c r="Q152" s="24">
        <f t="shared" si="102"/>
        <v>0</v>
      </c>
      <c r="R152" s="36">
        <f t="shared" si="110"/>
        <v>0</v>
      </c>
      <c r="S152" s="36">
        <f t="shared" si="103"/>
        <v>0</v>
      </c>
      <c r="T152" s="2">
        <f t="shared" si="95"/>
        <v>0</v>
      </c>
      <c r="U152" s="34">
        <f t="shared" si="86"/>
        <v>0</v>
      </c>
      <c r="V152" s="57">
        <f t="shared" si="96"/>
        <v>62835</v>
      </c>
      <c r="W152" s="16">
        <f t="shared" si="97"/>
        <v>103</v>
      </c>
      <c r="BB152" s="2" t="e">
        <f t="shared" si="83"/>
        <v>#VALUE!</v>
      </c>
    </row>
    <row r="153" spans="5:54" x14ac:dyDescent="0.25">
      <c r="E153" s="114">
        <f t="shared" si="109"/>
        <v>145</v>
      </c>
      <c r="F153" s="111">
        <f t="shared" si="104"/>
        <v>49729</v>
      </c>
      <c r="G153" s="24">
        <f t="shared" si="99"/>
        <v>0</v>
      </c>
      <c r="H153" s="24">
        <f t="shared" si="100"/>
        <v>0</v>
      </c>
      <c r="I153" s="24">
        <f t="shared" si="108"/>
        <v>46903.630000000005</v>
      </c>
      <c r="J153" s="24">
        <f t="shared" si="98"/>
        <v>0</v>
      </c>
      <c r="K153" s="24">
        <f t="shared" si="101"/>
        <v>0</v>
      </c>
      <c r="L153" s="24">
        <f t="shared" si="105"/>
        <v>0</v>
      </c>
      <c r="M153" s="24">
        <f t="shared" si="111"/>
        <v>0</v>
      </c>
      <c r="N153" s="24">
        <f t="shared" si="112"/>
        <v>0</v>
      </c>
      <c r="O153" s="24">
        <f t="shared" si="106"/>
        <v>0</v>
      </c>
      <c r="P153" s="24">
        <f t="shared" si="107"/>
        <v>0</v>
      </c>
      <c r="Q153" s="24">
        <f t="shared" si="102"/>
        <v>0</v>
      </c>
      <c r="R153" s="36">
        <f t="shared" si="110"/>
        <v>0</v>
      </c>
      <c r="S153" s="36">
        <f t="shared" si="103"/>
        <v>0</v>
      </c>
      <c r="T153" s="2">
        <f t="shared" si="95"/>
        <v>0</v>
      </c>
      <c r="U153" s="34">
        <f t="shared" si="86"/>
        <v>0</v>
      </c>
      <c r="V153" s="57">
        <f t="shared" si="96"/>
        <v>62835</v>
      </c>
      <c r="W153" s="16">
        <f t="shared" si="97"/>
        <v>104</v>
      </c>
      <c r="BB153" s="2" t="e">
        <f>IF(AND(E158&gt;=$T$14,E158&lt;=$T$14+5),0,IF($C$9&gt;$AC$52,ROUND(AW107*IF($D$23="",0,$D$23)/(DATEVALUE(CONCATENATE("01/01/",YEAR(AN108)+1))-DATEVALUE(CONCATENATE("01/01/",YEAR(AN108))))*(AN108-AN107),2),0))</f>
        <v>#VALUE!</v>
      </c>
    </row>
    <row r="154" spans="5:54" x14ac:dyDescent="0.25">
      <c r="E154" s="114">
        <f t="shared" si="109"/>
        <v>146</v>
      </c>
      <c r="F154" s="111">
        <f t="shared" si="104"/>
        <v>49758</v>
      </c>
      <c r="G154" s="24">
        <f t="shared" si="99"/>
        <v>0</v>
      </c>
      <c r="H154" s="24">
        <f t="shared" si="100"/>
        <v>0</v>
      </c>
      <c r="I154" s="24">
        <f t="shared" si="108"/>
        <v>46903.630000000005</v>
      </c>
      <c r="J154" s="24">
        <f t="shared" si="98"/>
        <v>0</v>
      </c>
      <c r="K154" s="24">
        <f t="shared" si="101"/>
        <v>0</v>
      </c>
      <c r="L154" s="24">
        <f t="shared" si="105"/>
        <v>0</v>
      </c>
      <c r="M154" s="24">
        <f t="shared" si="111"/>
        <v>0</v>
      </c>
      <c r="N154" s="24">
        <f t="shared" si="112"/>
        <v>0</v>
      </c>
      <c r="O154" s="24">
        <f t="shared" si="106"/>
        <v>0</v>
      </c>
      <c r="P154" s="24">
        <f t="shared" si="107"/>
        <v>0</v>
      </c>
      <c r="Q154" s="24">
        <f t="shared" si="102"/>
        <v>0</v>
      </c>
      <c r="R154" s="36">
        <f t="shared" si="110"/>
        <v>0</v>
      </c>
      <c r="S154" s="36">
        <f t="shared" si="103"/>
        <v>0</v>
      </c>
      <c r="T154" s="2">
        <f t="shared" si="95"/>
        <v>0</v>
      </c>
      <c r="U154" s="34">
        <f t="shared" si="86"/>
        <v>0</v>
      </c>
      <c r="V154" s="57">
        <f t="shared" si="96"/>
        <v>62835</v>
      </c>
      <c r="W154" s="16">
        <f t="shared" si="97"/>
        <v>105</v>
      </c>
      <c r="BB154" s="2" t="e">
        <f>IF(AND(E159&gt;=$T$14,E159&lt;=$T$14+5),0,IF($C$9&gt;$AC$52,ROUND(AW108*IF($D$23="",0,$D$23)/(DATEVALUE(CONCATENATE("01/01/",YEAR(AN109)+1))-DATEVALUE(CONCATENATE("01/01/",YEAR(AN109))))*(AN109-AN108),2),0))</f>
        <v>#VALUE!</v>
      </c>
    </row>
    <row r="155" spans="5:54" x14ac:dyDescent="0.25">
      <c r="E155" s="114">
        <f t="shared" si="109"/>
        <v>147</v>
      </c>
      <c r="F155" s="111">
        <f t="shared" si="104"/>
        <v>49789</v>
      </c>
      <c r="G155" s="24">
        <f t="shared" si="99"/>
        <v>0</v>
      </c>
      <c r="H155" s="24">
        <f t="shared" si="100"/>
        <v>0</v>
      </c>
      <c r="I155" s="24">
        <f t="shared" si="108"/>
        <v>46903.630000000005</v>
      </c>
      <c r="J155" s="24">
        <f t="shared" si="98"/>
        <v>0</v>
      </c>
      <c r="K155" s="24">
        <f t="shared" si="101"/>
        <v>0</v>
      </c>
      <c r="L155" s="24">
        <f t="shared" si="105"/>
        <v>0</v>
      </c>
      <c r="M155" s="24">
        <f t="shared" si="111"/>
        <v>0</v>
      </c>
      <c r="N155" s="24">
        <f t="shared" si="112"/>
        <v>0</v>
      </c>
      <c r="O155" s="24">
        <f t="shared" si="106"/>
        <v>0</v>
      </c>
      <c r="P155" s="24">
        <f t="shared" si="107"/>
        <v>0</v>
      </c>
      <c r="Q155" s="24">
        <f t="shared" si="102"/>
        <v>0</v>
      </c>
      <c r="R155" s="36">
        <f t="shared" si="110"/>
        <v>0</v>
      </c>
      <c r="S155" s="36">
        <f t="shared" si="103"/>
        <v>0</v>
      </c>
      <c r="T155" s="2">
        <f t="shared" si="95"/>
        <v>0</v>
      </c>
      <c r="U155" s="34">
        <f t="shared" si="86"/>
        <v>0</v>
      </c>
      <c r="V155" s="57">
        <f t="shared" si="96"/>
        <v>62835</v>
      </c>
      <c r="W155" s="16">
        <f t="shared" si="97"/>
        <v>106</v>
      </c>
      <c r="BB155" s="35" t="e">
        <f>SUM(BB55:BB154)</f>
        <v>#VALUE!</v>
      </c>
    </row>
    <row r="156" spans="5:54" x14ac:dyDescent="0.25">
      <c r="E156" s="114">
        <f t="shared" si="109"/>
        <v>148</v>
      </c>
      <c r="F156" s="111">
        <f t="shared" si="104"/>
        <v>49819</v>
      </c>
      <c r="G156" s="24">
        <f t="shared" si="99"/>
        <v>0</v>
      </c>
      <c r="H156" s="24">
        <f t="shared" si="100"/>
        <v>0</v>
      </c>
      <c r="I156" s="24">
        <f t="shared" si="108"/>
        <v>46903.630000000005</v>
      </c>
      <c r="J156" s="24">
        <f t="shared" si="98"/>
        <v>0</v>
      </c>
      <c r="K156" s="24">
        <f t="shared" si="101"/>
        <v>0</v>
      </c>
      <c r="L156" s="24">
        <f t="shared" si="105"/>
        <v>0</v>
      </c>
      <c r="M156" s="24">
        <f t="shared" si="111"/>
        <v>0</v>
      </c>
      <c r="N156" s="24">
        <f t="shared" si="112"/>
        <v>0</v>
      </c>
      <c r="O156" s="24">
        <f t="shared" si="106"/>
        <v>0</v>
      </c>
      <c r="P156" s="24">
        <f t="shared" si="107"/>
        <v>0</v>
      </c>
      <c r="Q156" s="24">
        <f t="shared" si="102"/>
        <v>0</v>
      </c>
      <c r="R156" s="36">
        <f t="shared" si="110"/>
        <v>0</v>
      </c>
      <c r="S156" s="36">
        <f t="shared" si="103"/>
        <v>0</v>
      </c>
      <c r="T156" s="2">
        <f t="shared" si="95"/>
        <v>0</v>
      </c>
      <c r="U156" s="34">
        <f t="shared" si="86"/>
        <v>0</v>
      </c>
      <c r="V156" s="57">
        <f t="shared" si="96"/>
        <v>62835</v>
      </c>
      <c r="W156" s="16">
        <f t="shared" si="97"/>
        <v>107</v>
      </c>
    </row>
    <row r="157" spans="5:54" x14ac:dyDescent="0.25">
      <c r="E157" s="114">
        <f t="shared" si="109"/>
        <v>149</v>
      </c>
      <c r="F157" s="111">
        <f t="shared" si="104"/>
        <v>49850</v>
      </c>
      <c r="G157" s="24">
        <f t="shared" si="99"/>
        <v>0</v>
      </c>
      <c r="H157" s="24">
        <f t="shared" si="100"/>
        <v>0</v>
      </c>
      <c r="I157" s="24">
        <f t="shared" si="108"/>
        <v>46903.630000000005</v>
      </c>
      <c r="J157" s="24">
        <f t="shared" si="98"/>
        <v>0</v>
      </c>
      <c r="K157" s="24">
        <f t="shared" si="101"/>
        <v>0</v>
      </c>
      <c r="L157" s="24">
        <f t="shared" si="105"/>
        <v>0</v>
      </c>
      <c r="M157" s="24">
        <f t="shared" si="111"/>
        <v>0</v>
      </c>
      <c r="N157" s="24">
        <f t="shared" si="112"/>
        <v>0</v>
      </c>
      <c r="O157" s="24">
        <f>IF(S157=0,0,0)</f>
        <v>0</v>
      </c>
      <c r="P157" s="24">
        <f t="shared" si="107"/>
        <v>0</v>
      </c>
      <c r="Q157" s="24">
        <f t="shared" si="102"/>
        <v>0</v>
      </c>
      <c r="R157" s="36">
        <f t="shared" si="110"/>
        <v>0</v>
      </c>
      <c r="S157" s="36">
        <f t="shared" si="103"/>
        <v>0</v>
      </c>
      <c r="T157" s="2">
        <f t="shared" si="95"/>
        <v>0</v>
      </c>
      <c r="U157" s="34">
        <f t="shared" si="86"/>
        <v>0</v>
      </c>
      <c r="V157" s="57">
        <f t="shared" si="96"/>
        <v>62835</v>
      </c>
      <c r="W157" s="16">
        <f t="shared" si="97"/>
        <v>108</v>
      </c>
    </row>
    <row r="158" spans="5:54" x14ac:dyDescent="0.25">
      <c r="E158" s="114">
        <f t="shared" si="109"/>
        <v>150</v>
      </c>
      <c r="F158" s="111">
        <f t="shared" si="104"/>
        <v>49880</v>
      </c>
      <c r="G158" s="24">
        <f t="shared" si="99"/>
        <v>0</v>
      </c>
      <c r="H158" s="24">
        <f t="shared" si="100"/>
        <v>0</v>
      </c>
      <c r="I158" s="24">
        <f t="shared" si="108"/>
        <v>46903.630000000005</v>
      </c>
      <c r="J158" s="24">
        <f t="shared" si="98"/>
        <v>0</v>
      </c>
      <c r="K158" s="24">
        <f t="shared" si="101"/>
        <v>0</v>
      </c>
      <c r="L158" s="24">
        <f t="shared" si="105"/>
        <v>0</v>
      </c>
      <c r="M158" s="24">
        <f t="shared" si="111"/>
        <v>0</v>
      </c>
      <c r="N158" s="24">
        <f t="shared" si="112"/>
        <v>0</v>
      </c>
      <c r="O158" s="24">
        <f>IF(S158=0,0,0)</f>
        <v>0</v>
      </c>
      <c r="P158" s="24">
        <f t="shared" si="107"/>
        <v>0</v>
      </c>
      <c r="Q158" s="24">
        <f t="shared" si="102"/>
        <v>0</v>
      </c>
      <c r="R158" s="36">
        <f t="shared" si="110"/>
        <v>0</v>
      </c>
      <c r="S158" s="36">
        <f t="shared" si="103"/>
        <v>0</v>
      </c>
      <c r="T158" s="2">
        <f t="shared" si="95"/>
        <v>0</v>
      </c>
      <c r="U158" s="34">
        <f t="shared" si="86"/>
        <v>0</v>
      </c>
      <c r="V158" s="57">
        <f t="shared" si="96"/>
        <v>62835</v>
      </c>
      <c r="W158" s="16">
        <f t="shared" si="97"/>
        <v>109</v>
      </c>
    </row>
    <row r="159" spans="5:54" x14ac:dyDescent="0.25">
      <c r="E159" s="114">
        <f t="shared" si="109"/>
        <v>151</v>
      </c>
      <c r="F159" s="111">
        <f t="shared" si="104"/>
        <v>49911</v>
      </c>
      <c r="G159" s="24">
        <f t="shared" si="99"/>
        <v>0</v>
      </c>
      <c r="H159" s="24">
        <f t="shared" si="100"/>
        <v>0</v>
      </c>
      <c r="I159" s="24">
        <f t="shared" si="108"/>
        <v>46903.630000000005</v>
      </c>
      <c r="J159" s="24">
        <f t="shared" si="98"/>
        <v>0</v>
      </c>
      <c r="K159" s="24">
        <f t="shared" si="101"/>
        <v>0</v>
      </c>
      <c r="L159" s="24">
        <f t="shared" si="105"/>
        <v>0</v>
      </c>
      <c r="M159" s="24">
        <f t="shared" si="111"/>
        <v>0</v>
      </c>
      <c r="N159" s="24">
        <f t="shared" si="112"/>
        <v>0</v>
      </c>
      <c r="O159" s="24">
        <f>IF(S159=0,0,0)</f>
        <v>0</v>
      </c>
      <c r="P159" s="24">
        <f t="shared" si="107"/>
        <v>0</v>
      </c>
      <c r="Q159" s="24">
        <f t="shared" si="102"/>
        <v>0</v>
      </c>
      <c r="R159" s="36">
        <f t="shared" si="110"/>
        <v>0</v>
      </c>
      <c r="S159" s="36">
        <f t="shared" si="103"/>
        <v>0</v>
      </c>
      <c r="T159" s="2">
        <f t="shared" si="95"/>
        <v>0</v>
      </c>
      <c r="U159" s="34">
        <f t="shared" si="86"/>
        <v>0</v>
      </c>
      <c r="V159" s="57">
        <f t="shared" si="96"/>
        <v>62835</v>
      </c>
      <c r="W159" s="16">
        <f t="shared" si="97"/>
        <v>110</v>
      </c>
    </row>
    <row r="160" spans="5:54" x14ac:dyDescent="0.25">
      <c r="E160" s="28"/>
      <c r="F160" s="111">
        <f t="shared" si="104"/>
        <v>45315</v>
      </c>
      <c r="G160" s="30">
        <f>(SUM(G9:G159)-IF(CODE(C18)=209,AF52,0))</f>
        <v>111902.63000000002</v>
      </c>
      <c r="H160" s="30">
        <f>(SUM(H9:H159)-IF(CODE(D18)=209,AG52,0))</f>
        <v>46903.630000000005</v>
      </c>
      <c r="I160" s="30"/>
      <c r="J160" s="30" t="e">
        <f>SUM(J9:J159)</f>
        <v>#VALUE!</v>
      </c>
      <c r="K160" s="30">
        <f>SUM(K9:K159)</f>
        <v>64999.000000000007</v>
      </c>
      <c r="L160" s="31">
        <f>SUM(L9:L159)</f>
        <v>0</v>
      </c>
      <c r="M160" s="31"/>
      <c r="N160" s="31"/>
      <c r="O160" s="31"/>
      <c r="P160" s="31"/>
      <c r="Q160" s="31"/>
      <c r="R160" s="31"/>
      <c r="S160" s="51"/>
      <c r="T160" s="2">
        <f t="shared" si="95"/>
        <v>0</v>
      </c>
      <c r="U160" s="34">
        <f t="shared" si="86"/>
        <v>0</v>
      </c>
      <c r="V160" s="57">
        <f t="shared" si="96"/>
        <v>62835</v>
      </c>
      <c r="W160" s="16">
        <f t="shared" si="97"/>
        <v>111</v>
      </c>
    </row>
    <row r="161" spans="20:23" x14ac:dyDescent="0.25">
      <c r="T161" s="2">
        <f t="shared" si="95"/>
        <v>0</v>
      </c>
      <c r="U161" s="34">
        <f t="shared" si="86"/>
        <v>0</v>
      </c>
      <c r="V161" s="57">
        <f t="shared" si="96"/>
        <v>62835</v>
      </c>
      <c r="W161" s="16">
        <f t="shared" si="97"/>
        <v>112</v>
      </c>
    </row>
    <row r="162" spans="20:23" x14ac:dyDescent="0.25">
      <c r="T162" s="2">
        <f t="shared" si="95"/>
        <v>0</v>
      </c>
      <c r="U162" s="34">
        <f t="shared" si="86"/>
        <v>0</v>
      </c>
      <c r="V162" s="57">
        <f t="shared" si="96"/>
        <v>62835</v>
      </c>
      <c r="W162" s="16">
        <f t="shared" si="97"/>
        <v>113</v>
      </c>
    </row>
    <row r="163" spans="20:23" x14ac:dyDescent="0.25">
      <c r="T163" s="2">
        <f t="shared" si="95"/>
        <v>0</v>
      </c>
      <c r="U163" s="34">
        <f t="shared" si="86"/>
        <v>0</v>
      </c>
      <c r="V163" s="57">
        <f t="shared" si="96"/>
        <v>62835</v>
      </c>
      <c r="W163" s="16">
        <f t="shared" si="97"/>
        <v>114</v>
      </c>
    </row>
    <row r="164" spans="20:23" x14ac:dyDescent="0.25">
      <c r="T164" s="2">
        <f t="shared" si="95"/>
        <v>0</v>
      </c>
      <c r="U164" s="34">
        <f t="shared" si="86"/>
        <v>0</v>
      </c>
      <c r="V164" s="57">
        <f t="shared" si="96"/>
        <v>62835</v>
      </c>
      <c r="W164" s="16">
        <f t="shared" si="97"/>
        <v>115</v>
      </c>
    </row>
    <row r="165" spans="20:23" x14ac:dyDescent="0.25">
      <c r="T165" s="2">
        <f t="shared" si="95"/>
        <v>0</v>
      </c>
      <c r="U165" s="34">
        <f t="shared" si="86"/>
        <v>0</v>
      </c>
      <c r="V165" s="57">
        <f t="shared" si="96"/>
        <v>62835</v>
      </c>
      <c r="W165" s="16">
        <f t="shared" si="97"/>
        <v>116</v>
      </c>
    </row>
    <row r="166" spans="20:23" x14ac:dyDescent="0.25">
      <c r="T166" s="2">
        <f t="shared" si="95"/>
        <v>0</v>
      </c>
      <c r="U166" s="34">
        <f t="shared" si="86"/>
        <v>0</v>
      </c>
      <c r="V166" s="57">
        <f t="shared" si="96"/>
        <v>62835</v>
      </c>
      <c r="W166" s="16">
        <f t="shared" si="97"/>
        <v>117</v>
      </c>
    </row>
    <row r="167" spans="20:23" x14ac:dyDescent="0.25">
      <c r="T167" s="2">
        <f t="shared" si="95"/>
        <v>0</v>
      </c>
      <c r="U167" s="34">
        <f t="shared" si="86"/>
        <v>0</v>
      </c>
      <c r="V167" s="57">
        <f t="shared" si="96"/>
        <v>62835</v>
      </c>
      <c r="W167" s="16">
        <f t="shared" si="97"/>
        <v>118</v>
      </c>
    </row>
    <row r="168" spans="20:23" x14ac:dyDescent="0.25">
      <c r="T168" s="2">
        <f t="shared" si="95"/>
        <v>0</v>
      </c>
      <c r="U168" s="34">
        <f t="shared" si="86"/>
        <v>0</v>
      </c>
      <c r="V168" s="57">
        <f t="shared" si="96"/>
        <v>62835</v>
      </c>
      <c r="W168" s="16">
        <f t="shared" si="97"/>
        <v>119</v>
      </c>
    </row>
    <row r="169" spans="20:23" x14ac:dyDescent="0.25">
      <c r="T169" s="2">
        <f t="shared" si="95"/>
        <v>0</v>
      </c>
      <c r="U169" s="34">
        <f t="shared" si="86"/>
        <v>0</v>
      </c>
      <c r="V169" s="57">
        <f t="shared" si="96"/>
        <v>62835</v>
      </c>
      <c r="W169" s="16">
        <f t="shared" si="97"/>
        <v>120</v>
      </c>
    </row>
    <row r="170" spans="20:23" x14ac:dyDescent="0.25">
      <c r="T170" s="2">
        <f t="shared" si="95"/>
        <v>0</v>
      </c>
      <c r="U170" s="34">
        <f t="shared" si="86"/>
        <v>0</v>
      </c>
      <c r="V170" s="57">
        <f t="shared" si="96"/>
        <v>62835</v>
      </c>
      <c r="W170" s="16">
        <f t="shared" si="97"/>
        <v>121</v>
      </c>
    </row>
    <row r="171" spans="20:23" x14ac:dyDescent="0.25">
      <c r="T171" s="2">
        <f t="shared" si="95"/>
        <v>0</v>
      </c>
      <c r="U171" s="34">
        <f t="shared" si="86"/>
        <v>0</v>
      </c>
      <c r="V171" s="57">
        <f t="shared" si="96"/>
        <v>62835</v>
      </c>
      <c r="W171" s="16">
        <f t="shared" si="97"/>
        <v>122</v>
      </c>
    </row>
    <row r="172" spans="20:23" x14ac:dyDescent="0.25">
      <c r="T172" s="2">
        <f t="shared" si="95"/>
        <v>0</v>
      </c>
      <c r="U172" s="34">
        <f t="shared" si="86"/>
        <v>0</v>
      </c>
      <c r="V172" s="57">
        <f t="shared" si="96"/>
        <v>62835</v>
      </c>
      <c r="W172" s="16">
        <f t="shared" si="97"/>
        <v>123</v>
      </c>
    </row>
    <row r="173" spans="20:23" x14ac:dyDescent="0.25">
      <c r="T173" s="2">
        <f t="shared" si="95"/>
        <v>0</v>
      </c>
      <c r="U173" s="34">
        <f t="shared" si="86"/>
        <v>0</v>
      </c>
      <c r="V173" s="57">
        <f t="shared" si="96"/>
        <v>62835</v>
      </c>
      <c r="W173" s="16">
        <f t="shared" si="97"/>
        <v>124</v>
      </c>
    </row>
    <row r="174" spans="20:23" x14ac:dyDescent="0.25">
      <c r="T174" s="2">
        <f t="shared" si="95"/>
        <v>0</v>
      </c>
      <c r="U174" s="34">
        <f t="shared" si="86"/>
        <v>0</v>
      </c>
      <c r="V174" s="57">
        <f t="shared" si="96"/>
        <v>62835</v>
      </c>
      <c r="W174" s="16">
        <f t="shared" si="97"/>
        <v>125</v>
      </c>
    </row>
    <row r="175" spans="20:23" x14ac:dyDescent="0.25">
      <c r="T175" s="2">
        <f t="shared" si="95"/>
        <v>0</v>
      </c>
      <c r="U175" s="34">
        <f t="shared" ref="U175:U180" si="113">IF(U174&lt;0,0,IF(T175=0,IF(T174=0,0,$U$46),G134)-IF(AND(T175&gt;0,T176=0),$C$26,0))</f>
        <v>0</v>
      </c>
      <c r="V175" s="57">
        <f t="shared" si="96"/>
        <v>62835</v>
      </c>
      <c r="W175" s="16">
        <f t="shared" si="97"/>
        <v>126</v>
      </c>
    </row>
    <row r="176" spans="20:23" x14ac:dyDescent="0.25">
      <c r="T176" s="2">
        <f t="shared" si="95"/>
        <v>0</v>
      </c>
      <c r="U176" s="34">
        <f t="shared" si="113"/>
        <v>0</v>
      </c>
      <c r="V176" s="57">
        <f t="shared" si="96"/>
        <v>62835</v>
      </c>
      <c r="W176" s="16">
        <f t="shared" si="97"/>
        <v>127</v>
      </c>
    </row>
    <row r="177" spans="20:23" x14ac:dyDescent="0.25">
      <c r="T177" s="2">
        <f t="shared" si="95"/>
        <v>0</v>
      </c>
      <c r="U177" s="34">
        <f t="shared" si="113"/>
        <v>0</v>
      </c>
      <c r="V177" s="57">
        <f t="shared" si="96"/>
        <v>62835</v>
      </c>
      <c r="W177" s="16">
        <f t="shared" si="97"/>
        <v>128</v>
      </c>
    </row>
    <row r="178" spans="20:23" x14ac:dyDescent="0.25">
      <c r="T178" s="2">
        <f>IF(AND(E137&gt;=$T$14,E137&lt;=$T$14+5),0,IF($C$9&gt;$AC$52,ROUND(Q136*$T$46/(DATEVALUE(CONCATENATE("01/01/",YEAR(F137)+1))-DATEVALUE(CONCATENATE("01/01/",YEAR(F137))))*(F137-F136),2),0))</f>
        <v>0</v>
      </c>
      <c r="U178" s="34">
        <f t="shared" si="113"/>
        <v>0</v>
      </c>
      <c r="V178" s="57">
        <f t="shared" si="96"/>
        <v>62835</v>
      </c>
      <c r="W178" s="16">
        <f t="shared" si="97"/>
        <v>129</v>
      </c>
    </row>
    <row r="179" spans="20:23" x14ac:dyDescent="0.25">
      <c r="T179" s="2">
        <f>IF(AND(E138&gt;=$T$14,E138&lt;=$T$14+5),0,IF($C$9&gt;$AC$52,ROUND(Q137*$T$46/(DATEVALUE(CONCATENATE("01/01/",YEAR(F138)+1))-DATEVALUE(CONCATENATE("01/01/",YEAR(F138))))*(F138-F137),2),0))</f>
        <v>0</v>
      </c>
      <c r="U179" s="34">
        <f t="shared" si="113"/>
        <v>0</v>
      </c>
      <c r="V179" s="57">
        <f t="shared" ref="V179:V180" si="114">IF(T179=0,V178,V178+365)</f>
        <v>62835</v>
      </c>
      <c r="W179" s="16">
        <f t="shared" si="97"/>
        <v>130</v>
      </c>
    </row>
    <row r="180" spans="20:23" x14ac:dyDescent="0.25">
      <c r="T180" s="2">
        <f>IF(AND(E139&gt;=$T$14,E139&lt;=$T$14+5),0,IF($C$9&gt;$AC$52,ROUND(Q138*$T$46/(DATEVALUE(CONCATENATE("01/01/",YEAR(F139)+1))-DATEVALUE(CONCATENATE("01/01/",YEAR(F139))))*(F139-F138),2),0))</f>
        <v>0</v>
      </c>
      <c r="U180" s="34">
        <f t="shared" si="113"/>
        <v>0</v>
      </c>
      <c r="V180" s="57">
        <f t="shared" si="114"/>
        <v>62835</v>
      </c>
      <c r="W180" s="16">
        <f t="shared" si="97"/>
        <v>131</v>
      </c>
    </row>
    <row r="181" spans="20:23" x14ac:dyDescent="0.25">
      <c r="T181" s="35">
        <f>SUM(T50:T180)</f>
        <v>46904.480000000003</v>
      </c>
      <c r="U181" s="35">
        <f>SUM(U50:U180)</f>
        <v>111902.63000000002</v>
      </c>
      <c r="V181" s="154">
        <f>XIRR(U48:U180,V48:V180)*12</f>
        <v>0.29868704080581659</v>
      </c>
    </row>
    <row r="182" spans="20:23" x14ac:dyDescent="0.25">
      <c r="U182" s="34"/>
      <c r="V182" s="57"/>
    </row>
    <row r="183" spans="20:23" x14ac:dyDescent="0.25">
      <c r="U183" s="34"/>
      <c r="V183" s="57"/>
    </row>
    <row r="184" spans="20:23" x14ac:dyDescent="0.25">
      <c r="U184" s="34"/>
      <c r="V184" s="57"/>
    </row>
    <row r="185" spans="20:23" x14ac:dyDescent="0.25">
      <c r="U185" s="34"/>
      <c r="V185" s="57"/>
    </row>
  </sheetData>
  <sheetProtection selectLockedCells="1"/>
  <dataConsolidate/>
  <mergeCells count="42">
    <mergeCell ref="A5:D5"/>
    <mergeCell ref="A1:D2"/>
    <mergeCell ref="A3:D3"/>
    <mergeCell ref="E3:R4"/>
    <mergeCell ref="AM3:AX4"/>
    <mergeCell ref="BD3:BJ3"/>
    <mergeCell ref="BM11:BO11"/>
    <mergeCell ref="A6:B6"/>
    <mergeCell ref="BD6:BJ6"/>
    <mergeCell ref="BM6:BO6"/>
    <mergeCell ref="A7:B7"/>
    <mergeCell ref="BD7:BD8"/>
    <mergeCell ref="BE7:BE8"/>
    <mergeCell ref="BH7:BH8"/>
    <mergeCell ref="BI7:BI8"/>
    <mergeCell ref="BJ7:BJ8"/>
    <mergeCell ref="A8:B8"/>
    <mergeCell ref="A9:B9"/>
    <mergeCell ref="A10:B10"/>
    <mergeCell ref="BD10:BD11"/>
    <mergeCell ref="BE10:BE11"/>
    <mergeCell ref="A11:A12"/>
    <mergeCell ref="BM21:BO21"/>
    <mergeCell ref="A22:A27"/>
    <mergeCell ref="A13:D13"/>
    <mergeCell ref="BD13:BD14"/>
    <mergeCell ref="BE13:BE14"/>
    <mergeCell ref="A15:D15"/>
    <mergeCell ref="BM16:BO16"/>
    <mergeCell ref="A17:B17"/>
    <mergeCell ref="BD33:BD35"/>
    <mergeCell ref="A18:B18"/>
    <mergeCell ref="A19:B19"/>
    <mergeCell ref="A20:B20"/>
    <mergeCell ref="A21:B21"/>
    <mergeCell ref="X83:Y83"/>
    <mergeCell ref="X92:Y92"/>
    <mergeCell ref="A28:B28"/>
    <mergeCell ref="A29:B29"/>
    <mergeCell ref="A30:B30"/>
    <mergeCell ref="A31:B31"/>
    <mergeCell ref="A32:B32"/>
  </mergeCells>
  <dataValidations count="4">
    <dataValidation type="list" allowBlank="1" showInputMessage="1" showErrorMessage="1" sqref="D8" xr:uid="{00000000-0002-0000-0400-000000000000}">
      <formula1>$AA$60:$AH$60</formula1>
    </dataValidation>
    <dataValidation type="list" allowBlank="1" showInputMessage="1" showErrorMessage="1" sqref="B33:B35 D22" xr:uid="{00000000-0002-0000-0400-000001000000}">
      <formula1>$Z$30:$AA$30</formula1>
    </dataValidation>
    <dataValidation type="list" allowBlank="1" showInputMessage="1" showErrorMessage="1" sqref="D11" xr:uid="{00000000-0002-0000-0400-000002000000}">
      <formula1>$V$33:$W$33</formula1>
    </dataValidation>
    <dataValidation type="list" allowBlank="1" showInputMessage="1" showErrorMessage="1" sqref="C18:D18" xr:uid="{00000000-0002-0000-0400-000003000000}">
      <formula1>$T$3:$X$3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6" orientation="portrait" r:id="rId1"/>
  <colBreaks count="1" manualBreakCount="1">
    <brk id="4" max="108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V154"/>
  <sheetViews>
    <sheetView showGridLines="0" view="pageBreakPreview" topLeftCell="A8" zoomScale="80" zoomScaleNormal="90" zoomScaleSheetLayoutView="80" workbookViewId="0">
      <selection activeCell="T31" sqref="T31"/>
    </sheetView>
  </sheetViews>
  <sheetFormatPr defaultColWidth="8.6640625" defaultRowHeight="13.2" x14ac:dyDescent="0.25"/>
  <cols>
    <col min="1" max="1" width="38" style="2" customWidth="1"/>
    <col min="2" max="2" width="36.6640625" style="2" customWidth="1"/>
    <col min="3" max="3" width="25.44140625" style="1" customWidth="1"/>
    <col min="4" max="4" width="24.6640625" style="1" customWidth="1"/>
    <col min="5" max="5" width="25" style="1" customWidth="1"/>
    <col min="6" max="6" width="5.44140625" style="1" hidden="1" customWidth="1"/>
    <col min="7" max="7" width="7.6640625" style="1" customWidth="1"/>
    <col min="8" max="9" width="10.6640625" style="1" customWidth="1"/>
    <col min="10" max="10" width="16.33203125" style="1" hidden="1" customWidth="1"/>
    <col min="11" max="11" width="15.44140625" style="1" customWidth="1"/>
    <col min="12" max="12" width="14" style="2" customWidth="1"/>
    <col min="13" max="13" width="14.109375" style="1" customWidth="1"/>
    <col min="14" max="16" width="15" style="3" hidden="1" customWidth="1"/>
    <col min="17" max="17" width="17.109375" style="3" hidden="1" customWidth="1"/>
    <col min="18" max="18" width="15" style="3" hidden="1" customWidth="1"/>
    <col min="19" max="19" width="16.6640625" style="2" customWidth="1"/>
    <col min="20" max="20" width="16.44140625" style="2" customWidth="1"/>
    <col min="21" max="21" width="11.109375" style="2" hidden="1" customWidth="1"/>
    <col min="22" max="23" width="11.44140625" style="44" hidden="1" customWidth="1"/>
    <col min="24" max="24" width="17.6640625" style="2" hidden="1" customWidth="1"/>
    <col min="25" max="25" width="18.33203125" style="2" hidden="1" customWidth="1"/>
    <col min="26" max="26" width="13.109375" style="2" hidden="1" customWidth="1"/>
    <col min="27" max="27" width="20" style="2" hidden="1" customWidth="1"/>
    <col min="28" max="28" width="19.6640625" style="2" hidden="1" customWidth="1"/>
    <col min="29" max="29" width="20.88671875" style="2" hidden="1" customWidth="1"/>
    <col min="30" max="30" width="33.6640625" style="2" hidden="1" customWidth="1"/>
    <col min="31" max="31" width="19" style="2" hidden="1" customWidth="1"/>
    <col min="32" max="32" width="32.44140625" style="3" hidden="1" customWidth="1"/>
    <col min="33" max="33" width="31.109375" style="3" hidden="1" customWidth="1"/>
    <col min="34" max="34" width="14.44140625" style="3" hidden="1" customWidth="1"/>
    <col min="35" max="35" width="17" style="3" hidden="1" customWidth="1"/>
    <col min="36" max="36" width="13.44140625" style="2" hidden="1" customWidth="1"/>
    <col min="37" max="37" width="14.44140625" style="2" hidden="1" customWidth="1"/>
    <col min="38" max="38" width="14.44140625" style="57" hidden="1" customWidth="1"/>
    <col min="39" max="42" width="14.44140625" style="2" hidden="1" customWidth="1"/>
    <col min="43" max="43" width="7.6640625" style="2" customWidth="1"/>
    <col min="44" max="44" width="10.6640625" style="2" customWidth="1"/>
    <col min="45" max="45" width="11.5546875" style="2" customWidth="1"/>
    <col min="46" max="46" width="14.33203125" style="2" hidden="1" customWidth="1"/>
    <col min="47" max="47" width="19.5546875" style="2" customWidth="1"/>
    <col min="48" max="48" width="13.6640625" style="2" customWidth="1"/>
    <col min="49" max="49" width="15.6640625" style="2" customWidth="1"/>
    <col min="50" max="50" width="12" style="2" hidden="1" customWidth="1"/>
    <col min="51" max="52" width="13.6640625" style="2" hidden="1" customWidth="1"/>
    <col min="53" max="53" width="10.6640625" style="2" hidden="1" customWidth="1"/>
    <col min="54" max="59" width="8.6640625" style="2" hidden="1" customWidth="1"/>
    <col min="60" max="60" width="14" style="2" customWidth="1"/>
    <col min="61" max="61" width="8.6640625" style="2" customWidth="1"/>
    <col min="62" max="62" width="0.5546875" style="2" customWidth="1"/>
    <col min="63" max="63" width="1.33203125" style="1" customWidth="1"/>
    <col min="64" max="65" width="1.109375" style="2" customWidth="1"/>
    <col min="66" max="66" width="2.109375" style="2" customWidth="1"/>
    <col min="67" max="67" width="24.109375" style="2" customWidth="1"/>
    <col min="68" max="68" width="3.6640625" style="2" customWidth="1"/>
    <col min="69" max="69" width="41.44140625" style="2" customWidth="1"/>
    <col min="70" max="70" width="4.44140625" style="2" customWidth="1"/>
    <col min="71" max="71" width="18" style="2" customWidth="1"/>
    <col min="72" max="72" width="4.6640625" style="2" customWidth="1"/>
    <col min="73" max="73" width="7.6640625" style="2" customWidth="1"/>
    <col min="74" max="77" width="8.6640625" style="2" customWidth="1"/>
    <col min="78" max="78" width="15.44140625" style="2" customWidth="1"/>
    <col min="79" max="79" width="30.88671875" style="2" customWidth="1"/>
    <col min="80" max="85" width="8.6640625" style="2" customWidth="1"/>
    <col min="86" max="16384" width="8.6640625" style="2"/>
  </cols>
  <sheetData>
    <row r="1" spans="1:79" ht="12.75" customHeight="1" x14ac:dyDescent="0.4">
      <c r="A1" s="855" t="s">
        <v>478</v>
      </c>
      <c r="B1" s="856"/>
      <c r="C1" s="856"/>
      <c r="D1" s="856"/>
      <c r="E1" s="857"/>
      <c r="F1" s="227"/>
      <c r="G1" s="2"/>
      <c r="H1" s="2"/>
      <c r="I1" s="2"/>
      <c r="J1" s="2"/>
      <c r="K1" s="2"/>
      <c r="M1" s="2"/>
      <c r="N1" s="2"/>
      <c r="O1" s="2"/>
      <c r="P1" s="2"/>
      <c r="Q1" s="2"/>
      <c r="R1" s="2"/>
      <c r="V1" s="2"/>
      <c r="W1" s="2"/>
      <c r="AF1" s="2"/>
      <c r="AG1" s="2"/>
      <c r="AH1" s="2"/>
      <c r="AI1" s="2"/>
      <c r="AL1" s="62" t="s">
        <v>52</v>
      </c>
      <c r="AM1" s="86" t="str">
        <f>IF($C$12=$AH$3,$AH$4,IF($C$12=$AI$3,$AI$4,IF($C$12=$AJ$3,$AJ$4,IF($C$12=$AK$3,$AK$4,IF($C$12=$AL$3,$AL$4,IF($C$12=$AM$3,$AM$4,""))))))</f>
        <v/>
      </c>
      <c r="AO1" s="65"/>
      <c r="BK1" s="2"/>
    </row>
    <row r="2" spans="1:79" ht="34.950000000000003" customHeight="1" x14ac:dyDescent="0.4">
      <c r="A2" s="872"/>
      <c r="B2" s="873"/>
      <c r="C2" s="873"/>
      <c r="D2" s="873"/>
      <c r="E2" s="874"/>
      <c r="F2" s="227"/>
      <c r="G2" s="2"/>
      <c r="H2" s="2"/>
      <c r="I2" s="2"/>
      <c r="J2" s="2"/>
      <c r="K2" s="2"/>
      <c r="M2" s="2"/>
      <c r="N2" s="2"/>
      <c r="O2" s="2"/>
      <c r="P2" s="2"/>
      <c r="Q2" s="2"/>
      <c r="R2" s="2"/>
      <c r="V2" s="2"/>
      <c r="W2" s="2"/>
      <c r="AF2" s="2" t="s">
        <v>47</v>
      </c>
      <c r="AG2" s="2"/>
      <c r="AH2" s="2"/>
      <c r="AI2" s="2"/>
      <c r="BK2" s="2"/>
    </row>
    <row r="3" spans="1:79" ht="25.95" customHeight="1" x14ac:dyDescent="0.3">
      <c r="A3" s="864" t="s">
        <v>196</v>
      </c>
      <c r="B3" s="865"/>
      <c r="C3" s="865"/>
      <c r="D3" s="865"/>
      <c r="E3" s="866"/>
      <c r="F3" s="696"/>
      <c r="G3" s="875" t="str">
        <f>CONCATENATE("ГРАФИК ПЛАТЕЖЕЙ - ТАРИФ АВТОМОБИЛЬНЫЙ",IF(C16="Да"," + ГАРАНТИРОВАННАЯ СТАВКА",""))</f>
        <v>ГРАФИК ПЛАТЕЖЕЙ - ТАРИФ АВТОМОБИЛЬНЫЙ + ГАРАНТИРОВАННАЯ СТАВКА</v>
      </c>
      <c r="H3" s="875"/>
      <c r="I3" s="875"/>
      <c r="J3" s="875"/>
      <c r="K3" s="875"/>
      <c r="L3" s="875"/>
      <c r="M3" s="875"/>
      <c r="N3" s="875"/>
      <c r="O3" s="875"/>
      <c r="P3" s="875"/>
      <c r="Q3" s="875"/>
      <c r="R3" s="875"/>
      <c r="S3" s="875"/>
      <c r="T3" s="875"/>
      <c r="U3" s="875"/>
      <c r="V3" s="146"/>
      <c r="W3" s="146"/>
      <c r="X3" s="63" t="s">
        <v>33</v>
      </c>
      <c r="Y3" s="63" t="s">
        <v>159</v>
      </c>
      <c r="Z3" s="63" t="s">
        <v>72</v>
      </c>
      <c r="AA3" s="63" t="s">
        <v>73</v>
      </c>
      <c r="AB3" s="63" t="s">
        <v>74</v>
      </c>
      <c r="AC3" s="63" t="s">
        <v>375</v>
      </c>
      <c r="AD3" s="63" t="s">
        <v>159</v>
      </c>
      <c r="AE3" s="63"/>
      <c r="AF3" s="63"/>
      <c r="AG3" s="63"/>
      <c r="AH3" s="87"/>
      <c r="AI3" s="87"/>
      <c r="AJ3" s="87"/>
      <c r="AK3" s="87"/>
      <c r="AL3" s="87"/>
      <c r="AM3" s="87"/>
      <c r="AN3" s="63"/>
      <c r="AO3" s="63"/>
      <c r="AP3" s="63"/>
      <c r="AQ3" s="875" t="s">
        <v>494</v>
      </c>
      <c r="AR3" s="875"/>
      <c r="AS3" s="875"/>
      <c r="AT3" s="875"/>
      <c r="AU3" s="875"/>
      <c r="AV3" s="875"/>
      <c r="AW3" s="875"/>
      <c r="AX3" s="875"/>
      <c r="AY3" s="875"/>
      <c r="AZ3" s="875"/>
      <c r="BA3" s="875"/>
      <c r="BB3" s="875"/>
      <c r="BC3" s="875"/>
      <c r="BD3" s="875"/>
      <c r="BE3" s="875"/>
      <c r="BF3" s="875"/>
      <c r="BG3" s="875"/>
      <c r="BH3" s="875"/>
      <c r="BI3" s="875"/>
      <c r="BJ3" s="102"/>
      <c r="BK3" s="102"/>
      <c r="BL3" s="102"/>
      <c r="BO3" s="826" t="s">
        <v>94</v>
      </c>
      <c r="BP3" s="826"/>
      <c r="BQ3" s="826"/>
      <c r="BR3" s="826"/>
      <c r="BS3" s="826"/>
      <c r="BT3" s="826"/>
      <c r="BU3" s="826"/>
    </row>
    <row r="4" spans="1:79" ht="13.5" hidden="1" customHeight="1" x14ac:dyDescent="0.2">
      <c r="A4" s="187"/>
      <c r="B4" s="185"/>
      <c r="C4" s="521"/>
      <c r="D4" s="185"/>
      <c r="E4" s="188"/>
      <c r="F4" s="228"/>
      <c r="G4" s="875"/>
      <c r="H4" s="875"/>
      <c r="I4" s="875"/>
      <c r="J4" s="875"/>
      <c r="K4" s="875"/>
      <c r="L4" s="875"/>
      <c r="M4" s="875"/>
      <c r="N4" s="875"/>
      <c r="O4" s="875"/>
      <c r="P4" s="875"/>
      <c r="Q4" s="875"/>
      <c r="R4" s="875"/>
      <c r="S4" s="875"/>
      <c r="T4" s="875"/>
      <c r="U4" s="875"/>
      <c r="V4" s="146"/>
      <c r="W4" s="146"/>
      <c r="X4" s="15">
        <v>0.29899999999999999</v>
      </c>
      <c r="Y4" s="15">
        <v>0.29899999999999999</v>
      </c>
      <c r="Z4" s="15">
        <v>0.29899999999999999</v>
      </c>
      <c r="AA4" s="15">
        <v>0.29899999999999999</v>
      </c>
      <c r="AB4" s="15">
        <v>0.29899999999999999</v>
      </c>
      <c r="AC4" s="15">
        <v>0.16900000000000001</v>
      </c>
      <c r="AD4" s="63" t="s">
        <v>72</v>
      </c>
      <c r="AE4" s="147"/>
      <c r="AF4" s="147"/>
      <c r="AG4" s="147"/>
      <c r="AH4" s="148"/>
      <c r="AI4" s="148"/>
      <c r="AJ4" s="148"/>
      <c r="AK4" s="148"/>
      <c r="AL4" s="148"/>
      <c r="AM4" s="148"/>
      <c r="AN4" s="147"/>
      <c r="AO4" s="147"/>
      <c r="AP4" s="147"/>
      <c r="AQ4" s="875"/>
      <c r="AR4" s="875"/>
      <c r="AS4" s="875"/>
      <c r="AT4" s="875"/>
      <c r="AU4" s="875"/>
      <c r="AV4" s="875"/>
      <c r="AW4" s="875"/>
      <c r="AX4" s="875"/>
      <c r="AY4" s="875"/>
      <c r="AZ4" s="875"/>
      <c r="BA4" s="875"/>
      <c r="BB4" s="875"/>
      <c r="BC4" s="875"/>
      <c r="BD4" s="875"/>
      <c r="BE4" s="875"/>
      <c r="BF4" s="875"/>
      <c r="BG4" s="875"/>
      <c r="BH4" s="875"/>
      <c r="BI4" s="875"/>
      <c r="BJ4" s="102"/>
      <c r="BK4" s="102"/>
      <c r="BL4" s="102"/>
      <c r="BM4" s="57"/>
    </row>
    <row r="5" spans="1:79" ht="13.5" hidden="1" customHeight="1" x14ac:dyDescent="0.2">
      <c r="A5" s="869"/>
      <c r="B5" s="870"/>
      <c r="C5" s="870"/>
      <c r="D5" s="870"/>
      <c r="E5" s="871"/>
      <c r="F5" s="229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49"/>
      <c r="W5" s="49"/>
      <c r="X5" s="15">
        <v>0.129</v>
      </c>
      <c r="Y5" s="15">
        <v>0.129</v>
      </c>
      <c r="Z5" s="15">
        <v>0.129</v>
      </c>
      <c r="AA5" s="15">
        <v>0.129</v>
      </c>
      <c r="AB5" s="15">
        <v>0.129</v>
      </c>
      <c r="AC5" s="15">
        <v>0.19900000000000001</v>
      </c>
      <c r="AD5" s="63" t="s">
        <v>73</v>
      </c>
      <c r="AE5" s="147"/>
      <c r="AF5" s="147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2"/>
      <c r="BK5" s="688"/>
      <c r="BL5" s="102"/>
      <c r="BM5" s="57"/>
    </row>
    <row r="6" spans="1:79" ht="25.95" customHeight="1" thickBot="1" x14ac:dyDescent="0.3">
      <c r="A6" s="839" t="s">
        <v>164</v>
      </c>
      <c r="B6" s="839"/>
      <c r="C6" s="839" t="s">
        <v>165</v>
      </c>
      <c r="D6" s="839"/>
      <c r="E6" s="189" t="s">
        <v>166</v>
      </c>
      <c r="F6" s="230"/>
      <c r="G6" s="825" t="s">
        <v>148</v>
      </c>
      <c r="H6" s="825" t="s">
        <v>187</v>
      </c>
      <c r="I6" s="825" t="s">
        <v>188</v>
      </c>
      <c r="J6" s="238"/>
      <c r="K6" s="825" t="s">
        <v>194</v>
      </c>
      <c r="L6" s="825" t="s">
        <v>191</v>
      </c>
      <c r="M6" s="825" t="s">
        <v>192</v>
      </c>
      <c r="N6" s="238"/>
      <c r="O6" s="238"/>
      <c r="P6" s="238"/>
      <c r="Q6" s="238"/>
      <c r="R6" s="238"/>
      <c r="S6" s="825" t="s">
        <v>193</v>
      </c>
      <c r="T6" s="825" t="s">
        <v>473</v>
      </c>
      <c r="U6" s="195"/>
      <c r="V6" s="49"/>
      <c r="W6" s="49"/>
      <c r="X6" s="15">
        <v>0.13900000000000001</v>
      </c>
      <c r="Y6" s="15">
        <v>0.13900000000000001</v>
      </c>
      <c r="Z6" s="15">
        <v>0.13900000000000001</v>
      </c>
      <c r="AA6" s="15">
        <v>0.13900000000000001</v>
      </c>
      <c r="AB6" s="15">
        <v>0.13900000000000001</v>
      </c>
      <c r="AC6" s="15">
        <v>0.17899999999999999</v>
      </c>
      <c r="AD6" s="63" t="s">
        <v>74</v>
      </c>
      <c r="AE6" s="147"/>
      <c r="AF6" s="147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878" t="s">
        <v>148</v>
      </c>
      <c r="AR6" s="878" t="s">
        <v>187</v>
      </c>
      <c r="AS6" s="878" t="s">
        <v>188</v>
      </c>
      <c r="AT6" s="543"/>
      <c r="AU6" s="878" t="s">
        <v>194</v>
      </c>
      <c r="AV6" s="878" t="s">
        <v>191</v>
      </c>
      <c r="AW6" s="878" t="s">
        <v>192</v>
      </c>
      <c r="AX6" s="528"/>
      <c r="AY6" s="528"/>
      <c r="AZ6" s="528"/>
      <c r="BA6" s="528"/>
      <c r="BB6" s="528"/>
      <c r="BC6" s="528"/>
      <c r="BD6" s="528"/>
      <c r="BE6" s="528"/>
      <c r="BF6" s="528"/>
      <c r="BG6" s="528"/>
      <c r="BH6" s="878" t="s">
        <v>193</v>
      </c>
      <c r="BI6" s="103"/>
      <c r="BJ6" s="102"/>
      <c r="BK6" s="688"/>
      <c r="BL6" s="102"/>
      <c r="BM6" s="57"/>
      <c r="BO6" s="827" t="s">
        <v>95</v>
      </c>
      <c r="BP6" s="827"/>
      <c r="BQ6" s="827"/>
      <c r="BR6" s="827"/>
      <c r="BS6" s="827"/>
      <c r="BT6" s="827"/>
      <c r="BU6" s="827"/>
    </row>
    <row r="7" spans="1:79" ht="28.5" customHeight="1" x14ac:dyDescent="0.6">
      <c r="A7" s="841" t="s">
        <v>200</v>
      </c>
      <c r="B7" s="841"/>
      <c r="C7" s="804">
        <v>300000</v>
      </c>
      <c r="D7" s="804"/>
      <c r="E7" s="510"/>
      <c r="F7" s="231"/>
      <c r="G7" s="825"/>
      <c r="H7" s="825"/>
      <c r="I7" s="825"/>
      <c r="J7" s="570" t="s">
        <v>189</v>
      </c>
      <c r="K7" s="825"/>
      <c r="L7" s="825"/>
      <c r="M7" s="825"/>
      <c r="N7" s="237" t="s">
        <v>36</v>
      </c>
      <c r="O7" s="237" t="s">
        <v>39</v>
      </c>
      <c r="P7" s="237" t="s">
        <v>38</v>
      </c>
      <c r="Q7" s="570" t="s">
        <v>195</v>
      </c>
      <c r="R7" s="689" t="s">
        <v>40</v>
      </c>
      <c r="S7" s="825"/>
      <c r="T7" s="825"/>
      <c r="U7" s="196" t="s">
        <v>32</v>
      </c>
      <c r="V7" s="150" t="s">
        <v>31</v>
      </c>
      <c r="W7" s="150" t="s">
        <v>472</v>
      </c>
      <c r="X7" s="15">
        <v>0.14899999999999999</v>
      </c>
      <c r="Y7" s="15">
        <v>0.14899999999999999</v>
      </c>
      <c r="Z7" s="15">
        <v>0.14899999999999999</v>
      </c>
      <c r="AA7" s="15">
        <v>0.14899999999999999</v>
      </c>
      <c r="AB7" s="15">
        <v>0.14899999999999999</v>
      </c>
      <c r="AC7" s="15">
        <v>0.20899999999999999</v>
      </c>
      <c r="AD7" s="101"/>
      <c r="AE7" s="147"/>
      <c r="AF7" s="147"/>
      <c r="AG7" s="101"/>
      <c r="AH7" s="101"/>
      <c r="AI7" s="101"/>
      <c r="AJ7" s="101"/>
      <c r="AK7" s="101"/>
      <c r="AL7" s="101"/>
      <c r="AM7" s="101"/>
      <c r="AN7" s="101"/>
      <c r="AO7" s="101"/>
      <c r="AP7" s="151">
        <f>SUM(AP9:AP108)</f>
        <v>36</v>
      </c>
      <c r="AQ7" s="878"/>
      <c r="AR7" s="878"/>
      <c r="AS7" s="878"/>
      <c r="AT7" s="692" t="s">
        <v>156</v>
      </c>
      <c r="AU7" s="878"/>
      <c r="AV7" s="878"/>
      <c r="AW7" s="878"/>
      <c r="AX7" s="697" t="s">
        <v>36</v>
      </c>
      <c r="AY7" s="697" t="s">
        <v>39</v>
      </c>
      <c r="AZ7" s="697" t="s">
        <v>38</v>
      </c>
      <c r="BA7" s="697" t="s">
        <v>158</v>
      </c>
      <c r="BB7" s="697" t="s">
        <v>40</v>
      </c>
      <c r="BC7" s="697"/>
      <c r="BD7" s="697"/>
      <c r="BE7" s="697"/>
      <c r="BF7" s="697"/>
      <c r="BG7" s="697"/>
      <c r="BH7" s="878"/>
      <c r="BI7" s="163" t="s">
        <v>32</v>
      </c>
      <c r="BJ7" s="104" t="s">
        <v>31</v>
      </c>
      <c r="BK7" s="153">
        <f>BK8</f>
        <v>45315</v>
      </c>
      <c r="BL7" s="108">
        <f>K8</f>
        <v>-351979</v>
      </c>
      <c r="BM7" s="61"/>
      <c r="BO7" s="830" t="s">
        <v>84</v>
      </c>
      <c r="BP7" s="828" t="s">
        <v>85</v>
      </c>
      <c r="BQ7" s="127" t="s">
        <v>86</v>
      </c>
      <c r="BR7" s="124" t="s">
        <v>88</v>
      </c>
      <c r="BS7" s="834" t="s">
        <v>9</v>
      </c>
      <c r="BT7" s="836" t="s">
        <v>89</v>
      </c>
      <c r="BU7" s="832">
        <v>1</v>
      </c>
      <c r="BZ7" s="2" t="s">
        <v>461</v>
      </c>
    </row>
    <row r="8" spans="1:79" ht="18" customHeight="1" thickBot="1" x14ac:dyDescent="0.65">
      <c r="A8" s="877" t="s">
        <v>495</v>
      </c>
      <c r="B8" s="841"/>
      <c r="C8" s="502" t="s">
        <v>486</v>
      </c>
      <c r="D8" s="215" t="s">
        <v>29</v>
      </c>
      <c r="E8" s="510"/>
      <c r="F8" s="231"/>
      <c r="G8" s="253"/>
      <c r="H8" s="240">
        <f>C9</f>
        <v>45315</v>
      </c>
      <c r="I8" s="240"/>
      <c r="J8" s="240"/>
      <c r="K8" s="241">
        <f>-C23</f>
        <v>-351979</v>
      </c>
      <c r="L8" s="242"/>
      <c r="M8" s="243"/>
      <c r="N8" s="243"/>
      <c r="O8" s="243"/>
      <c r="P8" s="243"/>
      <c r="Q8" s="243"/>
      <c r="R8" s="243"/>
      <c r="S8" s="239">
        <f>C23</f>
        <v>351979</v>
      </c>
      <c r="T8" s="466"/>
      <c r="U8" s="197"/>
      <c r="V8" s="36"/>
      <c r="W8" s="36"/>
      <c r="X8" s="15">
        <v>0.159</v>
      </c>
      <c r="Y8" s="15">
        <v>0.159</v>
      </c>
      <c r="Z8" s="15">
        <v>0.159</v>
      </c>
      <c r="AA8" s="15">
        <v>0.159</v>
      </c>
      <c r="AB8" s="15">
        <v>0.159</v>
      </c>
      <c r="AC8" s="15">
        <v>0.22900000000000001</v>
      </c>
      <c r="AD8" s="15"/>
      <c r="AE8" s="147">
        <f>IF(OR($C$8="Гарантия стандарт",$C$8="Гарантия пакет"),AC5,X4)</f>
        <v>0.29899999999999999</v>
      </c>
      <c r="AF8" s="147">
        <f>IF(OR($D$8="Гарантия стандарт",$D$8="Гарантия пакет"),AC5,X4)</f>
        <v>0.29899999999999999</v>
      </c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548"/>
      <c r="AR8" s="549">
        <f>C9</f>
        <v>45315</v>
      </c>
      <c r="AS8" s="549"/>
      <c r="AT8" s="549"/>
      <c r="AU8" s="550">
        <f>-D23</f>
        <v>-303499</v>
      </c>
      <c r="AV8" s="546"/>
      <c r="AW8" s="551"/>
      <c r="AX8" s="551"/>
      <c r="AY8" s="551"/>
      <c r="AZ8" s="551"/>
      <c r="BA8" s="551"/>
      <c r="BB8" s="551"/>
      <c r="BC8" s="551"/>
      <c r="BD8" s="551"/>
      <c r="BE8" s="551"/>
      <c r="BF8" s="551"/>
      <c r="BG8" s="551"/>
      <c r="BH8" s="552">
        <f>D23</f>
        <v>303499</v>
      </c>
      <c r="BI8" s="106"/>
      <c r="BJ8" s="108"/>
      <c r="BK8" s="22">
        <f>H8</f>
        <v>45315</v>
      </c>
      <c r="BL8" s="104">
        <f>$C$25</f>
        <v>33479.999999999993</v>
      </c>
      <c r="BO8" s="831"/>
      <c r="BP8" s="829"/>
      <c r="BQ8" s="691" t="s">
        <v>87</v>
      </c>
      <c r="BR8" s="126" t="s">
        <v>88</v>
      </c>
      <c r="BS8" s="835"/>
      <c r="BT8" s="837"/>
      <c r="BU8" s="833"/>
      <c r="BZ8" s="653" t="s">
        <v>462</v>
      </c>
      <c r="CA8" s="654" t="s">
        <v>360</v>
      </c>
    </row>
    <row r="9" spans="1:79" ht="16.95" customHeight="1" thickBot="1" x14ac:dyDescent="0.3">
      <c r="A9" s="841" t="s">
        <v>199</v>
      </c>
      <c r="B9" s="841"/>
      <c r="C9" s="842">
        <v>45315</v>
      </c>
      <c r="D9" s="842"/>
      <c r="E9" s="510"/>
      <c r="F9" s="231"/>
      <c r="G9" s="244">
        <f>1</f>
        <v>1</v>
      </c>
      <c r="H9" s="245">
        <f>IF((OR(DAY($AE$54)=29,DAY($AE$54)=30,DAY($AE$54)=31)),(EDATE($C$9-3,G9)),EDATE($C$9,G9))</f>
        <v>45346</v>
      </c>
      <c r="I9" s="246">
        <f>IF(AND($X$11=1,G9&gt;=$X$11,),0%,$C$13)</f>
        <v>0.21900000000000003</v>
      </c>
      <c r="J9" s="242">
        <f t="shared" ref="J9:J73" si="0">K9+Q9</f>
        <v>13038</v>
      </c>
      <c r="K9" s="242">
        <f>C24</f>
        <v>13038</v>
      </c>
      <c r="L9" s="242">
        <f>S8*($C$13/(DATE(YEAR(H8)+1,1,1)-DATE(YEAR(H8),1,1))*(H9-H8))</f>
        <v>6528.9219426229511</v>
      </c>
      <c r="M9" s="242">
        <f>K9-L9</f>
        <v>6509.0780573770489</v>
      </c>
      <c r="N9" s="242">
        <f t="shared" ref="N9:N72" si="1">IF(P9-Q9&gt;$C$24,$C$24-L9,IF(V9=0,0,R9)+$AJ$51)</f>
        <v>0</v>
      </c>
      <c r="O9" s="242">
        <v>0</v>
      </c>
      <c r="P9" s="242">
        <f>L9+Q9</f>
        <v>6528.9219426229511</v>
      </c>
      <c r="Q9" s="242">
        <f t="shared" ref="Q9:Q72" si="2">IF(V9=0,0,0)</f>
        <v>0</v>
      </c>
      <c r="R9" s="242">
        <f>IF(V9=0,0,0)</f>
        <v>0</v>
      </c>
      <c r="S9" s="242">
        <f>S8-M9-T9</f>
        <v>345469.92194262292</v>
      </c>
      <c r="T9" s="467"/>
      <c r="U9" s="198">
        <f>C10</f>
        <v>36</v>
      </c>
      <c r="V9" s="36">
        <f>U9</f>
        <v>36</v>
      </c>
      <c r="W9" s="36">
        <f>IF(G9=$C$10,T9,0)</f>
        <v>0</v>
      </c>
      <c r="X9" s="15">
        <v>0.19900000000000001</v>
      </c>
      <c r="Y9" s="15">
        <v>0.19900000000000001</v>
      </c>
      <c r="Z9" s="15">
        <v>0.19900000000000001</v>
      </c>
      <c r="AA9" s="15">
        <v>0.19900000000000001</v>
      </c>
      <c r="AB9" s="15">
        <v>0.19900000000000001</v>
      </c>
      <c r="AC9" s="15">
        <v>0.25900000000000001</v>
      </c>
      <c r="AD9" s="132"/>
      <c r="AE9" s="147">
        <f>IF(OR($C$8="Гарантия стандарт",$C$8="Гарантия пакет"),AC6,X5)</f>
        <v>0.129</v>
      </c>
      <c r="AF9" s="147">
        <f>IF(OR($D$8="Гарантия стандарт",$D$8="Гарантия пакет"),AC6,X5)</f>
        <v>0.129</v>
      </c>
      <c r="AG9" s="15"/>
      <c r="AH9" s="15"/>
      <c r="AI9" s="15"/>
      <c r="AJ9" s="15"/>
      <c r="AK9" s="15"/>
      <c r="AL9" s="15"/>
      <c r="AM9" s="15"/>
      <c r="AN9" s="15"/>
      <c r="AO9" s="15"/>
      <c r="AP9" s="130">
        <f>IF(OR(AU9="",AU9=0),0,1)</f>
        <v>1</v>
      </c>
      <c r="AQ9" s="553">
        <f>1</f>
        <v>1</v>
      </c>
      <c r="AR9" s="554">
        <f>IF((OR(DAY($AE$54)=29,DAY($AE$54)=30,DAY($AE$54)=31)),(EDATE($C$9-3,AQ9)),EDATE($C$9,AQ9))</f>
        <v>45346</v>
      </c>
      <c r="AS9" s="555">
        <f t="shared" ref="AS9:AS14" si="3">$D$13</f>
        <v>0.27900000000000003</v>
      </c>
      <c r="AT9" s="546">
        <f>AU9+BA9</f>
        <v>12601</v>
      </c>
      <c r="AU9" s="546">
        <f>'КЭШ, Реф (БВ_АВТО_Базовый)'!C29</f>
        <v>12601</v>
      </c>
      <c r="AV9" s="546">
        <f>BH8*($D$13/365*(AR9-AR8))</f>
        <v>7191.6790438356174</v>
      </c>
      <c r="AW9" s="546">
        <f>IF(BJ9=0,0,IF(BJ9=1,BH8,IF(BH8+AX9+AV9&gt;AU8,AU9-AV9-AX9,BH8)))</f>
        <v>5409.3209561643826</v>
      </c>
      <c r="AX9" s="546">
        <f t="shared" ref="AX9:AX72" si="4">IF(AZ9-BA9&gt;$D$24,$D$24-AV9,IF(BJ9=0,0,BB9)+BY57)</f>
        <v>0</v>
      </c>
      <c r="AY9" s="546"/>
      <c r="AZ9" s="546">
        <f>AV9+BA9</f>
        <v>7191.6790438356174</v>
      </c>
      <c r="BA9" s="546">
        <f t="shared" ref="BA9:BA20" si="5">IF($D$16="Нет",0,IF($D$17="Серебряный",1800,IF($D$17="Золотой",2500,IF($D$17="Платиновый",3500,""))))</f>
        <v>0</v>
      </c>
      <c r="BB9" s="546">
        <f>IF(BJ9=0,0,0)</f>
        <v>0</v>
      </c>
      <c r="BC9" s="546"/>
      <c r="BD9" s="546"/>
      <c r="BE9" s="546"/>
      <c r="BF9" s="546"/>
      <c r="BG9" s="546"/>
      <c r="BH9" s="546">
        <f>IF(OR(BJ9=1,BH8=0),0,BH8-AW9)</f>
        <v>298089.67904383561</v>
      </c>
      <c r="BI9" s="108">
        <f>C10</f>
        <v>36</v>
      </c>
      <c r="BJ9" s="108">
        <f>BI9</f>
        <v>36</v>
      </c>
      <c r="BK9" s="22">
        <f>H9</f>
        <v>45346</v>
      </c>
      <c r="BL9" s="108">
        <f t="shared" ref="BL9:BL72" si="6">K9</f>
        <v>13038</v>
      </c>
      <c r="BN9" s="682"/>
      <c r="BZ9" s="655"/>
      <c r="CA9" s="145" t="s">
        <v>491</v>
      </c>
    </row>
    <row r="10" spans="1:79" ht="18" customHeight="1" x14ac:dyDescent="0.25">
      <c r="A10" s="846" t="s">
        <v>198</v>
      </c>
      <c r="B10" s="846"/>
      <c r="C10" s="805">
        <v>36</v>
      </c>
      <c r="D10" s="805"/>
      <c r="E10" s="510"/>
      <c r="F10" s="231"/>
      <c r="G10" s="244">
        <f>G9+1</f>
        <v>2</v>
      </c>
      <c r="H10" s="245">
        <f t="shared" ref="H10:H73" si="7">IF((OR(DAY($AE$54)=29,DAY($AE$54)=30,DAY($AE$54)=31)),(EDATE($C$9-3,G10)),EDATE($C$9,G10))</f>
        <v>45375</v>
      </c>
      <c r="I10" s="246">
        <f t="shared" ref="I10:I73" si="8">IF(AND($X$11=1,G10&gt;=$X$11,),0%,$C$13)</f>
        <v>0.21900000000000003</v>
      </c>
      <c r="J10" s="242">
        <f t="shared" si="0"/>
        <v>13038</v>
      </c>
      <c r="K10" s="242">
        <f>IF(G10&gt;$C$10,0,IF((S9+L10)&lt;K9,(S9+L10),IF(T9=0,K9,MIN(K9,ROUNDUP(S9*$C$13/12/((1-(1+$C$13/12)^(0-($C$10-G10)))),0)))))</f>
        <v>13038</v>
      </c>
      <c r="L10" s="242">
        <f t="shared" ref="L10:L73" si="9">S9*($C$13/(DATE(YEAR(H9)+1,1,1)-DATE(YEAR(H9),1,1))*(H10-H9))</f>
        <v>5994.7526619060063</v>
      </c>
      <c r="M10" s="242">
        <f>IF(S9=0,0,IF(S9+L10&gt;K9,K10-L10,S9))</f>
        <v>7043.2473380939937</v>
      </c>
      <c r="N10" s="242">
        <f t="shared" si="1"/>
        <v>0</v>
      </c>
      <c r="O10" s="242">
        <v>0</v>
      </c>
      <c r="P10" s="242">
        <f>L10+Q10</f>
        <v>5994.7526619060063</v>
      </c>
      <c r="Q10" s="242">
        <f t="shared" si="2"/>
        <v>0</v>
      </c>
      <c r="R10" s="242">
        <f t="shared" ref="R10:R73" si="10">IF(V10=0,0,0)</f>
        <v>0</v>
      </c>
      <c r="S10" s="242">
        <f t="shared" ref="S10:S73" si="11">S9-M10-T10</f>
        <v>338426.67460452893</v>
      </c>
      <c r="T10" s="467"/>
      <c r="U10" s="198">
        <f>IF((U9-1)&lt;0,0,U9-1)</f>
        <v>35</v>
      </c>
      <c r="V10" s="36">
        <f t="shared" ref="V10:V73" si="12">U10</f>
        <v>35</v>
      </c>
      <c r="W10" s="36">
        <f t="shared" ref="W10:W73" si="13">IF(G10=$C$10,T10,0)</f>
        <v>0</v>
      </c>
      <c r="X10" s="54">
        <f>ROUND(S8*0%,-2)</f>
        <v>0</v>
      </c>
      <c r="Y10" s="54">
        <f>ROUND(S8*0.5%,0)</f>
        <v>1760</v>
      </c>
      <c r="Z10" s="15"/>
      <c r="AA10" s="15"/>
      <c r="AB10" s="15"/>
      <c r="AC10" s="15"/>
      <c r="AD10" s="15"/>
      <c r="AE10" s="147">
        <f>IF(OR($C$8="Гарантия стандарт",$C$8="Гарантия пакет"),AC7,X6)</f>
        <v>0.13900000000000001</v>
      </c>
      <c r="AF10" s="147">
        <f>IF(OR($D$8="Гарантия стандарт",$D$8="Гарантия пакет"),AC7,X6)</f>
        <v>0.13900000000000001</v>
      </c>
      <c r="AG10" s="15"/>
      <c r="AH10" s="15"/>
      <c r="AI10" s="15"/>
      <c r="AJ10" s="15"/>
      <c r="AK10" s="15"/>
      <c r="AL10" s="15"/>
      <c r="AM10" s="15"/>
      <c r="AN10" s="15"/>
      <c r="AO10" s="15"/>
      <c r="AP10" s="130">
        <f t="shared" ref="AP10:AP73" si="14">IF(OR(AU10="",AU10=0),0,1)</f>
        <v>1</v>
      </c>
      <c r="AQ10" s="553">
        <f>AQ9+1</f>
        <v>2</v>
      </c>
      <c r="AR10" s="554">
        <f t="shared" ref="AR10:AR73" si="15">IF((OR(DAY($AE$54)=29,DAY($AE$54)=30,DAY($AE$54)=31)),(EDATE($C$9-3,AQ10)),EDATE($C$9,AQ10))</f>
        <v>45375</v>
      </c>
      <c r="AS10" s="555">
        <f t="shared" si="3"/>
        <v>0.27900000000000003</v>
      </c>
      <c r="AT10" s="546">
        <f t="shared" ref="AT10:AT73" si="16">AU10+BA10</f>
        <v>12601</v>
      </c>
      <c r="AU10" s="546">
        <f>IF(AQ10&gt;$C$10,0,IF(BD9=0,AU9,ROUNDUP(BC9*$C$11/12/((1-(1+$C$11/12)^(0-($C$10-AQ10)))),0)))</f>
        <v>12601</v>
      </c>
      <c r="AV10" s="546">
        <f t="shared" ref="AV10:AV73" si="17">BH9*($D$13/365*(AR10-AR9))</f>
        <v>6607.7906661470524</v>
      </c>
      <c r="AW10" s="546">
        <f t="shared" ref="AW10:AW73" si="18">IF(BJ10=0,0,IF(BJ10=1,BH9,IF(BH9+AX10+AV10&gt;AU9,AU10-AV10-AX10,BH9)))</f>
        <v>5993.2093338529476</v>
      </c>
      <c r="AX10" s="546">
        <f t="shared" si="4"/>
        <v>0</v>
      </c>
      <c r="AY10" s="546">
        <v>0</v>
      </c>
      <c r="AZ10" s="546">
        <f t="shared" ref="AZ10:AZ85" si="19">AV10+BA10</f>
        <v>6607.7906661470524</v>
      </c>
      <c r="BA10" s="546">
        <f t="shared" si="5"/>
        <v>0</v>
      </c>
      <c r="BB10" s="546">
        <f t="shared" ref="BB10:BB18" si="20">IF(BJ10=0,0,0)</f>
        <v>0</v>
      </c>
      <c r="BC10" s="546"/>
      <c r="BD10" s="546"/>
      <c r="BE10" s="546"/>
      <c r="BF10" s="546"/>
      <c r="BG10" s="546"/>
      <c r="BH10" s="546">
        <f t="shared" ref="BH10:BH73" si="21">IF(OR(BJ10=1,BH9=0),0,BH9-AW10)</f>
        <v>292096.46970998269</v>
      </c>
      <c r="BI10" s="108">
        <f>IF((BI9-1)&lt;0,0,BI9-1)</f>
        <v>35</v>
      </c>
      <c r="BJ10" s="108">
        <f>BI10</f>
        <v>35</v>
      </c>
      <c r="BK10" s="22">
        <f>H10</f>
        <v>45375</v>
      </c>
      <c r="BL10" s="108">
        <f t="shared" si="6"/>
        <v>13038</v>
      </c>
      <c r="BN10" s="682"/>
      <c r="BO10" s="830" t="s">
        <v>90</v>
      </c>
      <c r="BP10" s="828" t="s">
        <v>85</v>
      </c>
      <c r="BQ10" s="129" t="s">
        <v>84</v>
      </c>
      <c r="BZ10" s="655"/>
      <c r="CA10" s="145" t="s">
        <v>486</v>
      </c>
    </row>
    <row r="11" spans="1:79" ht="18" customHeight="1" thickBot="1" x14ac:dyDescent="0.3">
      <c r="A11" s="882" t="s">
        <v>172</v>
      </c>
      <c r="B11" s="882"/>
      <c r="C11" s="577">
        <v>0.27900000000000003</v>
      </c>
      <c r="D11" s="578">
        <f>C11</f>
        <v>0.27900000000000003</v>
      </c>
      <c r="E11" s="514"/>
      <c r="F11" s="232"/>
      <c r="G11" s="244">
        <f>G10+1</f>
        <v>3</v>
      </c>
      <c r="H11" s="245">
        <f t="shared" si="7"/>
        <v>45406</v>
      </c>
      <c r="I11" s="246">
        <f t="shared" si="8"/>
        <v>0.21900000000000003</v>
      </c>
      <c r="J11" s="242">
        <f t="shared" si="0"/>
        <v>13038</v>
      </c>
      <c r="K11" s="242">
        <f t="shared" ref="K11:K74" si="22">IF(G11&gt;$C$10,0,IF((S10+L11)&lt;K10,(S10+L11),IF(T10=0,K10,MIN(K10,ROUNDUP(S10*$C$13/12/((1-(1+$C$13/12)^(0-($C$10-G11)))),0)))))</f>
        <v>13038</v>
      </c>
      <c r="L11" s="242">
        <f t="shared" si="9"/>
        <v>6277.5374150004009</v>
      </c>
      <c r="M11" s="242">
        <f t="shared" ref="M11:M74" si="23">IF(S10=0,0,IF(S10+L11&gt;K10,K11-L11,S10))</f>
        <v>6760.4625849995991</v>
      </c>
      <c r="N11" s="242">
        <f t="shared" si="1"/>
        <v>0</v>
      </c>
      <c r="O11" s="242">
        <v>0</v>
      </c>
      <c r="P11" s="242">
        <f t="shared" ref="P11:P85" si="24">L11+Q11</f>
        <v>6277.5374150004009</v>
      </c>
      <c r="Q11" s="242">
        <f t="shared" si="2"/>
        <v>0</v>
      </c>
      <c r="R11" s="242">
        <f t="shared" si="10"/>
        <v>0</v>
      </c>
      <c r="S11" s="242">
        <f t="shared" si="11"/>
        <v>331666.21201952931</v>
      </c>
      <c r="T11" s="467"/>
      <c r="U11" s="198">
        <f>IF((U10-1)&lt;0,0,U10-1)</f>
        <v>34</v>
      </c>
      <c r="V11" s="36">
        <f t="shared" si="12"/>
        <v>34</v>
      </c>
      <c r="W11" s="36">
        <f t="shared" si="13"/>
        <v>0</v>
      </c>
      <c r="X11" s="130">
        <f>IF($C$8="Нет",0,1)</f>
        <v>1</v>
      </c>
      <c r="Y11" s="15"/>
      <c r="Z11" s="15"/>
      <c r="AA11" s="15"/>
      <c r="AB11" s="15"/>
      <c r="AC11" s="15"/>
      <c r="AD11" s="15"/>
      <c r="AE11" s="147"/>
      <c r="AF11" s="147"/>
      <c r="AG11" s="15"/>
      <c r="AH11" s="15"/>
      <c r="AI11" s="15"/>
      <c r="AJ11" s="15"/>
      <c r="AK11" s="15"/>
      <c r="AL11" s="15"/>
      <c r="AM11" s="15"/>
      <c r="AN11" s="3"/>
      <c r="AO11" s="175"/>
      <c r="AP11" s="130">
        <f t="shared" si="14"/>
        <v>1</v>
      </c>
      <c r="AQ11" s="553">
        <f>AQ10+1</f>
        <v>3</v>
      </c>
      <c r="AR11" s="554">
        <f t="shared" si="15"/>
        <v>45406</v>
      </c>
      <c r="AS11" s="555">
        <f t="shared" si="3"/>
        <v>0.27900000000000003</v>
      </c>
      <c r="AT11" s="546">
        <f t="shared" si="16"/>
        <v>12601</v>
      </c>
      <c r="AU11" s="546">
        <f t="shared" ref="AU11:AU74" si="25">IF(AQ11&gt;$C$10,0,IF(BD10=0,AU10,ROUNDUP(BC10*$C$11/12/((1-(1+$C$11/12)^(0-($C$10-AQ11)))),0)))</f>
        <v>12601</v>
      </c>
      <c r="AV11" s="546">
        <f t="shared" si="17"/>
        <v>6921.4859356757279</v>
      </c>
      <c r="AW11" s="546">
        <f>IF(BJ11=0,0,IF(BJ11=1,BH10,IF(BH10+AX11+AV11&gt;AU10,AU11-AV11-AX11,BH10)))</f>
        <v>5679.5140643242721</v>
      </c>
      <c r="AX11" s="546">
        <f t="shared" si="4"/>
        <v>0</v>
      </c>
      <c r="AY11" s="546">
        <v>0</v>
      </c>
      <c r="AZ11" s="546">
        <f t="shared" si="19"/>
        <v>6921.4859356757279</v>
      </c>
      <c r="BA11" s="546">
        <f t="shared" si="5"/>
        <v>0</v>
      </c>
      <c r="BB11" s="546">
        <f t="shared" si="20"/>
        <v>0</v>
      </c>
      <c r="BC11" s="546"/>
      <c r="BD11" s="546"/>
      <c r="BE11" s="546"/>
      <c r="BF11" s="546"/>
      <c r="BG11" s="546"/>
      <c r="BH11" s="546">
        <f>IF(OR(BJ11=1,BH10=0),0,BH10-AW11)</f>
        <v>286416.95564565843</v>
      </c>
      <c r="BI11" s="108">
        <f>IF((BI10-1)&lt;0,0,BI10-1)</f>
        <v>34</v>
      </c>
      <c r="BJ11" s="108">
        <f t="shared" ref="BJ11:BJ74" si="26">BI11</f>
        <v>34</v>
      </c>
      <c r="BK11" s="22">
        <f t="shared" ref="BK11:BK74" si="27">H11</f>
        <v>45406</v>
      </c>
      <c r="BL11" s="108">
        <f t="shared" si="6"/>
        <v>13038</v>
      </c>
      <c r="BN11" s="682"/>
      <c r="BO11" s="831"/>
      <c r="BP11" s="829"/>
      <c r="BQ11" s="690" t="s">
        <v>91</v>
      </c>
      <c r="BZ11" s="656"/>
      <c r="CA11" s="657" t="s">
        <v>29</v>
      </c>
    </row>
    <row r="12" spans="1:79" ht="18" customHeight="1" thickBot="1" x14ac:dyDescent="0.3">
      <c r="A12" s="897" t="s">
        <v>468</v>
      </c>
      <c r="B12" s="897"/>
      <c r="C12" s="663" t="s">
        <v>33</v>
      </c>
      <c r="D12" s="664" t="str">
        <f>C12</f>
        <v>Базовый</v>
      </c>
      <c r="E12" s="665"/>
      <c r="F12" s="232"/>
      <c r="G12" s="244">
        <f t="shared" ref="G12:G75" si="28">G11+1</f>
        <v>4</v>
      </c>
      <c r="H12" s="245">
        <f t="shared" si="7"/>
        <v>45436</v>
      </c>
      <c r="I12" s="246">
        <f t="shared" si="8"/>
        <v>0.21900000000000003</v>
      </c>
      <c r="J12" s="242">
        <f t="shared" si="0"/>
        <v>13038</v>
      </c>
      <c r="K12" s="242">
        <f t="shared" si="22"/>
        <v>13038</v>
      </c>
      <c r="L12" s="242">
        <f t="shared" si="9"/>
        <v>5953.6803633013869</v>
      </c>
      <c r="M12" s="242">
        <f t="shared" si="23"/>
        <v>7084.3196366986131</v>
      </c>
      <c r="N12" s="242">
        <f t="shared" si="1"/>
        <v>0</v>
      </c>
      <c r="O12" s="242">
        <v>0</v>
      </c>
      <c r="P12" s="242">
        <f t="shared" si="24"/>
        <v>5953.6803633013869</v>
      </c>
      <c r="Q12" s="242">
        <f t="shared" si="2"/>
        <v>0</v>
      </c>
      <c r="R12" s="242">
        <f t="shared" si="10"/>
        <v>0</v>
      </c>
      <c r="S12" s="242">
        <f t="shared" si="11"/>
        <v>324581.89238283067</v>
      </c>
      <c r="T12" s="467"/>
      <c r="U12" s="198">
        <f t="shared" ref="U12:U75" si="29">IF((U11-1)&lt;0,0,U11-1)</f>
        <v>33</v>
      </c>
      <c r="V12" s="36">
        <f t="shared" si="12"/>
        <v>33</v>
      </c>
      <c r="W12" s="36">
        <f t="shared" si="13"/>
        <v>0</v>
      </c>
      <c r="X12" s="15"/>
      <c r="Y12" s="15"/>
      <c r="Z12" s="15"/>
      <c r="AA12" s="15"/>
      <c r="AB12" s="15"/>
      <c r="AC12" s="15"/>
      <c r="AD12" s="15"/>
      <c r="AE12" s="147">
        <f>IF(OR($C$8="Гарантия стандарт",$C$8="Гарантия пакет"),#REF!,X7)</f>
        <v>0.14899999999999999</v>
      </c>
      <c r="AF12" s="147">
        <f>IF(OR($D$8="Гарантия стандарт",$D$8="Гарантия пакет"),#REF!,X7)</f>
        <v>0.14899999999999999</v>
      </c>
      <c r="AG12" s="15"/>
      <c r="AH12" s="15"/>
      <c r="AI12" s="15"/>
      <c r="AJ12" s="15"/>
      <c r="AK12" s="15"/>
      <c r="AL12" s="15"/>
      <c r="AM12" s="15"/>
      <c r="AO12" s="57"/>
      <c r="AP12" s="130">
        <f t="shared" si="14"/>
        <v>1</v>
      </c>
      <c r="AQ12" s="553">
        <f t="shared" ref="AQ12:AQ75" si="30">AQ11+1</f>
        <v>4</v>
      </c>
      <c r="AR12" s="554">
        <f t="shared" si="15"/>
        <v>45436</v>
      </c>
      <c r="AS12" s="555">
        <f t="shared" si="3"/>
        <v>0.27900000000000003</v>
      </c>
      <c r="AT12" s="546">
        <f t="shared" si="16"/>
        <v>12601</v>
      </c>
      <c r="AU12" s="546">
        <f t="shared" si="25"/>
        <v>12601</v>
      </c>
      <c r="AV12" s="546">
        <f t="shared" si="17"/>
        <v>6567.9723801483869</v>
      </c>
      <c r="AW12" s="546">
        <f t="shared" si="18"/>
        <v>6033.0276198516131</v>
      </c>
      <c r="AX12" s="546">
        <f t="shared" si="4"/>
        <v>0</v>
      </c>
      <c r="AY12" s="546">
        <v>0</v>
      </c>
      <c r="AZ12" s="546">
        <f t="shared" si="19"/>
        <v>6567.9723801483869</v>
      </c>
      <c r="BA12" s="546">
        <f t="shared" si="5"/>
        <v>0</v>
      </c>
      <c r="BB12" s="546">
        <f t="shared" si="20"/>
        <v>0</v>
      </c>
      <c r="BC12" s="546"/>
      <c r="BD12" s="546"/>
      <c r="BE12" s="546"/>
      <c r="BF12" s="546"/>
      <c r="BG12" s="546"/>
      <c r="BH12" s="546">
        <f t="shared" si="21"/>
        <v>280383.92802580679</v>
      </c>
      <c r="BI12" s="108">
        <f t="shared" ref="BI12:BI75" si="31">IF((BI11-1)&lt;0,0,BI11-1)</f>
        <v>33</v>
      </c>
      <c r="BJ12" s="108">
        <f t="shared" si="26"/>
        <v>33</v>
      </c>
      <c r="BK12" s="22">
        <f t="shared" si="27"/>
        <v>45436</v>
      </c>
      <c r="BL12" s="108">
        <f t="shared" si="6"/>
        <v>13038</v>
      </c>
      <c r="BN12" s="682"/>
      <c r="BZ12" s="653" t="s">
        <v>463</v>
      </c>
      <c r="CA12" s="98">
        <v>0.48</v>
      </c>
    </row>
    <row r="13" spans="1:79" ht="18" customHeight="1" x14ac:dyDescent="0.25">
      <c r="A13" s="882" t="s">
        <v>171</v>
      </c>
      <c r="B13" s="892"/>
      <c r="C13" s="567">
        <f>'КЭШ, Реф (БВ_АВТО_Льготный)'!C19</f>
        <v>0.21900000000000003</v>
      </c>
      <c r="D13" s="578">
        <f>IF(D8="нет",D11,'КЭШ, Реф (БВ_АВТО_Базовый)'!D19)</f>
        <v>0.27900000000000003</v>
      </c>
      <c r="E13" s="514"/>
      <c r="F13" s="232"/>
      <c r="G13" s="244">
        <f t="shared" si="28"/>
        <v>5</v>
      </c>
      <c r="H13" s="245">
        <f t="shared" si="7"/>
        <v>45467</v>
      </c>
      <c r="I13" s="246">
        <f t="shared" si="8"/>
        <v>0.21900000000000003</v>
      </c>
      <c r="J13" s="242">
        <f t="shared" si="0"/>
        <v>13038</v>
      </c>
      <c r="K13" s="242">
        <f t="shared" si="22"/>
        <v>13038</v>
      </c>
      <c r="L13" s="242">
        <f t="shared" si="9"/>
        <v>6020.7280529700474</v>
      </c>
      <c r="M13" s="242">
        <f t="shared" si="23"/>
        <v>7017.2719470299526</v>
      </c>
      <c r="N13" s="242">
        <f t="shared" si="1"/>
        <v>0</v>
      </c>
      <c r="O13" s="242">
        <v>0</v>
      </c>
      <c r="P13" s="242">
        <f t="shared" si="24"/>
        <v>6020.7280529700474</v>
      </c>
      <c r="Q13" s="242">
        <f t="shared" si="2"/>
        <v>0</v>
      </c>
      <c r="R13" s="242">
        <f t="shared" si="10"/>
        <v>0</v>
      </c>
      <c r="S13" s="242">
        <f t="shared" si="11"/>
        <v>317564.62043580069</v>
      </c>
      <c r="T13" s="467"/>
      <c r="U13" s="198">
        <f>IF((U12-1)&lt;0,0,U12-1)</f>
        <v>32</v>
      </c>
      <c r="V13" s="36">
        <f>U13</f>
        <v>32</v>
      </c>
      <c r="W13" s="36">
        <f t="shared" si="13"/>
        <v>0</v>
      </c>
      <c r="X13" s="15"/>
      <c r="Y13" s="15"/>
      <c r="Z13" s="15"/>
      <c r="AA13" s="15"/>
      <c r="AB13" s="15"/>
      <c r="AC13" s="15"/>
      <c r="AD13" s="15"/>
      <c r="AE13" s="62" t="e">
        <f>INDEX(AE4:AE12,MATCH(C11,$X$4:$X$7,0))</f>
        <v>#N/A</v>
      </c>
      <c r="AF13" s="62" t="e">
        <f>INDEX(AF4:AF12,MATCH(D13,$X$4:$X$7,0))</f>
        <v>#N/A</v>
      </c>
      <c r="AG13" s="15"/>
      <c r="AH13" s="15"/>
      <c r="AI13" s="15"/>
      <c r="AJ13" s="15"/>
      <c r="AK13" s="15"/>
      <c r="AL13" s="15"/>
      <c r="AM13" s="15"/>
      <c r="AP13" s="130">
        <f t="shared" si="14"/>
        <v>1</v>
      </c>
      <c r="AQ13" s="553">
        <f>AQ12+1</f>
        <v>5</v>
      </c>
      <c r="AR13" s="554">
        <f t="shared" si="15"/>
        <v>45467</v>
      </c>
      <c r="AS13" s="555">
        <f t="shared" si="3"/>
        <v>0.27900000000000003</v>
      </c>
      <c r="AT13" s="546">
        <f t="shared" si="16"/>
        <v>12601</v>
      </c>
      <c r="AU13" s="546">
        <f t="shared" si="25"/>
        <v>12601</v>
      </c>
      <c r="AV13" s="546">
        <f t="shared" si="17"/>
        <v>6643.9468314937076</v>
      </c>
      <c r="AW13" s="546">
        <f t="shared" si="18"/>
        <v>5957.0531685062924</v>
      </c>
      <c r="AX13" s="546">
        <f t="shared" si="4"/>
        <v>0</v>
      </c>
      <c r="AY13" s="546">
        <v>0</v>
      </c>
      <c r="AZ13" s="546">
        <f t="shared" si="19"/>
        <v>6643.9468314937076</v>
      </c>
      <c r="BA13" s="546">
        <f t="shared" si="5"/>
        <v>0</v>
      </c>
      <c r="BB13" s="546">
        <f t="shared" si="20"/>
        <v>0</v>
      </c>
      <c r="BC13" s="546"/>
      <c r="BD13" s="546"/>
      <c r="BE13" s="546"/>
      <c r="BF13" s="546"/>
      <c r="BG13" s="546"/>
      <c r="BH13" s="546">
        <f t="shared" si="21"/>
        <v>274426.87485730049</v>
      </c>
      <c r="BI13" s="108">
        <f t="shared" si="31"/>
        <v>32</v>
      </c>
      <c r="BJ13" s="108">
        <f t="shared" si="26"/>
        <v>32</v>
      </c>
      <c r="BK13" s="22">
        <f t="shared" si="27"/>
        <v>45467</v>
      </c>
      <c r="BL13" s="108">
        <f t="shared" si="6"/>
        <v>13038</v>
      </c>
      <c r="BN13" s="118"/>
      <c r="BO13" s="830" t="s">
        <v>92</v>
      </c>
      <c r="BP13" s="828" t="s">
        <v>85</v>
      </c>
      <c r="BQ13" s="129" t="s">
        <v>90</v>
      </c>
      <c r="BZ13" s="655"/>
      <c r="CA13" s="658">
        <v>0.27900000000000003</v>
      </c>
    </row>
    <row r="14" spans="1:79" ht="19.5" customHeight="1" thickBot="1" x14ac:dyDescent="0.3">
      <c r="A14" s="879" t="s">
        <v>168</v>
      </c>
      <c r="B14" s="419" t="s">
        <v>102</v>
      </c>
      <c r="C14" s="568" t="s">
        <v>47</v>
      </c>
      <c r="D14" s="218" t="str">
        <f>C14</f>
        <v>Да</v>
      </c>
      <c r="E14" s="510"/>
      <c r="F14" s="231"/>
      <c r="G14" s="244">
        <f t="shared" si="28"/>
        <v>6</v>
      </c>
      <c r="H14" s="245">
        <f t="shared" si="7"/>
        <v>45497</v>
      </c>
      <c r="I14" s="246">
        <f t="shared" si="8"/>
        <v>0.21900000000000003</v>
      </c>
      <c r="J14" s="242">
        <f t="shared" si="0"/>
        <v>13038</v>
      </c>
      <c r="K14" s="242">
        <f t="shared" si="22"/>
        <v>13038</v>
      </c>
      <c r="L14" s="242">
        <f t="shared" si="9"/>
        <v>5700.5452356918322</v>
      </c>
      <c r="M14" s="242">
        <f t="shared" si="23"/>
        <v>7337.4547643081678</v>
      </c>
      <c r="N14" s="242">
        <f t="shared" si="1"/>
        <v>0</v>
      </c>
      <c r="O14" s="242">
        <v>0</v>
      </c>
      <c r="P14" s="242">
        <f t="shared" si="24"/>
        <v>5700.5452356918322</v>
      </c>
      <c r="Q14" s="242">
        <f t="shared" si="2"/>
        <v>0</v>
      </c>
      <c r="R14" s="242">
        <f t="shared" si="10"/>
        <v>0</v>
      </c>
      <c r="S14" s="242">
        <f t="shared" si="11"/>
        <v>310227.16567149252</v>
      </c>
      <c r="T14" s="242"/>
      <c r="U14" s="198">
        <f>IF((U13-1)&lt;0,0,U13-1)</f>
        <v>31</v>
      </c>
      <c r="V14" s="36">
        <f t="shared" si="12"/>
        <v>31</v>
      </c>
      <c r="W14" s="36">
        <f t="shared" si="13"/>
        <v>0</v>
      </c>
      <c r="X14" s="565">
        <v>0.19900000000000001</v>
      </c>
      <c r="Y14" s="565">
        <v>0.19900000000000001</v>
      </c>
      <c r="Z14" s="565">
        <v>0.19900000000000001</v>
      </c>
      <c r="AA14" s="565">
        <v>0.19900000000000001</v>
      </c>
      <c r="AB14" s="565">
        <v>0.19900000000000001</v>
      </c>
      <c r="AC14" s="15"/>
      <c r="AD14" s="15"/>
      <c r="AF14" s="15">
        <f>IF(OR(D$8="Гарантия стандарт",D$8="Гарантия пакет"),AF13,D13)</f>
        <v>0.27900000000000003</v>
      </c>
      <c r="AG14" s="15"/>
      <c r="AH14" s="15"/>
      <c r="AI14" s="15"/>
      <c r="AJ14" s="15"/>
      <c r="AK14" s="15"/>
      <c r="AL14" s="15"/>
      <c r="AM14" s="15"/>
      <c r="AO14" s="57"/>
      <c r="AP14" s="130">
        <f t="shared" si="14"/>
        <v>1</v>
      </c>
      <c r="AQ14" s="553">
        <f>AQ13+1</f>
        <v>6</v>
      </c>
      <c r="AR14" s="554">
        <f t="shared" si="15"/>
        <v>45497</v>
      </c>
      <c r="AS14" s="555">
        <f t="shared" si="3"/>
        <v>0.27900000000000003</v>
      </c>
      <c r="AT14" s="546">
        <f t="shared" si="16"/>
        <v>12601</v>
      </c>
      <c r="AU14" s="546">
        <f t="shared" si="25"/>
        <v>12601</v>
      </c>
      <c r="AV14" s="546">
        <f t="shared" si="17"/>
        <v>6293.0217604263162</v>
      </c>
      <c r="AW14" s="546">
        <f t="shared" si="18"/>
        <v>6307.9782395736838</v>
      </c>
      <c r="AX14" s="546">
        <f t="shared" si="4"/>
        <v>0</v>
      </c>
      <c r="AY14" s="546">
        <v>0</v>
      </c>
      <c r="AZ14" s="546">
        <f t="shared" si="19"/>
        <v>6293.0217604263162</v>
      </c>
      <c r="BA14" s="546">
        <f t="shared" si="5"/>
        <v>0</v>
      </c>
      <c r="BB14" s="546">
        <f t="shared" si="20"/>
        <v>0</v>
      </c>
      <c r="BC14" s="546"/>
      <c r="BD14" s="546"/>
      <c r="BE14" s="546"/>
      <c r="BF14" s="546"/>
      <c r="BG14" s="546"/>
      <c r="BH14" s="546">
        <f t="shared" si="21"/>
        <v>268118.89661772677</v>
      </c>
      <c r="BI14" s="108">
        <f t="shared" si="31"/>
        <v>31</v>
      </c>
      <c r="BJ14" s="108">
        <f t="shared" si="26"/>
        <v>31</v>
      </c>
      <c r="BK14" s="22">
        <f t="shared" si="27"/>
        <v>45497</v>
      </c>
      <c r="BL14" s="108">
        <f t="shared" si="6"/>
        <v>13038</v>
      </c>
      <c r="BN14" s="118"/>
      <c r="BO14" s="831"/>
      <c r="BP14" s="829"/>
      <c r="BQ14" s="690" t="s">
        <v>93</v>
      </c>
      <c r="BZ14" s="655"/>
      <c r="CA14" s="659">
        <v>0.249</v>
      </c>
    </row>
    <row r="15" spans="1:79" ht="20.25" customHeight="1" x14ac:dyDescent="0.25">
      <c r="A15" s="880"/>
      <c r="B15" s="418" t="s">
        <v>182</v>
      </c>
      <c r="C15" s="505">
        <f>IF(C14="нет","",AK109)</f>
        <v>3499</v>
      </c>
      <c r="D15" s="216">
        <f>IF(D14="нет","",AK109)</f>
        <v>3499</v>
      </c>
      <c r="E15" s="510"/>
      <c r="F15" s="231"/>
      <c r="G15" s="244">
        <f t="shared" si="28"/>
        <v>7</v>
      </c>
      <c r="H15" s="245">
        <f t="shared" si="7"/>
        <v>45528</v>
      </c>
      <c r="I15" s="246">
        <f t="shared" si="8"/>
        <v>0.21900000000000003</v>
      </c>
      <c r="J15" s="242">
        <f t="shared" si="0"/>
        <v>13038</v>
      </c>
      <c r="K15" s="242">
        <f t="shared" si="22"/>
        <v>13038</v>
      </c>
      <c r="L15" s="242">
        <f t="shared" si="9"/>
        <v>5754.4596386441599</v>
      </c>
      <c r="M15" s="242">
        <f t="shared" si="23"/>
        <v>7283.5403613558401</v>
      </c>
      <c r="N15" s="242">
        <f t="shared" si="1"/>
        <v>0</v>
      </c>
      <c r="O15" s="242">
        <v>0</v>
      </c>
      <c r="P15" s="242">
        <f t="shared" si="24"/>
        <v>5754.4596386441599</v>
      </c>
      <c r="Q15" s="242">
        <f t="shared" si="2"/>
        <v>0</v>
      </c>
      <c r="R15" s="242">
        <f t="shared" si="10"/>
        <v>0</v>
      </c>
      <c r="S15" s="242">
        <f t="shared" si="11"/>
        <v>302943.6253101367</v>
      </c>
      <c r="T15" s="467"/>
      <c r="U15" s="198">
        <f t="shared" si="29"/>
        <v>30</v>
      </c>
      <c r="V15" s="36">
        <f t="shared" si="12"/>
        <v>30</v>
      </c>
      <c r="W15" s="36">
        <f t="shared" si="13"/>
        <v>0</v>
      </c>
      <c r="X15" s="566">
        <v>0.19900000000000001</v>
      </c>
      <c r="Y15" s="566">
        <v>0.19900000000000001</v>
      </c>
      <c r="Z15" s="566">
        <v>0.19900000000000001</v>
      </c>
      <c r="AA15" s="566">
        <v>0.19900000000000001</v>
      </c>
      <c r="AB15" s="566">
        <v>0.19900000000000001</v>
      </c>
      <c r="AC15" s="15"/>
      <c r="AD15" s="15"/>
      <c r="AE15" s="15" t="str">
        <f>IF(OR(C8="Гарантия стандарт",C8="Гарантия плюс",C8="Гарантия пакет"),AE13,"")</f>
        <v/>
      </c>
      <c r="AF15" s="15" t="str">
        <f>IF(OR(D8="Гарантия стандарт",D8="Гарантия плюс",D8="Гарантия пакет"),AF13,"")</f>
        <v/>
      </c>
      <c r="AG15" s="15"/>
      <c r="AH15" s="15"/>
      <c r="AI15" s="15"/>
      <c r="AJ15" s="15"/>
      <c r="AK15" s="15"/>
      <c r="AL15" s="15"/>
      <c r="AM15" s="15"/>
      <c r="AP15" s="130">
        <f t="shared" si="14"/>
        <v>1</v>
      </c>
      <c r="AQ15" s="553">
        <f t="shared" si="30"/>
        <v>7</v>
      </c>
      <c r="AR15" s="554">
        <f t="shared" si="15"/>
        <v>45528</v>
      </c>
      <c r="AS15" s="555">
        <f t="shared" ref="AS15:AS32" si="32">IF($D$16="Да",$AN$37,$D$13)</f>
        <v>0.27900000000000003</v>
      </c>
      <c r="AT15" s="546">
        <f t="shared" si="16"/>
        <v>12601</v>
      </c>
      <c r="AU15" s="546">
        <f t="shared" si="25"/>
        <v>12601</v>
      </c>
      <c r="AV15" s="546">
        <f t="shared" si="17"/>
        <v>6353.3159913608742</v>
      </c>
      <c r="AW15" s="546">
        <f t="shared" si="18"/>
        <v>6247.6840086391258</v>
      </c>
      <c r="AX15" s="546">
        <f t="shared" si="4"/>
        <v>0</v>
      </c>
      <c r="AY15" s="546">
        <v>0</v>
      </c>
      <c r="AZ15" s="546">
        <f t="shared" si="19"/>
        <v>6353.3159913608742</v>
      </c>
      <c r="BA15" s="546">
        <f t="shared" si="5"/>
        <v>0</v>
      </c>
      <c r="BB15" s="546">
        <f t="shared" si="20"/>
        <v>0</v>
      </c>
      <c r="BC15" s="546"/>
      <c r="BD15" s="546"/>
      <c r="BE15" s="546"/>
      <c r="BF15" s="546"/>
      <c r="BG15" s="546"/>
      <c r="BH15" s="546">
        <f t="shared" si="21"/>
        <v>261871.21260908764</v>
      </c>
      <c r="BI15" s="108">
        <f t="shared" si="31"/>
        <v>30</v>
      </c>
      <c r="BJ15" s="108">
        <f t="shared" si="26"/>
        <v>30</v>
      </c>
      <c r="BK15" s="22">
        <f t="shared" si="27"/>
        <v>45528</v>
      </c>
      <c r="BL15" s="108">
        <f t="shared" si="6"/>
        <v>13038</v>
      </c>
      <c r="BN15" s="118"/>
      <c r="BZ15" s="656"/>
      <c r="CA15" s="659">
        <v>0.23899999999999999</v>
      </c>
    </row>
    <row r="16" spans="1:79" ht="19.2" customHeight="1" x14ac:dyDescent="0.25">
      <c r="A16" s="881" t="s">
        <v>356</v>
      </c>
      <c r="B16" s="186" t="s">
        <v>351</v>
      </c>
      <c r="C16" s="568" t="s">
        <v>47</v>
      </c>
      <c r="D16" s="448" t="s">
        <v>178</v>
      </c>
      <c r="E16" s="514"/>
      <c r="F16" s="232"/>
      <c r="G16" s="244">
        <f t="shared" si="28"/>
        <v>8</v>
      </c>
      <c r="H16" s="245">
        <f t="shared" si="7"/>
        <v>45559</v>
      </c>
      <c r="I16" s="246">
        <f t="shared" si="8"/>
        <v>0.21900000000000003</v>
      </c>
      <c r="J16" s="242">
        <f t="shared" si="0"/>
        <v>13038</v>
      </c>
      <c r="K16" s="242">
        <f t="shared" si="22"/>
        <v>13038</v>
      </c>
      <c r="L16" s="242">
        <f t="shared" si="9"/>
        <v>5619.3559350560599</v>
      </c>
      <c r="M16" s="242">
        <f t="shared" si="23"/>
        <v>7418.6440649439401</v>
      </c>
      <c r="N16" s="242">
        <f t="shared" si="1"/>
        <v>0</v>
      </c>
      <c r="O16" s="242">
        <v>0</v>
      </c>
      <c r="P16" s="242">
        <f t="shared" si="24"/>
        <v>5619.3559350560599</v>
      </c>
      <c r="Q16" s="242">
        <f t="shared" si="2"/>
        <v>0</v>
      </c>
      <c r="R16" s="242">
        <f t="shared" si="10"/>
        <v>0</v>
      </c>
      <c r="S16" s="242">
        <f t="shared" si="11"/>
        <v>295524.98124519276</v>
      </c>
      <c r="T16" s="467"/>
      <c r="U16" s="198">
        <f t="shared" si="29"/>
        <v>29</v>
      </c>
      <c r="V16" s="36">
        <f t="shared" si="12"/>
        <v>29</v>
      </c>
      <c r="W16" s="36">
        <f t="shared" si="13"/>
        <v>0</v>
      </c>
      <c r="X16" s="569">
        <f>IF($C$11=X4,X15,IF($C$11=X5,X15,IF($C$11=X6,X14,IF($C$11=X7,X14,IF($C$11=X8,X14,IF($C$11=X9,X14,))))))</f>
        <v>0</v>
      </c>
      <c r="Y16" s="569">
        <f t="shared" ref="Y16:AB16" si="33">IF($C$11=Y4,Y15,IF($C$11=Y5,Y15,IF($C$11=Y6,Y14,IF($C$11=Y7,Y14,IF($C$11=Y8,Y14,IF($C$11=Y9,Y14,))))))</f>
        <v>0</v>
      </c>
      <c r="Z16" s="569">
        <f t="shared" si="33"/>
        <v>0</v>
      </c>
      <c r="AA16" s="569">
        <f t="shared" si="33"/>
        <v>0</v>
      </c>
      <c r="AB16" s="569">
        <f t="shared" si="33"/>
        <v>0</v>
      </c>
      <c r="AC16" s="112" t="s">
        <v>365</v>
      </c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P16" s="130">
        <f t="shared" si="14"/>
        <v>1</v>
      </c>
      <c r="AQ16" s="553">
        <f t="shared" si="30"/>
        <v>8</v>
      </c>
      <c r="AR16" s="554">
        <f t="shared" si="15"/>
        <v>45559</v>
      </c>
      <c r="AS16" s="555">
        <f t="shared" si="32"/>
        <v>0.27900000000000003</v>
      </c>
      <c r="AT16" s="546">
        <f t="shared" si="16"/>
        <v>12601</v>
      </c>
      <c r="AU16" s="546">
        <f t="shared" si="25"/>
        <v>12601</v>
      </c>
      <c r="AV16" s="546">
        <f t="shared" si="17"/>
        <v>6205.2715557698612</v>
      </c>
      <c r="AW16" s="546">
        <f t="shared" si="18"/>
        <v>6395.7284442301388</v>
      </c>
      <c r="AX16" s="546">
        <f t="shared" si="4"/>
        <v>0</v>
      </c>
      <c r="AY16" s="546">
        <v>0</v>
      </c>
      <c r="AZ16" s="546">
        <f t="shared" si="19"/>
        <v>6205.2715557698612</v>
      </c>
      <c r="BA16" s="546">
        <f t="shared" si="5"/>
        <v>0</v>
      </c>
      <c r="BB16" s="546">
        <f t="shared" si="20"/>
        <v>0</v>
      </c>
      <c r="BC16" s="546"/>
      <c r="BD16" s="546"/>
      <c r="BE16" s="546"/>
      <c r="BF16" s="546"/>
      <c r="BG16" s="546"/>
      <c r="BH16" s="546">
        <f t="shared" si="21"/>
        <v>255475.48416485751</v>
      </c>
      <c r="BI16" s="108">
        <f t="shared" si="31"/>
        <v>29</v>
      </c>
      <c r="BJ16" s="108">
        <f t="shared" si="26"/>
        <v>29</v>
      </c>
      <c r="BK16" s="22">
        <f t="shared" si="27"/>
        <v>45559</v>
      </c>
      <c r="BL16" s="108">
        <f t="shared" si="6"/>
        <v>13038</v>
      </c>
      <c r="BN16" s="118"/>
      <c r="CA16" s="660">
        <v>0.219</v>
      </c>
    </row>
    <row r="17" spans="1:394" ht="19.95" customHeight="1" x14ac:dyDescent="0.25">
      <c r="A17" s="881"/>
      <c r="B17" s="186" t="s">
        <v>352</v>
      </c>
      <c r="C17" s="567">
        <f>'КЭШ, Реф (БВ_АВТО_Льготный)'!C24</f>
        <v>0.05</v>
      </c>
      <c r="D17" s="450" t="str">
        <f>IF(D16="Да",IF(AND($D$23&gt;=100000,$D$23&lt;200000),"Серебряный",IF(AND($D$23&gt;=200000,$D$23&lt;300000),"Золотой",IF(AND($D$23&gt;=300000,$C$7&lt;=500000),"Платиновый",""))),"")</f>
        <v/>
      </c>
      <c r="E17" s="514"/>
      <c r="F17" s="232"/>
      <c r="G17" s="244">
        <f t="shared" si="28"/>
        <v>9</v>
      </c>
      <c r="H17" s="245">
        <f t="shared" si="7"/>
        <v>45589</v>
      </c>
      <c r="I17" s="246">
        <f t="shared" si="8"/>
        <v>0.21900000000000003</v>
      </c>
      <c r="J17" s="242">
        <f t="shared" si="0"/>
        <v>13038</v>
      </c>
      <c r="K17" s="242">
        <f t="shared" si="22"/>
        <v>13038</v>
      </c>
      <c r="L17" s="242">
        <f t="shared" si="9"/>
        <v>5304.9156469423951</v>
      </c>
      <c r="M17" s="242">
        <f t="shared" si="23"/>
        <v>7733.0843530576049</v>
      </c>
      <c r="N17" s="242">
        <f t="shared" si="1"/>
        <v>0</v>
      </c>
      <c r="O17" s="242">
        <v>0</v>
      </c>
      <c r="P17" s="242">
        <f t="shared" si="24"/>
        <v>5304.9156469423951</v>
      </c>
      <c r="Q17" s="242">
        <f t="shared" si="2"/>
        <v>0</v>
      </c>
      <c r="R17" s="242">
        <f t="shared" si="10"/>
        <v>0</v>
      </c>
      <c r="S17" s="242">
        <f t="shared" si="11"/>
        <v>287791.89689213515</v>
      </c>
      <c r="T17" s="467"/>
      <c r="U17" s="198">
        <f t="shared" si="29"/>
        <v>28</v>
      </c>
      <c r="V17" s="36">
        <f t="shared" si="12"/>
        <v>28</v>
      </c>
      <c r="W17" s="36">
        <f t="shared" si="13"/>
        <v>0</v>
      </c>
      <c r="X17" s="484">
        <f>IF($C$11=X4,X18,IF($C$11=X5,X18,IF($C$11=X6,X19,IF($C$11=X7,X20,IF($C$11=X8,X21,IF($C$11=X9,X22,))))))</f>
        <v>0</v>
      </c>
      <c r="Y17" s="484">
        <f t="shared" ref="Y17:AB17" si="34">IF($C$11=Y4,Y18,IF($C$11=Y5,Y18,IF($C$11=Y6,Y19,IF($C$11=Y7,Y20,IF($C$11=Y8,Y21,IF($C$11=Y9,Y22,))))))</f>
        <v>0</v>
      </c>
      <c r="Z17" s="484">
        <f t="shared" si="34"/>
        <v>0</v>
      </c>
      <c r="AA17" s="484">
        <f t="shared" si="34"/>
        <v>0</v>
      </c>
      <c r="AB17" s="484">
        <f t="shared" si="34"/>
        <v>0</v>
      </c>
      <c r="AC17" s="84">
        <v>0.129</v>
      </c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P17" s="130">
        <f t="shared" si="14"/>
        <v>1</v>
      </c>
      <c r="AQ17" s="553">
        <f t="shared" si="30"/>
        <v>9</v>
      </c>
      <c r="AR17" s="554">
        <f t="shared" si="15"/>
        <v>45589</v>
      </c>
      <c r="AS17" s="555">
        <f t="shared" si="32"/>
        <v>0.27900000000000003</v>
      </c>
      <c r="AT17" s="546">
        <f t="shared" si="16"/>
        <v>12601</v>
      </c>
      <c r="AU17" s="546">
        <f t="shared" si="25"/>
        <v>12601</v>
      </c>
      <c r="AV17" s="546">
        <f t="shared" si="17"/>
        <v>5858.4378149585136</v>
      </c>
      <c r="AW17" s="546">
        <f t="shared" si="18"/>
        <v>6742.5621850414864</v>
      </c>
      <c r="AX17" s="546">
        <f t="shared" si="4"/>
        <v>0</v>
      </c>
      <c r="AY17" s="546">
        <v>0</v>
      </c>
      <c r="AZ17" s="546">
        <f t="shared" si="19"/>
        <v>5858.4378149585136</v>
      </c>
      <c r="BA17" s="546">
        <f t="shared" si="5"/>
        <v>0</v>
      </c>
      <c r="BB17" s="546">
        <f t="shared" si="20"/>
        <v>0</v>
      </c>
      <c r="BC17" s="546"/>
      <c r="BD17" s="546"/>
      <c r="BE17" s="546"/>
      <c r="BF17" s="546"/>
      <c r="BG17" s="546"/>
      <c r="BH17" s="546">
        <f t="shared" si="21"/>
        <v>248732.92197981602</v>
      </c>
      <c r="BI17" s="108">
        <f t="shared" si="31"/>
        <v>28</v>
      </c>
      <c r="BJ17" s="108">
        <f t="shared" si="26"/>
        <v>28</v>
      </c>
      <c r="BK17" s="22">
        <f t="shared" si="27"/>
        <v>45589</v>
      </c>
      <c r="BL17" s="108">
        <f t="shared" si="6"/>
        <v>13038</v>
      </c>
      <c r="BN17" s="118"/>
      <c r="CA17" s="660">
        <v>0.20899999999999999</v>
      </c>
    </row>
    <row r="18" spans="1:394" ht="19.95" customHeight="1" x14ac:dyDescent="0.25">
      <c r="A18" s="881"/>
      <c r="B18" s="186" t="s">
        <v>353</v>
      </c>
      <c r="C18" s="505">
        <f>'КЭШ, Реф (БВ_АВТО_Льготный)'!C25</f>
        <v>15000</v>
      </c>
      <c r="D18" s="450" t="str">
        <f>IF($D$17="Серебряный",1800,IF($D$17="Золотой",2500,IF($D$17="Платиновый",3500,"")))</f>
        <v/>
      </c>
      <c r="E18" s="514"/>
      <c r="F18" s="232"/>
      <c r="G18" s="244">
        <f t="shared" si="28"/>
        <v>10</v>
      </c>
      <c r="H18" s="245">
        <f t="shared" si="7"/>
        <v>45620</v>
      </c>
      <c r="I18" s="246">
        <f t="shared" si="8"/>
        <v>0.21900000000000003</v>
      </c>
      <c r="J18" s="242">
        <f t="shared" si="0"/>
        <v>13038</v>
      </c>
      <c r="K18" s="242">
        <f t="shared" si="22"/>
        <v>13038</v>
      </c>
      <c r="L18" s="242">
        <f t="shared" si="9"/>
        <v>5338.303792351654</v>
      </c>
      <c r="M18" s="242">
        <f t="shared" si="23"/>
        <v>7699.696207648346</v>
      </c>
      <c r="N18" s="242">
        <f t="shared" si="1"/>
        <v>0</v>
      </c>
      <c r="O18" s="242">
        <v>0</v>
      </c>
      <c r="P18" s="242">
        <f t="shared" si="24"/>
        <v>5338.303792351654</v>
      </c>
      <c r="Q18" s="242">
        <f t="shared" si="2"/>
        <v>0</v>
      </c>
      <c r="R18" s="242">
        <f t="shared" si="10"/>
        <v>0</v>
      </c>
      <c r="S18" s="242">
        <f t="shared" si="11"/>
        <v>280092.20068448683</v>
      </c>
      <c r="T18" s="467"/>
      <c r="U18" s="198">
        <f t="shared" si="29"/>
        <v>27</v>
      </c>
      <c r="V18" s="36">
        <f t="shared" si="12"/>
        <v>27</v>
      </c>
      <c r="W18" s="36">
        <f t="shared" si="13"/>
        <v>0</v>
      </c>
      <c r="X18" s="565">
        <v>0.1</v>
      </c>
      <c r="Y18" s="565">
        <v>0.1</v>
      </c>
      <c r="Z18" s="565">
        <v>0.1</v>
      </c>
      <c r="AA18" s="565">
        <v>0.1</v>
      </c>
      <c r="AB18" s="565">
        <v>0.1</v>
      </c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P18" s="130">
        <f t="shared" si="14"/>
        <v>1</v>
      </c>
      <c r="AQ18" s="553">
        <f t="shared" si="30"/>
        <v>10</v>
      </c>
      <c r="AR18" s="554">
        <f t="shared" si="15"/>
        <v>45620</v>
      </c>
      <c r="AS18" s="555">
        <f t="shared" si="32"/>
        <v>0.27900000000000003</v>
      </c>
      <c r="AT18" s="546">
        <f t="shared" si="16"/>
        <v>12601</v>
      </c>
      <c r="AU18" s="546">
        <f t="shared" si="25"/>
        <v>12601</v>
      </c>
      <c r="AV18" s="546">
        <f t="shared" si="17"/>
        <v>5893.9480608313124</v>
      </c>
      <c r="AW18" s="546">
        <f t="shared" si="18"/>
        <v>6707.0519391686876</v>
      </c>
      <c r="AX18" s="546">
        <f t="shared" si="4"/>
        <v>0</v>
      </c>
      <c r="AY18" s="546">
        <v>0</v>
      </c>
      <c r="AZ18" s="546">
        <f t="shared" si="19"/>
        <v>5893.9480608313124</v>
      </c>
      <c r="BA18" s="546">
        <f t="shared" si="5"/>
        <v>0</v>
      </c>
      <c r="BB18" s="546">
        <f t="shared" si="20"/>
        <v>0</v>
      </c>
      <c r="BC18" s="546"/>
      <c r="BD18" s="546"/>
      <c r="BE18" s="546"/>
      <c r="BF18" s="546"/>
      <c r="BG18" s="546"/>
      <c r="BH18" s="546">
        <f t="shared" si="21"/>
        <v>242025.87004064734</v>
      </c>
      <c r="BI18" s="108">
        <f t="shared" si="31"/>
        <v>27</v>
      </c>
      <c r="BJ18" s="108">
        <f t="shared" si="26"/>
        <v>27</v>
      </c>
      <c r="BK18" s="22">
        <f t="shared" si="27"/>
        <v>45620</v>
      </c>
      <c r="BL18" s="108">
        <f t="shared" si="6"/>
        <v>13038</v>
      </c>
      <c r="BN18" s="118"/>
    </row>
    <row r="19" spans="1:394" ht="18.75" customHeight="1" x14ac:dyDescent="0.25">
      <c r="A19" s="693"/>
      <c r="B19" s="186" t="s">
        <v>464</v>
      </c>
      <c r="C19" s="567">
        <f>'КЭШ, Реф (БВ_АВТО_Льготный)'!C23</f>
        <v>0.14899999999999999</v>
      </c>
      <c r="D19" s="450"/>
      <c r="E19" s="514"/>
      <c r="F19" s="233"/>
      <c r="G19" s="244">
        <f t="shared" si="28"/>
        <v>11</v>
      </c>
      <c r="H19" s="245">
        <f t="shared" si="7"/>
        <v>45650</v>
      </c>
      <c r="I19" s="246">
        <f t="shared" si="8"/>
        <v>0.21900000000000003</v>
      </c>
      <c r="J19" s="242">
        <f t="shared" si="0"/>
        <v>13038</v>
      </c>
      <c r="K19" s="242">
        <f t="shared" si="22"/>
        <v>13038</v>
      </c>
      <c r="L19" s="242">
        <f t="shared" si="9"/>
        <v>5027.8845860575921</v>
      </c>
      <c r="M19" s="242">
        <f t="shared" si="23"/>
        <v>8010.1154139424079</v>
      </c>
      <c r="N19" s="242">
        <f t="shared" si="1"/>
        <v>0</v>
      </c>
      <c r="O19" s="242">
        <v>0</v>
      </c>
      <c r="P19" s="242">
        <f t="shared" si="24"/>
        <v>5027.8845860575921</v>
      </c>
      <c r="Q19" s="242">
        <f t="shared" si="2"/>
        <v>0</v>
      </c>
      <c r="R19" s="242">
        <f t="shared" si="10"/>
        <v>0</v>
      </c>
      <c r="S19" s="242">
        <f t="shared" si="11"/>
        <v>272082.0852705444</v>
      </c>
      <c r="T19" s="467"/>
      <c r="U19" s="198">
        <f>IF((U18-1)&lt;0,0,U18-1)</f>
        <v>26</v>
      </c>
      <c r="V19" s="36">
        <f t="shared" si="12"/>
        <v>26</v>
      </c>
      <c r="W19" s="36">
        <f t="shared" si="13"/>
        <v>0</v>
      </c>
      <c r="X19" s="565">
        <v>0.1</v>
      </c>
      <c r="Y19" s="565">
        <v>0.1</v>
      </c>
      <c r="Z19" s="565">
        <v>0.1</v>
      </c>
      <c r="AA19" s="565">
        <v>0.1</v>
      </c>
      <c r="AB19" s="565">
        <v>0.1</v>
      </c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P19" s="130">
        <f t="shared" si="14"/>
        <v>1</v>
      </c>
      <c r="AQ19" s="553">
        <f>AQ18+1</f>
        <v>11</v>
      </c>
      <c r="AR19" s="554">
        <f t="shared" si="15"/>
        <v>45650</v>
      </c>
      <c r="AS19" s="555">
        <f t="shared" si="32"/>
        <v>0.27900000000000003</v>
      </c>
      <c r="AT19" s="546">
        <f t="shared" si="16"/>
        <v>12601</v>
      </c>
      <c r="AU19" s="546">
        <f t="shared" si="25"/>
        <v>12601</v>
      </c>
      <c r="AV19" s="546">
        <f t="shared" si="17"/>
        <v>5550.0178965485438</v>
      </c>
      <c r="AW19" s="546">
        <f t="shared" si="18"/>
        <v>7050.9821034514562</v>
      </c>
      <c r="AX19" s="546">
        <f t="shared" si="4"/>
        <v>0</v>
      </c>
      <c r="AY19" s="546">
        <v>0</v>
      </c>
      <c r="AZ19" s="546">
        <f t="shared" si="19"/>
        <v>5550.0178965485438</v>
      </c>
      <c r="BA19" s="546">
        <f t="shared" si="5"/>
        <v>0</v>
      </c>
      <c r="BB19" s="546">
        <f>IF(BJ25=0,0,0)</f>
        <v>0</v>
      </c>
      <c r="BC19" s="546"/>
      <c r="BD19" s="546"/>
      <c r="BE19" s="546"/>
      <c r="BF19" s="546"/>
      <c r="BG19" s="546"/>
      <c r="BH19" s="546">
        <f t="shared" si="21"/>
        <v>234974.88793719589</v>
      </c>
      <c r="BI19" s="108">
        <f t="shared" si="31"/>
        <v>26</v>
      </c>
      <c r="BJ19" s="108">
        <f t="shared" si="26"/>
        <v>26</v>
      </c>
      <c r="BK19" s="22">
        <f t="shared" si="27"/>
        <v>45650</v>
      </c>
      <c r="BL19" s="108">
        <f t="shared" si="6"/>
        <v>13038</v>
      </c>
      <c r="BN19" s="118"/>
    </row>
    <row r="20" spans="1:394" ht="16.95" customHeight="1" thickBot="1" x14ac:dyDescent="0.3">
      <c r="A20" s="893"/>
      <c r="B20" s="893"/>
      <c r="C20" s="893"/>
      <c r="D20" s="893"/>
      <c r="E20" s="893"/>
      <c r="F20" s="224"/>
      <c r="G20" s="248">
        <f t="shared" si="28"/>
        <v>12</v>
      </c>
      <c r="H20" s="679">
        <f t="shared" si="7"/>
        <v>45681</v>
      </c>
      <c r="I20" s="250">
        <f t="shared" si="8"/>
        <v>0.21900000000000003</v>
      </c>
      <c r="J20" s="252">
        <f t="shared" si="0"/>
        <v>13038</v>
      </c>
      <c r="K20" s="252">
        <f t="shared" si="22"/>
        <v>13038</v>
      </c>
      <c r="L20" s="242">
        <f t="shared" si="9"/>
        <v>5046.8996636659176</v>
      </c>
      <c r="M20" s="252">
        <f t="shared" si="23"/>
        <v>7991.1003363340824</v>
      </c>
      <c r="N20" s="252">
        <f t="shared" si="1"/>
        <v>0</v>
      </c>
      <c r="O20" s="252">
        <v>0</v>
      </c>
      <c r="P20" s="252">
        <f t="shared" si="24"/>
        <v>5046.8996636659176</v>
      </c>
      <c r="Q20" s="252">
        <f t="shared" si="2"/>
        <v>0</v>
      </c>
      <c r="R20" s="252">
        <f t="shared" si="10"/>
        <v>0</v>
      </c>
      <c r="S20" s="252">
        <f t="shared" si="11"/>
        <v>264090.98493421031</v>
      </c>
      <c r="T20" s="468"/>
      <c r="U20" s="198">
        <f>IF((U19-1)&lt;0,0,U19-1)</f>
        <v>25</v>
      </c>
      <c r="V20" s="36">
        <f t="shared" si="12"/>
        <v>25</v>
      </c>
      <c r="W20" s="36">
        <f t="shared" si="13"/>
        <v>0</v>
      </c>
      <c r="X20" s="565">
        <v>0.1</v>
      </c>
      <c r="Y20" s="565">
        <v>0.1</v>
      </c>
      <c r="Z20" s="565">
        <v>0.1</v>
      </c>
      <c r="AA20" s="565">
        <v>0.1</v>
      </c>
      <c r="AB20" s="565">
        <v>0.1</v>
      </c>
      <c r="AC20" s="15">
        <v>4.9000000000000002E-2</v>
      </c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3"/>
      <c r="AO20" s="113"/>
      <c r="AP20" s="130">
        <f t="shared" si="14"/>
        <v>1</v>
      </c>
      <c r="AQ20" s="556">
        <f>AQ19+1</f>
        <v>12</v>
      </c>
      <c r="AR20" s="680">
        <f t="shared" si="15"/>
        <v>45681</v>
      </c>
      <c r="AS20" s="557">
        <f t="shared" si="32"/>
        <v>0.27900000000000003</v>
      </c>
      <c r="AT20" s="547">
        <f t="shared" si="16"/>
        <v>12601</v>
      </c>
      <c r="AU20" s="547">
        <f t="shared" si="25"/>
        <v>12601</v>
      </c>
      <c r="AV20" s="547">
        <f t="shared" si="17"/>
        <v>5567.939193887144</v>
      </c>
      <c r="AW20" s="547">
        <f t="shared" si="18"/>
        <v>7033.060806112856</v>
      </c>
      <c r="AX20" s="547">
        <f t="shared" si="4"/>
        <v>0</v>
      </c>
      <c r="AY20" s="547">
        <v>0</v>
      </c>
      <c r="AZ20" s="547">
        <f t="shared" si="19"/>
        <v>5567.939193887144</v>
      </c>
      <c r="BA20" s="547">
        <f t="shared" si="5"/>
        <v>0</v>
      </c>
      <c r="BB20" s="547">
        <f t="shared" ref="BB20:BB83" si="35">IF(BJ26=0,0,0)</f>
        <v>0</v>
      </c>
      <c r="BC20" s="547"/>
      <c r="BD20" s="547"/>
      <c r="BE20" s="547"/>
      <c r="BF20" s="547"/>
      <c r="BG20" s="547"/>
      <c r="BH20" s="547">
        <f t="shared" si="21"/>
        <v>227941.82713108303</v>
      </c>
      <c r="BI20" s="108">
        <f t="shared" si="31"/>
        <v>25</v>
      </c>
      <c r="BJ20" s="108">
        <f t="shared" si="26"/>
        <v>25</v>
      </c>
      <c r="BK20" s="22">
        <f t="shared" si="27"/>
        <v>45681</v>
      </c>
      <c r="BL20" s="108">
        <f t="shared" si="6"/>
        <v>13038</v>
      </c>
      <c r="BN20" s="118"/>
    </row>
    <row r="21" spans="1:394" ht="12.75" customHeight="1" x14ac:dyDescent="0.25">
      <c r="A21" s="888" t="s">
        <v>469</v>
      </c>
      <c r="B21" s="888"/>
      <c r="C21" s="889" t="str">
        <f>IF(AND(C8=CA9,C10&gt;47),"Ошибка: при указанном сроке нужна страховка АВТО_ПакетБВ+ГС_48",IF(AND(C8=CA10,C10&lt;48),"Ошибка: при указанном сроке нужна страховка АВТО_ПакетБВ+ГС_36",IF(AND(C8&lt;&gt;"нет",C16="Нет"),"Ошибка: Пакет без ГС не оформляется",IF(AND(C8="нет",C16="Нет"),"Базовые условия",IF(AND(C8="нет",C16="Да"),"Только ГС","Акция!")))))</f>
        <v>Ошибка: при указанном сроке нужна страховка АВТО_ПакетБВ+ГС_36</v>
      </c>
      <c r="D21" s="889"/>
      <c r="E21" s="889"/>
      <c r="F21" s="224"/>
      <c r="G21" s="244">
        <f t="shared" si="28"/>
        <v>13</v>
      </c>
      <c r="H21" s="245">
        <f t="shared" si="7"/>
        <v>45712</v>
      </c>
      <c r="I21" s="246">
        <f t="shared" si="8"/>
        <v>0.21900000000000003</v>
      </c>
      <c r="J21" s="242">
        <f>K21+Q21</f>
        <v>13038</v>
      </c>
      <c r="K21" s="242">
        <f t="shared" si="22"/>
        <v>13038</v>
      </c>
      <c r="L21" s="242">
        <f t="shared" si="9"/>
        <v>4912.0923197763123</v>
      </c>
      <c r="M21" s="242">
        <f t="shared" si="23"/>
        <v>8125.9076802236877</v>
      </c>
      <c r="N21" s="242">
        <f t="shared" si="1"/>
        <v>0</v>
      </c>
      <c r="O21" s="242">
        <v>0</v>
      </c>
      <c r="P21" s="242">
        <f t="shared" si="24"/>
        <v>4912.0923197763123</v>
      </c>
      <c r="Q21" s="242">
        <f t="shared" si="2"/>
        <v>0</v>
      </c>
      <c r="R21" s="242">
        <f t="shared" si="10"/>
        <v>0</v>
      </c>
      <c r="S21" s="242">
        <f t="shared" si="11"/>
        <v>255965.07725398662</v>
      </c>
      <c r="T21" s="467"/>
      <c r="U21" s="198">
        <f>IF((U20-1)&lt;0,0,U20-1)</f>
        <v>24</v>
      </c>
      <c r="V21" s="36">
        <f t="shared" si="12"/>
        <v>24</v>
      </c>
      <c r="W21" s="36">
        <f t="shared" si="13"/>
        <v>0</v>
      </c>
      <c r="X21" s="565">
        <v>0.1</v>
      </c>
      <c r="Y21" s="565">
        <v>0.1</v>
      </c>
      <c r="Z21" s="565">
        <v>0.1</v>
      </c>
      <c r="AA21" s="565">
        <v>0.1</v>
      </c>
      <c r="AB21" s="565">
        <v>0.1</v>
      </c>
      <c r="AC21" s="115"/>
      <c r="AD21" s="84">
        <v>0.129</v>
      </c>
      <c r="AE21" s="84">
        <v>0.129</v>
      </c>
      <c r="AF21" s="84">
        <v>0.129</v>
      </c>
      <c r="AG21" s="84">
        <v>0.129</v>
      </c>
      <c r="AH21" s="84">
        <v>0.129</v>
      </c>
      <c r="AI21" s="84">
        <v>0.129</v>
      </c>
      <c r="AJ21" s="84">
        <v>0.129</v>
      </c>
      <c r="AK21" s="84">
        <v>0.129</v>
      </c>
      <c r="AL21" s="84">
        <v>0.129</v>
      </c>
      <c r="AM21" s="84">
        <v>0.129</v>
      </c>
      <c r="AN21" s="3"/>
      <c r="AO21" s="3"/>
      <c r="AP21" s="130">
        <f t="shared" si="14"/>
        <v>1</v>
      </c>
      <c r="AQ21" s="553">
        <f>AQ20+1</f>
        <v>13</v>
      </c>
      <c r="AR21" s="554">
        <f t="shared" si="15"/>
        <v>45712</v>
      </c>
      <c r="AS21" s="555">
        <f t="shared" si="32"/>
        <v>0.27900000000000003</v>
      </c>
      <c r="AT21" s="546">
        <f t="shared" si="16"/>
        <v>12601</v>
      </c>
      <c r="AU21" s="546">
        <f t="shared" si="25"/>
        <v>12601</v>
      </c>
      <c r="AV21" s="546">
        <f t="shared" si="17"/>
        <v>5401.2845557718829</v>
      </c>
      <c r="AW21" s="546">
        <f t="shared" si="18"/>
        <v>7199.7154442281171</v>
      </c>
      <c r="AX21" s="546">
        <f t="shared" si="4"/>
        <v>0</v>
      </c>
      <c r="AY21" s="546">
        <v>0</v>
      </c>
      <c r="AZ21" s="546">
        <f t="shared" si="19"/>
        <v>5401.2845557718829</v>
      </c>
      <c r="BA21" s="546">
        <f t="shared" ref="BA21:BA84" si="36">IF(BJ27=0,0,0)</f>
        <v>0</v>
      </c>
      <c r="BB21" s="546">
        <f t="shared" si="35"/>
        <v>0</v>
      </c>
      <c r="BC21" s="546"/>
      <c r="BD21" s="546"/>
      <c r="BE21" s="546"/>
      <c r="BF21" s="546"/>
      <c r="BG21" s="546"/>
      <c r="BH21" s="546">
        <f t="shared" si="21"/>
        <v>220742.11168685491</v>
      </c>
      <c r="BI21" s="108">
        <f t="shared" si="31"/>
        <v>24</v>
      </c>
      <c r="BJ21" s="108">
        <f t="shared" si="26"/>
        <v>24</v>
      </c>
      <c r="BK21" s="22">
        <f t="shared" si="27"/>
        <v>45712</v>
      </c>
      <c r="BL21" s="108">
        <f t="shared" si="6"/>
        <v>13038</v>
      </c>
      <c r="BN21" s="118"/>
    </row>
    <row r="22" spans="1:394" ht="34.200000000000003" customHeight="1" x14ac:dyDescent="0.25">
      <c r="A22" s="894" t="s">
        <v>350</v>
      </c>
      <c r="B22" s="894"/>
      <c r="C22" s="895"/>
      <c r="D22" s="694"/>
      <c r="E22" s="740"/>
      <c r="F22" s="225"/>
      <c r="G22" s="244">
        <f t="shared" si="28"/>
        <v>14</v>
      </c>
      <c r="H22" s="245">
        <f t="shared" si="7"/>
        <v>45740</v>
      </c>
      <c r="I22" s="246">
        <f t="shared" si="8"/>
        <v>0.21900000000000003</v>
      </c>
      <c r="J22" s="242">
        <f t="shared" si="0"/>
        <v>13038</v>
      </c>
      <c r="K22" s="242">
        <f t="shared" si="22"/>
        <v>13038</v>
      </c>
      <c r="L22" s="242">
        <f t="shared" si="9"/>
        <v>4300.2132978669761</v>
      </c>
      <c r="M22" s="242">
        <f t="shared" si="23"/>
        <v>8737.7867021330239</v>
      </c>
      <c r="N22" s="242">
        <f t="shared" si="1"/>
        <v>0</v>
      </c>
      <c r="O22" s="242">
        <v>0</v>
      </c>
      <c r="P22" s="242">
        <f t="shared" si="24"/>
        <v>4300.2132978669761</v>
      </c>
      <c r="Q22" s="242">
        <f t="shared" si="2"/>
        <v>0</v>
      </c>
      <c r="R22" s="242">
        <f t="shared" si="10"/>
        <v>0</v>
      </c>
      <c r="S22" s="242">
        <f t="shared" si="11"/>
        <v>247227.2905518536</v>
      </c>
      <c r="T22" s="467"/>
      <c r="U22" s="198">
        <f t="shared" si="29"/>
        <v>23</v>
      </c>
      <c r="V22" s="36">
        <f t="shared" si="12"/>
        <v>23</v>
      </c>
      <c r="W22" s="36">
        <f t="shared" si="13"/>
        <v>0</v>
      </c>
      <c r="X22" s="565">
        <v>0.1</v>
      </c>
      <c r="Y22" s="565">
        <v>0.1</v>
      </c>
      <c r="Z22" s="565">
        <v>0.1</v>
      </c>
      <c r="AA22" s="565">
        <v>0.1</v>
      </c>
      <c r="AB22" s="565">
        <v>0.1</v>
      </c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P22" s="130">
        <f t="shared" si="14"/>
        <v>1</v>
      </c>
      <c r="AQ22" s="553">
        <f t="shared" si="30"/>
        <v>14</v>
      </c>
      <c r="AR22" s="554">
        <f t="shared" si="15"/>
        <v>45740</v>
      </c>
      <c r="AS22" s="555">
        <f t="shared" si="32"/>
        <v>0.27900000000000003</v>
      </c>
      <c r="AT22" s="546">
        <f t="shared" si="16"/>
        <v>12601</v>
      </c>
      <c r="AU22" s="546">
        <f t="shared" si="25"/>
        <v>12601</v>
      </c>
      <c r="AV22" s="546">
        <f t="shared" si="17"/>
        <v>4724.4859630074261</v>
      </c>
      <c r="AW22" s="546">
        <f t="shared" si="18"/>
        <v>7876.5140369925739</v>
      </c>
      <c r="AX22" s="546">
        <f t="shared" si="4"/>
        <v>0</v>
      </c>
      <c r="AY22" s="546">
        <v>0</v>
      </c>
      <c r="AZ22" s="546">
        <f t="shared" si="19"/>
        <v>4724.4859630074261</v>
      </c>
      <c r="BA22" s="546">
        <f t="shared" si="36"/>
        <v>0</v>
      </c>
      <c r="BB22" s="546">
        <f t="shared" si="35"/>
        <v>0</v>
      </c>
      <c r="BC22" s="546"/>
      <c r="BD22" s="546"/>
      <c r="BE22" s="546"/>
      <c r="BF22" s="546"/>
      <c r="BG22" s="546"/>
      <c r="BH22" s="546">
        <f t="shared" si="21"/>
        <v>212865.59764986235</v>
      </c>
      <c r="BI22" s="108">
        <f t="shared" si="31"/>
        <v>23</v>
      </c>
      <c r="BJ22" s="108">
        <f t="shared" si="26"/>
        <v>23</v>
      </c>
      <c r="BK22" s="22">
        <f t="shared" si="27"/>
        <v>45740</v>
      </c>
      <c r="BL22" s="108">
        <f t="shared" si="6"/>
        <v>13038</v>
      </c>
      <c r="BN22" s="118"/>
    </row>
    <row r="23" spans="1:394" ht="19.2" customHeight="1" x14ac:dyDescent="0.25">
      <c r="A23" s="896" t="str">
        <f>IF(AND($C$8&lt;&gt;"Нет",$D$8&lt;&gt;"Нет",$C$14&lt;&gt;"Нет",$C$16&lt;&gt;"Нет"),"Сумма кредита с ФЗ + услуга ГС + Всё под контролем, руб.",IF(AND($C$8&lt;&gt;"Нет",$D$8&lt;&gt;"Нет",$C$14&lt;&gt;"Да",$C$16&lt;&gt;"Да"),"Сумма кредита с учетом Финансовой защиты, руб.",IF(AND($C$8&lt;&gt;"Нет",$D$8&lt;&gt;"Нет",$C$14&lt;&gt;"Да",$C$16&lt;&gt;"Нет"),"Сумма кредита с учетом Финансовой защиты + услуга ГС, руб.",IF(AND($C$8&lt;&gt;"Нет",$D$8&lt;&gt;"Нет",$C$14&lt;&gt;"Да",$C$16&lt;&gt;"Нет"),"Сумма кредита с учетом Финансовой защиты + Всё под контролем, руб.",IF(AND($C$8&lt;&gt;"Нет",$D$8&lt;&gt;"Нет",$C$14&lt;&gt;"Нет",$C$16&lt;&gt;"Да"),"Сумма кредита с ФЗ + Всё под контролем, руб.",IF(AND($C$8&lt;&gt;"Да",$D$8&lt;&gt;"Да",$C$14&lt;&gt;"Да",$C$16&lt;&gt;"Нет"),"Сумма кредита с учетом услуги ГС, руб.",IF(AND($C$8&lt;&gt;"Да",$D$8&lt;&gt;"Да",$C$14&lt;&gt;"Нет",$C$16&lt;&gt;"Нет"),"Сумма кредита с учетом пакета услуг Всё под контролем + услуги ГС, руб.","Сумма кредита, руб.")))))))</f>
        <v>Сумма кредита с учетом пакета услуг Всё под контролем + услуги ГС, руб.</v>
      </c>
      <c r="B23" s="896"/>
      <c r="C23" s="358">
        <f>'КЭШ, Реф (БВ_АВТО_Льготный)'!C28</f>
        <v>351979</v>
      </c>
      <c r="D23" s="355">
        <f>'КЭШ, Реф (БВ_АВТО_Базовый)'!D28</f>
        <v>303499</v>
      </c>
      <c r="E23" s="733"/>
      <c r="F23" s="226"/>
      <c r="G23" s="244">
        <f t="shared" si="28"/>
        <v>15</v>
      </c>
      <c r="H23" s="245">
        <f t="shared" si="7"/>
        <v>45771</v>
      </c>
      <c r="I23" s="246">
        <f t="shared" si="8"/>
        <v>0.21900000000000003</v>
      </c>
      <c r="J23" s="242">
        <f t="shared" si="0"/>
        <v>13038</v>
      </c>
      <c r="K23" s="242">
        <f t="shared" si="22"/>
        <v>13038</v>
      </c>
      <c r="L23" s="242">
        <f t="shared" si="9"/>
        <v>4598.4276042644778</v>
      </c>
      <c r="M23" s="242">
        <f t="shared" si="23"/>
        <v>8439.5723957355222</v>
      </c>
      <c r="N23" s="242">
        <f t="shared" si="1"/>
        <v>0</v>
      </c>
      <c r="O23" s="242">
        <v>0</v>
      </c>
      <c r="P23" s="242">
        <f t="shared" si="24"/>
        <v>4598.4276042644778</v>
      </c>
      <c r="Q23" s="242">
        <f t="shared" si="2"/>
        <v>0</v>
      </c>
      <c r="R23" s="242">
        <f t="shared" si="10"/>
        <v>0</v>
      </c>
      <c r="S23" s="242">
        <f t="shared" si="11"/>
        <v>238787.71815611806</v>
      </c>
      <c r="T23" s="467"/>
      <c r="U23" s="198">
        <f t="shared" si="29"/>
        <v>22</v>
      </c>
      <c r="V23" s="36">
        <f t="shared" si="12"/>
        <v>22</v>
      </c>
      <c r="W23" s="36">
        <f t="shared" si="13"/>
        <v>0</v>
      </c>
      <c r="X23" s="2">
        <v>1</v>
      </c>
      <c r="Y23" s="2">
        <v>1</v>
      </c>
      <c r="Z23" s="3">
        <v>1</v>
      </c>
      <c r="AA23" s="2">
        <v>1</v>
      </c>
      <c r="AB23" s="3">
        <v>1</v>
      </c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P23" s="130">
        <f t="shared" si="14"/>
        <v>1</v>
      </c>
      <c r="AQ23" s="553">
        <f t="shared" si="30"/>
        <v>15</v>
      </c>
      <c r="AR23" s="554">
        <f t="shared" si="15"/>
        <v>45771</v>
      </c>
      <c r="AS23" s="555">
        <f t="shared" si="32"/>
        <v>0.27900000000000003</v>
      </c>
      <c r="AT23" s="546">
        <f t="shared" si="16"/>
        <v>12601</v>
      </c>
      <c r="AU23" s="546">
        <f t="shared" si="25"/>
        <v>12601</v>
      </c>
      <c r="AV23" s="546">
        <f t="shared" si="17"/>
        <v>5044.0398741744102</v>
      </c>
      <c r="AW23" s="546">
        <f t="shared" si="18"/>
        <v>7556.9601258255898</v>
      </c>
      <c r="AX23" s="546">
        <f t="shared" si="4"/>
        <v>0</v>
      </c>
      <c r="AY23" s="546">
        <v>0</v>
      </c>
      <c r="AZ23" s="546">
        <f t="shared" si="19"/>
        <v>5044.0398741744102</v>
      </c>
      <c r="BA23" s="546">
        <f t="shared" si="36"/>
        <v>0</v>
      </c>
      <c r="BB23" s="546">
        <f t="shared" si="35"/>
        <v>0</v>
      </c>
      <c r="BC23" s="546"/>
      <c r="BD23" s="546"/>
      <c r="BE23" s="546"/>
      <c r="BF23" s="546"/>
      <c r="BG23" s="546"/>
      <c r="BH23" s="546">
        <f t="shared" si="21"/>
        <v>205308.63752403675</v>
      </c>
      <c r="BI23" s="108">
        <f t="shared" si="31"/>
        <v>22</v>
      </c>
      <c r="BJ23" s="108">
        <f t="shared" si="26"/>
        <v>22</v>
      </c>
      <c r="BK23" s="22">
        <f t="shared" si="27"/>
        <v>45771</v>
      </c>
      <c r="BL23" s="108">
        <f t="shared" si="6"/>
        <v>13038</v>
      </c>
      <c r="BN23" s="118"/>
    </row>
    <row r="24" spans="1:394" ht="18" customHeight="1" x14ac:dyDescent="0.25">
      <c r="A24" s="852" t="str">
        <f>IF(AND($C$8&lt;&gt;"Нет",$D$8&lt;&gt;"Нет",$C$14&lt;&gt;"Нет",$C$16&lt;&gt;"Нет"),"Платеж с ФЗ + услуга ГС + Всё под контролем, руб.",IF(AND($C$8&lt;&gt;"Нет",$D$8&lt;&gt;"Нет",$C$14&lt;&gt;"Да",$C$16&lt;&gt;"Да"),"Платеж с учетом Финансовой защиты, руб.",IF(AND($C$8&lt;&gt;"Нет",$D$8&lt;&gt;"Нет",$C$14&lt;&gt;"Да",$C$16&lt;&gt;"Нет"),"Платеж с учетом Финансовой защиты + услуга ГС, руб.",IF(AND($C$8&lt;&gt;"Нет",$D$8&lt;&gt;"Нет",$C$14&lt;&gt;"Да",$C$16&lt;&gt;"Нет"),"Платеж с учетом Финансовой защиты + Всё под контролем, руб.",IF(AND($C$8&lt;&gt;"Нет",$D$8&lt;&gt;"Нет",$C$14&lt;&gt;"Нет",$C$16&lt;&gt;"Да"),"Платеж с ФЗ + Всё под контролем, руб.",IF(AND($C$8&lt;&gt;"Да",$D$8&lt;&gt;"Да",$C$14&lt;&gt;"Да",$C$16&lt;&gt;"Нет"),"Платеж с учетом услуги ГС, руб.",IF(AND($C$8&lt;&gt;"Да",$D$8&lt;&gt;"Да",$C$14&lt;&gt;"Нет",$C$16&lt;&gt;"Нет"),"Платеж с учетом пакета услуг Всё под контролем + услуги ГС, руб.","Платеж, руб.")))))))</f>
        <v>Платеж с учетом пакета услуг Всё под контролем + услуги ГС, руб.</v>
      </c>
      <c r="B24" s="852"/>
      <c r="C24" s="358">
        <f>'КЭШ, Реф (БВ_АВТО_Льготный)'!C29</f>
        <v>13038</v>
      </c>
      <c r="D24" s="355">
        <f>'КЭШ, Реф (БВ_АВТО_Базовый)'!D29</f>
        <v>12601</v>
      </c>
      <c r="E24" s="734"/>
      <c r="F24" s="226"/>
      <c r="G24" s="244">
        <f t="shared" si="28"/>
        <v>16</v>
      </c>
      <c r="H24" s="245">
        <f t="shared" si="7"/>
        <v>45801</v>
      </c>
      <c r="I24" s="246">
        <f t="shared" si="8"/>
        <v>0.21900000000000003</v>
      </c>
      <c r="J24" s="242">
        <f t="shared" si="0"/>
        <v>13038</v>
      </c>
      <c r="K24" s="242">
        <f t="shared" si="22"/>
        <v>13038</v>
      </c>
      <c r="L24" s="242">
        <f t="shared" si="9"/>
        <v>4298.1789268101256</v>
      </c>
      <c r="M24" s="242">
        <f t="shared" si="23"/>
        <v>8739.8210731898744</v>
      </c>
      <c r="N24" s="242">
        <f t="shared" si="1"/>
        <v>0</v>
      </c>
      <c r="O24" s="242">
        <v>0</v>
      </c>
      <c r="P24" s="242">
        <f t="shared" si="24"/>
        <v>4298.1789268101256</v>
      </c>
      <c r="Q24" s="242">
        <f t="shared" si="2"/>
        <v>0</v>
      </c>
      <c r="R24" s="242">
        <f t="shared" si="10"/>
        <v>0</v>
      </c>
      <c r="S24" s="242">
        <f t="shared" si="11"/>
        <v>230047.89708292819</v>
      </c>
      <c r="T24" s="467"/>
      <c r="U24" s="198">
        <f t="shared" si="29"/>
        <v>21</v>
      </c>
      <c r="V24" s="36">
        <f t="shared" si="12"/>
        <v>21</v>
      </c>
      <c r="W24" s="36">
        <f t="shared" si="13"/>
        <v>0</v>
      </c>
      <c r="AC24" s="3">
        <v>1</v>
      </c>
      <c r="AD24" s="15">
        <v>4.9000000000000002E-2</v>
      </c>
      <c r="AE24" s="15">
        <v>4.9000000000000002E-2</v>
      </c>
      <c r="AF24" s="15">
        <v>4.9000000000000002E-2</v>
      </c>
      <c r="AG24" s="80">
        <v>6.9000000000000006E-2</v>
      </c>
      <c r="AH24" s="80">
        <v>6.9000000000000006E-2</v>
      </c>
      <c r="AI24" s="80">
        <v>6.9000000000000006E-2</v>
      </c>
      <c r="AJ24" s="80">
        <v>6.9000000000000006E-2</v>
      </c>
      <c r="AK24" s="80">
        <v>6.9000000000000006E-2</v>
      </c>
      <c r="AL24" s="80">
        <v>6.9000000000000006E-2</v>
      </c>
      <c r="AM24" s="80">
        <v>6.9000000000000006E-2</v>
      </c>
      <c r="AP24" s="130">
        <f t="shared" si="14"/>
        <v>1</v>
      </c>
      <c r="AQ24" s="553">
        <f t="shared" si="30"/>
        <v>16</v>
      </c>
      <c r="AR24" s="554">
        <f t="shared" si="15"/>
        <v>45801</v>
      </c>
      <c r="AS24" s="555">
        <f t="shared" si="32"/>
        <v>0.27900000000000003</v>
      </c>
      <c r="AT24" s="546">
        <f t="shared" si="16"/>
        <v>12601</v>
      </c>
      <c r="AU24" s="546">
        <f t="shared" si="25"/>
        <v>12601</v>
      </c>
      <c r="AV24" s="546">
        <f t="shared" si="17"/>
        <v>4708.0364276059936</v>
      </c>
      <c r="AW24" s="546">
        <f t="shared" si="18"/>
        <v>7892.9635723940064</v>
      </c>
      <c r="AX24" s="546">
        <f t="shared" si="4"/>
        <v>0</v>
      </c>
      <c r="AY24" s="546">
        <v>0</v>
      </c>
      <c r="AZ24" s="546">
        <f t="shared" si="19"/>
        <v>4708.0364276059936</v>
      </c>
      <c r="BA24" s="546">
        <f t="shared" si="36"/>
        <v>0</v>
      </c>
      <c r="BB24" s="546">
        <f t="shared" si="35"/>
        <v>0</v>
      </c>
      <c r="BC24" s="546"/>
      <c r="BD24" s="546"/>
      <c r="BE24" s="546"/>
      <c r="BF24" s="546"/>
      <c r="BG24" s="546"/>
      <c r="BH24" s="546">
        <f t="shared" si="21"/>
        <v>197415.67395164273</v>
      </c>
      <c r="BI24" s="108">
        <f t="shared" si="31"/>
        <v>21</v>
      </c>
      <c r="BJ24" s="108">
        <f t="shared" si="26"/>
        <v>21</v>
      </c>
      <c r="BK24" s="22">
        <f t="shared" si="27"/>
        <v>45801</v>
      </c>
      <c r="BL24" s="108">
        <f t="shared" si="6"/>
        <v>13038</v>
      </c>
      <c r="BN24" s="118"/>
    </row>
    <row r="25" spans="1:394" ht="18" customHeight="1" x14ac:dyDescent="0.25">
      <c r="A25" s="846" t="s">
        <v>496</v>
      </c>
      <c r="B25" s="846"/>
      <c r="C25" s="358">
        <f>'КЭШ, Реф (БВ_АВТО_Льготный)'!C32</f>
        <v>33479.999999999993</v>
      </c>
      <c r="D25" s="357">
        <v>0</v>
      </c>
      <c r="E25" s="226">
        <f>C25-D25</f>
        <v>33479.999999999993</v>
      </c>
      <c r="F25" s="226"/>
      <c r="G25" s="244">
        <f t="shared" si="28"/>
        <v>17</v>
      </c>
      <c r="H25" s="245">
        <f t="shared" si="7"/>
        <v>45832</v>
      </c>
      <c r="I25" s="246">
        <f t="shared" si="8"/>
        <v>0.21900000000000003</v>
      </c>
      <c r="J25" s="242">
        <f t="shared" si="0"/>
        <v>13038</v>
      </c>
      <c r="K25" s="242">
        <f t="shared" si="22"/>
        <v>13038</v>
      </c>
      <c r="L25" s="242">
        <f t="shared" si="9"/>
        <v>4278.8908857424649</v>
      </c>
      <c r="M25" s="242">
        <f t="shared" si="23"/>
        <v>8759.1091142575351</v>
      </c>
      <c r="N25" s="242">
        <f t="shared" si="1"/>
        <v>0</v>
      </c>
      <c r="O25" s="242">
        <v>0</v>
      </c>
      <c r="P25" s="242">
        <f t="shared" si="24"/>
        <v>4278.8908857424649</v>
      </c>
      <c r="Q25" s="242">
        <f t="shared" si="2"/>
        <v>0</v>
      </c>
      <c r="R25" s="242">
        <f t="shared" si="10"/>
        <v>0</v>
      </c>
      <c r="S25" s="242">
        <f t="shared" si="11"/>
        <v>221288.78796867066</v>
      </c>
      <c r="T25" s="467"/>
      <c r="U25" s="198">
        <f t="shared" si="29"/>
        <v>20</v>
      </c>
      <c r="V25" s="36">
        <f t="shared" si="12"/>
        <v>20</v>
      </c>
      <c r="W25" s="36">
        <f t="shared" si="13"/>
        <v>0</v>
      </c>
      <c r="X25" s="2">
        <v>0</v>
      </c>
      <c r="Y25" s="2">
        <v>1</v>
      </c>
      <c r="Z25" s="2">
        <v>2</v>
      </c>
      <c r="AA25" s="2">
        <v>3</v>
      </c>
      <c r="AB25" s="2">
        <v>4</v>
      </c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6"/>
      <c r="AO25" s="116"/>
      <c r="AP25" s="130">
        <f t="shared" si="14"/>
        <v>1</v>
      </c>
      <c r="AQ25" s="558">
        <f t="shared" si="30"/>
        <v>17</v>
      </c>
      <c r="AR25" s="554">
        <f t="shared" si="15"/>
        <v>45832</v>
      </c>
      <c r="AS25" s="555">
        <f t="shared" si="32"/>
        <v>0.27900000000000003</v>
      </c>
      <c r="AT25" s="546">
        <f t="shared" si="16"/>
        <v>12601</v>
      </c>
      <c r="AU25" s="546">
        <f t="shared" si="25"/>
        <v>12601</v>
      </c>
      <c r="AV25" s="546">
        <f t="shared" si="17"/>
        <v>4677.9401753637212</v>
      </c>
      <c r="AW25" s="546">
        <f t="shared" si="18"/>
        <v>7923.0598246362788</v>
      </c>
      <c r="AX25" s="546">
        <f t="shared" si="4"/>
        <v>0</v>
      </c>
      <c r="AY25" s="546">
        <v>0</v>
      </c>
      <c r="AZ25" s="546">
        <f t="shared" si="19"/>
        <v>4677.9401753637212</v>
      </c>
      <c r="BA25" s="546">
        <f t="shared" si="36"/>
        <v>0</v>
      </c>
      <c r="BB25" s="546">
        <f t="shared" si="35"/>
        <v>0</v>
      </c>
      <c r="BC25" s="546"/>
      <c r="BD25" s="546"/>
      <c r="BE25" s="546"/>
      <c r="BF25" s="546"/>
      <c r="BG25" s="546"/>
      <c r="BH25" s="546">
        <f t="shared" si="21"/>
        <v>189492.61412700644</v>
      </c>
      <c r="BI25" s="108">
        <f t="shared" si="31"/>
        <v>20</v>
      </c>
      <c r="BJ25" s="108">
        <f t="shared" si="26"/>
        <v>20</v>
      </c>
      <c r="BK25" s="22">
        <f t="shared" si="27"/>
        <v>45832</v>
      </c>
      <c r="BL25" s="108">
        <f t="shared" si="6"/>
        <v>13038</v>
      </c>
      <c r="BN25" s="118"/>
    </row>
    <row r="26" spans="1:394" ht="18" customHeight="1" x14ac:dyDescent="0.25">
      <c r="A26" s="846" t="s">
        <v>100</v>
      </c>
      <c r="B26" s="891"/>
      <c r="C26" s="360">
        <f>'КЭШ, Реф (БВ_АВТО_Льготный)'!C31</f>
        <v>9.2999999999999992E-3</v>
      </c>
      <c r="D26" s="666">
        <v>0</v>
      </c>
      <c r="E26" s="225"/>
      <c r="F26" s="192"/>
      <c r="G26" s="244">
        <f t="shared" si="28"/>
        <v>18</v>
      </c>
      <c r="H26" s="245">
        <f t="shared" si="7"/>
        <v>45862</v>
      </c>
      <c r="I26" s="246">
        <f t="shared" si="8"/>
        <v>0.21900000000000003</v>
      </c>
      <c r="J26" s="242">
        <f t="shared" si="0"/>
        <v>13038</v>
      </c>
      <c r="K26" s="242">
        <f t="shared" si="22"/>
        <v>13038</v>
      </c>
      <c r="L26" s="242">
        <f t="shared" si="9"/>
        <v>3983.1981834360722</v>
      </c>
      <c r="M26" s="242">
        <f t="shared" si="23"/>
        <v>9054.8018165639278</v>
      </c>
      <c r="N26" s="242">
        <f t="shared" si="1"/>
        <v>0</v>
      </c>
      <c r="O26" s="242">
        <v>0</v>
      </c>
      <c r="P26" s="242">
        <f t="shared" si="24"/>
        <v>3983.1981834360722</v>
      </c>
      <c r="Q26" s="242">
        <f t="shared" si="2"/>
        <v>0</v>
      </c>
      <c r="R26" s="242">
        <f t="shared" si="10"/>
        <v>0</v>
      </c>
      <c r="S26" s="242">
        <f t="shared" si="11"/>
        <v>212233.98615210672</v>
      </c>
      <c r="T26" s="467"/>
      <c r="U26" s="198">
        <f t="shared" si="29"/>
        <v>19</v>
      </c>
      <c r="V26" s="36">
        <f t="shared" si="12"/>
        <v>19</v>
      </c>
      <c r="W26" s="36">
        <f t="shared" si="13"/>
        <v>0</v>
      </c>
      <c r="AC26" s="13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P26" s="130">
        <f t="shared" si="14"/>
        <v>1</v>
      </c>
      <c r="AQ26" s="553">
        <f t="shared" si="30"/>
        <v>18</v>
      </c>
      <c r="AR26" s="554">
        <f t="shared" si="15"/>
        <v>45862</v>
      </c>
      <c r="AS26" s="555">
        <f t="shared" si="32"/>
        <v>0.27900000000000003</v>
      </c>
      <c r="AT26" s="546">
        <f t="shared" si="16"/>
        <v>12601</v>
      </c>
      <c r="AU26" s="546">
        <f t="shared" si="25"/>
        <v>12601</v>
      </c>
      <c r="AV26" s="546">
        <f t="shared" si="17"/>
        <v>4345.3511787480656</v>
      </c>
      <c r="AW26" s="546">
        <f t="shared" si="18"/>
        <v>8255.6488212519344</v>
      </c>
      <c r="AX26" s="546">
        <f t="shared" si="4"/>
        <v>0</v>
      </c>
      <c r="AY26" s="546">
        <v>0</v>
      </c>
      <c r="AZ26" s="546">
        <f t="shared" si="19"/>
        <v>4345.3511787480656</v>
      </c>
      <c r="BA26" s="546">
        <f t="shared" si="36"/>
        <v>0</v>
      </c>
      <c r="BB26" s="546">
        <f t="shared" si="35"/>
        <v>0</v>
      </c>
      <c r="BC26" s="546"/>
      <c r="BD26" s="546"/>
      <c r="BE26" s="546"/>
      <c r="BF26" s="546"/>
      <c r="BG26" s="546"/>
      <c r="BH26" s="546">
        <f t="shared" si="21"/>
        <v>181236.96530575451</v>
      </c>
      <c r="BI26" s="108">
        <f t="shared" si="31"/>
        <v>19</v>
      </c>
      <c r="BJ26" s="108">
        <f t="shared" si="26"/>
        <v>19</v>
      </c>
      <c r="BK26" s="22">
        <f t="shared" si="27"/>
        <v>45862</v>
      </c>
      <c r="BL26" s="108">
        <f t="shared" si="6"/>
        <v>13038</v>
      </c>
      <c r="BM26" s="97"/>
      <c r="BN26" s="118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97"/>
      <c r="DW26" s="97"/>
      <c r="DX26" s="97"/>
      <c r="DY26" s="97"/>
      <c r="DZ26" s="97"/>
      <c r="EA26" s="97"/>
      <c r="EB26" s="97"/>
      <c r="EC26" s="97"/>
      <c r="ED26" s="97"/>
      <c r="EE26" s="97"/>
      <c r="EF26" s="97"/>
      <c r="EG26" s="97"/>
      <c r="EH26" s="97"/>
      <c r="EI26" s="97"/>
      <c r="EJ26" s="97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97"/>
      <c r="FC26" s="97"/>
      <c r="FD26" s="97"/>
      <c r="FE26" s="97"/>
      <c r="FF26" s="97"/>
      <c r="FG26" s="97"/>
      <c r="FH26" s="97"/>
      <c r="FI26" s="97"/>
      <c r="FJ26" s="97"/>
      <c r="FK26" s="97"/>
      <c r="FL26" s="97"/>
      <c r="FM26" s="97"/>
      <c r="FN26" s="97"/>
      <c r="FO26" s="97"/>
      <c r="FP26" s="97"/>
      <c r="FQ26" s="97"/>
      <c r="FR26" s="97"/>
      <c r="FS26" s="97"/>
      <c r="FT26" s="97"/>
      <c r="FU26" s="97"/>
      <c r="FV26" s="97"/>
      <c r="FW26" s="97"/>
      <c r="FX26" s="97"/>
      <c r="FY26" s="97"/>
      <c r="FZ26" s="97"/>
      <c r="GA26" s="97"/>
      <c r="GB26" s="97"/>
      <c r="GC26" s="97"/>
      <c r="GD26" s="97"/>
      <c r="GE26" s="97"/>
      <c r="GF26" s="97"/>
      <c r="GG26" s="97"/>
      <c r="GH26" s="97"/>
      <c r="GI26" s="97"/>
      <c r="GJ26" s="97"/>
      <c r="GK26" s="97"/>
      <c r="GL26" s="97"/>
      <c r="GM26" s="97"/>
      <c r="GN26" s="97"/>
      <c r="GO26" s="97"/>
      <c r="GP26" s="97"/>
      <c r="GQ26" s="97"/>
      <c r="GR26" s="97"/>
      <c r="GS26" s="97"/>
      <c r="GT26" s="97"/>
      <c r="GU26" s="97"/>
      <c r="GV26" s="97"/>
      <c r="GW26" s="97"/>
      <c r="GX26" s="97"/>
      <c r="GY26" s="97"/>
      <c r="GZ26" s="97"/>
      <c r="HA26" s="97"/>
      <c r="HB26" s="97"/>
      <c r="HC26" s="97"/>
      <c r="HD26" s="97"/>
      <c r="HE26" s="97"/>
      <c r="HF26" s="97"/>
      <c r="HG26" s="97"/>
      <c r="HH26" s="97"/>
      <c r="HI26" s="97"/>
      <c r="HJ26" s="97"/>
      <c r="HK26" s="97"/>
      <c r="HL26" s="97"/>
      <c r="HM26" s="97"/>
      <c r="HN26" s="97"/>
      <c r="HO26" s="97"/>
      <c r="HP26" s="97"/>
      <c r="HQ26" s="97"/>
      <c r="HR26" s="97"/>
      <c r="HS26" s="97"/>
      <c r="HT26" s="97"/>
      <c r="HU26" s="97"/>
      <c r="HV26" s="97"/>
      <c r="HW26" s="97"/>
      <c r="HX26" s="97"/>
      <c r="HY26" s="97"/>
      <c r="HZ26" s="97"/>
      <c r="IA26" s="97"/>
      <c r="IB26" s="97"/>
      <c r="IC26" s="97"/>
      <c r="ID26" s="97"/>
      <c r="IE26" s="97"/>
      <c r="IF26" s="97"/>
      <c r="IG26" s="97"/>
      <c r="IH26" s="97"/>
      <c r="II26" s="97"/>
      <c r="IJ26" s="97"/>
      <c r="IK26" s="97"/>
      <c r="IL26" s="97"/>
      <c r="IM26" s="97"/>
      <c r="IN26" s="97"/>
      <c r="IO26" s="97"/>
      <c r="IP26" s="97"/>
      <c r="IQ26" s="97"/>
      <c r="IR26" s="97"/>
      <c r="IS26" s="97"/>
      <c r="IT26" s="97"/>
      <c r="IU26" s="97"/>
      <c r="IV26" s="97"/>
      <c r="IW26" s="97"/>
      <c r="IX26" s="97"/>
      <c r="IY26" s="97"/>
      <c r="IZ26" s="97"/>
      <c r="JA26" s="97"/>
      <c r="JB26" s="97"/>
      <c r="JC26" s="97"/>
      <c r="JD26" s="97"/>
      <c r="JE26" s="97"/>
      <c r="JF26" s="97"/>
      <c r="JG26" s="97"/>
      <c r="JH26" s="97"/>
      <c r="JI26" s="97"/>
      <c r="JJ26" s="97"/>
      <c r="JK26" s="97"/>
      <c r="JL26" s="97"/>
      <c r="JM26" s="97"/>
      <c r="JN26" s="97"/>
      <c r="JO26" s="97"/>
      <c r="JP26" s="97"/>
      <c r="JQ26" s="97"/>
      <c r="JR26" s="97"/>
      <c r="JS26" s="97"/>
      <c r="JT26" s="97"/>
      <c r="JU26" s="97"/>
      <c r="JV26" s="97"/>
      <c r="JW26" s="97"/>
      <c r="JX26" s="97"/>
      <c r="JY26" s="97"/>
      <c r="JZ26" s="97"/>
      <c r="KA26" s="97"/>
      <c r="KB26" s="97"/>
      <c r="KC26" s="97"/>
      <c r="KD26" s="97"/>
      <c r="KE26" s="97"/>
      <c r="KF26" s="97"/>
      <c r="KG26" s="97"/>
      <c r="KH26" s="97"/>
      <c r="KI26" s="97"/>
      <c r="KJ26" s="97"/>
      <c r="KK26" s="97"/>
      <c r="KL26" s="97"/>
      <c r="KM26" s="97"/>
      <c r="KN26" s="97"/>
      <c r="KO26" s="97"/>
      <c r="KP26" s="97"/>
      <c r="KQ26" s="97"/>
      <c r="KR26" s="97"/>
      <c r="KS26" s="97"/>
      <c r="KT26" s="97"/>
      <c r="KU26" s="97"/>
      <c r="KV26" s="97"/>
      <c r="KW26" s="97"/>
      <c r="KX26" s="97"/>
      <c r="KY26" s="97"/>
      <c r="KZ26" s="97"/>
      <c r="LA26" s="97"/>
      <c r="LB26" s="97"/>
      <c r="LC26" s="97"/>
      <c r="LD26" s="97"/>
      <c r="LE26" s="97"/>
      <c r="LF26" s="97"/>
      <c r="LG26" s="97"/>
      <c r="LH26" s="97"/>
      <c r="LI26" s="97"/>
      <c r="LJ26" s="97"/>
      <c r="LK26" s="97"/>
      <c r="LL26" s="97"/>
      <c r="LM26" s="97"/>
      <c r="LN26" s="97"/>
      <c r="LO26" s="97"/>
      <c r="LP26" s="97"/>
      <c r="LQ26" s="97"/>
      <c r="LR26" s="97"/>
      <c r="LS26" s="97"/>
      <c r="LT26" s="97"/>
      <c r="LU26" s="97"/>
      <c r="LV26" s="97"/>
      <c r="LW26" s="97"/>
      <c r="LX26" s="97"/>
      <c r="LY26" s="97"/>
      <c r="LZ26" s="97"/>
      <c r="MA26" s="97"/>
      <c r="MB26" s="97"/>
      <c r="MC26" s="97"/>
      <c r="MD26" s="97"/>
      <c r="ME26" s="97"/>
      <c r="MF26" s="97"/>
      <c r="MG26" s="97"/>
      <c r="MH26" s="97"/>
      <c r="MI26" s="97"/>
      <c r="MJ26" s="97"/>
      <c r="MK26" s="97"/>
      <c r="ML26" s="97"/>
      <c r="MM26" s="97"/>
      <c r="MN26" s="97"/>
      <c r="MO26" s="97"/>
      <c r="MP26" s="97"/>
      <c r="MQ26" s="97"/>
      <c r="MR26" s="97"/>
      <c r="MS26" s="97"/>
      <c r="MT26" s="97"/>
      <c r="MU26" s="97"/>
      <c r="MV26" s="97"/>
      <c r="MW26" s="97"/>
      <c r="MX26" s="97"/>
      <c r="MY26" s="97"/>
      <c r="MZ26" s="97"/>
      <c r="NA26" s="97"/>
      <c r="NB26" s="97"/>
      <c r="NC26" s="97"/>
      <c r="ND26" s="97"/>
      <c r="NE26" s="97"/>
      <c r="NF26" s="97"/>
      <c r="NG26" s="97"/>
      <c r="NH26" s="97"/>
      <c r="NI26" s="97"/>
      <c r="NJ26" s="97"/>
      <c r="NK26" s="97"/>
      <c r="NL26" s="97"/>
      <c r="NM26" s="97"/>
      <c r="NN26" s="97"/>
      <c r="NO26" s="97"/>
      <c r="NP26" s="97"/>
      <c r="NQ26" s="97"/>
      <c r="NR26" s="97"/>
      <c r="NS26" s="97"/>
      <c r="NT26" s="97"/>
      <c r="NU26" s="97"/>
      <c r="NV26" s="97"/>
      <c r="NW26" s="97"/>
      <c r="NX26" s="97"/>
      <c r="NY26" s="97"/>
      <c r="NZ26" s="97"/>
      <c r="OA26" s="97"/>
      <c r="OB26" s="97"/>
      <c r="OC26" s="97"/>
      <c r="OD26" s="97"/>
    </row>
    <row r="27" spans="1:394" ht="16.95" customHeight="1" x14ac:dyDescent="0.25">
      <c r="A27" s="882" t="s">
        <v>465</v>
      </c>
      <c r="B27" s="846"/>
      <c r="C27" s="505">
        <f>'КЭШ, Реф (БВ_АВТО_Льготный)'!C30</f>
        <v>12</v>
      </c>
      <c r="D27" s="667">
        <v>0</v>
      </c>
      <c r="E27" s="226">
        <f t="shared" ref="E27:E29" si="37">C27-D27</f>
        <v>12</v>
      </c>
      <c r="F27" s="192"/>
      <c r="G27" s="244">
        <f t="shared" si="28"/>
        <v>19</v>
      </c>
      <c r="H27" s="245">
        <f t="shared" si="7"/>
        <v>45893</v>
      </c>
      <c r="I27" s="246">
        <f t="shared" si="8"/>
        <v>0.21900000000000003</v>
      </c>
      <c r="J27" s="242">
        <f t="shared" si="0"/>
        <v>13038</v>
      </c>
      <c r="K27" s="242">
        <f t="shared" si="22"/>
        <v>13038</v>
      </c>
      <c r="L27" s="242">
        <f t="shared" si="9"/>
        <v>3947.5521424291856</v>
      </c>
      <c r="M27" s="242">
        <f t="shared" si="23"/>
        <v>9090.4478575708144</v>
      </c>
      <c r="N27" s="242">
        <f t="shared" si="1"/>
        <v>0</v>
      </c>
      <c r="O27" s="242">
        <v>0</v>
      </c>
      <c r="P27" s="242">
        <f t="shared" si="24"/>
        <v>3947.5521424291856</v>
      </c>
      <c r="Q27" s="242">
        <f t="shared" si="2"/>
        <v>0</v>
      </c>
      <c r="R27" s="242">
        <f t="shared" si="10"/>
        <v>0</v>
      </c>
      <c r="S27" s="242">
        <f t="shared" si="11"/>
        <v>203143.53829453592</v>
      </c>
      <c r="T27" s="467"/>
      <c r="U27" s="198">
        <f t="shared" si="29"/>
        <v>18</v>
      </c>
      <c r="V27" s="36">
        <f t="shared" si="12"/>
        <v>18</v>
      </c>
      <c r="W27" s="36">
        <f t="shared" si="13"/>
        <v>0</v>
      </c>
      <c r="X27" s="16"/>
      <c r="Y27" s="16"/>
      <c r="Z27" s="57"/>
      <c r="AC27" s="13" t="s">
        <v>79</v>
      </c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P27" s="130">
        <f t="shared" si="14"/>
        <v>1</v>
      </c>
      <c r="AQ27" s="553">
        <f t="shared" si="30"/>
        <v>19</v>
      </c>
      <c r="AR27" s="554">
        <f t="shared" si="15"/>
        <v>45893</v>
      </c>
      <c r="AS27" s="555">
        <f t="shared" si="32"/>
        <v>0.27900000000000003</v>
      </c>
      <c r="AT27" s="546">
        <f t="shared" si="16"/>
        <v>12601</v>
      </c>
      <c r="AU27" s="546">
        <f t="shared" si="25"/>
        <v>12601</v>
      </c>
      <c r="AV27" s="546">
        <f t="shared" si="17"/>
        <v>4294.5712682999201</v>
      </c>
      <c r="AW27" s="546">
        <f t="shared" si="18"/>
        <v>8306.4287317000799</v>
      </c>
      <c r="AX27" s="546">
        <f t="shared" si="4"/>
        <v>0</v>
      </c>
      <c r="AY27" s="546">
        <v>0</v>
      </c>
      <c r="AZ27" s="546">
        <f t="shared" si="19"/>
        <v>4294.5712682999201</v>
      </c>
      <c r="BA27" s="546">
        <f t="shared" si="36"/>
        <v>0</v>
      </c>
      <c r="BB27" s="546">
        <f t="shared" si="35"/>
        <v>0</v>
      </c>
      <c r="BC27" s="546"/>
      <c r="BD27" s="546"/>
      <c r="BE27" s="546"/>
      <c r="BF27" s="546"/>
      <c r="BG27" s="546"/>
      <c r="BH27" s="546">
        <f t="shared" si="21"/>
        <v>172930.53657405442</v>
      </c>
      <c r="BI27" s="108">
        <f t="shared" si="31"/>
        <v>18</v>
      </c>
      <c r="BJ27" s="108">
        <f t="shared" si="26"/>
        <v>18</v>
      </c>
      <c r="BK27" s="22">
        <f t="shared" si="27"/>
        <v>45893</v>
      </c>
      <c r="BL27" s="108">
        <f t="shared" si="6"/>
        <v>13038</v>
      </c>
      <c r="BN27" s="118"/>
    </row>
    <row r="28" spans="1:394" ht="22.5" customHeight="1" x14ac:dyDescent="0.25">
      <c r="A28" s="846" t="s">
        <v>75</v>
      </c>
      <c r="B28" s="846"/>
      <c r="C28" s="194">
        <f>L109</f>
        <v>136546.74594851327</v>
      </c>
      <c r="D28" s="209">
        <f>AV109</f>
        <v>146689.75948506407</v>
      </c>
      <c r="E28" s="274">
        <f t="shared" si="37"/>
        <v>-10143.013536550803</v>
      </c>
      <c r="F28" s="190"/>
      <c r="G28" s="244">
        <f t="shared" si="28"/>
        <v>20</v>
      </c>
      <c r="H28" s="245">
        <f t="shared" si="7"/>
        <v>45924</v>
      </c>
      <c r="I28" s="246">
        <f t="shared" si="8"/>
        <v>0.21900000000000003</v>
      </c>
      <c r="J28" s="242">
        <f t="shared" si="0"/>
        <v>13038</v>
      </c>
      <c r="K28" s="242">
        <f t="shared" si="22"/>
        <v>13038</v>
      </c>
      <c r="L28" s="242">
        <f t="shared" si="9"/>
        <v>3778.4698122783684</v>
      </c>
      <c r="M28" s="242">
        <f t="shared" si="23"/>
        <v>9259.5301877216316</v>
      </c>
      <c r="N28" s="242">
        <f t="shared" si="1"/>
        <v>0</v>
      </c>
      <c r="O28" s="242">
        <v>0</v>
      </c>
      <c r="P28" s="242">
        <f t="shared" si="24"/>
        <v>3778.4698122783684</v>
      </c>
      <c r="Q28" s="242">
        <f t="shared" si="2"/>
        <v>0</v>
      </c>
      <c r="R28" s="242">
        <f t="shared" si="10"/>
        <v>0</v>
      </c>
      <c r="S28" s="242">
        <f t="shared" si="11"/>
        <v>193884.00810681429</v>
      </c>
      <c r="T28" s="467"/>
      <c r="U28" s="198">
        <f t="shared" si="29"/>
        <v>17</v>
      </c>
      <c r="V28" s="36">
        <f t="shared" si="12"/>
        <v>17</v>
      </c>
      <c r="W28" s="36">
        <f t="shared" si="13"/>
        <v>0</v>
      </c>
      <c r="X28" s="16"/>
      <c r="Y28" s="16"/>
      <c r="Z28" s="57" t="s">
        <v>47</v>
      </c>
      <c r="AA28" s="2" t="s">
        <v>35</v>
      </c>
      <c r="AC28" s="13" t="s">
        <v>80</v>
      </c>
      <c r="AD28" s="3">
        <v>1</v>
      </c>
      <c r="AE28" s="3">
        <v>1</v>
      </c>
      <c r="AF28" s="3">
        <v>1</v>
      </c>
      <c r="AG28" s="81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P28" s="130">
        <f t="shared" si="14"/>
        <v>1</v>
      </c>
      <c r="AQ28" s="553">
        <f t="shared" si="30"/>
        <v>20</v>
      </c>
      <c r="AR28" s="554">
        <f t="shared" si="15"/>
        <v>45924</v>
      </c>
      <c r="AS28" s="555">
        <f t="shared" si="32"/>
        <v>0.27900000000000003</v>
      </c>
      <c r="AT28" s="546">
        <f t="shared" si="16"/>
        <v>12601</v>
      </c>
      <c r="AU28" s="546">
        <f t="shared" si="25"/>
        <v>12601</v>
      </c>
      <c r="AV28" s="546">
        <f t="shared" si="17"/>
        <v>4097.7430433671143</v>
      </c>
      <c r="AW28" s="546">
        <f t="shared" si="18"/>
        <v>8503.2569566328857</v>
      </c>
      <c r="AX28" s="546">
        <f t="shared" si="4"/>
        <v>0</v>
      </c>
      <c r="AY28" s="546">
        <v>0</v>
      </c>
      <c r="AZ28" s="546">
        <f t="shared" si="19"/>
        <v>4097.7430433671143</v>
      </c>
      <c r="BA28" s="546">
        <f t="shared" si="36"/>
        <v>0</v>
      </c>
      <c r="BB28" s="546">
        <f t="shared" si="35"/>
        <v>0</v>
      </c>
      <c r="BC28" s="546"/>
      <c r="BD28" s="546"/>
      <c r="BE28" s="546"/>
      <c r="BF28" s="546"/>
      <c r="BG28" s="546"/>
      <c r="BH28" s="546">
        <f t="shared" si="21"/>
        <v>164427.27961742153</v>
      </c>
      <c r="BI28" s="108">
        <f t="shared" si="31"/>
        <v>17</v>
      </c>
      <c r="BJ28" s="108">
        <f t="shared" si="26"/>
        <v>17</v>
      </c>
      <c r="BK28" s="22">
        <f t="shared" si="27"/>
        <v>45924</v>
      </c>
      <c r="BL28" s="108">
        <f t="shared" si="6"/>
        <v>13038</v>
      </c>
    </row>
    <row r="29" spans="1:394" ht="19.5" customHeight="1" x14ac:dyDescent="0.25">
      <c r="A29" s="887" t="s">
        <v>466</v>
      </c>
      <c r="B29" s="846"/>
      <c r="C29" s="662">
        <f>'КЭШ, Реф (БВ_АВТО_Льготный)'!C26</f>
        <v>43650.35388127857</v>
      </c>
      <c r="D29" s="209">
        <f>IF(D18="",0,D18*12)</f>
        <v>0</v>
      </c>
      <c r="E29" s="274">
        <f t="shared" si="37"/>
        <v>43650.35388127857</v>
      </c>
      <c r="F29" s="234"/>
      <c r="G29" s="244">
        <f t="shared" si="28"/>
        <v>21</v>
      </c>
      <c r="H29" s="245">
        <f t="shared" si="7"/>
        <v>45954</v>
      </c>
      <c r="I29" s="246">
        <f t="shared" si="8"/>
        <v>0.21900000000000003</v>
      </c>
      <c r="J29" s="242">
        <f t="shared" si="0"/>
        <v>13038</v>
      </c>
      <c r="K29" s="242">
        <f t="shared" si="22"/>
        <v>13038</v>
      </c>
      <c r="L29" s="242">
        <f t="shared" si="9"/>
        <v>3489.9121459226576</v>
      </c>
      <c r="M29" s="242">
        <f t="shared" si="23"/>
        <v>9548.0878540773429</v>
      </c>
      <c r="N29" s="242">
        <f t="shared" si="1"/>
        <v>0</v>
      </c>
      <c r="O29" s="242">
        <v>0</v>
      </c>
      <c r="P29" s="242">
        <f t="shared" si="24"/>
        <v>3489.9121459226576</v>
      </c>
      <c r="Q29" s="242">
        <f t="shared" si="2"/>
        <v>0</v>
      </c>
      <c r="R29" s="242">
        <f t="shared" si="10"/>
        <v>0</v>
      </c>
      <c r="S29" s="242">
        <f t="shared" si="11"/>
        <v>184335.92025273695</v>
      </c>
      <c r="T29" s="467"/>
      <c r="U29" s="198">
        <f t="shared" si="29"/>
        <v>16</v>
      </c>
      <c r="V29" s="36">
        <f t="shared" si="12"/>
        <v>16</v>
      </c>
      <c r="W29" s="36">
        <f t="shared" si="13"/>
        <v>0</v>
      </c>
      <c r="X29" s="16"/>
      <c r="Y29" s="16"/>
      <c r="Z29" s="57"/>
      <c r="AF29" s="82"/>
      <c r="AG29" s="2"/>
      <c r="AH29" s="2"/>
      <c r="AI29" s="2"/>
      <c r="AJ29" s="3"/>
      <c r="AK29" s="3"/>
      <c r="AL29" s="3"/>
      <c r="AM29" s="3"/>
      <c r="AP29" s="130">
        <f t="shared" si="14"/>
        <v>1</v>
      </c>
      <c r="AQ29" s="553">
        <f t="shared" si="30"/>
        <v>21</v>
      </c>
      <c r="AR29" s="554">
        <f t="shared" si="15"/>
        <v>45954</v>
      </c>
      <c r="AS29" s="555">
        <f t="shared" si="32"/>
        <v>0.27900000000000003</v>
      </c>
      <c r="AT29" s="546">
        <f t="shared" si="16"/>
        <v>12601</v>
      </c>
      <c r="AU29" s="546">
        <f t="shared" si="25"/>
        <v>12601</v>
      </c>
      <c r="AV29" s="546">
        <f t="shared" si="17"/>
        <v>3770.5652887611463</v>
      </c>
      <c r="AW29" s="546">
        <f t="shared" si="18"/>
        <v>8830.4347112388532</v>
      </c>
      <c r="AX29" s="546">
        <f t="shared" si="4"/>
        <v>0</v>
      </c>
      <c r="AY29" s="546">
        <v>0</v>
      </c>
      <c r="AZ29" s="546">
        <f t="shared" si="19"/>
        <v>3770.5652887611463</v>
      </c>
      <c r="BA29" s="546">
        <f t="shared" si="36"/>
        <v>0</v>
      </c>
      <c r="BB29" s="546">
        <f t="shared" si="35"/>
        <v>0</v>
      </c>
      <c r="BC29" s="546"/>
      <c r="BD29" s="546"/>
      <c r="BE29" s="546"/>
      <c r="BF29" s="546"/>
      <c r="BG29" s="546"/>
      <c r="BH29" s="546">
        <f t="shared" si="21"/>
        <v>155596.84490618267</v>
      </c>
      <c r="BI29" s="108">
        <f t="shared" si="31"/>
        <v>16</v>
      </c>
      <c r="BJ29" s="108">
        <f t="shared" si="26"/>
        <v>16</v>
      </c>
      <c r="BK29" s="22">
        <f t="shared" si="27"/>
        <v>45954</v>
      </c>
      <c r="BL29" s="108">
        <f t="shared" si="6"/>
        <v>13038</v>
      </c>
    </row>
    <row r="30" spans="1:394" ht="35.25" customHeight="1" x14ac:dyDescent="0.25">
      <c r="A30" s="887" t="s">
        <v>467</v>
      </c>
      <c r="B30" s="846"/>
      <c r="C30" s="662">
        <f>'КЭШ, Реф (БВ_АВТО_Льготный)'!C27</f>
        <v>24476.103881278661</v>
      </c>
      <c r="D30" s="209">
        <f>D29</f>
        <v>0</v>
      </c>
      <c r="E30" s="802" t="s">
        <v>358</v>
      </c>
      <c r="F30" s="235"/>
      <c r="G30" s="244">
        <f>G29+1</f>
        <v>22</v>
      </c>
      <c r="H30" s="245">
        <f t="shared" si="7"/>
        <v>45985</v>
      </c>
      <c r="I30" s="246">
        <f t="shared" si="8"/>
        <v>0.21900000000000003</v>
      </c>
      <c r="J30" s="242">
        <f t="shared" si="0"/>
        <v>13038</v>
      </c>
      <c r="K30" s="242">
        <f t="shared" si="22"/>
        <v>13038</v>
      </c>
      <c r="L30" s="242">
        <f t="shared" si="9"/>
        <v>3428.6481167009074</v>
      </c>
      <c r="M30" s="242">
        <f t="shared" si="23"/>
        <v>9609.3518832990922</v>
      </c>
      <c r="N30" s="242">
        <f t="shared" si="1"/>
        <v>0</v>
      </c>
      <c r="O30" s="242">
        <v>0</v>
      </c>
      <c r="P30" s="242">
        <f t="shared" si="24"/>
        <v>3428.6481167009074</v>
      </c>
      <c r="Q30" s="242">
        <f t="shared" si="2"/>
        <v>0</v>
      </c>
      <c r="R30" s="242">
        <f t="shared" si="10"/>
        <v>0</v>
      </c>
      <c r="S30" s="242">
        <f t="shared" si="11"/>
        <v>174726.56836943785</v>
      </c>
      <c r="T30" s="467"/>
      <c r="U30" s="198">
        <f>IF((U29-1)&lt;0,0,U29-1)</f>
        <v>15</v>
      </c>
      <c r="V30" s="36">
        <f t="shared" si="12"/>
        <v>15</v>
      </c>
      <c r="W30" s="36">
        <f t="shared" si="13"/>
        <v>0</v>
      </c>
      <c r="X30" s="16"/>
      <c r="Y30" s="16"/>
      <c r="Z30" s="57"/>
      <c r="AD30" s="13" t="s">
        <v>47</v>
      </c>
      <c r="AE30" s="2" t="s">
        <v>35</v>
      </c>
      <c r="AF30" s="82" t="s">
        <v>35</v>
      </c>
      <c r="AG30" s="2" t="s">
        <v>35</v>
      </c>
      <c r="AH30" s="2" t="s">
        <v>35</v>
      </c>
      <c r="AI30" s="2" t="s">
        <v>35</v>
      </c>
      <c r="AL30" s="2"/>
      <c r="AP30" s="130">
        <f t="shared" si="14"/>
        <v>1</v>
      </c>
      <c r="AQ30" s="553">
        <f>AQ29+1</f>
        <v>22</v>
      </c>
      <c r="AR30" s="554">
        <f t="shared" si="15"/>
        <v>45985</v>
      </c>
      <c r="AS30" s="555">
        <f t="shared" si="32"/>
        <v>0.27900000000000003</v>
      </c>
      <c r="AT30" s="546">
        <f t="shared" si="16"/>
        <v>12601</v>
      </c>
      <c r="AU30" s="546">
        <f t="shared" si="25"/>
        <v>12601</v>
      </c>
      <c r="AV30" s="546">
        <f t="shared" si="17"/>
        <v>3687.0057851878742</v>
      </c>
      <c r="AW30" s="546">
        <f>IF(BJ30=0,0,IF(BJ30=1,BH29,IF(BH29+AX30+AV30&gt;AU29,AU30-AV30-AX30,BH29)))</f>
        <v>8913.9942148121263</v>
      </c>
      <c r="AX30" s="546">
        <f t="shared" si="4"/>
        <v>0</v>
      </c>
      <c r="AY30" s="546">
        <v>0</v>
      </c>
      <c r="AZ30" s="546">
        <f t="shared" si="19"/>
        <v>3687.0057851878742</v>
      </c>
      <c r="BA30" s="546">
        <f t="shared" si="36"/>
        <v>0</v>
      </c>
      <c r="BB30" s="546">
        <f t="shared" si="35"/>
        <v>0</v>
      </c>
      <c r="BC30" s="546"/>
      <c r="BD30" s="546"/>
      <c r="BE30" s="546"/>
      <c r="BF30" s="546"/>
      <c r="BG30" s="546"/>
      <c r="BH30" s="546">
        <f>IF(OR(BJ30=1,BH29=0),0,BH29-AW30)</f>
        <v>146682.85069137055</v>
      </c>
      <c r="BI30" s="108">
        <f>IF((BI29-1)&lt;0,0,BI29-1)</f>
        <v>15</v>
      </c>
      <c r="BJ30" s="108">
        <f t="shared" si="26"/>
        <v>15</v>
      </c>
      <c r="BK30" s="22">
        <f t="shared" si="27"/>
        <v>45985</v>
      </c>
      <c r="BL30" s="108">
        <f t="shared" si="6"/>
        <v>13038</v>
      </c>
    </row>
    <row r="31" spans="1:394" ht="42" customHeight="1" x14ac:dyDescent="0.25">
      <c r="A31" s="941" t="s">
        <v>357</v>
      </c>
      <c r="B31" s="941"/>
      <c r="C31" s="518">
        <f>C28-C30</f>
        <v>112070.64206723461</v>
      </c>
      <c r="D31" s="212">
        <f>D28+D29</f>
        <v>146689.75948506407</v>
      </c>
      <c r="E31" s="803">
        <f>D31-C31</f>
        <v>34619.11741782946</v>
      </c>
      <c r="F31" s="236"/>
      <c r="G31" s="244">
        <f t="shared" si="28"/>
        <v>23</v>
      </c>
      <c r="H31" s="245">
        <f t="shared" si="7"/>
        <v>46015</v>
      </c>
      <c r="I31" s="246">
        <f t="shared" si="8"/>
        <v>0.21900000000000003</v>
      </c>
      <c r="J31" s="242">
        <f t="shared" si="0"/>
        <v>13038</v>
      </c>
      <c r="K31" s="242">
        <f t="shared" si="22"/>
        <v>13038</v>
      </c>
      <c r="L31" s="242">
        <f t="shared" si="9"/>
        <v>3145.0782306498818</v>
      </c>
      <c r="M31" s="242">
        <f t="shared" si="23"/>
        <v>9892.9217693501178</v>
      </c>
      <c r="N31" s="242">
        <f t="shared" si="1"/>
        <v>0</v>
      </c>
      <c r="O31" s="242">
        <v>0</v>
      </c>
      <c r="P31" s="242">
        <f t="shared" si="24"/>
        <v>3145.0782306498818</v>
      </c>
      <c r="Q31" s="242">
        <f t="shared" si="2"/>
        <v>0</v>
      </c>
      <c r="R31" s="242">
        <f t="shared" si="10"/>
        <v>0</v>
      </c>
      <c r="S31" s="242">
        <f t="shared" si="11"/>
        <v>164833.64660008773</v>
      </c>
      <c r="T31" s="467"/>
      <c r="U31" s="198">
        <f t="shared" si="29"/>
        <v>14</v>
      </c>
      <c r="V31" s="36">
        <f t="shared" si="12"/>
        <v>14</v>
      </c>
      <c r="W31" s="36">
        <f t="shared" si="13"/>
        <v>0</v>
      </c>
      <c r="X31" s="16"/>
      <c r="Y31" s="16"/>
      <c r="Z31" s="57"/>
      <c r="AD31" s="15">
        <f>IF(C12=X3,X17,IF(C12=Z3,Z17,IF(C12=AA3,AA17,IF(C12=AB3,AB17,IF(C12=Y3,Y17,)))))</f>
        <v>0</v>
      </c>
      <c r="AE31" s="15">
        <v>0</v>
      </c>
      <c r="AF31" s="2">
        <v>0</v>
      </c>
      <c r="AG31" s="2">
        <v>0</v>
      </c>
      <c r="AH31" s="2">
        <v>0</v>
      </c>
      <c r="AI31" s="2"/>
      <c r="AL31" s="2"/>
      <c r="AP31" s="130">
        <f t="shared" si="14"/>
        <v>1</v>
      </c>
      <c r="AQ31" s="553">
        <f t="shared" si="30"/>
        <v>23</v>
      </c>
      <c r="AR31" s="554">
        <f t="shared" si="15"/>
        <v>46015</v>
      </c>
      <c r="AS31" s="555">
        <f t="shared" si="32"/>
        <v>0.27900000000000003</v>
      </c>
      <c r="AT31" s="546">
        <f t="shared" si="16"/>
        <v>12601</v>
      </c>
      <c r="AU31" s="546">
        <f t="shared" si="25"/>
        <v>12601</v>
      </c>
      <c r="AV31" s="546">
        <f t="shared" si="17"/>
        <v>3363.6587953062235</v>
      </c>
      <c r="AW31" s="546">
        <f t="shared" si="18"/>
        <v>9237.3412046937774</v>
      </c>
      <c r="AX31" s="546">
        <f t="shared" si="4"/>
        <v>0</v>
      </c>
      <c r="AY31" s="546">
        <v>0</v>
      </c>
      <c r="AZ31" s="546">
        <f t="shared" si="19"/>
        <v>3363.6587953062235</v>
      </c>
      <c r="BA31" s="546">
        <f t="shared" si="36"/>
        <v>0</v>
      </c>
      <c r="BB31" s="546">
        <f t="shared" si="35"/>
        <v>0</v>
      </c>
      <c r="BC31" s="546"/>
      <c r="BD31" s="546"/>
      <c r="BE31" s="546"/>
      <c r="BF31" s="546"/>
      <c r="BG31" s="546"/>
      <c r="BH31" s="546">
        <f t="shared" si="21"/>
        <v>137445.50948667678</v>
      </c>
      <c r="BI31" s="108">
        <f t="shared" si="31"/>
        <v>14</v>
      </c>
      <c r="BJ31" s="108">
        <f t="shared" si="26"/>
        <v>14</v>
      </c>
      <c r="BK31" s="22">
        <f t="shared" si="27"/>
        <v>46015</v>
      </c>
      <c r="BL31" s="108">
        <f t="shared" si="6"/>
        <v>13038</v>
      </c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116"/>
      <c r="FX31" s="116"/>
      <c r="FY31" s="116"/>
      <c r="FZ31" s="116"/>
      <c r="GA31" s="116"/>
      <c r="GB31" s="116"/>
      <c r="GC31" s="116"/>
      <c r="GD31" s="116"/>
      <c r="GE31" s="116"/>
      <c r="GF31" s="116"/>
      <c r="GG31" s="116"/>
      <c r="GH31" s="116"/>
      <c r="GI31" s="116"/>
      <c r="GJ31" s="116"/>
      <c r="GK31" s="116"/>
      <c r="GL31" s="116"/>
      <c r="GM31" s="116"/>
      <c r="GN31" s="116"/>
      <c r="GO31" s="116"/>
      <c r="GP31" s="116"/>
      <c r="GQ31" s="116"/>
      <c r="GR31" s="116"/>
      <c r="GS31" s="116"/>
      <c r="GT31" s="116"/>
      <c r="GU31" s="116"/>
      <c r="GV31" s="116"/>
      <c r="GW31" s="116"/>
      <c r="GX31" s="116"/>
      <c r="GY31" s="116"/>
      <c r="GZ31" s="116"/>
      <c r="HA31" s="116"/>
      <c r="HB31" s="116"/>
      <c r="HC31" s="116"/>
      <c r="HD31" s="116"/>
      <c r="HE31" s="116"/>
      <c r="HF31" s="116"/>
      <c r="HG31" s="116"/>
      <c r="HH31" s="116"/>
      <c r="HI31" s="116"/>
      <c r="HJ31" s="116"/>
      <c r="HK31" s="116"/>
      <c r="HL31" s="116"/>
      <c r="HM31" s="116"/>
      <c r="HN31" s="116"/>
      <c r="HO31" s="116"/>
      <c r="HP31" s="116"/>
      <c r="HQ31" s="116"/>
      <c r="HR31" s="116"/>
      <c r="HS31" s="116"/>
      <c r="HT31" s="116"/>
      <c r="HU31" s="116"/>
      <c r="HV31" s="116"/>
      <c r="HW31" s="116"/>
      <c r="HX31" s="116"/>
      <c r="HY31" s="116"/>
      <c r="HZ31" s="116"/>
      <c r="IA31" s="116"/>
      <c r="IB31" s="116"/>
      <c r="IC31" s="116"/>
      <c r="ID31" s="116"/>
      <c r="IE31" s="116"/>
      <c r="IF31" s="116"/>
      <c r="IG31" s="116"/>
      <c r="IH31" s="116"/>
      <c r="II31" s="116"/>
      <c r="IJ31" s="116"/>
      <c r="IK31" s="116"/>
      <c r="IL31" s="116"/>
      <c r="IM31" s="116"/>
      <c r="IN31" s="116"/>
      <c r="IO31" s="116"/>
      <c r="IP31" s="116"/>
      <c r="IQ31" s="116"/>
      <c r="IR31" s="116"/>
      <c r="IS31" s="116"/>
      <c r="IT31" s="116"/>
      <c r="IU31" s="116"/>
      <c r="IV31" s="116"/>
      <c r="IW31" s="116"/>
      <c r="IX31" s="116"/>
      <c r="IY31" s="116"/>
      <c r="IZ31" s="116"/>
      <c r="JA31" s="116"/>
      <c r="JB31" s="116"/>
      <c r="JC31" s="116"/>
      <c r="JD31" s="116"/>
      <c r="JE31" s="116"/>
      <c r="JF31" s="116"/>
      <c r="JG31" s="116"/>
      <c r="JH31" s="116"/>
      <c r="JI31" s="116"/>
      <c r="JJ31" s="116"/>
      <c r="JK31" s="116"/>
      <c r="JL31" s="116"/>
      <c r="JM31" s="116"/>
      <c r="JN31" s="116"/>
      <c r="JO31" s="116"/>
      <c r="JP31" s="116"/>
      <c r="JQ31" s="116"/>
      <c r="JR31" s="116"/>
      <c r="JS31" s="116"/>
      <c r="JT31" s="116"/>
      <c r="JU31" s="116"/>
      <c r="JV31" s="116"/>
      <c r="JW31" s="116"/>
      <c r="JX31" s="116"/>
      <c r="JY31" s="116"/>
      <c r="JZ31" s="116"/>
      <c r="KA31" s="116"/>
      <c r="KB31" s="116"/>
      <c r="KC31" s="116"/>
      <c r="KD31" s="116"/>
      <c r="KE31" s="116"/>
      <c r="KF31" s="116"/>
      <c r="KG31" s="116"/>
      <c r="KH31" s="116"/>
      <c r="KI31" s="116"/>
      <c r="KJ31" s="116"/>
      <c r="KK31" s="116"/>
      <c r="KL31" s="116"/>
      <c r="KM31" s="116"/>
      <c r="KN31" s="116"/>
      <c r="KO31" s="116"/>
      <c r="KP31" s="116"/>
      <c r="KQ31" s="116"/>
      <c r="KR31" s="116"/>
      <c r="KS31" s="116"/>
      <c r="KT31" s="116"/>
      <c r="KU31" s="116"/>
      <c r="KV31" s="116"/>
      <c r="KW31" s="116"/>
      <c r="KX31" s="116"/>
      <c r="KY31" s="116"/>
      <c r="KZ31" s="116"/>
      <c r="LA31" s="116"/>
      <c r="LB31" s="116"/>
      <c r="LC31" s="116"/>
      <c r="LD31" s="116"/>
      <c r="LE31" s="116"/>
      <c r="LF31" s="116"/>
      <c r="LG31" s="116"/>
      <c r="LH31" s="116"/>
      <c r="LI31" s="116"/>
      <c r="LJ31" s="116"/>
      <c r="LK31" s="116"/>
      <c r="LL31" s="116"/>
      <c r="LM31" s="116"/>
      <c r="LN31" s="116"/>
      <c r="LO31" s="116"/>
      <c r="LP31" s="116"/>
      <c r="LQ31" s="116"/>
      <c r="LR31" s="116"/>
      <c r="LS31" s="116"/>
      <c r="LT31" s="116"/>
      <c r="LU31" s="116"/>
      <c r="LV31" s="116"/>
      <c r="LW31" s="116"/>
      <c r="LX31" s="116"/>
      <c r="LY31" s="116"/>
      <c r="LZ31" s="116"/>
      <c r="MA31" s="116"/>
      <c r="MB31" s="116"/>
      <c r="MC31" s="116"/>
      <c r="MD31" s="116"/>
      <c r="ME31" s="116"/>
      <c r="MF31" s="116"/>
      <c r="MG31" s="116"/>
      <c r="MH31" s="116"/>
      <c r="MI31" s="116"/>
      <c r="MJ31" s="116"/>
      <c r="MK31" s="116"/>
      <c r="ML31" s="116"/>
      <c r="MM31" s="116"/>
      <c r="MN31" s="116"/>
      <c r="MO31" s="116"/>
      <c r="MP31" s="116"/>
      <c r="MQ31" s="116"/>
      <c r="MR31" s="116"/>
      <c r="MS31" s="116"/>
      <c r="MT31" s="116"/>
      <c r="MU31" s="116"/>
      <c r="MV31" s="116"/>
      <c r="MW31" s="116"/>
      <c r="MX31" s="116"/>
      <c r="MY31" s="116"/>
      <c r="MZ31" s="116"/>
      <c r="NA31" s="116"/>
      <c r="NB31" s="116"/>
      <c r="NC31" s="116"/>
      <c r="ND31" s="116"/>
      <c r="NE31" s="116"/>
      <c r="NF31" s="116"/>
      <c r="NG31" s="116"/>
      <c r="NH31" s="116"/>
      <c r="NI31" s="116"/>
      <c r="NJ31" s="116"/>
      <c r="NK31" s="116"/>
      <c r="NL31" s="116"/>
      <c r="NM31" s="116"/>
      <c r="NN31" s="116"/>
      <c r="NO31" s="116"/>
      <c r="NP31" s="116"/>
      <c r="NQ31" s="116"/>
      <c r="NR31" s="116"/>
    </row>
    <row r="32" spans="1:394" ht="49.5" customHeight="1" thickBot="1" x14ac:dyDescent="0.3">
      <c r="A32" s="883" t="s">
        <v>175</v>
      </c>
      <c r="B32" s="884"/>
      <c r="C32" s="884"/>
      <c r="D32" s="884"/>
      <c r="E32" s="885"/>
      <c r="F32" s="695"/>
      <c r="G32" s="248">
        <f t="shared" si="28"/>
        <v>24</v>
      </c>
      <c r="H32" s="679">
        <f t="shared" si="7"/>
        <v>46046</v>
      </c>
      <c r="I32" s="250">
        <f t="shared" si="8"/>
        <v>0.21900000000000003</v>
      </c>
      <c r="J32" s="252">
        <f t="shared" si="0"/>
        <v>13038</v>
      </c>
      <c r="K32" s="252">
        <f t="shared" si="22"/>
        <v>13038</v>
      </c>
      <c r="L32" s="242">
        <f t="shared" si="9"/>
        <v>3065.9058267616319</v>
      </c>
      <c r="M32" s="252">
        <f t="shared" si="23"/>
        <v>9972.094173238369</v>
      </c>
      <c r="N32" s="252">
        <f t="shared" si="1"/>
        <v>0</v>
      </c>
      <c r="O32" s="252">
        <v>0</v>
      </c>
      <c r="P32" s="252">
        <f t="shared" si="24"/>
        <v>3065.9058267616319</v>
      </c>
      <c r="Q32" s="252">
        <f t="shared" si="2"/>
        <v>0</v>
      </c>
      <c r="R32" s="252">
        <f t="shared" si="10"/>
        <v>0</v>
      </c>
      <c r="S32" s="252">
        <f t="shared" si="11"/>
        <v>154861.55242684935</v>
      </c>
      <c r="T32" s="468"/>
      <c r="U32" s="198">
        <f t="shared" si="29"/>
        <v>13</v>
      </c>
      <c r="V32" s="36">
        <f t="shared" si="12"/>
        <v>13</v>
      </c>
      <c r="W32" s="36">
        <f t="shared" si="13"/>
        <v>0</v>
      </c>
      <c r="X32" s="16"/>
      <c r="Y32" s="16"/>
      <c r="Z32" s="57"/>
      <c r="AD32" s="15">
        <f>IF(C12=X3,X17,IF(C12=Z3,Z17,IF(C12=AA3,AA17,IF(C12=AB3,AB17,IF(C12=Y3,Y17,)))))</f>
        <v>0</v>
      </c>
      <c r="AE32" s="15">
        <v>0</v>
      </c>
      <c r="AF32" s="15"/>
      <c r="AG32" s="2"/>
      <c r="AH32" s="2"/>
      <c r="AI32" s="2"/>
      <c r="AL32" s="2"/>
      <c r="AO32" s="16"/>
      <c r="AP32" s="130">
        <f t="shared" si="14"/>
        <v>1</v>
      </c>
      <c r="AQ32" s="556">
        <f t="shared" si="30"/>
        <v>24</v>
      </c>
      <c r="AR32" s="680">
        <f t="shared" si="15"/>
        <v>46046</v>
      </c>
      <c r="AS32" s="557">
        <f t="shared" si="32"/>
        <v>0.27900000000000003</v>
      </c>
      <c r="AT32" s="547">
        <f t="shared" si="16"/>
        <v>12601</v>
      </c>
      <c r="AU32" s="547">
        <f t="shared" si="25"/>
        <v>12601</v>
      </c>
      <c r="AV32" s="547">
        <f t="shared" si="17"/>
        <v>3256.8937302747058</v>
      </c>
      <c r="AW32" s="547">
        <f t="shared" si="18"/>
        <v>9344.1062697252946</v>
      </c>
      <c r="AX32" s="547">
        <f t="shared" si="4"/>
        <v>0</v>
      </c>
      <c r="AY32" s="547">
        <v>0</v>
      </c>
      <c r="AZ32" s="547">
        <f t="shared" si="19"/>
        <v>3256.8937302747058</v>
      </c>
      <c r="BA32" s="547">
        <f t="shared" si="36"/>
        <v>0</v>
      </c>
      <c r="BB32" s="547">
        <f t="shared" si="35"/>
        <v>0</v>
      </c>
      <c r="BC32" s="547"/>
      <c r="BD32" s="547"/>
      <c r="BE32" s="547"/>
      <c r="BF32" s="547"/>
      <c r="BG32" s="547"/>
      <c r="BH32" s="547">
        <f t="shared" si="21"/>
        <v>128101.40321695148</v>
      </c>
      <c r="BI32" s="108">
        <f t="shared" si="31"/>
        <v>13</v>
      </c>
      <c r="BJ32" s="108">
        <f t="shared" si="26"/>
        <v>13</v>
      </c>
      <c r="BK32" s="22">
        <f t="shared" si="27"/>
        <v>46046</v>
      </c>
      <c r="BL32" s="108">
        <f t="shared" si="6"/>
        <v>13038</v>
      </c>
    </row>
    <row r="33" spans="1:1218" x14ac:dyDescent="0.25">
      <c r="A33" s="847" t="s">
        <v>186</v>
      </c>
      <c r="B33" s="698" t="s">
        <v>180</v>
      </c>
      <c r="C33" s="695">
        <f>C31/($C$10/12)</f>
        <v>37356.880689078207</v>
      </c>
      <c r="D33" s="695">
        <f>D31/($C$10/12)</f>
        <v>48896.586495021358</v>
      </c>
      <c r="E33" s="695">
        <f>D33-C33</f>
        <v>11539.705805943151</v>
      </c>
      <c r="F33" s="695"/>
      <c r="G33" s="244">
        <f t="shared" si="28"/>
        <v>25</v>
      </c>
      <c r="H33" s="245">
        <f t="shared" si="7"/>
        <v>46077</v>
      </c>
      <c r="I33" s="246">
        <f t="shared" si="8"/>
        <v>0.21900000000000003</v>
      </c>
      <c r="J33" s="242">
        <f t="shared" si="0"/>
        <v>13038</v>
      </c>
      <c r="K33" s="242">
        <f t="shared" si="22"/>
        <v>13038</v>
      </c>
      <c r="L33" s="242">
        <f t="shared" si="9"/>
        <v>2880.424875139398</v>
      </c>
      <c r="M33" s="242">
        <f t="shared" si="23"/>
        <v>10157.575124860603</v>
      </c>
      <c r="N33" s="242">
        <f t="shared" si="1"/>
        <v>0</v>
      </c>
      <c r="O33" s="242">
        <v>0</v>
      </c>
      <c r="P33" s="242">
        <f t="shared" si="24"/>
        <v>2880.424875139398</v>
      </c>
      <c r="Q33" s="242">
        <f t="shared" si="2"/>
        <v>0</v>
      </c>
      <c r="R33" s="242">
        <f t="shared" si="10"/>
        <v>0</v>
      </c>
      <c r="S33" s="242">
        <f t="shared" si="11"/>
        <v>144703.97730198875</v>
      </c>
      <c r="T33" s="467"/>
      <c r="U33" s="198">
        <f t="shared" si="29"/>
        <v>12</v>
      </c>
      <c r="V33" s="36">
        <f t="shared" si="12"/>
        <v>12</v>
      </c>
      <c r="W33" s="36">
        <f t="shared" si="13"/>
        <v>0</v>
      </c>
      <c r="X33" s="16"/>
      <c r="Y33" s="16"/>
      <c r="Z33" s="57"/>
      <c r="AF33" s="15"/>
      <c r="AG33" s="173">
        <f>$C$24-AH33</f>
        <v>-942</v>
      </c>
      <c r="AH33" s="2">
        <f>ROUNDUP(((S20)*AH37/12*(1+AH37/12)^(U21)/((1+AH37/12)^(U21)-1)+S20/10000*IF(U21&lt;11,20,IF(U21&lt;34,0.7,IF(U21&lt;58,0.3,0.1)))*IF(AH37&lt;0.3,AH37/0.2,AH37/0.1))/AH47,0)*AH47</f>
        <v>13980</v>
      </c>
      <c r="AI33" s="16">
        <v>6000000</v>
      </c>
      <c r="AN33" s="16"/>
      <c r="AO33" s="16"/>
      <c r="AP33" s="130">
        <f t="shared" si="14"/>
        <v>1</v>
      </c>
      <c r="AQ33" s="553">
        <f t="shared" si="30"/>
        <v>25</v>
      </c>
      <c r="AR33" s="554">
        <f t="shared" si="15"/>
        <v>46077</v>
      </c>
      <c r="AS33" s="555">
        <f t="shared" ref="AS33:AS44" si="38">IF($D$16="Да",$AN$38,$D$13)</f>
        <v>0.27900000000000003</v>
      </c>
      <c r="AT33" s="546">
        <f t="shared" si="16"/>
        <v>12601</v>
      </c>
      <c r="AU33" s="546">
        <f t="shared" si="25"/>
        <v>12601</v>
      </c>
      <c r="AV33" s="546">
        <f t="shared" si="17"/>
        <v>3035.4768121189409</v>
      </c>
      <c r="AW33" s="546">
        <f t="shared" si="18"/>
        <v>9565.5231878810591</v>
      </c>
      <c r="AX33" s="546">
        <f t="shared" si="4"/>
        <v>0</v>
      </c>
      <c r="AY33" s="546">
        <v>0</v>
      </c>
      <c r="AZ33" s="546">
        <f t="shared" si="19"/>
        <v>3035.4768121189409</v>
      </c>
      <c r="BA33" s="546">
        <f t="shared" si="36"/>
        <v>0</v>
      </c>
      <c r="BB33" s="546">
        <f t="shared" si="35"/>
        <v>0</v>
      </c>
      <c r="BC33" s="546"/>
      <c r="BD33" s="546"/>
      <c r="BE33" s="546"/>
      <c r="BF33" s="546"/>
      <c r="BG33" s="546"/>
      <c r="BH33" s="546">
        <f t="shared" si="21"/>
        <v>118535.88002907042</v>
      </c>
      <c r="BI33" s="108">
        <f t="shared" si="31"/>
        <v>12</v>
      </c>
      <c r="BJ33" s="108">
        <f t="shared" si="26"/>
        <v>12</v>
      </c>
      <c r="BK33" s="22">
        <f t="shared" si="27"/>
        <v>46077</v>
      </c>
      <c r="BL33" s="108">
        <f t="shared" si="6"/>
        <v>13038</v>
      </c>
      <c r="BO33" s="853"/>
      <c r="BQ33" s="131"/>
    </row>
    <row r="34" spans="1:1218" ht="25.5" customHeight="1" x14ac:dyDescent="0.25">
      <c r="A34" s="847"/>
      <c r="B34" s="698" t="s">
        <v>181</v>
      </c>
      <c r="C34" s="201">
        <f>C33/C23</f>
        <v>0.10613383380564809</v>
      </c>
      <c r="D34" s="201">
        <f>D33/D23</f>
        <v>0.16110954729676658</v>
      </c>
      <c r="E34" s="695"/>
      <c r="F34" s="695"/>
      <c r="G34" s="244">
        <f t="shared" si="28"/>
        <v>26</v>
      </c>
      <c r="H34" s="245">
        <f t="shared" si="7"/>
        <v>46105</v>
      </c>
      <c r="I34" s="246">
        <f t="shared" si="8"/>
        <v>0.21900000000000003</v>
      </c>
      <c r="J34" s="242">
        <f t="shared" si="0"/>
        <v>13038</v>
      </c>
      <c r="K34" s="242">
        <f t="shared" si="22"/>
        <v>13038</v>
      </c>
      <c r="L34" s="242">
        <f t="shared" si="9"/>
        <v>2431.0268186734115</v>
      </c>
      <c r="M34" s="242">
        <f t="shared" si="23"/>
        <v>10606.973181326588</v>
      </c>
      <c r="N34" s="242">
        <f t="shared" si="1"/>
        <v>0</v>
      </c>
      <c r="O34" s="242">
        <v>0</v>
      </c>
      <c r="P34" s="242">
        <f t="shared" si="24"/>
        <v>2431.0268186734115</v>
      </c>
      <c r="Q34" s="242">
        <f t="shared" si="2"/>
        <v>0</v>
      </c>
      <c r="R34" s="242">
        <f t="shared" si="10"/>
        <v>0</v>
      </c>
      <c r="S34" s="242">
        <f t="shared" si="11"/>
        <v>134097.00412066217</v>
      </c>
      <c r="T34" s="467"/>
      <c r="U34" s="198">
        <f t="shared" si="29"/>
        <v>11</v>
      </c>
      <c r="V34" s="36">
        <f t="shared" si="12"/>
        <v>11</v>
      </c>
      <c r="W34" s="36">
        <f t="shared" si="13"/>
        <v>0</v>
      </c>
      <c r="X34" s="16"/>
      <c r="Y34" s="16"/>
      <c r="Z34" s="57"/>
      <c r="AC34" s="2">
        <f>IF(C10 &lt;=X31,X33,IF(C10 &lt;=Y31,Y33,IF(C10 &lt;=Z31,Z33,IF(C10 &lt;=AA31,AA33,AB33))))</f>
        <v>0</v>
      </c>
      <c r="AF34" s="2"/>
      <c r="AG34" s="16"/>
      <c r="AH34" s="16"/>
      <c r="AI34" s="16"/>
      <c r="AN34" s="16"/>
      <c r="AO34" s="16"/>
      <c r="AP34" s="130">
        <f t="shared" si="14"/>
        <v>1</v>
      </c>
      <c r="AQ34" s="553">
        <f t="shared" si="30"/>
        <v>26</v>
      </c>
      <c r="AR34" s="554">
        <f t="shared" si="15"/>
        <v>46105</v>
      </c>
      <c r="AS34" s="555">
        <f t="shared" si="38"/>
        <v>0.27900000000000003</v>
      </c>
      <c r="AT34" s="546">
        <f t="shared" si="16"/>
        <v>12601</v>
      </c>
      <c r="AU34" s="546">
        <f t="shared" si="25"/>
        <v>12601</v>
      </c>
      <c r="AV34" s="546">
        <f t="shared" si="17"/>
        <v>2536.9925884578033</v>
      </c>
      <c r="AW34" s="546">
        <f t="shared" si="18"/>
        <v>10064.007411542196</v>
      </c>
      <c r="AX34" s="546">
        <f t="shared" si="4"/>
        <v>0</v>
      </c>
      <c r="AY34" s="546">
        <v>0</v>
      </c>
      <c r="AZ34" s="546">
        <f t="shared" si="19"/>
        <v>2536.9925884578033</v>
      </c>
      <c r="BA34" s="546">
        <f t="shared" si="36"/>
        <v>0</v>
      </c>
      <c r="BB34" s="546">
        <f t="shared" si="35"/>
        <v>0</v>
      </c>
      <c r="BC34" s="546"/>
      <c r="BD34" s="546"/>
      <c r="BE34" s="546"/>
      <c r="BF34" s="546"/>
      <c r="BG34" s="546"/>
      <c r="BH34" s="546">
        <f t="shared" si="21"/>
        <v>108471.87261752822</v>
      </c>
      <c r="BI34" s="108">
        <f t="shared" si="31"/>
        <v>11</v>
      </c>
      <c r="BJ34" s="108">
        <f t="shared" si="26"/>
        <v>11</v>
      </c>
      <c r="BK34" s="22">
        <f t="shared" si="27"/>
        <v>46105</v>
      </c>
      <c r="BL34" s="108">
        <f t="shared" si="6"/>
        <v>13038</v>
      </c>
      <c r="BO34" s="853"/>
    </row>
    <row r="35" spans="1:1218" ht="31.5" customHeight="1" x14ac:dyDescent="0.25">
      <c r="A35" s="846" t="s">
        <v>177</v>
      </c>
      <c r="B35" s="846"/>
      <c r="C35" s="190">
        <f>C33/12</f>
        <v>3113.0733907565173</v>
      </c>
      <c r="D35" s="695">
        <f>D33/12</f>
        <v>4074.71554125178</v>
      </c>
      <c r="E35" s="695">
        <f>D35-C35</f>
        <v>961.64215049526274</v>
      </c>
      <c r="F35" s="695"/>
      <c r="G35" s="244">
        <f t="shared" si="28"/>
        <v>27</v>
      </c>
      <c r="H35" s="245">
        <f t="shared" si="7"/>
        <v>46136</v>
      </c>
      <c r="I35" s="246">
        <f t="shared" si="8"/>
        <v>0.21900000000000003</v>
      </c>
      <c r="J35" s="242">
        <f t="shared" si="0"/>
        <v>13038</v>
      </c>
      <c r="K35" s="242">
        <f t="shared" si="22"/>
        <v>13038</v>
      </c>
      <c r="L35" s="242">
        <f t="shared" si="9"/>
        <v>2494.2042766443165</v>
      </c>
      <c r="M35" s="242">
        <f t="shared" si="23"/>
        <v>10543.795723355684</v>
      </c>
      <c r="N35" s="242">
        <f t="shared" si="1"/>
        <v>0</v>
      </c>
      <c r="O35" s="242">
        <v>0</v>
      </c>
      <c r="P35" s="242">
        <f t="shared" si="24"/>
        <v>2494.2042766443165</v>
      </c>
      <c r="Q35" s="242">
        <f t="shared" si="2"/>
        <v>0</v>
      </c>
      <c r="R35" s="242">
        <f t="shared" si="10"/>
        <v>0</v>
      </c>
      <c r="S35" s="242">
        <f t="shared" si="11"/>
        <v>123553.20839730649</v>
      </c>
      <c r="T35" s="467"/>
      <c r="U35" s="198">
        <f t="shared" si="29"/>
        <v>10</v>
      </c>
      <c r="V35" s="36">
        <f t="shared" si="12"/>
        <v>10</v>
      </c>
      <c r="W35" s="36">
        <f t="shared" si="13"/>
        <v>0</v>
      </c>
      <c r="AF35" s="15"/>
      <c r="AG35" s="47" t="e">
        <f>ROUNDUP(AI35/AI33*C7/1,0)*1</f>
        <v>#N/A</v>
      </c>
      <c r="AH35" s="169">
        <v>0.04</v>
      </c>
      <c r="AI35" s="16" t="e">
        <f>IF(AH35=3%,INDEX(X40:AF40,MATCH($C$11,$X$39:$AF$39,0)),IF(AH35=4%,INDEX(X37:AF37,MATCH($C$11,$X$36:$AF$36,0)),0))</f>
        <v>#N/A</v>
      </c>
      <c r="AM35" s="47" t="e">
        <f>ROUNDUP(AI35/AI33*C7/1,0)*1</f>
        <v>#N/A</v>
      </c>
      <c r="AN35" s="169">
        <v>0.04</v>
      </c>
      <c r="AO35" s="16"/>
      <c r="AP35" s="130">
        <f t="shared" si="14"/>
        <v>1</v>
      </c>
      <c r="AQ35" s="553">
        <f t="shared" si="30"/>
        <v>27</v>
      </c>
      <c r="AR35" s="554">
        <f t="shared" si="15"/>
        <v>46136</v>
      </c>
      <c r="AS35" s="555">
        <f t="shared" si="38"/>
        <v>0.27900000000000003</v>
      </c>
      <c r="AT35" s="546">
        <f t="shared" si="16"/>
        <v>12601</v>
      </c>
      <c r="AU35" s="546">
        <f t="shared" si="25"/>
        <v>12601</v>
      </c>
      <c r="AV35" s="546">
        <f t="shared" si="17"/>
        <v>2570.337606216443</v>
      </c>
      <c r="AW35" s="546">
        <f t="shared" si="18"/>
        <v>10030.662393783557</v>
      </c>
      <c r="AX35" s="546">
        <f t="shared" si="4"/>
        <v>0</v>
      </c>
      <c r="AY35" s="546">
        <v>0</v>
      </c>
      <c r="AZ35" s="546">
        <f t="shared" si="19"/>
        <v>2570.337606216443</v>
      </c>
      <c r="BA35" s="546">
        <f t="shared" si="36"/>
        <v>0</v>
      </c>
      <c r="BB35" s="546">
        <f t="shared" si="35"/>
        <v>0</v>
      </c>
      <c r="BC35" s="546"/>
      <c r="BD35" s="546"/>
      <c r="BE35" s="546"/>
      <c r="BF35" s="546"/>
      <c r="BG35" s="546"/>
      <c r="BH35" s="546">
        <f t="shared" si="21"/>
        <v>98441.210223744667</v>
      </c>
      <c r="BI35" s="108">
        <f t="shared" si="31"/>
        <v>10</v>
      </c>
      <c r="BJ35" s="108">
        <f t="shared" si="26"/>
        <v>10</v>
      </c>
      <c r="BK35" s="22">
        <f t="shared" si="27"/>
        <v>46136</v>
      </c>
      <c r="BL35" s="108">
        <f t="shared" si="6"/>
        <v>13038</v>
      </c>
      <c r="BO35" s="853"/>
    </row>
    <row r="36" spans="1:1218" ht="21.75" customHeight="1" thickBot="1" x14ac:dyDescent="0.35">
      <c r="A36" s="843" t="s">
        <v>176</v>
      </c>
      <c r="B36" s="843"/>
      <c r="C36" s="203">
        <f>C35/30</f>
        <v>103.76911302521724</v>
      </c>
      <c r="D36" s="202">
        <f>D35/30</f>
        <v>135.82385137505932</v>
      </c>
      <c r="E36" s="202">
        <f>D36-C36</f>
        <v>32.054738349842083</v>
      </c>
      <c r="F36" s="178"/>
      <c r="G36" s="244">
        <f t="shared" si="28"/>
        <v>28</v>
      </c>
      <c r="H36" s="245">
        <f t="shared" si="7"/>
        <v>46166</v>
      </c>
      <c r="I36" s="246">
        <f t="shared" si="8"/>
        <v>0.21900000000000003</v>
      </c>
      <c r="J36" s="242">
        <f t="shared" si="0"/>
        <v>13038</v>
      </c>
      <c r="K36" s="242">
        <f t="shared" si="22"/>
        <v>13038</v>
      </c>
      <c r="L36" s="242">
        <f t="shared" si="9"/>
        <v>2223.9577511515172</v>
      </c>
      <c r="M36" s="242">
        <f t="shared" si="23"/>
        <v>10814.042248848484</v>
      </c>
      <c r="N36" s="242">
        <f t="shared" si="1"/>
        <v>0</v>
      </c>
      <c r="O36" s="242">
        <v>0</v>
      </c>
      <c r="P36" s="242">
        <f t="shared" si="24"/>
        <v>2223.9577511515172</v>
      </c>
      <c r="Q36" s="242">
        <f t="shared" si="2"/>
        <v>0</v>
      </c>
      <c r="R36" s="242">
        <f t="shared" si="10"/>
        <v>0</v>
      </c>
      <c r="S36" s="242">
        <f t="shared" si="11"/>
        <v>112739.166148458</v>
      </c>
      <c r="T36" s="467"/>
      <c r="U36" s="198">
        <f t="shared" si="29"/>
        <v>9</v>
      </c>
      <c r="V36" s="36">
        <f t="shared" si="12"/>
        <v>9</v>
      </c>
      <c r="W36" s="36">
        <f t="shared" si="13"/>
        <v>0</v>
      </c>
      <c r="X36" s="15">
        <v>0.11899999999999999</v>
      </c>
      <c r="Y36" s="101">
        <v>0.129</v>
      </c>
      <c r="Z36" s="484">
        <v>0.13900000000000001</v>
      </c>
      <c r="AA36" s="101">
        <v>0.14899999999999999</v>
      </c>
      <c r="AB36" s="484">
        <v>0.159</v>
      </c>
      <c r="AC36" s="15">
        <v>0.19900000000000001</v>
      </c>
      <c r="AD36" s="169">
        <v>0.17899999999999999</v>
      </c>
      <c r="AE36" s="15">
        <v>0.189</v>
      </c>
      <c r="AF36" s="15">
        <v>0.19900000000000001</v>
      </c>
      <c r="AG36" s="47">
        <f>C24</f>
        <v>13038</v>
      </c>
      <c r="AH36" s="15">
        <f>IF(OR(C$8="Гарантия стандарт",C$8="Гарантия пакет"),AE13,C11)</f>
        <v>0.27900000000000003</v>
      </c>
      <c r="AI36" s="16" t="e">
        <f>IF(AH35=3%,INDEX(X41:AF41,MATCH($C$11,$X$39:$AF$39,0)),IF(AH35=4%,INDEX(X38:AF38,MATCH($C$11,$X$36:$AF$36,0)),0))</f>
        <v>#N/A</v>
      </c>
      <c r="AJ36" s="2" t="e">
        <f>INDEX(X41:AF41,MATCH($D$11,$X$39:$AF$39,0))</f>
        <v>#N/A</v>
      </c>
      <c r="AM36" s="47">
        <f>D24</f>
        <v>12601</v>
      </c>
      <c r="AN36" s="15">
        <f>IF(OR(D$8="Гарантия стандарт",D$8="Гарантия пакет"),AE13,D11)</f>
        <v>0.27900000000000003</v>
      </c>
      <c r="AO36" s="16"/>
      <c r="AP36" s="130">
        <f t="shared" si="14"/>
        <v>1</v>
      </c>
      <c r="AQ36" s="553">
        <f t="shared" si="30"/>
        <v>28</v>
      </c>
      <c r="AR36" s="554">
        <f t="shared" si="15"/>
        <v>46166</v>
      </c>
      <c r="AS36" s="555">
        <f t="shared" si="38"/>
        <v>0.27900000000000003</v>
      </c>
      <c r="AT36" s="546">
        <f t="shared" si="16"/>
        <v>12601</v>
      </c>
      <c r="AU36" s="546">
        <f t="shared" si="25"/>
        <v>12601</v>
      </c>
      <c r="AV36" s="546">
        <f t="shared" si="17"/>
        <v>2257.4052865006656</v>
      </c>
      <c r="AW36" s="546">
        <f t="shared" si="18"/>
        <v>10343.594713499335</v>
      </c>
      <c r="AX36" s="546">
        <f t="shared" si="4"/>
        <v>0</v>
      </c>
      <c r="AY36" s="546">
        <v>0</v>
      </c>
      <c r="AZ36" s="546">
        <f t="shared" si="19"/>
        <v>2257.4052865006656</v>
      </c>
      <c r="BA36" s="546">
        <f t="shared" si="36"/>
        <v>0</v>
      </c>
      <c r="BB36" s="546">
        <f t="shared" si="35"/>
        <v>0</v>
      </c>
      <c r="BC36" s="546"/>
      <c r="BD36" s="546"/>
      <c r="BE36" s="546"/>
      <c r="BF36" s="546"/>
      <c r="BG36" s="546"/>
      <c r="BH36" s="546">
        <f t="shared" si="21"/>
        <v>88097.615510245334</v>
      </c>
      <c r="BI36" s="108">
        <f t="shared" si="31"/>
        <v>9</v>
      </c>
      <c r="BJ36" s="108">
        <f t="shared" si="26"/>
        <v>9</v>
      </c>
      <c r="BK36" s="22">
        <f t="shared" si="27"/>
        <v>46166</v>
      </c>
      <c r="BL36" s="108">
        <f t="shared" si="6"/>
        <v>13038</v>
      </c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  <c r="AMK36" s="16"/>
      <c r="AML36" s="16"/>
      <c r="AMM36" s="16"/>
      <c r="AMN36" s="16"/>
      <c r="AMO36" s="16"/>
      <c r="AMP36" s="16"/>
      <c r="AMQ36" s="16"/>
      <c r="AMR36" s="16"/>
      <c r="AMS36" s="16"/>
      <c r="AMT36" s="16"/>
      <c r="AMU36" s="16"/>
      <c r="AMV36" s="16"/>
      <c r="AMW36" s="16"/>
      <c r="AMX36" s="16"/>
      <c r="AMY36" s="16"/>
      <c r="AMZ36" s="16"/>
      <c r="ANA36" s="16"/>
      <c r="ANB36" s="16"/>
      <c r="ANC36" s="16"/>
      <c r="AND36" s="16"/>
      <c r="ANE36" s="16"/>
      <c r="ANF36" s="16"/>
      <c r="ANG36" s="16"/>
      <c r="ANH36" s="16"/>
      <c r="ANI36" s="16"/>
      <c r="ANJ36" s="16"/>
      <c r="ANK36" s="16"/>
      <c r="ANL36" s="16"/>
      <c r="ANM36" s="16"/>
      <c r="ANN36" s="16"/>
      <c r="ANO36" s="16"/>
      <c r="ANP36" s="16"/>
      <c r="ANQ36" s="16"/>
      <c r="ANR36" s="16"/>
      <c r="ANS36" s="16"/>
      <c r="ANT36" s="16"/>
      <c r="ANU36" s="16"/>
      <c r="ANV36" s="16"/>
      <c r="ANW36" s="16"/>
      <c r="ANX36" s="16"/>
      <c r="ANY36" s="16"/>
      <c r="ANZ36" s="16"/>
      <c r="AOA36" s="16"/>
      <c r="AOB36" s="16"/>
      <c r="AOC36" s="16"/>
      <c r="AOD36" s="16"/>
      <c r="AOE36" s="16"/>
      <c r="AOF36" s="16"/>
      <c r="AOG36" s="16"/>
      <c r="AOH36" s="16"/>
      <c r="AOI36" s="16"/>
      <c r="AOJ36" s="16"/>
      <c r="AOK36" s="16"/>
      <c r="AOL36" s="16"/>
      <c r="AOM36" s="16"/>
      <c r="AON36" s="16"/>
      <c r="AOO36" s="16"/>
      <c r="AOP36" s="16"/>
      <c r="AOQ36" s="16"/>
      <c r="AOR36" s="16"/>
      <c r="AOS36" s="16"/>
      <c r="AOT36" s="16"/>
      <c r="AOU36" s="16"/>
      <c r="AOV36" s="16"/>
      <c r="AOW36" s="16"/>
      <c r="AOX36" s="16"/>
      <c r="AOY36" s="16"/>
      <c r="AOZ36" s="16"/>
      <c r="APA36" s="16"/>
      <c r="APB36" s="16"/>
      <c r="APC36" s="16"/>
      <c r="APD36" s="16"/>
      <c r="APE36" s="16"/>
      <c r="APF36" s="16"/>
      <c r="APG36" s="16"/>
      <c r="APH36" s="16"/>
      <c r="API36" s="16"/>
      <c r="APJ36" s="16"/>
      <c r="APK36" s="16"/>
      <c r="APL36" s="16"/>
      <c r="APM36" s="16"/>
      <c r="APN36" s="16"/>
      <c r="APO36" s="16"/>
      <c r="APP36" s="16"/>
      <c r="APQ36" s="16"/>
      <c r="APR36" s="16"/>
      <c r="APS36" s="16"/>
      <c r="APT36" s="16"/>
      <c r="APU36" s="16"/>
      <c r="APV36" s="16"/>
      <c r="APW36" s="16"/>
      <c r="APX36" s="16"/>
      <c r="APY36" s="16"/>
      <c r="APZ36" s="16"/>
      <c r="AQA36" s="16"/>
      <c r="AQB36" s="16"/>
      <c r="AQC36" s="16"/>
      <c r="AQD36" s="16"/>
      <c r="AQE36" s="16"/>
      <c r="AQF36" s="16"/>
      <c r="AQG36" s="16"/>
      <c r="AQH36" s="16"/>
      <c r="AQI36" s="16"/>
      <c r="AQJ36" s="16"/>
      <c r="AQK36" s="16"/>
      <c r="AQL36" s="16"/>
      <c r="AQM36" s="16"/>
      <c r="AQN36" s="16"/>
      <c r="AQO36" s="16"/>
      <c r="AQP36" s="16"/>
      <c r="AQQ36" s="16"/>
      <c r="AQR36" s="16"/>
      <c r="AQS36" s="16"/>
      <c r="AQT36" s="16"/>
      <c r="AQU36" s="16"/>
      <c r="AQV36" s="16"/>
      <c r="AQW36" s="16"/>
      <c r="AQX36" s="16"/>
      <c r="AQY36" s="16"/>
      <c r="AQZ36" s="16"/>
      <c r="ARA36" s="16"/>
      <c r="ARB36" s="16"/>
      <c r="ARC36" s="16"/>
      <c r="ARD36" s="16"/>
      <c r="ARE36" s="16"/>
      <c r="ARF36" s="16"/>
      <c r="ARG36" s="16"/>
      <c r="ARH36" s="16"/>
      <c r="ARI36" s="16"/>
      <c r="ARJ36" s="16"/>
      <c r="ARK36" s="16"/>
      <c r="ARL36" s="16"/>
      <c r="ARM36" s="16"/>
      <c r="ARN36" s="16"/>
      <c r="ARO36" s="16"/>
      <c r="ARP36" s="16"/>
      <c r="ARQ36" s="16"/>
      <c r="ARR36" s="16"/>
      <c r="ARS36" s="16"/>
      <c r="ART36" s="16"/>
      <c r="ARU36" s="16"/>
      <c r="ARV36" s="16"/>
      <c r="ARW36" s="16"/>
      <c r="ARX36" s="16"/>
      <c r="ARY36" s="16"/>
      <c r="ARZ36" s="16"/>
      <c r="ASA36" s="16"/>
      <c r="ASB36" s="16"/>
      <c r="ASC36" s="16"/>
      <c r="ASD36" s="16"/>
      <c r="ASE36" s="16"/>
      <c r="ASF36" s="16"/>
      <c r="ASG36" s="16"/>
      <c r="ASH36" s="16"/>
      <c r="ASI36" s="16"/>
      <c r="ASJ36" s="16"/>
      <c r="ASK36" s="16"/>
      <c r="ASL36" s="16"/>
      <c r="ASM36" s="16"/>
      <c r="ASN36" s="16"/>
      <c r="ASO36" s="16"/>
      <c r="ASP36" s="16"/>
      <c r="ASQ36" s="16"/>
      <c r="ASR36" s="16"/>
      <c r="ASS36" s="16"/>
      <c r="AST36" s="16"/>
      <c r="ASU36" s="16"/>
      <c r="ASV36" s="16"/>
      <c r="ASW36" s="16"/>
      <c r="ASX36" s="16"/>
      <c r="ASY36" s="16"/>
      <c r="ASZ36" s="16"/>
      <c r="ATA36" s="16"/>
      <c r="ATB36" s="16"/>
      <c r="ATC36" s="16"/>
      <c r="ATD36" s="16"/>
      <c r="ATE36" s="16"/>
      <c r="ATF36" s="16"/>
      <c r="ATG36" s="16"/>
      <c r="ATH36" s="16"/>
      <c r="ATI36" s="16"/>
      <c r="ATJ36" s="16"/>
      <c r="ATK36" s="16"/>
      <c r="ATL36" s="16"/>
      <c r="ATM36" s="16"/>
      <c r="ATN36" s="16"/>
      <c r="ATO36" s="16"/>
      <c r="ATP36" s="16"/>
      <c r="ATQ36" s="16"/>
      <c r="ATR36" s="16"/>
      <c r="ATS36" s="16"/>
      <c r="ATT36" s="16"/>
      <c r="ATU36" s="16"/>
      <c r="ATV36" s="16"/>
    </row>
    <row r="37" spans="1:1218" s="16" customFormat="1" ht="24.75" customHeight="1" x14ac:dyDescent="0.3">
      <c r="A37" s="178"/>
      <c r="B37" s="178"/>
      <c r="C37" s="184"/>
      <c r="D37" s="178"/>
      <c r="E37" s="178"/>
      <c r="F37" s="178"/>
      <c r="G37" s="244">
        <f t="shared" si="28"/>
        <v>29</v>
      </c>
      <c r="H37" s="245">
        <f t="shared" si="7"/>
        <v>46197</v>
      </c>
      <c r="I37" s="246">
        <f t="shared" si="8"/>
        <v>0.21900000000000003</v>
      </c>
      <c r="J37" s="242">
        <f t="shared" si="0"/>
        <v>13038</v>
      </c>
      <c r="K37" s="242">
        <f t="shared" si="22"/>
        <v>13038</v>
      </c>
      <c r="L37" s="242">
        <f t="shared" si="9"/>
        <v>2096.9484903613188</v>
      </c>
      <c r="M37" s="242">
        <f t="shared" si="23"/>
        <v>10941.051509638681</v>
      </c>
      <c r="N37" s="242">
        <f t="shared" si="1"/>
        <v>0</v>
      </c>
      <c r="O37" s="242">
        <v>0</v>
      </c>
      <c r="P37" s="242">
        <f t="shared" si="24"/>
        <v>2096.9484903613188</v>
      </c>
      <c r="Q37" s="242">
        <f t="shared" si="2"/>
        <v>0</v>
      </c>
      <c r="R37" s="242">
        <f t="shared" si="10"/>
        <v>0</v>
      </c>
      <c r="S37" s="242">
        <f t="shared" si="11"/>
        <v>101798.11463881932</v>
      </c>
      <c r="T37" s="467"/>
      <c r="U37" s="198">
        <f t="shared" si="29"/>
        <v>8</v>
      </c>
      <c r="V37" s="36">
        <f t="shared" si="12"/>
        <v>8</v>
      </c>
      <c r="W37" s="36">
        <f t="shared" si="13"/>
        <v>0</v>
      </c>
      <c r="X37" s="16">
        <f>INDEX('Для Перспективы'!$B$6:$F$6,MATCH($C$10,'Для Перспективы'!$B$1:$F$1,0))</f>
        <v>4000</v>
      </c>
      <c r="Y37" s="16">
        <f>INDEX('Для Перспективы'!$B$8:$F$8,MATCH($C$10,'Для Перспективы'!$B$1:$F$1,0))</f>
        <v>7000</v>
      </c>
      <c r="Z37" s="16">
        <f>INDEX('Для Перспективы'!$B$10:$F$10,MATCH($C$10,'Для Перспективы'!$B$1:$F$1,0))</f>
        <v>7000</v>
      </c>
      <c r="AA37" s="16">
        <f>INDEX('Для Перспективы'!$B$12:$F$12,MATCH($C$10,'Для Перспективы'!$B$1:$F$1,0))</f>
        <v>7000</v>
      </c>
      <c r="AB37" s="16">
        <f>INDEX('Для Перспективы'!$B$14:$F$14,MATCH($C$10,'Для Перспективы'!$B$1:$F$1,0))</f>
        <v>7000</v>
      </c>
      <c r="AC37" s="16">
        <f>INDEX('Для Перспективы'!$B$22:$D$22,MATCH($C$10,'Для Перспективы'!$B$1:$D$1,0))</f>
        <v>6500</v>
      </c>
      <c r="AD37" s="16">
        <f>INDEX('Для Перспективы'!$B$20:$F$20,MATCH($C$10,'Для Перспективы'!$B$1:$F$1,0))</f>
        <v>7000</v>
      </c>
      <c r="AE37" s="16">
        <f>INDEX('Для Перспективы'!$B$6:$F$6,MATCH($C$10,'Для Перспективы'!$B$1:$F$1,0))</f>
        <v>4000</v>
      </c>
      <c r="AF37" s="16">
        <f>INDEX('Для Перспективы'!$B$6:$F$6,MATCH($C$10,'Для Перспективы'!$B$1:$F$1,0))</f>
        <v>4000</v>
      </c>
      <c r="AG37" s="47" t="e">
        <f>IF(AH37=AH36,AG36,AG36-$AG$35)</f>
        <v>#N/A</v>
      </c>
      <c r="AH37" s="169">
        <f>AH36-$AH$35</f>
        <v>0.23900000000000002</v>
      </c>
      <c r="AJ37" s="2"/>
      <c r="AK37" s="2"/>
      <c r="AL37" s="57"/>
      <c r="AM37" s="47" t="e">
        <f>AM36-$AM$35</f>
        <v>#N/A</v>
      </c>
      <c r="AN37" s="169">
        <f>AN36-$AN$35</f>
        <v>0.23900000000000002</v>
      </c>
      <c r="AP37" s="130">
        <f t="shared" si="14"/>
        <v>1</v>
      </c>
      <c r="AQ37" s="553">
        <f t="shared" si="30"/>
        <v>29</v>
      </c>
      <c r="AR37" s="554">
        <f t="shared" si="15"/>
        <v>46197</v>
      </c>
      <c r="AS37" s="555">
        <f t="shared" si="38"/>
        <v>0.27900000000000003</v>
      </c>
      <c r="AT37" s="546">
        <f t="shared" si="16"/>
        <v>12601</v>
      </c>
      <c r="AU37" s="546">
        <f t="shared" si="25"/>
        <v>12601</v>
      </c>
      <c r="AV37" s="546">
        <f t="shared" si="17"/>
        <v>2087.5514425975671</v>
      </c>
      <c r="AW37" s="546">
        <f t="shared" si="18"/>
        <v>10513.448557402433</v>
      </c>
      <c r="AX37" s="546">
        <f t="shared" si="4"/>
        <v>0</v>
      </c>
      <c r="AY37" s="546">
        <v>0</v>
      </c>
      <c r="AZ37" s="546">
        <f t="shared" si="19"/>
        <v>2087.5514425975671</v>
      </c>
      <c r="BA37" s="546">
        <f t="shared" si="36"/>
        <v>0</v>
      </c>
      <c r="BB37" s="546">
        <f t="shared" si="35"/>
        <v>0</v>
      </c>
      <c r="BC37" s="546"/>
      <c r="BD37" s="546"/>
      <c r="BE37" s="546"/>
      <c r="BF37" s="546"/>
      <c r="BG37" s="546"/>
      <c r="BH37" s="546">
        <f t="shared" si="21"/>
        <v>77584.166952842905</v>
      </c>
      <c r="BI37" s="108">
        <f t="shared" si="31"/>
        <v>8</v>
      </c>
      <c r="BJ37" s="108">
        <f t="shared" si="26"/>
        <v>8</v>
      </c>
      <c r="BK37" s="22">
        <f t="shared" si="27"/>
        <v>46197</v>
      </c>
      <c r="BL37" s="108">
        <f t="shared" si="6"/>
        <v>13038</v>
      </c>
    </row>
    <row r="38" spans="1:1218" s="16" customFormat="1" ht="16.5" customHeight="1" x14ac:dyDescent="0.3">
      <c r="A38" s="178"/>
      <c r="B38" s="179"/>
      <c r="C38" s="524"/>
      <c r="D38" s="179"/>
      <c r="E38" s="178"/>
      <c r="F38" s="178"/>
      <c r="G38" s="244">
        <f t="shared" si="28"/>
        <v>30</v>
      </c>
      <c r="H38" s="245">
        <f t="shared" si="7"/>
        <v>46227</v>
      </c>
      <c r="I38" s="246">
        <f t="shared" si="8"/>
        <v>0.21900000000000003</v>
      </c>
      <c r="J38" s="242">
        <f t="shared" si="0"/>
        <v>13038</v>
      </c>
      <c r="K38" s="242">
        <f t="shared" si="22"/>
        <v>13038</v>
      </c>
      <c r="L38" s="242">
        <f t="shared" si="9"/>
        <v>1832.366063498748</v>
      </c>
      <c r="M38" s="242">
        <f t="shared" si="23"/>
        <v>11205.633936501252</v>
      </c>
      <c r="N38" s="242">
        <f t="shared" si="1"/>
        <v>0</v>
      </c>
      <c r="O38" s="242">
        <v>0</v>
      </c>
      <c r="P38" s="242">
        <f t="shared" si="24"/>
        <v>1832.366063498748</v>
      </c>
      <c r="Q38" s="242">
        <f t="shared" si="2"/>
        <v>0</v>
      </c>
      <c r="R38" s="242">
        <f t="shared" si="10"/>
        <v>0</v>
      </c>
      <c r="S38" s="242">
        <f t="shared" si="11"/>
        <v>90592.480702318062</v>
      </c>
      <c r="T38" s="467"/>
      <c r="U38" s="198">
        <f t="shared" si="29"/>
        <v>7</v>
      </c>
      <c r="V38" s="36">
        <f t="shared" si="12"/>
        <v>7</v>
      </c>
      <c r="W38" s="36">
        <f t="shared" si="13"/>
        <v>0</v>
      </c>
      <c r="X38" s="16">
        <f>INDEX('Для Перспективы'!B7:F7,MATCH($C$10,'Для Перспективы'!$B$1:$F$1,0))</f>
        <v>200000</v>
      </c>
      <c r="Y38" s="16">
        <f>INDEX('Для Перспективы'!$B$9:$F$9,MATCH($C$10,'Для Перспективы'!$B$1:$F$1,0))</f>
        <v>202000</v>
      </c>
      <c r="Z38" s="16">
        <f>INDEX('Для Перспективы'!$B$11:$F$11,MATCH($C$10,'Для Перспективы'!$B$1:$F$1,0))</f>
        <v>204900</v>
      </c>
      <c r="AA38" s="16">
        <f>INDEX('Для Перспективы'!$B$13:$F$13,MATCH($C$10,'Для Перспективы'!$B$1:$F$1,0))</f>
        <v>207900</v>
      </c>
      <c r="AB38" s="16">
        <f>INDEX('Для Перспективы'!$B$15:$F$15,MATCH($C$10,'Для Перспективы'!$B$1:$F$1,0))</f>
        <v>211000</v>
      </c>
      <c r="AC38" s="16">
        <f>INDEX('Для Перспективы'!$B$23:$D$23,MATCH($C$10,'Для Перспективы'!$B$1:$D$1,0))</f>
        <v>222900</v>
      </c>
      <c r="AD38" s="16">
        <f>INDEX('Для Перспективы'!$B$11:$D$11,MATCH($C$10,'Для Перспективы'!$B$1:$D$1,0))</f>
        <v>204900</v>
      </c>
      <c r="AE38" s="16">
        <f>INDEX('Для Перспективы'!$B$11:$D$11,MATCH($C$10,'Для Перспективы'!$B$1:$D$1,0))</f>
        <v>204900</v>
      </c>
      <c r="AF38" s="16" t="e">
        <f>INDEX('Для Перспективы'!$G21:$I21,MATCH($C$10,'Для Перспективы'!$G$1:$I$1,0))</f>
        <v>#N/A</v>
      </c>
      <c r="AG38" s="47" t="e">
        <f t="shared" ref="AG38:AG40" si="39">IF(AH38=AH37,AG37,AG37-$AG$35)</f>
        <v>#N/A</v>
      </c>
      <c r="AH38" s="169">
        <f>AH36-$AH$35</f>
        <v>0.23900000000000002</v>
      </c>
      <c r="AJ38" s="2"/>
      <c r="AK38" s="2"/>
      <c r="AL38" s="57"/>
      <c r="AM38" s="47" t="e">
        <f>AM36-$AM$35</f>
        <v>#N/A</v>
      </c>
      <c r="AN38" s="169">
        <f>AN36-$AN$35</f>
        <v>0.23900000000000002</v>
      </c>
      <c r="AO38" s="63"/>
      <c r="AP38" s="130">
        <f t="shared" si="14"/>
        <v>1</v>
      </c>
      <c r="AQ38" s="553">
        <f t="shared" si="30"/>
        <v>30</v>
      </c>
      <c r="AR38" s="554">
        <f t="shared" si="15"/>
        <v>46227</v>
      </c>
      <c r="AS38" s="555">
        <f t="shared" si="38"/>
        <v>0.27900000000000003</v>
      </c>
      <c r="AT38" s="546">
        <f t="shared" si="16"/>
        <v>12601</v>
      </c>
      <c r="AU38" s="546">
        <f t="shared" si="25"/>
        <v>12601</v>
      </c>
      <c r="AV38" s="546">
        <f t="shared" si="17"/>
        <v>1779.1218558775211</v>
      </c>
      <c r="AW38" s="546">
        <f t="shared" si="18"/>
        <v>10821.878144122478</v>
      </c>
      <c r="AX38" s="546">
        <f t="shared" si="4"/>
        <v>0</v>
      </c>
      <c r="AY38" s="546">
        <v>0</v>
      </c>
      <c r="AZ38" s="546">
        <f t="shared" si="19"/>
        <v>1779.1218558775211</v>
      </c>
      <c r="BA38" s="546">
        <f t="shared" si="36"/>
        <v>0</v>
      </c>
      <c r="BB38" s="546">
        <f t="shared" si="35"/>
        <v>0</v>
      </c>
      <c r="BC38" s="546"/>
      <c r="BD38" s="546"/>
      <c r="BE38" s="546"/>
      <c r="BF38" s="546"/>
      <c r="BG38" s="546"/>
      <c r="BH38" s="546">
        <f t="shared" si="21"/>
        <v>66762.288808720419</v>
      </c>
      <c r="BI38" s="108">
        <f t="shared" si="31"/>
        <v>7</v>
      </c>
      <c r="BJ38" s="108">
        <f t="shared" si="26"/>
        <v>7</v>
      </c>
      <c r="BK38" s="22">
        <f t="shared" si="27"/>
        <v>46227</v>
      </c>
      <c r="BL38" s="108">
        <f t="shared" si="6"/>
        <v>13038</v>
      </c>
    </row>
    <row r="39" spans="1:1218" s="16" customFormat="1" ht="12" customHeight="1" x14ac:dyDescent="0.3">
      <c r="A39" s="180"/>
      <c r="B39" s="728"/>
      <c r="C39" s="524"/>
      <c r="D39" s="254"/>
      <c r="E39" s="178"/>
      <c r="F39" s="178"/>
      <c r="G39" s="244">
        <f t="shared" si="28"/>
        <v>31</v>
      </c>
      <c r="H39" s="245">
        <f t="shared" si="7"/>
        <v>46258</v>
      </c>
      <c r="I39" s="246">
        <f t="shared" si="8"/>
        <v>0.21900000000000003</v>
      </c>
      <c r="J39" s="242">
        <f t="shared" si="0"/>
        <v>13038</v>
      </c>
      <c r="K39" s="242">
        <f t="shared" si="22"/>
        <v>13038</v>
      </c>
      <c r="L39" s="242">
        <f t="shared" si="9"/>
        <v>1685.0201410631162</v>
      </c>
      <c r="M39" s="242">
        <f t="shared" si="23"/>
        <v>11352.979858936884</v>
      </c>
      <c r="N39" s="242">
        <f t="shared" si="1"/>
        <v>0</v>
      </c>
      <c r="O39" s="242">
        <v>0</v>
      </c>
      <c r="P39" s="242">
        <f t="shared" si="24"/>
        <v>1685.0201410631162</v>
      </c>
      <c r="Q39" s="242">
        <f t="shared" si="2"/>
        <v>0</v>
      </c>
      <c r="R39" s="242">
        <f t="shared" si="10"/>
        <v>0</v>
      </c>
      <c r="S39" s="242">
        <f t="shared" si="11"/>
        <v>79239.500843381174</v>
      </c>
      <c r="T39" s="467"/>
      <c r="U39" s="198">
        <f t="shared" si="29"/>
        <v>6</v>
      </c>
      <c r="V39" s="36">
        <f t="shared" si="12"/>
        <v>6</v>
      </c>
      <c r="W39" s="36">
        <f t="shared" si="13"/>
        <v>0</v>
      </c>
      <c r="X39" s="15">
        <v>0.11899999999999999</v>
      </c>
      <c r="Y39" s="101">
        <v>0.129</v>
      </c>
      <c r="Z39" s="484">
        <v>0.13900000000000001</v>
      </c>
      <c r="AA39" s="101">
        <v>0.14899999999999999</v>
      </c>
      <c r="AB39" s="484">
        <v>0.159</v>
      </c>
      <c r="AC39" s="15">
        <v>0.19900000000000001</v>
      </c>
      <c r="AD39" s="169">
        <v>0.17899999999999999</v>
      </c>
      <c r="AE39" s="15">
        <v>0.189</v>
      </c>
      <c r="AF39" s="15">
        <v>0.19900000000000001</v>
      </c>
      <c r="AG39" s="47" t="e">
        <f t="shared" si="39"/>
        <v>#N/A</v>
      </c>
      <c r="AH39" s="169">
        <f>AH36-$AH$35</f>
        <v>0.23900000000000002</v>
      </c>
      <c r="AJ39" s="2"/>
      <c r="AK39" s="2"/>
      <c r="AL39" s="57"/>
      <c r="AM39" s="47" t="e">
        <f>AM36-$AM$35</f>
        <v>#N/A</v>
      </c>
      <c r="AN39" s="169">
        <f>AN36-$AN$35</f>
        <v>0.23900000000000002</v>
      </c>
      <c r="AO39" s="15"/>
      <c r="AP39" s="130">
        <f t="shared" si="14"/>
        <v>1</v>
      </c>
      <c r="AQ39" s="553">
        <f t="shared" si="30"/>
        <v>31</v>
      </c>
      <c r="AR39" s="554">
        <f t="shared" si="15"/>
        <v>46258</v>
      </c>
      <c r="AS39" s="555">
        <f t="shared" si="38"/>
        <v>0.27900000000000003</v>
      </c>
      <c r="AT39" s="546">
        <f t="shared" si="16"/>
        <v>12601</v>
      </c>
      <c r="AU39" s="546">
        <f t="shared" si="25"/>
        <v>12601</v>
      </c>
      <c r="AV39" s="546">
        <f t="shared" si="17"/>
        <v>1581.9918791962273</v>
      </c>
      <c r="AW39" s="546">
        <f t="shared" si="18"/>
        <v>11019.008120803774</v>
      </c>
      <c r="AX39" s="546">
        <f t="shared" si="4"/>
        <v>0</v>
      </c>
      <c r="AY39" s="546">
        <v>0</v>
      </c>
      <c r="AZ39" s="546">
        <f t="shared" si="19"/>
        <v>1581.9918791962273</v>
      </c>
      <c r="BA39" s="546">
        <f t="shared" si="36"/>
        <v>0</v>
      </c>
      <c r="BB39" s="546">
        <f t="shared" si="35"/>
        <v>0</v>
      </c>
      <c r="BC39" s="546"/>
      <c r="BD39" s="546"/>
      <c r="BE39" s="546"/>
      <c r="BF39" s="546"/>
      <c r="BG39" s="546"/>
      <c r="BH39" s="546">
        <f t="shared" si="21"/>
        <v>55743.280687916646</v>
      </c>
      <c r="BI39" s="108">
        <f t="shared" si="31"/>
        <v>6</v>
      </c>
      <c r="BJ39" s="108">
        <f t="shared" si="26"/>
        <v>6</v>
      </c>
      <c r="BK39" s="22">
        <f t="shared" si="27"/>
        <v>46258</v>
      </c>
      <c r="BL39" s="108">
        <f t="shared" si="6"/>
        <v>13038</v>
      </c>
    </row>
    <row r="40" spans="1:1218" s="16" customFormat="1" ht="13.95" customHeight="1" x14ac:dyDescent="0.3">
      <c r="A40" s="180"/>
      <c r="B40" s="728"/>
      <c r="C40" s="524"/>
      <c r="D40" s="254"/>
      <c r="E40" s="178"/>
      <c r="F40" s="178"/>
      <c r="G40" s="244">
        <f t="shared" si="28"/>
        <v>32</v>
      </c>
      <c r="H40" s="245">
        <f t="shared" si="7"/>
        <v>46289</v>
      </c>
      <c r="I40" s="246">
        <f t="shared" si="8"/>
        <v>0.21900000000000003</v>
      </c>
      <c r="J40" s="242">
        <f t="shared" si="0"/>
        <v>13038</v>
      </c>
      <c r="K40" s="242">
        <f t="shared" si="22"/>
        <v>13038</v>
      </c>
      <c r="L40" s="242">
        <f t="shared" si="9"/>
        <v>1473.8547156868899</v>
      </c>
      <c r="M40" s="242">
        <f t="shared" si="23"/>
        <v>11564.14528431311</v>
      </c>
      <c r="N40" s="242">
        <f t="shared" si="1"/>
        <v>0</v>
      </c>
      <c r="O40" s="242">
        <v>0</v>
      </c>
      <c r="P40" s="242">
        <f t="shared" si="24"/>
        <v>1473.8547156868899</v>
      </c>
      <c r="Q40" s="242">
        <f t="shared" si="2"/>
        <v>0</v>
      </c>
      <c r="R40" s="242">
        <f t="shared" si="10"/>
        <v>0</v>
      </c>
      <c r="S40" s="242">
        <f t="shared" si="11"/>
        <v>67675.355559068063</v>
      </c>
      <c r="T40" s="467"/>
      <c r="U40" s="198">
        <f t="shared" si="29"/>
        <v>5</v>
      </c>
      <c r="V40" s="36">
        <f t="shared" si="12"/>
        <v>5</v>
      </c>
      <c r="W40" s="36">
        <f t="shared" si="13"/>
        <v>0</v>
      </c>
      <c r="X40" s="16">
        <f>INDEX('Для Перспективы'!B2:F2,MATCH($C$10,'Для Перспективы'!$B$1:$F$1,0))</f>
        <v>3000</v>
      </c>
      <c r="Y40" s="16">
        <f>INDEX('Для Перспективы'!B8:F8,MATCH($C$10,'Для Перспективы'!$B$1:$F$1,0))</f>
        <v>7000</v>
      </c>
      <c r="Z40" s="16">
        <f>INDEX('Для Перспективы'!B10:F10,MATCH($C$10,'Для Перспективы'!$B$1:$F$1,0))</f>
        <v>7000</v>
      </c>
      <c r="AA40" s="16">
        <f>INDEX('Для Перспективы'!B12:F12,MATCH($C$10,'Для Перспективы'!$B$1:$F$1,0))</f>
        <v>7000</v>
      </c>
      <c r="AB40" s="16">
        <f>INDEX('Для Перспективы'!B14:F14,MATCH($C$10,'Для Перспективы'!$B$1:$F$1,0))</f>
        <v>7000</v>
      </c>
      <c r="AC40" s="16">
        <f>INDEX('Для Перспективы'!B14:D14,MATCH($C$10,'Для Перспективы'!$B$1:$D$1,0))</f>
        <v>7000</v>
      </c>
      <c r="AD40" s="16">
        <f>INDEX('Для Перспективы'!B16:D16,MATCH($C$10,'Для Перспективы'!$B$1:$D$1,0))</f>
        <v>6500</v>
      </c>
      <c r="AE40" s="16">
        <f>INDEX('Для Перспективы'!B18:D18,MATCH($C$10,'Для Перспективы'!$B$1:$D$1,0))</f>
        <v>6100</v>
      </c>
      <c r="AF40" s="16">
        <f>INDEX('Для Перспективы'!B20:D20,MATCH($C$10,'Для Перспективы'!$B$1:$D$1,0))</f>
        <v>7000</v>
      </c>
      <c r="AG40" s="47" t="e">
        <f t="shared" si="39"/>
        <v>#N/A</v>
      </c>
      <c r="AH40" s="169">
        <f>AH36-$AH$35</f>
        <v>0.23900000000000002</v>
      </c>
      <c r="AJ40" s="2"/>
      <c r="AK40" s="2"/>
      <c r="AL40" s="57"/>
      <c r="AM40" s="47" t="e">
        <f>AM36-$AM$35</f>
        <v>#N/A</v>
      </c>
      <c r="AN40" s="169">
        <f>AN36-$AN$35</f>
        <v>0.23900000000000002</v>
      </c>
      <c r="AO40" s="15"/>
      <c r="AP40" s="130">
        <f t="shared" si="14"/>
        <v>1</v>
      </c>
      <c r="AQ40" s="553">
        <f t="shared" si="30"/>
        <v>32</v>
      </c>
      <c r="AR40" s="554">
        <f t="shared" si="15"/>
        <v>46289</v>
      </c>
      <c r="AS40" s="555">
        <f t="shared" si="38"/>
        <v>0.27900000000000003</v>
      </c>
      <c r="AT40" s="546">
        <f t="shared" si="16"/>
        <v>12601</v>
      </c>
      <c r="AU40" s="546">
        <f t="shared" si="25"/>
        <v>12601</v>
      </c>
      <c r="AV40" s="546">
        <f t="shared" si="17"/>
        <v>1320.8866703281949</v>
      </c>
      <c r="AW40" s="546">
        <f t="shared" si="18"/>
        <v>11280.113329671805</v>
      </c>
      <c r="AX40" s="546">
        <f t="shared" si="4"/>
        <v>0</v>
      </c>
      <c r="AY40" s="546">
        <v>0</v>
      </c>
      <c r="AZ40" s="546">
        <f t="shared" si="19"/>
        <v>1320.8866703281949</v>
      </c>
      <c r="BA40" s="546">
        <f t="shared" si="36"/>
        <v>0</v>
      </c>
      <c r="BB40" s="546">
        <f t="shared" si="35"/>
        <v>0</v>
      </c>
      <c r="BC40" s="546"/>
      <c r="BD40" s="546"/>
      <c r="BE40" s="546"/>
      <c r="BF40" s="546"/>
      <c r="BG40" s="546"/>
      <c r="BH40" s="546">
        <f t="shared" si="21"/>
        <v>44463.167358244842</v>
      </c>
      <c r="BI40" s="108">
        <f t="shared" si="31"/>
        <v>5</v>
      </c>
      <c r="BJ40" s="108">
        <f t="shared" si="26"/>
        <v>5</v>
      </c>
      <c r="BK40" s="22">
        <f t="shared" si="27"/>
        <v>46289</v>
      </c>
      <c r="BL40" s="108">
        <f t="shared" si="6"/>
        <v>13038</v>
      </c>
    </row>
    <row r="41" spans="1:1218" s="16" customFormat="1" ht="39" customHeight="1" x14ac:dyDescent="0.3">
      <c r="A41" s="180"/>
      <c r="B41" s="180"/>
      <c r="C41" s="524"/>
      <c r="D41" s="254"/>
      <c r="E41" s="178"/>
      <c r="F41" s="178"/>
      <c r="G41" s="244">
        <f t="shared" si="28"/>
        <v>33</v>
      </c>
      <c r="H41" s="245">
        <f t="shared" si="7"/>
        <v>46319</v>
      </c>
      <c r="I41" s="246">
        <f t="shared" si="8"/>
        <v>0.21900000000000003</v>
      </c>
      <c r="J41" s="242">
        <f t="shared" si="0"/>
        <v>13038</v>
      </c>
      <c r="K41" s="242">
        <f t="shared" si="22"/>
        <v>13038</v>
      </c>
      <c r="L41" s="242">
        <f t="shared" si="9"/>
        <v>1218.1564000632252</v>
      </c>
      <c r="M41" s="242">
        <f t="shared" si="23"/>
        <v>11819.843599936776</v>
      </c>
      <c r="N41" s="242">
        <f t="shared" si="1"/>
        <v>0</v>
      </c>
      <c r="O41" s="242">
        <v>0</v>
      </c>
      <c r="P41" s="242">
        <f t="shared" si="24"/>
        <v>1218.1564000632252</v>
      </c>
      <c r="Q41" s="242">
        <f t="shared" si="2"/>
        <v>0</v>
      </c>
      <c r="R41" s="242">
        <f t="shared" si="10"/>
        <v>0</v>
      </c>
      <c r="S41" s="242">
        <f t="shared" si="11"/>
        <v>55855.511959131283</v>
      </c>
      <c r="T41" s="467"/>
      <c r="U41" s="198">
        <f t="shared" si="29"/>
        <v>4</v>
      </c>
      <c r="V41" s="36">
        <f t="shared" si="12"/>
        <v>4</v>
      </c>
      <c r="W41" s="36">
        <f t="shared" si="13"/>
        <v>0</v>
      </c>
      <c r="X41" s="16">
        <f>INDEX('Для Перспективы'!B3:F3,MATCH($C$10,'Для Перспективы'!$B$1:$F$1,0))</f>
        <v>194000</v>
      </c>
      <c r="Y41" s="16">
        <f>INDEX('Для Перспективы'!B9:F9,MATCH($C$10,'Для Перспективы'!$B$1:$F$1,0))</f>
        <v>202000</v>
      </c>
      <c r="Z41" s="16">
        <f>INDEX('Для Перспективы'!B11:F11,MATCH($C$10,'Для Перспективы'!$B$1:$F$1,0))</f>
        <v>204900</v>
      </c>
      <c r="AA41" s="16">
        <f>INDEX('Для Перспективы'!B13:F13,MATCH($C$10,'Для Перспективы'!$B$1:$F$1,0))</f>
        <v>207900</v>
      </c>
      <c r="AB41" s="16">
        <f>INDEX('Для Перспективы'!B15:F15,MATCH($C$10,'Для Перспективы'!$B$1:$F$1,0))</f>
        <v>211000</v>
      </c>
      <c r="AC41" s="16">
        <f>INDEX('Для Перспективы'!B15:D15,MATCH($C$10,'Для Перспективы'!$B$1:$D$1,0))</f>
        <v>211000</v>
      </c>
      <c r="AD41" s="16">
        <f>INDEX('Для Перспективы'!B17:D17,MATCH($C$10,'Для Перспективы'!$B$1:$D$1,0))</f>
        <v>213800</v>
      </c>
      <c r="AE41" s="16">
        <f>INDEX('Для Перспективы'!B19:D19,MATCH($C$10,'Для Перспективы'!$B$1:$D$1,0))</f>
        <v>216030</v>
      </c>
      <c r="AF41" s="16">
        <f>INDEX('Для Перспективы'!B21:D21,MATCH($C$10,'Для Перспективы'!$B$1:$D$1,0))</f>
        <v>216800</v>
      </c>
      <c r="AG41" s="3"/>
      <c r="AH41" s="3"/>
      <c r="AI41" s="3"/>
      <c r="AJ41" s="2"/>
      <c r="AK41" s="2"/>
      <c r="AL41" s="57"/>
      <c r="AM41" s="2"/>
      <c r="AN41" s="15"/>
      <c r="AO41" s="15"/>
      <c r="AP41" s="130">
        <f t="shared" si="14"/>
        <v>1</v>
      </c>
      <c r="AQ41" s="553">
        <f t="shared" si="30"/>
        <v>33</v>
      </c>
      <c r="AR41" s="554">
        <f t="shared" si="15"/>
        <v>46319</v>
      </c>
      <c r="AS41" s="555">
        <f t="shared" si="38"/>
        <v>0.27900000000000003</v>
      </c>
      <c r="AT41" s="546">
        <f t="shared" si="16"/>
        <v>12601</v>
      </c>
      <c r="AU41" s="546">
        <f t="shared" si="25"/>
        <v>12601</v>
      </c>
      <c r="AV41" s="546">
        <f t="shared" si="17"/>
        <v>1019.6074268178338</v>
      </c>
      <c r="AW41" s="546">
        <f t="shared" si="18"/>
        <v>11581.392573182166</v>
      </c>
      <c r="AX41" s="546">
        <f t="shared" si="4"/>
        <v>0</v>
      </c>
      <c r="AY41" s="546">
        <v>0</v>
      </c>
      <c r="AZ41" s="546">
        <f t="shared" si="19"/>
        <v>1019.6074268178338</v>
      </c>
      <c r="BA41" s="546">
        <f t="shared" si="36"/>
        <v>0</v>
      </c>
      <c r="BB41" s="546">
        <f t="shared" si="35"/>
        <v>0</v>
      </c>
      <c r="BC41" s="546"/>
      <c r="BD41" s="546"/>
      <c r="BE41" s="546"/>
      <c r="BF41" s="546"/>
      <c r="BG41" s="546"/>
      <c r="BH41" s="546">
        <f t="shared" si="21"/>
        <v>32881.774785062677</v>
      </c>
      <c r="BI41" s="108">
        <f t="shared" si="31"/>
        <v>4</v>
      </c>
      <c r="BJ41" s="108">
        <f t="shared" si="26"/>
        <v>4</v>
      </c>
      <c r="BK41" s="22">
        <f t="shared" si="27"/>
        <v>46319</v>
      </c>
      <c r="BL41" s="108">
        <f t="shared" si="6"/>
        <v>13038</v>
      </c>
    </row>
    <row r="42" spans="1:1218" s="16" customFormat="1" ht="18.75" customHeight="1" x14ac:dyDescent="0.3">
      <c r="A42" s="180"/>
      <c r="B42" s="178"/>
      <c r="C42" s="184"/>
      <c r="D42" s="254"/>
      <c r="E42" s="178"/>
      <c r="F42" s="178"/>
      <c r="G42" s="244">
        <f t="shared" si="28"/>
        <v>34</v>
      </c>
      <c r="H42" s="245">
        <f t="shared" si="7"/>
        <v>46350</v>
      </c>
      <c r="I42" s="246">
        <f t="shared" si="8"/>
        <v>0.21900000000000003</v>
      </c>
      <c r="J42" s="242">
        <f t="shared" si="0"/>
        <v>13038</v>
      </c>
      <c r="K42" s="242">
        <f t="shared" si="22"/>
        <v>13038</v>
      </c>
      <c r="L42" s="242">
        <f t="shared" si="9"/>
        <v>1038.912522439842</v>
      </c>
      <c r="M42" s="242">
        <f t="shared" si="23"/>
        <v>11999.087477560159</v>
      </c>
      <c r="N42" s="242">
        <f t="shared" si="1"/>
        <v>0</v>
      </c>
      <c r="O42" s="242">
        <v>0</v>
      </c>
      <c r="P42" s="242">
        <f t="shared" si="24"/>
        <v>1038.912522439842</v>
      </c>
      <c r="Q42" s="242">
        <f t="shared" si="2"/>
        <v>0</v>
      </c>
      <c r="R42" s="242">
        <f t="shared" si="10"/>
        <v>0</v>
      </c>
      <c r="S42" s="242">
        <f t="shared" si="11"/>
        <v>43856.424481571128</v>
      </c>
      <c r="T42" s="467"/>
      <c r="U42" s="198">
        <f t="shared" si="29"/>
        <v>3</v>
      </c>
      <c r="V42" s="36">
        <f t="shared" si="12"/>
        <v>3</v>
      </c>
      <c r="W42" s="36">
        <f t="shared" si="13"/>
        <v>0</v>
      </c>
      <c r="X42" s="2"/>
      <c r="Y42" s="18">
        <f>K8</f>
        <v>-351979</v>
      </c>
      <c r="Z42" s="57">
        <f>H8</f>
        <v>45315</v>
      </c>
      <c r="AA42" s="2"/>
      <c r="AB42" s="2"/>
      <c r="AC42" s="2"/>
      <c r="AG42" s="2"/>
      <c r="AH42" s="2"/>
      <c r="AI42" s="2"/>
      <c r="AJ42" s="2"/>
      <c r="AK42" s="2"/>
      <c r="AL42" s="57"/>
      <c r="AM42" s="2"/>
      <c r="AN42" s="15"/>
      <c r="AO42" s="15"/>
      <c r="AP42" s="130">
        <f t="shared" si="14"/>
        <v>1</v>
      </c>
      <c r="AQ42" s="553">
        <f t="shared" si="30"/>
        <v>34</v>
      </c>
      <c r="AR42" s="554">
        <f t="shared" si="15"/>
        <v>46350</v>
      </c>
      <c r="AS42" s="555">
        <f t="shared" si="38"/>
        <v>0.27900000000000003</v>
      </c>
      <c r="AT42" s="546">
        <f t="shared" si="16"/>
        <v>12601</v>
      </c>
      <c r="AU42" s="546">
        <f t="shared" si="25"/>
        <v>12601</v>
      </c>
      <c r="AV42" s="546">
        <f t="shared" si="17"/>
        <v>779.162931824677</v>
      </c>
      <c r="AW42" s="546">
        <f t="shared" si="18"/>
        <v>11821.837068175322</v>
      </c>
      <c r="AX42" s="546">
        <f t="shared" si="4"/>
        <v>0</v>
      </c>
      <c r="AY42" s="546">
        <v>0</v>
      </c>
      <c r="AZ42" s="546">
        <f t="shared" si="19"/>
        <v>779.162931824677</v>
      </c>
      <c r="BA42" s="546">
        <f t="shared" si="36"/>
        <v>0</v>
      </c>
      <c r="BB42" s="546">
        <f t="shared" si="35"/>
        <v>0</v>
      </c>
      <c r="BC42" s="546"/>
      <c r="BD42" s="546"/>
      <c r="BE42" s="546"/>
      <c r="BF42" s="546"/>
      <c r="BG42" s="546"/>
      <c r="BH42" s="546">
        <f t="shared" si="21"/>
        <v>21059.937716887354</v>
      </c>
      <c r="BI42" s="108">
        <f t="shared" si="31"/>
        <v>3</v>
      </c>
      <c r="BJ42" s="108">
        <f t="shared" si="26"/>
        <v>3</v>
      </c>
      <c r="BK42" s="22">
        <f t="shared" si="27"/>
        <v>46350</v>
      </c>
      <c r="BL42" s="108">
        <f t="shared" si="6"/>
        <v>13038</v>
      </c>
    </row>
    <row r="43" spans="1:1218" s="16" customFormat="1" ht="13.8" x14ac:dyDescent="0.3">
      <c r="A43" s="180"/>
      <c r="B43" s="179"/>
      <c r="C43" s="524"/>
      <c r="D43" s="254"/>
      <c r="E43" s="178"/>
      <c r="F43" s="178"/>
      <c r="G43" s="244">
        <f t="shared" si="28"/>
        <v>35</v>
      </c>
      <c r="H43" s="245">
        <f t="shared" si="7"/>
        <v>46380</v>
      </c>
      <c r="I43" s="246">
        <f t="shared" si="8"/>
        <v>0.21900000000000003</v>
      </c>
      <c r="J43" s="242">
        <f t="shared" si="0"/>
        <v>13038</v>
      </c>
      <c r="K43" s="242">
        <f t="shared" si="22"/>
        <v>13038</v>
      </c>
      <c r="L43" s="242">
        <f t="shared" si="9"/>
        <v>789.41564066828039</v>
      </c>
      <c r="M43" s="242">
        <f t="shared" si="23"/>
        <v>12248.58435933172</v>
      </c>
      <c r="N43" s="242">
        <f t="shared" si="1"/>
        <v>0</v>
      </c>
      <c r="O43" s="242">
        <v>0</v>
      </c>
      <c r="P43" s="242">
        <f t="shared" si="24"/>
        <v>789.41564066828039</v>
      </c>
      <c r="Q43" s="242">
        <f t="shared" si="2"/>
        <v>0</v>
      </c>
      <c r="R43" s="242">
        <f t="shared" si="10"/>
        <v>0</v>
      </c>
      <c r="S43" s="242">
        <f t="shared" si="11"/>
        <v>31607.84012223941</v>
      </c>
      <c r="T43" s="467"/>
      <c r="U43" s="198">
        <f t="shared" si="29"/>
        <v>2</v>
      </c>
      <c r="V43" s="36">
        <f t="shared" si="12"/>
        <v>2</v>
      </c>
      <c r="W43" s="36">
        <f t="shared" si="13"/>
        <v>0</v>
      </c>
      <c r="Y43" s="34">
        <f>IF(OR(C8="Гарантия стандарт",C8="Гарантия пакет"),AI65*AI79*$C$10,0)</f>
        <v>0</v>
      </c>
      <c r="Z43" s="57">
        <f>H8</f>
        <v>45315</v>
      </c>
      <c r="AA43" s="5" t="s">
        <v>11</v>
      </c>
      <c r="AB43" s="4"/>
      <c r="AC43" s="37"/>
      <c r="AG43" s="2"/>
      <c r="AH43" s="2"/>
      <c r="AI43" s="2"/>
      <c r="AJ43" s="2"/>
      <c r="AK43" s="2"/>
      <c r="AL43" s="57"/>
      <c r="AM43" s="2"/>
      <c r="AN43" s="15"/>
      <c r="AO43" s="15"/>
      <c r="AP43" s="130">
        <f t="shared" si="14"/>
        <v>1</v>
      </c>
      <c r="AQ43" s="553">
        <f t="shared" si="30"/>
        <v>35</v>
      </c>
      <c r="AR43" s="554">
        <f t="shared" si="15"/>
        <v>46380</v>
      </c>
      <c r="AS43" s="555">
        <f t="shared" si="38"/>
        <v>0.27900000000000003</v>
      </c>
      <c r="AT43" s="546">
        <f t="shared" si="16"/>
        <v>12601</v>
      </c>
      <c r="AU43" s="546">
        <f t="shared" si="25"/>
        <v>12601</v>
      </c>
      <c r="AV43" s="546">
        <f t="shared" si="17"/>
        <v>482.93610600095116</v>
      </c>
      <c r="AW43" s="546">
        <f t="shared" si="18"/>
        <v>12118.063893999049</v>
      </c>
      <c r="AX43" s="546">
        <f t="shared" si="4"/>
        <v>0</v>
      </c>
      <c r="AY43" s="546">
        <v>0</v>
      </c>
      <c r="AZ43" s="546">
        <f t="shared" si="19"/>
        <v>482.93610600095116</v>
      </c>
      <c r="BA43" s="546">
        <f t="shared" si="36"/>
        <v>0</v>
      </c>
      <c r="BB43" s="546">
        <f t="shared" si="35"/>
        <v>0</v>
      </c>
      <c r="BC43" s="546"/>
      <c r="BD43" s="546"/>
      <c r="BE43" s="546"/>
      <c r="BF43" s="546"/>
      <c r="BG43" s="546"/>
      <c r="BH43" s="546">
        <f t="shared" si="21"/>
        <v>8941.8738228883049</v>
      </c>
      <c r="BI43" s="108">
        <f t="shared" si="31"/>
        <v>2</v>
      </c>
      <c r="BJ43" s="108">
        <f t="shared" si="26"/>
        <v>2</v>
      </c>
      <c r="BK43" s="22">
        <f t="shared" si="27"/>
        <v>46380</v>
      </c>
      <c r="BL43" s="108">
        <f t="shared" si="6"/>
        <v>13038</v>
      </c>
    </row>
    <row r="44" spans="1:1218" s="16" customFormat="1" ht="15.75" customHeight="1" thickBot="1" x14ac:dyDescent="0.35">
      <c r="A44" s="180"/>
      <c r="B44" s="728"/>
      <c r="C44" s="524"/>
      <c r="D44" s="254"/>
      <c r="E44" s="178"/>
      <c r="F44" s="178"/>
      <c r="G44" s="248">
        <f t="shared" si="28"/>
        <v>36</v>
      </c>
      <c r="H44" s="679">
        <f t="shared" si="7"/>
        <v>46411</v>
      </c>
      <c r="I44" s="250">
        <f t="shared" si="8"/>
        <v>0.21900000000000003</v>
      </c>
      <c r="J44" s="252">
        <f t="shared" si="0"/>
        <v>13038</v>
      </c>
      <c r="K44" s="252">
        <f t="shared" si="22"/>
        <v>13038</v>
      </c>
      <c r="L44" s="242">
        <f t="shared" si="9"/>
        <v>587.90582627365313</v>
      </c>
      <c r="M44" s="252">
        <f t="shared" si="23"/>
        <v>12450.094173726347</v>
      </c>
      <c r="N44" s="252">
        <f t="shared" si="1"/>
        <v>0</v>
      </c>
      <c r="O44" s="252">
        <v>0</v>
      </c>
      <c r="P44" s="252">
        <f t="shared" si="24"/>
        <v>587.90582627365313</v>
      </c>
      <c r="Q44" s="252">
        <f t="shared" si="2"/>
        <v>0</v>
      </c>
      <c r="R44" s="252">
        <f t="shared" si="10"/>
        <v>0</v>
      </c>
      <c r="S44" s="252">
        <f t="shared" si="11"/>
        <v>0</v>
      </c>
      <c r="T44" s="252">
        <f t="shared" ref="T44:T67" si="40">IF(G44=$C$10,(S43-K44+L44),0)</f>
        <v>19157.745948513064</v>
      </c>
      <c r="U44" s="198">
        <f t="shared" si="29"/>
        <v>1</v>
      </c>
      <c r="V44" s="36">
        <f t="shared" si="12"/>
        <v>1</v>
      </c>
      <c r="W44" s="36">
        <f t="shared" si="13"/>
        <v>19157.745948513064</v>
      </c>
      <c r="X44" s="2">
        <f>IF(AND(G9&gt;=$X$11,G9&lt;=$X$11+5),0,IF($C$9&gt;$AG$51,ROUND(S8*#REF!/(DATEVALUE(CONCATENATE("01/01/",YEAR(H9)+1))-DATEVALUE(CONCATENATE("01/01/",YEAR(H9))))*(H9-H8),2),0))</f>
        <v>0</v>
      </c>
      <c r="Y44" s="34">
        <f>K9</f>
        <v>13038</v>
      </c>
      <c r="Z44" s="57">
        <f>Z43+365</f>
        <v>45680</v>
      </c>
      <c r="AA44" s="8" t="s">
        <v>10</v>
      </c>
      <c r="AB44" s="8"/>
      <c r="AC44" s="37"/>
      <c r="AG44" s="3"/>
      <c r="AH44" s="3"/>
      <c r="AI44" s="3"/>
      <c r="AJ44" s="2"/>
      <c r="AK44" s="2"/>
      <c r="AL44" s="57"/>
      <c r="AM44" s="2"/>
      <c r="AN44" s="15"/>
      <c r="AO44" s="3"/>
      <c r="AP44" s="130">
        <f t="shared" si="14"/>
        <v>1</v>
      </c>
      <c r="AQ44" s="556">
        <f t="shared" si="30"/>
        <v>36</v>
      </c>
      <c r="AR44" s="680">
        <f t="shared" si="15"/>
        <v>46411</v>
      </c>
      <c r="AS44" s="557">
        <f t="shared" si="38"/>
        <v>0.27900000000000003</v>
      </c>
      <c r="AT44" s="547">
        <f t="shared" si="16"/>
        <v>12601</v>
      </c>
      <c r="AU44" s="547">
        <f>IF(AQ44&gt;$C$10,0,IF(BD43=0,AU43,ROUNDUP(BC43*$C$11/12/((1-(1+$C$11/12)^(0-($C$10-AQ44)))),0)))</f>
        <v>12601</v>
      </c>
      <c r="AV44" s="547">
        <f t="shared" si="17"/>
        <v>211.88566217578344</v>
      </c>
      <c r="AW44" s="547">
        <f t="shared" si="18"/>
        <v>8941.8738228883049</v>
      </c>
      <c r="AX44" s="547">
        <f t="shared" si="4"/>
        <v>0</v>
      </c>
      <c r="AY44" s="547">
        <v>0</v>
      </c>
      <c r="AZ44" s="547">
        <f t="shared" si="19"/>
        <v>211.88566217578344</v>
      </c>
      <c r="BA44" s="547">
        <f t="shared" si="36"/>
        <v>0</v>
      </c>
      <c r="BB44" s="547">
        <f t="shared" si="35"/>
        <v>0</v>
      </c>
      <c r="BC44" s="547"/>
      <c r="BD44" s="547"/>
      <c r="BE44" s="547"/>
      <c r="BF44" s="547"/>
      <c r="BG44" s="547"/>
      <c r="BH44" s="547">
        <f t="shared" si="21"/>
        <v>0</v>
      </c>
      <c r="BI44" s="108">
        <f t="shared" si="31"/>
        <v>1</v>
      </c>
      <c r="BJ44" s="108">
        <f t="shared" si="26"/>
        <v>1</v>
      </c>
      <c r="BK44" s="22">
        <f t="shared" si="27"/>
        <v>46411</v>
      </c>
      <c r="BL44" s="108">
        <f t="shared" si="6"/>
        <v>13038</v>
      </c>
    </row>
    <row r="45" spans="1:1218" s="16" customFormat="1" ht="16.95" customHeight="1" x14ac:dyDescent="0.3">
      <c r="A45" s="180"/>
      <c r="B45" s="728"/>
      <c r="C45" s="524"/>
      <c r="D45" s="178"/>
      <c r="E45" s="178"/>
      <c r="F45" s="178"/>
      <c r="G45" s="244">
        <f t="shared" si="28"/>
        <v>37</v>
      </c>
      <c r="H45" s="245">
        <f t="shared" si="7"/>
        <v>46442</v>
      </c>
      <c r="I45" s="246">
        <f t="shared" si="8"/>
        <v>0.21900000000000003</v>
      </c>
      <c r="J45" s="242">
        <f t="shared" si="0"/>
        <v>0</v>
      </c>
      <c r="K45" s="242">
        <f t="shared" si="22"/>
        <v>0</v>
      </c>
      <c r="L45" s="242">
        <f t="shared" si="9"/>
        <v>0</v>
      </c>
      <c r="M45" s="242">
        <f t="shared" si="23"/>
        <v>0</v>
      </c>
      <c r="N45" s="242">
        <f t="shared" si="1"/>
        <v>0</v>
      </c>
      <c r="O45" s="242">
        <v>0</v>
      </c>
      <c r="P45" s="242">
        <f t="shared" si="24"/>
        <v>0</v>
      </c>
      <c r="Q45" s="242">
        <f t="shared" si="2"/>
        <v>0</v>
      </c>
      <c r="R45" s="242">
        <f t="shared" si="10"/>
        <v>0</v>
      </c>
      <c r="S45" s="242">
        <f t="shared" si="11"/>
        <v>0</v>
      </c>
      <c r="T45" s="467">
        <f t="shared" si="40"/>
        <v>0</v>
      </c>
      <c r="U45" s="198">
        <f t="shared" si="29"/>
        <v>0</v>
      </c>
      <c r="V45" s="36">
        <f t="shared" si="12"/>
        <v>0</v>
      </c>
      <c r="W45" s="36">
        <f t="shared" si="13"/>
        <v>0</v>
      </c>
      <c r="X45" s="2">
        <f>IF(AND(G10&gt;=$X$11,G10&lt;=$X$11+5),0,IF($C$9&gt;$AG$51,ROUND(S9*#REF!/(DATEVALUE(CONCATENATE("01/01/",YEAR(H10)+1))-DATEVALUE(CONCATENATE("01/01/",YEAR(H10))))*(H10-H9),2),0))</f>
        <v>0</v>
      </c>
      <c r="Y45" s="34">
        <f>IF(K10 &gt; 0, K10, 0)</f>
        <v>13038</v>
      </c>
      <c r="Z45" s="57">
        <f t="shared" ref="Z45:Z108" si="41">Z44+365</f>
        <v>46045</v>
      </c>
      <c r="AA45" s="8" t="s">
        <v>8</v>
      </c>
      <c r="AB45" s="8"/>
      <c r="AC45" s="37"/>
      <c r="AG45" s="3"/>
      <c r="AH45" s="3"/>
      <c r="AI45" s="3"/>
      <c r="AJ45" s="2"/>
      <c r="AK45" s="2"/>
      <c r="AL45" s="57"/>
      <c r="AM45" s="2"/>
      <c r="AN45" s="3"/>
      <c r="AP45" s="130">
        <f t="shared" si="14"/>
        <v>0</v>
      </c>
      <c r="AQ45" s="553">
        <f t="shared" si="30"/>
        <v>37</v>
      </c>
      <c r="AR45" s="554">
        <f t="shared" si="15"/>
        <v>46442</v>
      </c>
      <c r="AS45" s="555">
        <f t="shared" ref="AS45:AS56" si="42">IF($D$16="Да",$AN$39,$D$13)</f>
        <v>0.27900000000000003</v>
      </c>
      <c r="AT45" s="546">
        <f t="shared" si="16"/>
        <v>0</v>
      </c>
      <c r="AU45" s="546">
        <f t="shared" si="25"/>
        <v>0</v>
      </c>
      <c r="AV45" s="546">
        <f t="shared" si="17"/>
        <v>0</v>
      </c>
      <c r="AW45" s="546">
        <f t="shared" si="18"/>
        <v>0</v>
      </c>
      <c r="AX45" s="546">
        <f t="shared" si="4"/>
        <v>0</v>
      </c>
      <c r="AY45" s="546">
        <v>0</v>
      </c>
      <c r="AZ45" s="546">
        <f t="shared" si="19"/>
        <v>0</v>
      </c>
      <c r="BA45" s="546">
        <f t="shared" si="36"/>
        <v>0</v>
      </c>
      <c r="BB45" s="546">
        <f t="shared" si="35"/>
        <v>0</v>
      </c>
      <c r="BC45" s="546"/>
      <c r="BD45" s="546"/>
      <c r="BE45" s="546"/>
      <c r="BF45" s="546"/>
      <c r="BG45" s="546"/>
      <c r="BH45" s="546">
        <f t="shared" si="21"/>
        <v>0</v>
      </c>
      <c r="BI45" s="108">
        <f t="shared" si="31"/>
        <v>0</v>
      </c>
      <c r="BJ45" s="108">
        <f t="shared" si="26"/>
        <v>0</v>
      </c>
      <c r="BK45" s="22">
        <f t="shared" si="27"/>
        <v>46442</v>
      </c>
      <c r="BL45" s="108">
        <f t="shared" si="6"/>
        <v>0</v>
      </c>
    </row>
    <row r="46" spans="1:1218" s="16" customFormat="1" ht="41.25" customHeight="1" x14ac:dyDescent="0.3">
      <c r="A46" s="180"/>
      <c r="B46" s="180"/>
      <c r="C46" s="524"/>
      <c r="D46" s="178"/>
      <c r="E46" s="178"/>
      <c r="F46" s="178"/>
      <c r="G46" s="244">
        <f t="shared" si="28"/>
        <v>38</v>
      </c>
      <c r="H46" s="245">
        <f t="shared" si="7"/>
        <v>46470</v>
      </c>
      <c r="I46" s="246">
        <f t="shared" si="8"/>
        <v>0.21900000000000003</v>
      </c>
      <c r="J46" s="242">
        <f t="shared" si="0"/>
        <v>0</v>
      </c>
      <c r="K46" s="242">
        <f t="shared" si="22"/>
        <v>0</v>
      </c>
      <c r="L46" s="242">
        <f t="shared" si="9"/>
        <v>0</v>
      </c>
      <c r="M46" s="242">
        <f t="shared" si="23"/>
        <v>0</v>
      </c>
      <c r="N46" s="242">
        <f t="shared" si="1"/>
        <v>0</v>
      </c>
      <c r="O46" s="242">
        <v>0</v>
      </c>
      <c r="P46" s="242">
        <f t="shared" si="24"/>
        <v>0</v>
      </c>
      <c r="Q46" s="242">
        <f t="shared" si="2"/>
        <v>0</v>
      </c>
      <c r="R46" s="242">
        <f t="shared" si="10"/>
        <v>0</v>
      </c>
      <c r="S46" s="242">
        <f t="shared" si="11"/>
        <v>0</v>
      </c>
      <c r="T46" s="467">
        <f t="shared" si="40"/>
        <v>0</v>
      </c>
      <c r="U46" s="198">
        <f t="shared" si="29"/>
        <v>0</v>
      </c>
      <c r="V46" s="36">
        <f t="shared" si="12"/>
        <v>0</v>
      </c>
      <c r="W46" s="36">
        <f t="shared" si="13"/>
        <v>0</v>
      </c>
      <c r="X46" s="2">
        <f>IF(AND(G11&gt;=$X$11,G11&lt;=$X$11+5),0,IF($C$9&gt;$AG$51,ROUND(S10*#REF!/(DATEVALUE(CONCATENATE("01/01/",YEAR(H11)+1))-DATEVALUE(CONCATENATE("01/01/",YEAR(H11))))*(H11-H10),2),0))</f>
        <v>0</v>
      </c>
      <c r="Y46" s="34">
        <f t="shared" ref="Y46:Y109" si="43">IF(K11 &gt; 0, K11, 0)</f>
        <v>13038</v>
      </c>
      <c r="Z46" s="57">
        <f t="shared" si="41"/>
        <v>46410</v>
      </c>
      <c r="AA46" s="5" t="s">
        <v>1</v>
      </c>
      <c r="AB46" s="8"/>
      <c r="AC46" s="40"/>
      <c r="AD46" s="2"/>
      <c r="AE46" s="2"/>
      <c r="AF46" s="3"/>
      <c r="AG46" s="3"/>
      <c r="AH46" s="3"/>
      <c r="AI46" s="3"/>
      <c r="AJ46" s="2"/>
      <c r="AK46" s="2"/>
      <c r="AL46" s="57"/>
      <c r="AM46" s="2"/>
      <c r="AN46" s="18">
        <f>AU8</f>
        <v>-303499</v>
      </c>
      <c r="AO46" s="57">
        <f>AR8</f>
        <v>45315</v>
      </c>
      <c r="AP46" s="130">
        <f t="shared" si="14"/>
        <v>0</v>
      </c>
      <c r="AQ46" s="553">
        <f t="shared" si="30"/>
        <v>38</v>
      </c>
      <c r="AR46" s="554">
        <f t="shared" si="15"/>
        <v>46470</v>
      </c>
      <c r="AS46" s="555">
        <f t="shared" si="42"/>
        <v>0.27900000000000003</v>
      </c>
      <c r="AT46" s="546">
        <f t="shared" si="16"/>
        <v>0</v>
      </c>
      <c r="AU46" s="546">
        <f t="shared" si="25"/>
        <v>0</v>
      </c>
      <c r="AV46" s="546">
        <f t="shared" si="17"/>
        <v>0</v>
      </c>
      <c r="AW46" s="546">
        <f t="shared" si="18"/>
        <v>0</v>
      </c>
      <c r="AX46" s="546">
        <f t="shared" si="4"/>
        <v>0</v>
      </c>
      <c r="AY46" s="546">
        <v>0</v>
      </c>
      <c r="AZ46" s="546">
        <f t="shared" si="19"/>
        <v>0</v>
      </c>
      <c r="BA46" s="546">
        <f t="shared" si="36"/>
        <v>0</v>
      </c>
      <c r="BB46" s="546">
        <f t="shared" si="35"/>
        <v>0</v>
      </c>
      <c r="BC46" s="546"/>
      <c r="BD46" s="546"/>
      <c r="BE46" s="546"/>
      <c r="BF46" s="546"/>
      <c r="BG46" s="546"/>
      <c r="BH46" s="546">
        <f t="shared" si="21"/>
        <v>0</v>
      </c>
      <c r="BI46" s="108">
        <f t="shared" si="31"/>
        <v>0</v>
      </c>
      <c r="BJ46" s="108">
        <f t="shared" si="26"/>
        <v>0</v>
      </c>
      <c r="BK46" s="22">
        <f t="shared" si="27"/>
        <v>46470</v>
      </c>
      <c r="BL46" s="108">
        <f t="shared" si="6"/>
        <v>0</v>
      </c>
    </row>
    <row r="47" spans="1:1218" s="16" customFormat="1" ht="30.75" customHeight="1" x14ac:dyDescent="0.3">
      <c r="A47" s="178"/>
      <c r="B47" s="178"/>
      <c r="C47" s="184"/>
      <c r="D47" s="181"/>
      <c r="E47" s="178"/>
      <c r="F47" s="178"/>
      <c r="G47" s="244">
        <f t="shared" si="28"/>
        <v>39</v>
      </c>
      <c r="H47" s="245">
        <f t="shared" si="7"/>
        <v>46501</v>
      </c>
      <c r="I47" s="246">
        <f t="shared" si="8"/>
        <v>0.21900000000000003</v>
      </c>
      <c r="J47" s="242">
        <f t="shared" si="0"/>
        <v>0</v>
      </c>
      <c r="K47" s="242">
        <f t="shared" si="22"/>
        <v>0</v>
      </c>
      <c r="L47" s="242">
        <f t="shared" si="9"/>
        <v>0</v>
      </c>
      <c r="M47" s="242">
        <f t="shared" si="23"/>
        <v>0</v>
      </c>
      <c r="N47" s="242">
        <f t="shared" si="1"/>
        <v>0</v>
      </c>
      <c r="O47" s="242">
        <v>0</v>
      </c>
      <c r="P47" s="242">
        <f t="shared" si="24"/>
        <v>0</v>
      </c>
      <c r="Q47" s="242">
        <f t="shared" si="2"/>
        <v>0</v>
      </c>
      <c r="R47" s="242">
        <f t="shared" si="10"/>
        <v>0</v>
      </c>
      <c r="S47" s="242">
        <f t="shared" si="11"/>
        <v>0</v>
      </c>
      <c r="T47" s="467">
        <f t="shared" si="40"/>
        <v>0</v>
      </c>
      <c r="U47" s="198">
        <f t="shared" si="29"/>
        <v>0</v>
      </c>
      <c r="V47" s="36">
        <f t="shared" si="12"/>
        <v>0</v>
      </c>
      <c r="W47" s="36">
        <f t="shared" si="13"/>
        <v>0</v>
      </c>
      <c r="X47" s="2">
        <f>IF(AND(G12&gt;=$X$11,G12&lt;=$X$11+5),0,IF($C$9&gt;$AG$51,ROUND(S11*#REF!/(DATEVALUE(CONCATENATE("01/01/",YEAR(H12)+1))-DATEVALUE(CONCATENATE("01/01/",YEAR(H12))))*(H12-H11),2),0))</f>
        <v>0</v>
      </c>
      <c r="Y47" s="34">
        <f t="shared" si="43"/>
        <v>13038</v>
      </c>
      <c r="Z47" s="57">
        <f t="shared" si="41"/>
        <v>46775</v>
      </c>
      <c r="AA47" s="5" t="s">
        <v>42</v>
      </c>
      <c r="AB47" s="8"/>
      <c r="AC47" s="17">
        <f>AD51/C7</f>
        <v>-1</v>
      </c>
      <c r="AD47" s="38">
        <v>0</v>
      </c>
      <c r="AE47" s="1" t="s">
        <v>20</v>
      </c>
      <c r="AF47" s="6" t="s">
        <v>15</v>
      </c>
      <c r="AG47" s="6"/>
      <c r="AH47" s="6">
        <f>IF(S8&gt;=200000,10,1)</f>
        <v>10</v>
      </c>
      <c r="AI47" s="27">
        <v>41274</v>
      </c>
      <c r="AJ47" s="2">
        <v>6</v>
      </c>
      <c r="AK47" s="2"/>
      <c r="AL47" s="2"/>
      <c r="AN47" s="34">
        <f>IF(OR(D8="Гарантия стандарт",D8="Гарантия пакет"),AI65*AI79*$C$10,0)</f>
        <v>0</v>
      </c>
      <c r="AO47" s="57">
        <f>AR8</f>
        <v>45315</v>
      </c>
      <c r="AP47" s="130">
        <f t="shared" si="14"/>
        <v>0</v>
      </c>
      <c r="AQ47" s="553">
        <f t="shared" si="30"/>
        <v>39</v>
      </c>
      <c r="AR47" s="554">
        <f t="shared" si="15"/>
        <v>46501</v>
      </c>
      <c r="AS47" s="555">
        <f t="shared" si="42"/>
        <v>0.27900000000000003</v>
      </c>
      <c r="AT47" s="546">
        <f t="shared" si="16"/>
        <v>0</v>
      </c>
      <c r="AU47" s="546">
        <f t="shared" si="25"/>
        <v>0</v>
      </c>
      <c r="AV47" s="546">
        <f t="shared" si="17"/>
        <v>0</v>
      </c>
      <c r="AW47" s="546">
        <f t="shared" si="18"/>
        <v>0</v>
      </c>
      <c r="AX47" s="546">
        <f t="shared" si="4"/>
        <v>0</v>
      </c>
      <c r="AY47" s="546">
        <v>0</v>
      </c>
      <c r="AZ47" s="546">
        <f t="shared" si="19"/>
        <v>0</v>
      </c>
      <c r="BA47" s="546">
        <f t="shared" si="36"/>
        <v>0</v>
      </c>
      <c r="BB47" s="546">
        <f t="shared" si="35"/>
        <v>0</v>
      </c>
      <c r="BC47" s="546"/>
      <c r="BD47" s="546"/>
      <c r="BE47" s="546"/>
      <c r="BF47" s="546"/>
      <c r="BG47" s="546"/>
      <c r="BH47" s="546">
        <f t="shared" si="21"/>
        <v>0</v>
      </c>
      <c r="BI47" s="108">
        <f t="shared" si="31"/>
        <v>0</v>
      </c>
      <c r="BJ47" s="108">
        <f t="shared" si="26"/>
        <v>0</v>
      </c>
      <c r="BK47" s="22">
        <f t="shared" si="27"/>
        <v>46501</v>
      </c>
      <c r="BL47" s="108">
        <f t="shared" si="6"/>
        <v>0</v>
      </c>
    </row>
    <row r="48" spans="1:1218" s="16" customFormat="1" ht="44.25" customHeight="1" x14ac:dyDescent="0.3">
      <c r="A48" s="178"/>
      <c r="B48" s="178"/>
      <c r="C48" s="524"/>
      <c r="D48" s="182"/>
      <c r="E48" s="178"/>
      <c r="F48" s="178"/>
      <c r="G48" s="244">
        <f t="shared" si="28"/>
        <v>40</v>
      </c>
      <c r="H48" s="245">
        <f t="shared" si="7"/>
        <v>46531</v>
      </c>
      <c r="I48" s="246">
        <f t="shared" si="8"/>
        <v>0.21900000000000003</v>
      </c>
      <c r="J48" s="242">
        <f t="shared" si="0"/>
        <v>0</v>
      </c>
      <c r="K48" s="242">
        <f t="shared" si="22"/>
        <v>0</v>
      </c>
      <c r="L48" s="242">
        <f t="shared" si="9"/>
        <v>0</v>
      </c>
      <c r="M48" s="242">
        <f t="shared" si="23"/>
        <v>0</v>
      </c>
      <c r="N48" s="242">
        <f t="shared" si="1"/>
        <v>0</v>
      </c>
      <c r="O48" s="242">
        <v>0</v>
      </c>
      <c r="P48" s="242">
        <f t="shared" si="24"/>
        <v>0</v>
      </c>
      <c r="Q48" s="242">
        <f t="shared" si="2"/>
        <v>0</v>
      </c>
      <c r="R48" s="242">
        <f t="shared" si="10"/>
        <v>0</v>
      </c>
      <c r="S48" s="242">
        <f t="shared" si="11"/>
        <v>0</v>
      </c>
      <c r="T48" s="467">
        <f t="shared" si="40"/>
        <v>0</v>
      </c>
      <c r="U48" s="198">
        <f t="shared" si="29"/>
        <v>0</v>
      </c>
      <c r="V48" s="36">
        <f t="shared" si="12"/>
        <v>0</v>
      </c>
      <c r="W48" s="36">
        <f t="shared" si="13"/>
        <v>0</v>
      </c>
      <c r="X48" s="2">
        <f>IF(AND(G13&gt;=$X$11,G13&lt;=$X$11+5),0,IF($C$9&gt;$AG$51,ROUND(S12*#REF!/(DATEVALUE(CONCATENATE("01/01/",YEAR(H13)+1))-DATEVALUE(CONCATENATE("01/01/",YEAR(H13))))*(H13-H12),2),0))</f>
        <v>0</v>
      </c>
      <c r="Y48" s="34">
        <f t="shared" si="43"/>
        <v>13038</v>
      </c>
      <c r="Z48" s="57">
        <f t="shared" si="41"/>
        <v>47140</v>
      </c>
      <c r="AA48" s="5"/>
      <c r="AB48" s="8"/>
      <c r="AC48" s="17">
        <f>IF(C8=AD59,AD65,IF(C8=AE59,AE65,IF(C8=AG59,AG65,IF(C8=AH59,AH65,IF(C8=AF59,AF65,IF(C8=AI59,AI65,IF(C8=AJ59,AJ65,IF(C8=AK59,AK65,Z23))))))))</f>
        <v>1</v>
      </c>
      <c r="AD48" s="39">
        <f>C7*(1-AD47)</f>
        <v>300000</v>
      </c>
      <c r="AE48" s="9" t="s">
        <v>29</v>
      </c>
      <c r="AF48" s="2" t="s">
        <v>17</v>
      </c>
      <c r="AG48" s="2"/>
      <c r="AH48" s="2">
        <v>7.4000000000000003E-3</v>
      </c>
      <c r="AI48" s="59">
        <v>41750</v>
      </c>
      <c r="AJ48" s="2">
        <v>72</v>
      </c>
      <c r="AK48" s="2"/>
      <c r="AL48" s="2"/>
      <c r="AM48" s="2" t="e">
        <f>IF(AND(Z5&gt;=$X$11,Z5&lt;=$X$11+5),0,IF($C$9&gt;$AG$51,ROUND(AJ8*#REF!/(DATEVALUE(CONCATENATE("01/01/",YEAR(AA5)+1))-DATEVALUE(CONCATENATE("01/01/",YEAR(AA5))))*(AA5-AA4),2),0))</f>
        <v>#REF!</v>
      </c>
      <c r="AN48" s="34">
        <f>AU9</f>
        <v>12601</v>
      </c>
      <c r="AO48" s="57">
        <f>AO47+365</f>
        <v>45680</v>
      </c>
      <c r="AP48" s="130">
        <f t="shared" si="14"/>
        <v>0</v>
      </c>
      <c r="AQ48" s="553">
        <f t="shared" si="30"/>
        <v>40</v>
      </c>
      <c r="AR48" s="554">
        <f t="shared" si="15"/>
        <v>46531</v>
      </c>
      <c r="AS48" s="555">
        <f t="shared" si="42"/>
        <v>0.27900000000000003</v>
      </c>
      <c r="AT48" s="546">
        <f t="shared" si="16"/>
        <v>0</v>
      </c>
      <c r="AU48" s="546">
        <f t="shared" si="25"/>
        <v>0</v>
      </c>
      <c r="AV48" s="546">
        <f t="shared" si="17"/>
        <v>0</v>
      </c>
      <c r="AW48" s="546">
        <f t="shared" si="18"/>
        <v>0</v>
      </c>
      <c r="AX48" s="546">
        <f t="shared" si="4"/>
        <v>0</v>
      </c>
      <c r="AY48" s="546">
        <v>0</v>
      </c>
      <c r="AZ48" s="546">
        <f t="shared" si="19"/>
        <v>0</v>
      </c>
      <c r="BA48" s="546">
        <f t="shared" si="36"/>
        <v>0</v>
      </c>
      <c r="BB48" s="546">
        <f t="shared" si="35"/>
        <v>0</v>
      </c>
      <c r="BC48" s="546"/>
      <c r="BD48" s="546"/>
      <c r="BE48" s="546"/>
      <c r="BF48" s="546"/>
      <c r="BG48" s="546"/>
      <c r="BH48" s="546">
        <f t="shared" si="21"/>
        <v>0</v>
      </c>
      <c r="BI48" s="108">
        <f t="shared" si="31"/>
        <v>0</v>
      </c>
      <c r="BJ48" s="108">
        <f t="shared" si="26"/>
        <v>0</v>
      </c>
      <c r="BK48" s="22">
        <f t="shared" si="27"/>
        <v>46531</v>
      </c>
      <c r="BL48" s="108">
        <f t="shared" si="6"/>
        <v>0</v>
      </c>
    </row>
    <row r="49" spans="1:65" s="16" customFormat="1" ht="55.2" customHeight="1" x14ac:dyDescent="0.3">
      <c r="A49" s="178"/>
      <c r="B49" s="178"/>
      <c r="C49" s="524"/>
      <c r="D49" s="182"/>
      <c r="E49" s="180"/>
      <c r="F49" s="180"/>
      <c r="G49" s="244">
        <f t="shared" si="28"/>
        <v>41</v>
      </c>
      <c r="H49" s="245">
        <f t="shared" si="7"/>
        <v>46562</v>
      </c>
      <c r="I49" s="246">
        <f t="shared" si="8"/>
        <v>0.21900000000000003</v>
      </c>
      <c r="J49" s="242">
        <f t="shared" si="0"/>
        <v>0</v>
      </c>
      <c r="K49" s="242">
        <f t="shared" si="22"/>
        <v>0</v>
      </c>
      <c r="L49" s="242">
        <f t="shared" si="9"/>
        <v>0</v>
      </c>
      <c r="M49" s="242">
        <f t="shared" si="23"/>
        <v>0</v>
      </c>
      <c r="N49" s="242">
        <f t="shared" si="1"/>
        <v>0</v>
      </c>
      <c r="O49" s="242">
        <v>0</v>
      </c>
      <c r="P49" s="242">
        <f t="shared" si="24"/>
        <v>0</v>
      </c>
      <c r="Q49" s="242">
        <f t="shared" si="2"/>
        <v>0</v>
      </c>
      <c r="R49" s="242">
        <f t="shared" si="10"/>
        <v>0</v>
      </c>
      <c r="S49" s="242">
        <f t="shared" si="11"/>
        <v>0</v>
      </c>
      <c r="T49" s="467">
        <f t="shared" si="40"/>
        <v>0</v>
      </c>
      <c r="U49" s="198">
        <f t="shared" si="29"/>
        <v>0</v>
      </c>
      <c r="V49" s="36">
        <f t="shared" si="12"/>
        <v>0</v>
      </c>
      <c r="W49" s="36">
        <f t="shared" si="13"/>
        <v>0</v>
      </c>
      <c r="X49" s="2">
        <f>IF(AND(G14&gt;=$X$11,G14&lt;=$X$11+5),0,IF($C$9&gt;$AG$51,ROUND(S13*#REF!/(DATEVALUE(CONCATENATE("01/01/",YEAR(H14)+1))-DATEVALUE(CONCATENATE("01/01/",YEAR(H14))))*(H14-H13),2),0))</f>
        <v>0</v>
      </c>
      <c r="Y49" s="34">
        <f t="shared" si="43"/>
        <v>13038</v>
      </c>
      <c r="Z49" s="57">
        <f t="shared" si="41"/>
        <v>47505</v>
      </c>
      <c r="AA49" s="2"/>
      <c r="AB49" s="2"/>
      <c r="AC49" s="15">
        <f>IF(D8=AD59,AD65,IF(D8=AE59,AE65,IF(D8=AG59,AG65,IF(D8=AH59,AH65,IF(D8=AF59,AF65,IF(D8=AI59,AI65,IF(D8=AJ59,AJ65,Z23)))))))</f>
        <v>0</v>
      </c>
      <c r="AD49" s="41">
        <f>ROUNDUP(C7*AE49,0)</f>
        <v>0</v>
      </c>
      <c r="AE49" s="12">
        <v>0</v>
      </c>
      <c r="AF49" s="1">
        <v>15000</v>
      </c>
      <c r="AG49" s="53">
        <v>41365</v>
      </c>
      <c r="AH49" s="1">
        <v>500</v>
      </c>
      <c r="AI49" s="2">
        <f>ROUNDUP(($AE$55)/AH47,0)*AH47</f>
        <v>14560</v>
      </c>
      <c r="AJ49" s="2"/>
      <c r="AK49" s="2"/>
      <c r="AL49" s="2"/>
      <c r="AM49" s="2" t="e">
        <f>IF(AND(Z6&gt;=$X$11,Z6&lt;=$X$11+5),0,IF($C$9&gt;$AG$51,ROUND(AJ9*#REF!/(DATEVALUE(CONCATENATE("01/01/",YEAR(AA6)+1))-DATEVALUE(CONCATENATE("01/01/",YEAR(AA6))))*(AA6-AA5),2),0))</f>
        <v>#REF!</v>
      </c>
      <c r="AN49" s="34">
        <f>AU10</f>
        <v>12601</v>
      </c>
      <c r="AO49" s="57">
        <f t="shared" ref="AO49:AO112" si="44">AO48+365</f>
        <v>46045</v>
      </c>
      <c r="AP49" s="130">
        <f t="shared" si="14"/>
        <v>0</v>
      </c>
      <c r="AQ49" s="553">
        <f t="shared" si="30"/>
        <v>41</v>
      </c>
      <c r="AR49" s="554">
        <f t="shared" si="15"/>
        <v>46562</v>
      </c>
      <c r="AS49" s="555">
        <f t="shared" si="42"/>
        <v>0.27900000000000003</v>
      </c>
      <c r="AT49" s="546">
        <f t="shared" si="16"/>
        <v>0</v>
      </c>
      <c r="AU49" s="546">
        <f t="shared" si="25"/>
        <v>0</v>
      </c>
      <c r="AV49" s="546">
        <f t="shared" si="17"/>
        <v>0</v>
      </c>
      <c r="AW49" s="546">
        <f t="shared" si="18"/>
        <v>0</v>
      </c>
      <c r="AX49" s="546">
        <f t="shared" si="4"/>
        <v>0</v>
      </c>
      <c r="AY49" s="546">
        <v>0</v>
      </c>
      <c r="AZ49" s="546">
        <f t="shared" si="19"/>
        <v>0</v>
      </c>
      <c r="BA49" s="546">
        <f t="shared" si="36"/>
        <v>0</v>
      </c>
      <c r="BB49" s="546">
        <f t="shared" si="35"/>
        <v>0</v>
      </c>
      <c r="BC49" s="546"/>
      <c r="BD49" s="546"/>
      <c r="BE49" s="546"/>
      <c r="BF49" s="546"/>
      <c r="BG49" s="546"/>
      <c r="BH49" s="546">
        <f t="shared" si="21"/>
        <v>0</v>
      </c>
      <c r="BI49" s="108">
        <f t="shared" si="31"/>
        <v>0</v>
      </c>
      <c r="BJ49" s="108">
        <f t="shared" si="26"/>
        <v>0</v>
      </c>
      <c r="BK49" s="22">
        <f t="shared" si="27"/>
        <v>46562</v>
      </c>
      <c r="BL49" s="108">
        <f t="shared" si="6"/>
        <v>0</v>
      </c>
    </row>
    <row r="50" spans="1:65" s="16" customFormat="1" ht="55.5" customHeight="1" thickBot="1" x14ac:dyDescent="0.35">
      <c r="A50" s="178"/>
      <c r="B50" s="178"/>
      <c r="C50" s="524"/>
      <c r="D50" s="182"/>
      <c r="E50" s="180"/>
      <c r="F50" s="180"/>
      <c r="G50" s="244">
        <f t="shared" si="28"/>
        <v>42</v>
      </c>
      <c r="H50" s="245">
        <f t="shared" si="7"/>
        <v>46592</v>
      </c>
      <c r="I50" s="246">
        <f t="shared" si="8"/>
        <v>0.21900000000000003</v>
      </c>
      <c r="J50" s="242">
        <f t="shared" si="0"/>
        <v>0</v>
      </c>
      <c r="K50" s="242">
        <f t="shared" si="22"/>
        <v>0</v>
      </c>
      <c r="L50" s="242">
        <f t="shared" si="9"/>
        <v>0</v>
      </c>
      <c r="M50" s="242">
        <f t="shared" si="23"/>
        <v>0</v>
      </c>
      <c r="N50" s="242">
        <f t="shared" si="1"/>
        <v>0</v>
      </c>
      <c r="O50" s="242">
        <v>0</v>
      </c>
      <c r="P50" s="242">
        <f t="shared" si="24"/>
        <v>0</v>
      </c>
      <c r="Q50" s="242">
        <f t="shared" si="2"/>
        <v>0</v>
      </c>
      <c r="R50" s="242">
        <f t="shared" si="10"/>
        <v>0</v>
      </c>
      <c r="S50" s="242">
        <f t="shared" si="11"/>
        <v>0</v>
      </c>
      <c r="T50" s="467">
        <f t="shared" si="40"/>
        <v>0</v>
      </c>
      <c r="U50" s="198">
        <f t="shared" si="29"/>
        <v>0</v>
      </c>
      <c r="V50" s="36">
        <f t="shared" si="12"/>
        <v>0</v>
      </c>
      <c r="W50" s="36">
        <f t="shared" si="13"/>
        <v>0</v>
      </c>
      <c r="X50" s="2" t="e">
        <f>IF(AND(G15&gt;=$X$11,G15&lt;=$X$11+5),0,IF($C$9&gt;$AG$51,ROUND(S14*#REF!/(DATEVALUE(CONCATENATE("01/01/",YEAR(H15)+1))-DATEVALUE(CONCATENATE("01/01/",YEAR(H15))))*(H15-H14),2),0))</f>
        <v>#REF!</v>
      </c>
      <c r="Y50" s="34">
        <f t="shared" si="43"/>
        <v>13038</v>
      </c>
      <c r="Z50" s="57">
        <f t="shared" si="41"/>
        <v>47870</v>
      </c>
      <c r="AA50" s="6" t="s">
        <v>0</v>
      </c>
      <c r="AB50" s="6"/>
      <c r="AC50" s="6"/>
      <c r="AD50" s="42">
        <v>24</v>
      </c>
      <c r="AE50" s="14"/>
      <c r="AF50" s="1">
        <f>IF(C9&lt;AG49,300000,1000000)</f>
        <v>1000000</v>
      </c>
      <c r="AG50" s="53">
        <v>41501</v>
      </c>
      <c r="AH50" s="53">
        <v>41882</v>
      </c>
      <c r="AI50" s="2" t="e">
        <f>IF(C9&gt;AH50,XIRR(Y43:Y122,Z43:Z122)*12,XIRR(Y43:Y121,H8:H86))</f>
        <v>#NUM!</v>
      </c>
      <c r="AJ50" s="2"/>
      <c r="AK50" s="2"/>
      <c r="AL50" s="2"/>
      <c r="AM50" s="2" t="e">
        <f>IF(AND(#REF!&gt;=$X$11,#REF!&lt;=$X$11+5),0,IF($C$9&gt;$AG$51,ROUND(AJ10*#REF!/(DATEVALUE(CONCATENATE("01/01/",YEAR(#REF!)+1))-DATEVALUE(CONCATENATE("01/01/",YEAR(#REF!))))*(#REF!-AA6),2),0))</f>
        <v>#REF!</v>
      </c>
      <c r="AN50" s="34">
        <f t="shared" ref="AN50:AN113" si="45">AU11</f>
        <v>12601</v>
      </c>
      <c r="AO50" s="57">
        <f t="shared" si="44"/>
        <v>46410</v>
      </c>
      <c r="AP50" s="130">
        <f t="shared" si="14"/>
        <v>0</v>
      </c>
      <c r="AQ50" s="553">
        <f t="shared" si="30"/>
        <v>42</v>
      </c>
      <c r="AR50" s="554">
        <f t="shared" si="15"/>
        <v>46592</v>
      </c>
      <c r="AS50" s="555">
        <f t="shared" si="42"/>
        <v>0.27900000000000003</v>
      </c>
      <c r="AT50" s="546">
        <f t="shared" si="16"/>
        <v>0</v>
      </c>
      <c r="AU50" s="546">
        <f t="shared" si="25"/>
        <v>0</v>
      </c>
      <c r="AV50" s="546">
        <f t="shared" si="17"/>
        <v>0</v>
      </c>
      <c r="AW50" s="546">
        <f t="shared" si="18"/>
        <v>0</v>
      </c>
      <c r="AX50" s="546">
        <f t="shared" si="4"/>
        <v>0</v>
      </c>
      <c r="AY50" s="546">
        <v>0</v>
      </c>
      <c r="AZ50" s="546">
        <f t="shared" si="19"/>
        <v>0</v>
      </c>
      <c r="BA50" s="546">
        <f t="shared" si="36"/>
        <v>0</v>
      </c>
      <c r="BB50" s="546">
        <f t="shared" si="35"/>
        <v>0</v>
      </c>
      <c r="BC50" s="546"/>
      <c r="BD50" s="546"/>
      <c r="BE50" s="546"/>
      <c r="BF50" s="546"/>
      <c r="BG50" s="546"/>
      <c r="BH50" s="546">
        <f t="shared" si="21"/>
        <v>0</v>
      </c>
      <c r="BI50" s="108">
        <f t="shared" si="31"/>
        <v>0</v>
      </c>
      <c r="BJ50" s="108">
        <f t="shared" si="26"/>
        <v>0</v>
      </c>
      <c r="BK50" s="22">
        <f t="shared" si="27"/>
        <v>46592</v>
      </c>
      <c r="BL50" s="108">
        <f t="shared" si="6"/>
        <v>0</v>
      </c>
    </row>
    <row r="51" spans="1:65" s="16" customFormat="1" ht="19.5" customHeight="1" x14ac:dyDescent="0.3">
      <c r="A51" s="178"/>
      <c r="B51" s="178"/>
      <c r="C51" s="524"/>
      <c r="D51" s="182"/>
      <c r="E51" s="178"/>
      <c r="F51" s="178"/>
      <c r="G51" s="244">
        <f t="shared" si="28"/>
        <v>43</v>
      </c>
      <c r="H51" s="245">
        <f t="shared" si="7"/>
        <v>46623</v>
      </c>
      <c r="I51" s="246">
        <f t="shared" si="8"/>
        <v>0.21900000000000003</v>
      </c>
      <c r="J51" s="242">
        <f t="shared" si="0"/>
        <v>0</v>
      </c>
      <c r="K51" s="242">
        <f t="shared" si="22"/>
        <v>0</v>
      </c>
      <c r="L51" s="242">
        <f t="shared" si="9"/>
        <v>0</v>
      </c>
      <c r="M51" s="242">
        <f t="shared" si="23"/>
        <v>0</v>
      </c>
      <c r="N51" s="242">
        <f t="shared" si="1"/>
        <v>0</v>
      </c>
      <c r="O51" s="242">
        <v>0</v>
      </c>
      <c r="P51" s="242">
        <f t="shared" si="24"/>
        <v>0</v>
      </c>
      <c r="Q51" s="242">
        <f t="shared" si="2"/>
        <v>0</v>
      </c>
      <c r="R51" s="242">
        <f t="shared" si="10"/>
        <v>0</v>
      </c>
      <c r="S51" s="242">
        <f t="shared" si="11"/>
        <v>0</v>
      </c>
      <c r="T51" s="467">
        <f t="shared" si="40"/>
        <v>0</v>
      </c>
      <c r="U51" s="198">
        <f t="shared" si="29"/>
        <v>0</v>
      </c>
      <c r="V51" s="36">
        <f t="shared" si="12"/>
        <v>0</v>
      </c>
      <c r="W51" s="36">
        <f t="shared" si="13"/>
        <v>0</v>
      </c>
      <c r="X51" s="2" t="e">
        <f>IF(AND(G16&gt;=$X$11,G16&lt;=$X$11+5),0,IF($C$9&gt;$AG$51,ROUND(S15*#REF!/(DATEVALUE(CONCATENATE("01/01/",YEAR(H16)+1))-DATEVALUE(CONCATENATE("01/01/",YEAR(H16))))*(H16-H15),2),0))</f>
        <v>#REF!</v>
      </c>
      <c r="Y51" s="34">
        <f t="shared" si="43"/>
        <v>13038</v>
      </c>
      <c r="Z51" s="57">
        <f t="shared" si="41"/>
        <v>48235</v>
      </c>
      <c r="AA51" s="11" t="s">
        <v>18</v>
      </c>
      <c r="AB51" s="11"/>
      <c r="AC51" s="11"/>
      <c r="AD51" s="42">
        <f>(D30-C7)</f>
        <v>-300000</v>
      </c>
      <c r="AE51" s="58"/>
      <c r="AF51" s="53">
        <v>41632</v>
      </c>
      <c r="AG51" s="53">
        <v>41820</v>
      </c>
      <c r="AH51" s="53">
        <v>41857</v>
      </c>
      <c r="AI51" s="46">
        <v>41991</v>
      </c>
      <c r="AJ51" s="18">
        <v>0</v>
      </c>
      <c r="AK51" s="3"/>
      <c r="AL51" s="3"/>
      <c r="AM51" s="2" t="e">
        <f>IF(AND(Z7&gt;=$X$11,Z7&lt;=$X$11+5),0,IF($C$9&gt;$AG$51,ROUND(AJ11*#REF!/(DATEVALUE(CONCATENATE("01/01/",YEAR(AA7)+1))-DATEVALUE(CONCATENATE("01/01/",YEAR(AA7))))*(AA7-#REF!),2),0))</f>
        <v>#REF!</v>
      </c>
      <c r="AN51" s="34">
        <f t="shared" si="45"/>
        <v>12601</v>
      </c>
      <c r="AO51" s="57">
        <f t="shared" si="44"/>
        <v>46775</v>
      </c>
      <c r="AP51" s="130">
        <f t="shared" si="14"/>
        <v>0</v>
      </c>
      <c r="AQ51" s="553">
        <f t="shared" si="30"/>
        <v>43</v>
      </c>
      <c r="AR51" s="554">
        <f t="shared" si="15"/>
        <v>46623</v>
      </c>
      <c r="AS51" s="555">
        <f t="shared" si="42"/>
        <v>0.27900000000000003</v>
      </c>
      <c r="AT51" s="546">
        <f t="shared" si="16"/>
        <v>0</v>
      </c>
      <c r="AU51" s="546">
        <f t="shared" si="25"/>
        <v>0</v>
      </c>
      <c r="AV51" s="546">
        <f t="shared" si="17"/>
        <v>0</v>
      </c>
      <c r="AW51" s="546">
        <f t="shared" si="18"/>
        <v>0</v>
      </c>
      <c r="AX51" s="546">
        <f t="shared" si="4"/>
        <v>0</v>
      </c>
      <c r="AY51" s="546">
        <v>0</v>
      </c>
      <c r="AZ51" s="546">
        <f t="shared" si="19"/>
        <v>0</v>
      </c>
      <c r="BA51" s="546">
        <f t="shared" si="36"/>
        <v>0</v>
      </c>
      <c r="BB51" s="546">
        <f t="shared" si="35"/>
        <v>0</v>
      </c>
      <c r="BC51" s="546"/>
      <c r="BD51" s="546"/>
      <c r="BE51" s="546"/>
      <c r="BF51" s="546"/>
      <c r="BG51" s="546"/>
      <c r="BH51" s="546">
        <f t="shared" si="21"/>
        <v>0</v>
      </c>
      <c r="BI51" s="108">
        <f t="shared" si="31"/>
        <v>0</v>
      </c>
      <c r="BJ51" s="108">
        <f t="shared" si="26"/>
        <v>0</v>
      </c>
      <c r="BK51" s="22">
        <f t="shared" si="27"/>
        <v>46623</v>
      </c>
      <c r="BL51" s="108">
        <f t="shared" si="6"/>
        <v>0</v>
      </c>
    </row>
    <row r="52" spans="1:65" s="16" customFormat="1" ht="24" customHeight="1" x14ac:dyDescent="0.3">
      <c r="A52" s="178"/>
      <c r="B52" s="178"/>
      <c r="C52" s="524"/>
      <c r="D52" s="178"/>
      <c r="E52" s="178"/>
      <c r="F52" s="178"/>
      <c r="G52" s="244">
        <f t="shared" si="28"/>
        <v>44</v>
      </c>
      <c r="H52" s="245">
        <f t="shared" si="7"/>
        <v>46654</v>
      </c>
      <c r="I52" s="246">
        <f t="shared" si="8"/>
        <v>0.21900000000000003</v>
      </c>
      <c r="J52" s="242">
        <f t="shared" si="0"/>
        <v>0</v>
      </c>
      <c r="K52" s="242">
        <f t="shared" si="22"/>
        <v>0</v>
      </c>
      <c r="L52" s="242">
        <f t="shared" si="9"/>
        <v>0</v>
      </c>
      <c r="M52" s="242">
        <f t="shared" si="23"/>
        <v>0</v>
      </c>
      <c r="N52" s="242">
        <f t="shared" si="1"/>
        <v>0</v>
      </c>
      <c r="O52" s="242">
        <v>0</v>
      </c>
      <c r="P52" s="242">
        <f t="shared" si="24"/>
        <v>0</v>
      </c>
      <c r="Q52" s="242">
        <f t="shared" si="2"/>
        <v>0</v>
      </c>
      <c r="R52" s="242">
        <f t="shared" si="10"/>
        <v>0</v>
      </c>
      <c r="S52" s="242">
        <f t="shared" si="11"/>
        <v>0</v>
      </c>
      <c r="T52" s="467">
        <f t="shared" si="40"/>
        <v>0</v>
      </c>
      <c r="U52" s="198">
        <f t="shared" si="29"/>
        <v>0</v>
      </c>
      <c r="V52" s="36">
        <f t="shared" si="12"/>
        <v>0</v>
      </c>
      <c r="W52" s="36">
        <f t="shared" si="13"/>
        <v>0</v>
      </c>
      <c r="X52" s="2" t="e">
        <f>IF(AND(G17&gt;=$X$11,G17&lt;=$X$11+5),0,IF($C$9&gt;$AG$51,ROUND(S16*#REF!/(DATEVALUE(CONCATENATE("01/01/",YEAR(H17)+1))-DATEVALUE(CONCATENATE("01/01/",YEAR(H17))))*(H17-H16),2),0))</f>
        <v>#REF!</v>
      </c>
      <c r="Y52" s="34">
        <f t="shared" si="43"/>
        <v>13038</v>
      </c>
      <c r="Z52" s="57">
        <f t="shared" si="41"/>
        <v>48600</v>
      </c>
      <c r="AA52" s="3" t="s">
        <v>22</v>
      </c>
      <c r="AB52" s="3"/>
      <c r="AC52" s="3"/>
      <c r="AD52" s="42"/>
      <c r="AE52" s="58"/>
      <c r="AF52" s="53">
        <v>42124</v>
      </c>
      <c r="AG52" s="53"/>
      <c r="AH52" s="53"/>
      <c r="AI52" s="46"/>
      <c r="AJ52" s="2"/>
      <c r="AK52" s="3"/>
      <c r="AL52" s="3"/>
      <c r="AM52" s="2" t="e">
        <f>IF(AND(Z8&gt;=$X$11,Z8&lt;=$X$11+5),0,IF($C$9&gt;$AG$51,ROUND(AJ12*#REF!/(DATEVALUE(CONCATENATE("01/01/",YEAR(AA8)+1))-DATEVALUE(CONCATENATE("01/01/",YEAR(AA8))))*(AA8-AA7),2),0))</f>
        <v>#REF!</v>
      </c>
      <c r="AN52" s="34">
        <f t="shared" si="45"/>
        <v>12601</v>
      </c>
      <c r="AO52" s="57">
        <f t="shared" si="44"/>
        <v>47140</v>
      </c>
      <c r="AP52" s="130">
        <f t="shared" si="14"/>
        <v>0</v>
      </c>
      <c r="AQ52" s="553">
        <f t="shared" si="30"/>
        <v>44</v>
      </c>
      <c r="AR52" s="554">
        <f t="shared" si="15"/>
        <v>46654</v>
      </c>
      <c r="AS52" s="555">
        <f t="shared" si="42"/>
        <v>0.27900000000000003</v>
      </c>
      <c r="AT52" s="546">
        <f t="shared" si="16"/>
        <v>0</v>
      </c>
      <c r="AU52" s="546">
        <f t="shared" si="25"/>
        <v>0</v>
      </c>
      <c r="AV52" s="546">
        <f t="shared" si="17"/>
        <v>0</v>
      </c>
      <c r="AW52" s="546">
        <f t="shared" si="18"/>
        <v>0</v>
      </c>
      <c r="AX52" s="546">
        <f t="shared" si="4"/>
        <v>0</v>
      </c>
      <c r="AY52" s="546">
        <v>0</v>
      </c>
      <c r="AZ52" s="546">
        <f t="shared" si="19"/>
        <v>0</v>
      </c>
      <c r="BA52" s="546">
        <f t="shared" si="36"/>
        <v>0</v>
      </c>
      <c r="BB52" s="546">
        <f t="shared" si="35"/>
        <v>0</v>
      </c>
      <c r="BC52" s="546"/>
      <c r="BD52" s="546"/>
      <c r="BE52" s="546"/>
      <c r="BF52" s="546"/>
      <c r="BG52" s="546"/>
      <c r="BH52" s="546">
        <f t="shared" si="21"/>
        <v>0</v>
      </c>
      <c r="BI52" s="108">
        <f t="shared" si="31"/>
        <v>0</v>
      </c>
      <c r="BJ52" s="108">
        <f t="shared" si="26"/>
        <v>0</v>
      </c>
      <c r="BK52" s="22">
        <f t="shared" si="27"/>
        <v>46654</v>
      </c>
      <c r="BL52" s="108">
        <f t="shared" si="6"/>
        <v>0</v>
      </c>
    </row>
    <row r="53" spans="1:65" s="16" customFormat="1" ht="24" customHeight="1" x14ac:dyDescent="0.3">
      <c r="A53" s="178"/>
      <c r="B53" s="178"/>
      <c r="C53" s="524"/>
      <c r="D53" s="178"/>
      <c r="E53" s="178"/>
      <c r="F53" s="178"/>
      <c r="G53" s="244">
        <f t="shared" si="28"/>
        <v>45</v>
      </c>
      <c r="H53" s="245">
        <f t="shared" si="7"/>
        <v>46684</v>
      </c>
      <c r="I53" s="246">
        <f t="shared" si="8"/>
        <v>0.21900000000000003</v>
      </c>
      <c r="J53" s="242">
        <f t="shared" si="0"/>
        <v>0</v>
      </c>
      <c r="K53" s="242">
        <f t="shared" si="22"/>
        <v>0</v>
      </c>
      <c r="L53" s="242">
        <f t="shared" si="9"/>
        <v>0</v>
      </c>
      <c r="M53" s="242">
        <f t="shared" si="23"/>
        <v>0</v>
      </c>
      <c r="N53" s="242">
        <f t="shared" si="1"/>
        <v>0</v>
      </c>
      <c r="O53" s="242">
        <v>0</v>
      </c>
      <c r="P53" s="242">
        <f t="shared" si="24"/>
        <v>0</v>
      </c>
      <c r="Q53" s="242">
        <f t="shared" si="2"/>
        <v>0</v>
      </c>
      <c r="R53" s="242">
        <f t="shared" si="10"/>
        <v>0</v>
      </c>
      <c r="S53" s="242">
        <f t="shared" si="11"/>
        <v>0</v>
      </c>
      <c r="T53" s="467">
        <f t="shared" si="40"/>
        <v>0</v>
      </c>
      <c r="U53" s="198">
        <f t="shared" si="29"/>
        <v>0</v>
      </c>
      <c r="V53" s="36">
        <f t="shared" si="12"/>
        <v>0</v>
      </c>
      <c r="W53" s="36">
        <f t="shared" si="13"/>
        <v>0</v>
      </c>
      <c r="X53" s="2" t="e">
        <f>IF(AND(G18&gt;=$X$11,G18&lt;=$X$11+5),0,IF($C$9&gt;$AG$51,ROUND(S17*#REF!/(DATEVALUE(CONCATENATE("01/01/",YEAR(H18)+1))-DATEVALUE(CONCATENATE("01/01/",YEAR(H18))))*(H18-H17),2),0))</f>
        <v>#REF!</v>
      </c>
      <c r="Y53" s="34">
        <f t="shared" si="43"/>
        <v>13038</v>
      </c>
      <c r="Z53" s="57">
        <f t="shared" si="41"/>
        <v>48965</v>
      </c>
      <c r="AA53" s="3"/>
      <c r="AB53" s="3"/>
      <c r="AC53" s="3"/>
      <c r="AD53" s="2"/>
      <c r="AE53" s="2"/>
      <c r="AF53" s="2"/>
      <c r="AG53" s="2"/>
      <c r="AH53" s="2"/>
      <c r="AI53" s="2"/>
      <c r="AJ53" s="2"/>
      <c r="AK53" s="2"/>
      <c r="AL53" s="2"/>
      <c r="AM53" s="2" t="e">
        <f>IF(AND(Z9&gt;=$X$11,Z9&lt;=$X$11+5),0,IF($C$9&gt;$AG$51,ROUND(AJ13*#REF!/(DATEVALUE(CONCATENATE("01/01/",YEAR(AA9)+1))-DATEVALUE(CONCATENATE("01/01/",YEAR(AA9))))*(AA9-AA8),2),0))</f>
        <v>#REF!</v>
      </c>
      <c r="AN53" s="34">
        <f t="shared" si="45"/>
        <v>12601</v>
      </c>
      <c r="AO53" s="57">
        <f t="shared" si="44"/>
        <v>47505</v>
      </c>
      <c r="AP53" s="130">
        <f t="shared" si="14"/>
        <v>0</v>
      </c>
      <c r="AQ53" s="553">
        <f t="shared" si="30"/>
        <v>45</v>
      </c>
      <c r="AR53" s="554">
        <f t="shared" si="15"/>
        <v>46684</v>
      </c>
      <c r="AS53" s="555">
        <f t="shared" si="42"/>
        <v>0.27900000000000003</v>
      </c>
      <c r="AT53" s="546">
        <f t="shared" si="16"/>
        <v>0</v>
      </c>
      <c r="AU53" s="546">
        <f t="shared" si="25"/>
        <v>0</v>
      </c>
      <c r="AV53" s="546">
        <f t="shared" si="17"/>
        <v>0</v>
      </c>
      <c r="AW53" s="546">
        <f t="shared" si="18"/>
        <v>0</v>
      </c>
      <c r="AX53" s="546">
        <f t="shared" si="4"/>
        <v>0</v>
      </c>
      <c r="AY53" s="546">
        <v>0</v>
      </c>
      <c r="AZ53" s="546">
        <f t="shared" si="19"/>
        <v>0</v>
      </c>
      <c r="BA53" s="546">
        <f t="shared" si="36"/>
        <v>0</v>
      </c>
      <c r="BB53" s="546">
        <f t="shared" si="35"/>
        <v>0</v>
      </c>
      <c r="BC53" s="546"/>
      <c r="BD53" s="546"/>
      <c r="BE53" s="546"/>
      <c r="BF53" s="546"/>
      <c r="BG53" s="546"/>
      <c r="BH53" s="546">
        <f t="shared" si="21"/>
        <v>0</v>
      </c>
      <c r="BI53" s="108">
        <f t="shared" si="31"/>
        <v>0</v>
      </c>
      <c r="BJ53" s="108">
        <f t="shared" si="26"/>
        <v>0</v>
      </c>
      <c r="BK53" s="22">
        <f t="shared" si="27"/>
        <v>46684</v>
      </c>
      <c r="BL53" s="108">
        <f t="shared" si="6"/>
        <v>0</v>
      </c>
    </row>
    <row r="54" spans="1:65" s="16" customFormat="1" ht="24" customHeight="1" x14ac:dyDescent="0.3">
      <c r="A54" s="178"/>
      <c r="B54" s="178"/>
      <c r="C54" s="184"/>
      <c r="D54" s="178"/>
      <c r="E54" s="178"/>
      <c r="F54" s="178"/>
      <c r="G54" s="244">
        <f t="shared" si="28"/>
        <v>46</v>
      </c>
      <c r="H54" s="245">
        <f t="shared" si="7"/>
        <v>46715</v>
      </c>
      <c r="I54" s="246">
        <f t="shared" si="8"/>
        <v>0.21900000000000003</v>
      </c>
      <c r="J54" s="242">
        <f t="shared" si="0"/>
        <v>0</v>
      </c>
      <c r="K54" s="242">
        <f t="shared" si="22"/>
        <v>0</v>
      </c>
      <c r="L54" s="242">
        <f t="shared" si="9"/>
        <v>0</v>
      </c>
      <c r="M54" s="242">
        <f t="shared" si="23"/>
        <v>0</v>
      </c>
      <c r="N54" s="242">
        <f t="shared" si="1"/>
        <v>0</v>
      </c>
      <c r="O54" s="242">
        <v>0</v>
      </c>
      <c r="P54" s="242">
        <f t="shared" si="24"/>
        <v>0</v>
      </c>
      <c r="Q54" s="242">
        <f t="shared" si="2"/>
        <v>0</v>
      </c>
      <c r="R54" s="242">
        <f t="shared" si="10"/>
        <v>0</v>
      </c>
      <c r="S54" s="242">
        <f t="shared" si="11"/>
        <v>0</v>
      </c>
      <c r="T54" s="467">
        <f t="shared" si="40"/>
        <v>0</v>
      </c>
      <c r="U54" s="198">
        <f t="shared" si="29"/>
        <v>0</v>
      </c>
      <c r="V54" s="36">
        <f t="shared" si="12"/>
        <v>0</v>
      </c>
      <c r="W54" s="36">
        <f t="shared" si="13"/>
        <v>0</v>
      </c>
      <c r="X54" s="2" t="e">
        <f>IF(AND(G19&gt;=$X$11,G19&lt;=$X$11+5),0,IF($C$9&gt;$AG$51,ROUND(S18*#REF!/(DATEVALUE(CONCATENATE("01/01/",YEAR(H19)+1))-DATEVALUE(CONCATENATE("01/01/",YEAR(H19))))*(H19-H18),2),0))</f>
        <v>#REF!</v>
      </c>
      <c r="Y54" s="34">
        <f t="shared" si="43"/>
        <v>13038</v>
      </c>
      <c r="Z54" s="57">
        <f t="shared" si="41"/>
        <v>49330</v>
      </c>
      <c r="AA54" s="2"/>
      <c r="AB54" s="2"/>
      <c r="AC54" s="2"/>
      <c r="AD54" s="1"/>
      <c r="AE54" s="7">
        <f>H8</f>
        <v>45315</v>
      </c>
      <c r="AF54" s="47">
        <f>(C23+AJ51)*AH36/12*(1+AH36/12)^(C10)/((1+AH36/12)^(C10)-1)+C23/10000*IF(C10&lt;11,20,IF(C10&lt;20,2.5,IF(C10&lt;37,1.5,IF(C10&lt;60,0.7,0.5))))*IF(AH36&lt;0.3,AH36/0.2,AH36/0.1)</f>
        <v>14613.756630151925</v>
      </c>
      <c r="AG54" s="2"/>
      <c r="AH54" s="47">
        <f>(D23+AJ51)*AF14/12*(1+AF14/12)^(C10)/((1+AF14/12)^(C10)-1)+D23/10000*IF(C10&lt;11,20,IF(C10&lt;20,2.5,IF(C10&lt;37,1.5,IF(C10&lt;60,0.7,0.5))))*IF(AF14&lt;0.3,AF14/0.2,AF14/0.1)</f>
        <v>12600.923701398322</v>
      </c>
      <c r="AI54" s="2"/>
      <c r="AJ54" s="2"/>
      <c r="AK54" s="2"/>
      <c r="AL54" s="2"/>
      <c r="AM54" s="2" t="e">
        <f>IF(AND(Z10&gt;=$X$11,Z10&lt;=$X$11+5),0,IF($C$9&gt;$AG$51,ROUND(AJ14*#REF!/(DATEVALUE(CONCATENATE("01/01/",YEAR(AA10)+1))-DATEVALUE(CONCATENATE("01/01/",YEAR(AA10))))*(AA10-AA9),2),0))</f>
        <v>#REF!</v>
      </c>
      <c r="AN54" s="34">
        <f t="shared" si="45"/>
        <v>12601</v>
      </c>
      <c r="AO54" s="57">
        <f t="shared" si="44"/>
        <v>47870</v>
      </c>
      <c r="AP54" s="130">
        <f t="shared" si="14"/>
        <v>0</v>
      </c>
      <c r="AQ54" s="553">
        <f t="shared" si="30"/>
        <v>46</v>
      </c>
      <c r="AR54" s="554">
        <f t="shared" si="15"/>
        <v>46715</v>
      </c>
      <c r="AS54" s="555">
        <f t="shared" si="42"/>
        <v>0.27900000000000003</v>
      </c>
      <c r="AT54" s="546">
        <f t="shared" si="16"/>
        <v>0</v>
      </c>
      <c r="AU54" s="546">
        <f t="shared" si="25"/>
        <v>0</v>
      </c>
      <c r="AV54" s="546">
        <f t="shared" si="17"/>
        <v>0</v>
      </c>
      <c r="AW54" s="546">
        <f t="shared" si="18"/>
        <v>0</v>
      </c>
      <c r="AX54" s="546">
        <f t="shared" si="4"/>
        <v>0</v>
      </c>
      <c r="AY54" s="546">
        <v>0</v>
      </c>
      <c r="AZ54" s="546">
        <f t="shared" si="19"/>
        <v>0</v>
      </c>
      <c r="BA54" s="546">
        <f t="shared" si="36"/>
        <v>0</v>
      </c>
      <c r="BB54" s="546">
        <f t="shared" si="35"/>
        <v>0</v>
      </c>
      <c r="BC54" s="546"/>
      <c r="BD54" s="546"/>
      <c r="BE54" s="546"/>
      <c r="BF54" s="546"/>
      <c r="BG54" s="546"/>
      <c r="BH54" s="546">
        <f t="shared" si="21"/>
        <v>0</v>
      </c>
      <c r="BI54" s="108">
        <f t="shared" si="31"/>
        <v>0</v>
      </c>
      <c r="BJ54" s="108">
        <f t="shared" si="26"/>
        <v>0</v>
      </c>
      <c r="BK54" s="22">
        <f t="shared" si="27"/>
        <v>46715</v>
      </c>
      <c r="BL54" s="108">
        <f t="shared" si="6"/>
        <v>0</v>
      </c>
      <c r="BM54" s="2">
        <f>IF(AND(G9&gt;=$X$11,G9&lt;=$X$11+5),0,IF($C$9&gt;$AG$51,ROUND(BH8*IF(#REF!="",0,#REF!)/(DATEVALUE(CONCATENATE("01/01/",YEAR(AR9)+1))-DATEVALUE(CONCATENATE("01/01/",YEAR(AR9))))*(AR9-AR8),2),0))</f>
        <v>0</v>
      </c>
    </row>
    <row r="55" spans="1:65" s="16" customFormat="1" x14ac:dyDescent="0.3">
      <c r="A55" s="178"/>
      <c r="B55" s="178"/>
      <c r="C55" s="184"/>
      <c r="D55" s="178"/>
      <c r="E55" s="178"/>
      <c r="F55" s="178"/>
      <c r="G55" s="244">
        <f t="shared" si="28"/>
        <v>47</v>
      </c>
      <c r="H55" s="245">
        <f t="shared" si="7"/>
        <v>46745</v>
      </c>
      <c r="I55" s="246">
        <f t="shared" si="8"/>
        <v>0.21900000000000003</v>
      </c>
      <c r="J55" s="242">
        <f t="shared" si="0"/>
        <v>0</v>
      </c>
      <c r="K55" s="242">
        <f t="shared" si="22"/>
        <v>0</v>
      </c>
      <c r="L55" s="242">
        <f t="shared" si="9"/>
        <v>0</v>
      </c>
      <c r="M55" s="242">
        <f t="shared" si="23"/>
        <v>0</v>
      </c>
      <c r="N55" s="242">
        <f t="shared" si="1"/>
        <v>0</v>
      </c>
      <c r="O55" s="242">
        <v>0</v>
      </c>
      <c r="P55" s="242">
        <f t="shared" si="24"/>
        <v>0</v>
      </c>
      <c r="Q55" s="242">
        <f t="shared" si="2"/>
        <v>0</v>
      </c>
      <c r="R55" s="242">
        <f t="shared" si="10"/>
        <v>0</v>
      </c>
      <c r="S55" s="242">
        <f t="shared" si="11"/>
        <v>0</v>
      </c>
      <c r="T55" s="467">
        <f t="shared" si="40"/>
        <v>0</v>
      </c>
      <c r="U55" s="198">
        <f t="shared" si="29"/>
        <v>0</v>
      </c>
      <c r="V55" s="36">
        <f t="shared" si="12"/>
        <v>0</v>
      </c>
      <c r="W55" s="36">
        <f t="shared" si="13"/>
        <v>0</v>
      </c>
      <c r="X55" s="2" t="e">
        <f>IF(AND(G20&gt;=$X$11,G20&lt;=$X$11+5),0,IF($C$9&gt;$AG$51,ROUND(S19*#REF!/(DATEVALUE(CONCATENATE("01/01/",YEAR(H20)+1))-DATEVALUE(CONCATENATE("01/01/",YEAR(H20))))*(H20-H19),2),0))</f>
        <v>#REF!</v>
      </c>
      <c r="Y55" s="34">
        <f t="shared" si="43"/>
        <v>13038</v>
      </c>
      <c r="Z55" s="57">
        <f t="shared" si="41"/>
        <v>49695</v>
      </c>
      <c r="AB55" s="170" t="s">
        <v>134</v>
      </c>
      <c r="AE55" s="47">
        <f>IF(DAY(C9)&lt;4,AF54,IF(DAY(C9)&gt;28,AF56,AF55))</f>
        <v>14554.835345551926</v>
      </c>
      <c r="AF55" s="47">
        <f>(C23+AJ51)*AH36/12*(1+AH36/12)^(C10)/((1+AH36/12)^(C10)-1)+C23/10000*IF(C10&lt;11,20,IF(C10&lt;34,0.7,IF(C10&lt;58,0.3,0.1)))*IF(AH36&lt;0.3,AH36/0.2,AH36/0.1)</f>
        <v>14554.835345551926</v>
      </c>
      <c r="AG55" s="13">
        <f>IF(DAY(C9)&lt;4,AH54,IF(DAY(C9)&gt;28,AH56,AH55))</f>
        <v>12550.117968798322</v>
      </c>
      <c r="AH55" s="156">
        <f>(D23+AJ51)*AF14/12*(1+AF14/12)^(C10)/((1+AF14/12)^(C10)-1)+D23/10000*IF(C10&lt;11,20,IF(C10&lt;34,0.7,IF(C10&lt;58,0.3,0.1)))*IF(AF14&lt;0.3,AF14/0.2,AF14/0.1)</f>
        <v>12550.117968798322</v>
      </c>
      <c r="AI55" s="2"/>
      <c r="AJ55" s="2"/>
      <c r="AK55" s="2"/>
      <c r="AL55" s="2"/>
      <c r="AM55" s="2" t="e">
        <f>IF(AND(Z11&gt;=$X$11,Z11&lt;=$X$11+5),0,IF($C$9&gt;$AG$51,ROUND(AJ15*#REF!/(DATEVALUE(CONCATENATE("01/01/",YEAR(AA11)+1))-DATEVALUE(CONCATENATE("01/01/",YEAR(AA11))))*(AA11-AA10),2),0))</f>
        <v>#REF!</v>
      </c>
      <c r="AN55" s="34">
        <f t="shared" si="45"/>
        <v>12601</v>
      </c>
      <c r="AO55" s="57">
        <f t="shared" si="44"/>
        <v>48235</v>
      </c>
      <c r="AP55" s="130">
        <f t="shared" si="14"/>
        <v>0</v>
      </c>
      <c r="AQ55" s="553">
        <f t="shared" si="30"/>
        <v>47</v>
      </c>
      <c r="AR55" s="554">
        <f t="shared" si="15"/>
        <v>46745</v>
      </c>
      <c r="AS55" s="555">
        <f t="shared" si="42"/>
        <v>0.27900000000000003</v>
      </c>
      <c r="AT55" s="546">
        <f t="shared" si="16"/>
        <v>0</v>
      </c>
      <c r="AU55" s="546">
        <f t="shared" si="25"/>
        <v>0</v>
      </c>
      <c r="AV55" s="546">
        <f t="shared" si="17"/>
        <v>0</v>
      </c>
      <c r="AW55" s="546">
        <f t="shared" si="18"/>
        <v>0</v>
      </c>
      <c r="AX55" s="546">
        <f t="shared" si="4"/>
        <v>0</v>
      </c>
      <c r="AY55" s="546">
        <v>0</v>
      </c>
      <c r="AZ55" s="546">
        <f t="shared" si="19"/>
        <v>0</v>
      </c>
      <c r="BA55" s="546">
        <f t="shared" si="36"/>
        <v>0</v>
      </c>
      <c r="BB55" s="546">
        <f t="shared" si="35"/>
        <v>0</v>
      </c>
      <c r="BC55" s="546"/>
      <c r="BD55" s="546"/>
      <c r="BE55" s="546"/>
      <c r="BF55" s="546"/>
      <c r="BG55" s="546"/>
      <c r="BH55" s="546">
        <f t="shared" si="21"/>
        <v>0</v>
      </c>
      <c r="BI55" s="108">
        <f t="shared" si="31"/>
        <v>0</v>
      </c>
      <c r="BJ55" s="108">
        <f t="shared" si="26"/>
        <v>0</v>
      </c>
      <c r="BK55" s="22">
        <f t="shared" si="27"/>
        <v>46745</v>
      </c>
      <c r="BL55" s="108">
        <f t="shared" si="6"/>
        <v>0</v>
      </c>
      <c r="BM55" s="2">
        <f>IF(AND(G10&gt;=$X$11,G10&lt;=$X$11+5),0,IF($C$9&gt;$AG$51,ROUND(BH9*IF(#REF!="",0,#REF!)/(DATEVALUE(CONCATENATE("01/01/",YEAR(AR10)+1))-DATEVALUE(CONCATENATE("01/01/",YEAR(AR10))))*(AR10-AR9),2),0))</f>
        <v>0</v>
      </c>
    </row>
    <row r="56" spans="1:65" s="16" customFormat="1" ht="13.8" thickBot="1" x14ac:dyDescent="0.35">
      <c r="A56" s="178"/>
      <c r="B56" s="178"/>
      <c r="C56" s="184"/>
      <c r="D56" s="178"/>
      <c r="E56" s="178"/>
      <c r="F56" s="178"/>
      <c r="G56" s="248">
        <f t="shared" si="28"/>
        <v>48</v>
      </c>
      <c r="H56" s="679">
        <f t="shared" si="7"/>
        <v>46776</v>
      </c>
      <c r="I56" s="250">
        <f t="shared" si="8"/>
        <v>0.21900000000000003</v>
      </c>
      <c r="J56" s="252">
        <f t="shared" si="0"/>
        <v>0</v>
      </c>
      <c r="K56" s="252">
        <f t="shared" si="22"/>
        <v>0</v>
      </c>
      <c r="L56" s="242">
        <f t="shared" si="9"/>
        <v>0</v>
      </c>
      <c r="M56" s="252">
        <f t="shared" si="23"/>
        <v>0</v>
      </c>
      <c r="N56" s="252">
        <f t="shared" si="1"/>
        <v>0</v>
      </c>
      <c r="O56" s="252">
        <v>0</v>
      </c>
      <c r="P56" s="252">
        <f t="shared" si="24"/>
        <v>0</v>
      </c>
      <c r="Q56" s="252">
        <f t="shared" si="2"/>
        <v>0</v>
      </c>
      <c r="R56" s="252">
        <f t="shared" si="10"/>
        <v>0</v>
      </c>
      <c r="S56" s="252">
        <f t="shared" si="11"/>
        <v>0</v>
      </c>
      <c r="T56" s="252">
        <f t="shared" si="40"/>
        <v>0</v>
      </c>
      <c r="U56" s="198">
        <f t="shared" si="29"/>
        <v>0</v>
      </c>
      <c r="V56" s="36">
        <f t="shared" si="12"/>
        <v>0</v>
      </c>
      <c r="W56" s="36">
        <f t="shared" si="13"/>
        <v>0</v>
      </c>
      <c r="X56" s="2" t="e">
        <f>IF(AND(G21&gt;=$X$11,G21&lt;=$X$11+5),0,IF($C$9&gt;$AG$51,ROUND(S20*#REF!/(DATEVALUE(CONCATENATE("01/01/",YEAR(H21)+1))-DATEVALUE(CONCATENATE("01/01/",YEAR(H21))))*(H21-H20),2),0))</f>
        <v>#REF!</v>
      </c>
      <c r="Y56" s="34">
        <f t="shared" si="43"/>
        <v>13038</v>
      </c>
      <c r="Z56" s="57">
        <f t="shared" si="41"/>
        <v>50060</v>
      </c>
      <c r="AB56" s="171">
        <v>20000</v>
      </c>
      <c r="AC56" s="133" t="s">
        <v>135</v>
      </c>
      <c r="AD56" s="118">
        <f>ROUNDUP(AE56/AH47,0)*AH47</f>
        <v>10170</v>
      </c>
      <c r="AE56" s="13">
        <f>(C23+AJ51)*AD57/12*(1+AD57/12)^(C10+AE57)/((1+AD57/12)^(C10+AE57)-1)+10*C23/100000*IF(C10+AE57&lt;24,4,IF(C10+AE57&lt;36,3,IF(C10+AE57&lt;48,2,IF(C10+AE57&lt;60,1.5,1))))*AD57/0.2</f>
        <v>10166.233025874011</v>
      </c>
      <c r="AF56" s="47">
        <f>(C23+AJ51)*AH36/12*(1+AH36/12)^(C10)/((1+AH36/12)^(C10)-1)+C23/10000*IF(C10&lt;11,20,IF(C10&lt;34,0.7,IF(C10&lt;48,0.3,0)))*IF(AH36&lt;0.3,AH36/0.2,AH36/0.1)</f>
        <v>14554.835345551926</v>
      </c>
      <c r="AG56" s="13">
        <f>(D23+AJ51)*AG57/12*(1+AG57/12)^(C10+AE57)/((1+AG57/12)^(C10+AE57)-1)+10*D23/100000*IF(C10+AE57&lt;24,4,IF(C10+AE57&lt;36,3,IF(C10+AE57&lt;48,2,IF(C10+AE57&lt;60,1.5,1))))*AG57/0.2</f>
        <v>8765.9819396036019</v>
      </c>
      <c r="AH56" s="157">
        <f>(D23+AJ51)*AF14/12*(1+AF14/12)^(C10)/((1+AF14/12)^(C10)-1)+D23/10000*IF(C10&lt;11,20,IF(C10&lt;34,0.7,IF(C10&lt;48,0.3,0)))*IF(AF14&lt;0.3,AF14/0.2,AF14/0.1)</f>
        <v>12550.117968798322</v>
      </c>
      <c r="AI56" s="2"/>
      <c r="AJ56" s="2"/>
      <c r="AK56" s="2"/>
      <c r="AL56" s="2"/>
      <c r="AM56" s="2" t="e">
        <f>IF(AND(Z12&gt;=$X$11,Z12&lt;=$X$11+5),0,IF($C$9&gt;$AG$51,ROUND(AJ16*#REF!/(DATEVALUE(CONCATENATE("01/01/",YEAR(AA12)+1))-DATEVALUE(CONCATENATE("01/01/",YEAR(AA12))))*(AA12-AA11),2),0))</f>
        <v>#REF!</v>
      </c>
      <c r="AN56" s="34">
        <f t="shared" si="45"/>
        <v>12601</v>
      </c>
      <c r="AO56" s="57">
        <f t="shared" si="44"/>
        <v>48600</v>
      </c>
      <c r="AP56" s="130">
        <f t="shared" si="14"/>
        <v>0</v>
      </c>
      <c r="AQ56" s="556">
        <f t="shared" si="30"/>
        <v>48</v>
      </c>
      <c r="AR56" s="680">
        <f t="shared" si="15"/>
        <v>46776</v>
      </c>
      <c r="AS56" s="557">
        <f t="shared" si="42"/>
        <v>0.27900000000000003</v>
      </c>
      <c r="AT56" s="547">
        <f t="shared" si="16"/>
        <v>0</v>
      </c>
      <c r="AU56" s="547">
        <f t="shared" si="25"/>
        <v>0</v>
      </c>
      <c r="AV56" s="547">
        <f t="shared" si="17"/>
        <v>0</v>
      </c>
      <c r="AW56" s="547">
        <f t="shared" si="18"/>
        <v>0</v>
      </c>
      <c r="AX56" s="547">
        <f t="shared" si="4"/>
        <v>0</v>
      </c>
      <c r="AY56" s="547">
        <v>0</v>
      </c>
      <c r="AZ56" s="547">
        <f t="shared" si="19"/>
        <v>0</v>
      </c>
      <c r="BA56" s="547">
        <f t="shared" si="36"/>
        <v>0</v>
      </c>
      <c r="BB56" s="547">
        <f t="shared" si="35"/>
        <v>0</v>
      </c>
      <c r="BC56" s="547"/>
      <c r="BD56" s="547"/>
      <c r="BE56" s="547"/>
      <c r="BF56" s="547"/>
      <c r="BG56" s="547"/>
      <c r="BH56" s="547">
        <f t="shared" si="21"/>
        <v>0</v>
      </c>
      <c r="BI56" s="108">
        <f t="shared" si="31"/>
        <v>0</v>
      </c>
      <c r="BJ56" s="108">
        <f t="shared" si="26"/>
        <v>0</v>
      </c>
      <c r="BK56" s="22">
        <f t="shared" si="27"/>
        <v>46776</v>
      </c>
      <c r="BL56" s="108">
        <f t="shared" si="6"/>
        <v>0</v>
      </c>
      <c r="BM56" s="2">
        <f>IF(AND(G11&gt;=$X$11,G11&lt;=$X$11+5),0,IF($C$9&gt;$AG$51,ROUND(BH10*IF(#REF!="",0,#REF!)/(DATEVALUE(CONCATENATE("01/01/",YEAR(AR11)+1))-DATEVALUE(CONCATENATE("01/01/",YEAR(AR11))))*(AR11-AR10),2),0))</f>
        <v>0</v>
      </c>
    </row>
    <row r="57" spans="1:65" s="16" customFormat="1" x14ac:dyDescent="0.3">
      <c r="A57" s="178"/>
      <c r="B57" s="178"/>
      <c r="C57" s="184"/>
      <c r="D57" s="178"/>
      <c r="E57" s="178"/>
      <c r="F57" s="178"/>
      <c r="G57" s="244">
        <f t="shared" si="28"/>
        <v>49</v>
      </c>
      <c r="H57" s="245">
        <f t="shared" si="7"/>
        <v>46807</v>
      </c>
      <c r="I57" s="246">
        <f t="shared" si="8"/>
        <v>0.21900000000000003</v>
      </c>
      <c r="J57" s="242">
        <f t="shared" si="0"/>
        <v>0</v>
      </c>
      <c r="K57" s="242">
        <f t="shared" si="22"/>
        <v>0</v>
      </c>
      <c r="L57" s="242">
        <f t="shared" si="9"/>
        <v>0</v>
      </c>
      <c r="M57" s="242">
        <f t="shared" si="23"/>
        <v>0</v>
      </c>
      <c r="N57" s="242">
        <f t="shared" si="1"/>
        <v>0</v>
      </c>
      <c r="O57" s="242">
        <v>0</v>
      </c>
      <c r="P57" s="242">
        <f t="shared" si="24"/>
        <v>0</v>
      </c>
      <c r="Q57" s="242">
        <f t="shared" si="2"/>
        <v>0</v>
      </c>
      <c r="R57" s="242">
        <f t="shared" si="10"/>
        <v>0</v>
      </c>
      <c r="S57" s="242">
        <f t="shared" si="11"/>
        <v>0</v>
      </c>
      <c r="T57" s="467">
        <f t="shared" si="40"/>
        <v>0</v>
      </c>
      <c r="U57" s="198">
        <f t="shared" si="29"/>
        <v>0</v>
      </c>
      <c r="V57" s="36">
        <f t="shared" si="12"/>
        <v>0</v>
      </c>
      <c r="W57" s="36">
        <f t="shared" si="13"/>
        <v>0</v>
      </c>
      <c r="X57" s="2" t="e">
        <f>IF(AND(G22&gt;=$X$11,G22&lt;=$X$11+5),0,IF($C$9&gt;$AG$51,ROUND(S21*#REF!/(DATEVALUE(CONCATENATE("01/01/",YEAR(H22)+1))-DATEVALUE(CONCATENATE("01/01/",YEAR(H22))))*(H22-H21),2),0))</f>
        <v>#REF!</v>
      </c>
      <c r="Y57" s="34">
        <f t="shared" si="43"/>
        <v>13038</v>
      </c>
      <c r="Z57" s="57">
        <f t="shared" si="41"/>
        <v>50425</v>
      </c>
      <c r="AB57" s="171">
        <v>200000</v>
      </c>
      <c r="AC57" s="171">
        <v>200000</v>
      </c>
      <c r="AD57" s="15">
        <f>IF(C9&gt;AI48,C11,C11+0.05)</f>
        <v>0.27900000000000003</v>
      </c>
      <c r="AE57" s="2">
        <f xml:space="preserve"> IF(C9&gt;AI48,36,24)</f>
        <v>36</v>
      </c>
      <c r="AF57" s="44">
        <f>(C23+AJ51)*AH36/12*(1+AH36/12)^(C10)/((1+AH36/12)^(C10)-1)</f>
        <v>14540.105024401926</v>
      </c>
      <c r="AG57" s="15">
        <f>IF(C9&gt;AI48,D13,D13+0.05)</f>
        <v>0.27900000000000003</v>
      </c>
      <c r="AH57" s="118">
        <f>(D23+AJ51)*AF14/12*(1+AF14/12)^(C10)/((1+AF14/12)^(C10)-1)</f>
        <v>12537.416535648323</v>
      </c>
      <c r="AI57" s="2"/>
      <c r="AJ57" s="2"/>
      <c r="AK57" s="2"/>
      <c r="AL57" s="2"/>
      <c r="AM57" s="2" t="e">
        <f>IF(AND(Z13&gt;=$X$11,Z13&lt;=$X$11+5),0,IF($C$9&gt;$AG$51,ROUND(AJ17*#REF!/(DATEVALUE(CONCATENATE("01/01/",YEAR(AA13)+1))-DATEVALUE(CONCATENATE("01/01/",YEAR(AA13))))*(AA13-AA12),2),0))</f>
        <v>#REF!</v>
      </c>
      <c r="AN57" s="34">
        <f t="shared" si="45"/>
        <v>12601</v>
      </c>
      <c r="AO57" s="57">
        <f t="shared" si="44"/>
        <v>48965</v>
      </c>
      <c r="AP57" s="130">
        <f t="shared" si="14"/>
        <v>0</v>
      </c>
      <c r="AQ57" s="553">
        <f t="shared" si="30"/>
        <v>49</v>
      </c>
      <c r="AR57" s="554">
        <f t="shared" si="15"/>
        <v>46807</v>
      </c>
      <c r="AS57" s="555">
        <f t="shared" ref="AS57:AS108" si="46">IF($D$16="Да",$AN$40,$D$13)</f>
        <v>0.27900000000000003</v>
      </c>
      <c r="AT57" s="546">
        <f t="shared" si="16"/>
        <v>0</v>
      </c>
      <c r="AU57" s="546">
        <f t="shared" si="25"/>
        <v>0</v>
      </c>
      <c r="AV57" s="546">
        <f t="shared" si="17"/>
        <v>0</v>
      </c>
      <c r="AW57" s="546">
        <f t="shared" si="18"/>
        <v>0</v>
      </c>
      <c r="AX57" s="546">
        <f t="shared" si="4"/>
        <v>0</v>
      </c>
      <c r="AY57" s="546">
        <v>0</v>
      </c>
      <c r="AZ57" s="546">
        <f t="shared" si="19"/>
        <v>0</v>
      </c>
      <c r="BA57" s="546">
        <f t="shared" si="36"/>
        <v>0</v>
      </c>
      <c r="BB57" s="546">
        <f t="shared" si="35"/>
        <v>0</v>
      </c>
      <c r="BC57" s="546"/>
      <c r="BD57" s="546"/>
      <c r="BE57" s="546"/>
      <c r="BF57" s="546"/>
      <c r="BG57" s="546"/>
      <c r="BH57" s="546">
        <f t="shared" si="21"/>
        <v>0</v>
      </c>
      <c r="BI57" s="108">
        <f t="shared" si="31"/>
        <v>0</v>
      </c>
      <c r="BJ57" s="108">
        <f t="shared" si="26"/>
        <v>0</v>
      </c>
      <c r="BK57" s="22">
        <f t="shared" si="27"/>
        <v>46807</v>
      </c>
      <c r="BL57" s="108">
        <f t="shared" si="6"/>
        <v>0</v>
      </c>
      <c r="BM57" s="2">
        <f>IF(AND(G12&gt;=$X$11,G12&lt;=$X$11+5),0,IF($C$9&gt;$AG$51,ROUND(BH11*IF(#REF!="",0,#REF!)/(DATEVALUE(CONCATENATE("01/01/",YEAR(AR12)+1))-DATEVALUE(CONCATENATE("01/01/",YEAR(AR12))))*(AR12-AR11),2),0))</f>
        <v>0</v>
      </c>
    </row>
    <row r="58" spans="1:65" s="16" customFormat="1" ht="15.75" customHeight="1" x14ac:dyDescent="0.3">
      <c r="A58" s="178"/>
      <c r="B58" s="178"/>
      <c r="C58" s="184"/>
      <c r="D58" s="178"/>
      <c r="E58" s="178"/>
      <c r="F58" s="178"/>
      <c r="G58" s="244">
        <f t="shared" si="28"/>
        <v>50</v>
      </c>
      <c r="H58" s="245">
        <f t="shared" si="7"/>
        <v>46836</v>
      </c>
      <c r="I58" s="246">
        <f t="shared" si="8"/>
        <v>0.21900000000000003</v>
      </c>
      <c r="J58" s="242">
        <f t="shared" si="0"/>
        <v>0</v>
      </c>
      <c r="K58" s="242">
        <f t="shared" si="22"/>
        <v>0</v>
      </c>
      <c r="L58" s="242">
        <f t="shared" si="9"/>
        <v>0</v>
      </c>
      <c r="M58" s="242">
        <f t="shared" si="23"/>
        <v>0</v>
      </c>
      <c r="N58" s="242">
        <f t="shared" si="1"/>
        <v>0</v>
      </c>
      <c r="O58" s="242">
        <v>0</v>
      </c>
      <c r="P58" s="242">
        <f t="shared" si="24"/>
        <v>0</v>
      </c>
      <c r="Q58" s="242">
        <f t="shared" si="2"/>
        <v>0</v>
      </c>
      <c r="R58" s="242">
        <f t="shared" si="10"/>
        <v>0</v>
      </c>
      <c r="S58" s="242">
        <f t="shared" si="11"/>
        <v>0</v>
      </c>
      <c r="T58" s="467">
        <f t="shared" si="40"/>
        <v>0</v>
      </c>
      <c r="U58" s="198">
        <f t="shared" si="29"/>
        <v>0</v>
      </c>
      <c r="V58" s="36">
        <f t="shared" si="12"/>
        <v>0</v>
      </c>
      <c r="W58" s="36">
        <f t="shared" si="13"/>
        <v>0</v>
      </c>
      <c r="X58" s="2" t="e">
        <f>IF(AND(G23&gt;=$X$11,G23&lt;=$X$11+5),0,IF($C$9&gt;$AG$51,ROUND(S22*#REF!/(DATEVALUE(CONCATENATE("01/01/",YEAR(H23)+1))-DATEVALUE(CONCATENATE("01/01/",YEAR(H23))))*(H23-H22),2),0))</f>
        <v>#REF!</v>
      </c>
      <c r="Y58" s="34">
        <f t="shared" si="43"/>
        <v>13038</v>
      </c>
      <c r="Z58" s="57">
        <f t="shared" si="41"/>
        <v>50790</v>
      </c>
      <c r="AB58" s="170">
        <v>600000</v>
      </c>
      <c r="AC58" s="171">
        <v>600000</v>
      </c>
      <c r="AD58" s="2"/>
      <c r="AE58" s="2"/>
      <c r="AF58" s="2"/>
      <c r="AG58" s="2"/>
      <c r="AH58" s="2"/>
      <c r="AI58" s="2"/>
      <c r="AJ58" s="2"/>
      <c r="AK58" s="2"/>
      <c r="AL58" s="2"/>
      <c r="AM58" s="2" t="e">
        <f>IF(AND(Z14&gt;=$X$11,Z14&lt;=$X$11+5),0,IF($C$9&gt;$AG$51,ROUND(AJ18*#REF!/(DATEVALUE(CONCATENATE("01/01/",YEAR(AA14)+1))-DATEVALUE(CONCATENATE("01/01/",YEAR(AA14))))*(AA14-AA13),2),0))</f>
        <v>#REF!</v>
      </c>
      <c r="AN58" s="34">
        <f t="shared" si="45"/>
        <v>12601</v>
      </c>
      <c r="AO58" s="57">
        <f t="shared" si="44"/>
        <v>49330</v>
      </c>
      <c r="AP58" s="130">
        <f t="shared" si="14"/>
        <v>0</v>
      </c>
      <c r="AQ58" s="553">
        <f t="shared" si="30"/>
        <v>50</v>
      </c>
      <c r="AR58" s="554">
        <f t="shared" si="15"/>
        <v>46836</v>
      </c>
      <c r="AS58" s="555">
        <f t="shared" si="46"/>
        <v>0.27900000000000003</v>
      </c>
      <c r="AT58" s="546">
        <f t="shared" si="16"/>
        <v>0</v>
      </c>
      <c r="AU58" s="546">
        <f t="shared" si="25"/>
        <v>0</v>
      </c>
      <c r="AV58" s="546">
        <f t="shared" si="17"/>
        <v>0</v>
      </c>
      <c r="AW58" s="546">
        <f t="shared" si="18"/>
        <v>0</v>
      </c>
      <c r="AX58" s="546">
        <f t="shared" si="4"/>
        <v>0</v>
      </c>
      <c r="AY58" s="546">
        <v>0</v>
      </c>
      <c r="AZ58" s="546">
        <f t="shared" si="19"/>
        <v>0</v>
      </c>
      <c r="BA58" s="546">
        <f t="shared" si="36"/>
        <v>0</v>
      </c>
      <c r="BB58" s="546">
        <f t="shared" si="35"/>
        <v>0</v>
      </c>
      <c r="BC58" s="546"/>
      <c r="BD58" s="546"/>
      <c r="BE58" s="546"/>
      <c r="BF58" s="546"/>
      <c r="BG58" s="546"/>
      <c r="BH58" s="546">
        <f t="shared" si="21"/>
        <v>0</v>
      </c>
      <c r="BI58" s="108">
        <f t="shared" si="31"/>
        <v>0</v>
      </c>
      <c r="BJ58" s="108">
        <f t="shared" si="26"/>
        <v>0</v>
      </c>
      <c r="BK58" s="22">
        <f t="shared" si="27"/>
        <v>46836</v>
      </c>
      <c r="BL58" s="108">
        <f t="shared" si="6"/>
        <v>0</v>
      </c>
      <c r="BM58" s="2">
        <f>IF(AND(G13&gt;=$X$11,G13&lt;=$X$11+5),0,IF($C$9&gt;$AG$51,ROUND(BH12*IF(#REF!="",0,#REF!)/(DATEVALUE(CONCATENATE("01/01/",YEAR(AR13)+1))-DATEVALUE(CONCATENATE("01/01/",YEAR(AR13))))*(AR13-AR12),2),0))</f>
        <v>0</v>
      </c>
    </row>
    <row r="59" spans="1:65" s="16" customFormat="1" x14ac:dyDescent="0.3">
      <c r="A59" s="178"/>
      <c r="B59" s="178"/>
      <c r="C59" s="184"/>
      <c r="D59" s="178"/>
      <c r="E59" s="178"/>
      <c r="F59" s="178"/>
      <c r="G59" s="244">
        <f t="shared" si="28"/>
        <v>51</v>
      </c>
      <c r="H59" s="245">
        <f t="shared" si="7"/>
        <v>46867</v>
      </c>
      <c r="I59" s="246">
        <f t="shared" si="8"/>
        <v>0.21900000000000003</v>
      </c>
      <c r="J59" s="242">
        <f t="shared" si="0"/>
        <v>0</v>
      </c>
      <c r="K59" s="242">
        <f t="shared" si="22"/>
        <v>0</v>
      </c>
      <c r="L59" s="242">
        <f t="shared" si="9"/>
        <v>0</v>
      </c>
      <c r="M59" s="242">
        <f t="shared" si="23"/>
        <v>0</v>
      </c>
      <c r="N59" s="242">
        <f t="shared" si="1"/>
        <v>0</v>
      </c>
      <c r="O59" s="242">
        <v>0</v>
      </c>
      <c r="P59" s="242">
        <f t="shared" si="24"/>
        <v>0</v>
      </c>
      <c r="Q59" s="242">
        <f t="shared" si="2"/>
        <v>0</v>
      </c>
      <c r="R59" s="242">
        <f t="shared" si="10"/>
        <v>0</v>
      </c>
      <c r="S59" s="242">
        <f t="shared" si="11"/>
        <v>0</v>
      </c>
      <c r="T59" s="467">
        <f t="shared" si="40"/>
        <v>0</v>
      </c>
      <c r="U59" s="198">
        <f t="shared" si="29"/>
        <v>0</v>
      </c>
      <c r="V59" s="36">
        <f t="shared" si="12"/>
        <v>0</v>
      </c>
      <c r="W59" s="36">
        <f t="shared" si="13"/>
        <v>0</v>
      </c>
      <c r="X59" s="2" t="e">
        <f>IF(AND(G24&gt;=$X$11,G24&lt;=$X$11+5),0,IF($C$9&gt;$AG$51,ROUND(S23*#REF!/(DATEVALUE(CONCATENATE("01/01/",YEAR(H24)+1))-DATEVALUE(CONCATENATE("01/01/",YEAR(H24))))*(H24-H23),2),0))</f>
        <v>#REF!</v>
      </c>
      <c r="Y59" s="34">
        <f t="shared" si="43"/>
        <v>13038</v>
      </c>
      <c r="Z59" s="57">
        <f t="shared" si="41"/>
        <v>51155</v>
      </c>
      <c r="AB59" s="171">
        <v>1000000</v>
      </c>
      <c r="AC59" s="171">
        <v>1000000</v>
      </c>
      <c r="AD59" s="144" t="s">
        <v>330</v>
      </c>
      <c r="AE59" s="144" t="s">
        <v>111</v>
      </c>
      <c r="AF59" s="145" t="s">
        <v>114</v>
      </c>
      <c r="AG59" s="144" t="s">
        <v>367</v>
      </c>
      <c r="AH59" s="2" t="s">
        <v>35</v>
      </c>
      <c r="AI59" s="144" t="s">
        <v>118</v>
      </c>
      <c r="AJ59" s="144" t="s">
        <v>119</v>
      </c>
      <c r="AK59" s="145" t="s">
        <v>120</v>
      </c>
      <c r="AL59" s="2" t="s">
        <v>35</v>
      </c>
      <c r="AM59" s="2" t="e">
        <f>IF(AND(Z15&gt;=$X$11,Z15&lt;=$X$11+5),0,IF($C$9&gt;$AG$51,ROUND(AJ19*#REF!/(DATEVALUE(CONCATENATE("01/01/",YEAR(AA15)+1))-DATEVALUE(CONCATENATE("01/01/",YEAR(AA15))))*(AA15-AA14),2),0))</f>
        <v>#REF!</v>
      </c>
      <c r="AN59" s="34">
        <f t="shared" si="45"/>
        <v>12601</v>
      </c>
      <c r="AO59" s="57">
        <f t="shared" si="44"/>
        <v>49695</v>
      </c>
      <c r="AP59" s="130">
        <f t="shared" si="14"/>
        <v>0</v>
      </c>
      <c r="AQ59" s="553">
        <f t="shared" si="30"/>
        <v>51</v>
      </c>
      <c r="AR59" s="554">
        <f t="shared" si="15"/>
        <v>46867</v>
      </c>
      <c r="AS59" s="555">
        <f t="shared" si="46"/>
        <v>0.27900000000000003</v>
      </c>
      <c r="AT59" s="546">
        <f t="shared" si="16"/>
        <v>0</v>
      </c>
      <c r="AU59" s="546">
        <f t="shared" si="25"/>
        <v>0</v>
      </c>
      <c r="AV59" s="546">
        <f t="shared" si="17"/>
        <v>0</v>
      </c>
      <c r="AW59" s="546">
        <f t="shared" si="18"/>
        <v>0</v>
      </c>
      <c r="AX59" s="546">
        <f t="shared" si="4"/>
        <v>0</v>
      </c>
      <c r="AY59" s="546">
        <v>0</v>
      </c>
      <c r="AZ59" s="546">
        <f t="shared" si="19"/>
        <v>0</v>
      </c>
      <c r="BA59" s="546">
        <f t="shared" si="36"/>
        <v>0</v>
      </c>
      <c r="BB59" s="546">
        <f t="shared" si="35"/>
        <v>0</v>
      </c>
      <c r="BC59" s="546"/>
      <c r="BD59" s="546"/>
      <c r="BE59" s="546"/>
      <c r="BF59" s="546"/>
      <c r="BG59" s="546"/>
      <c r="BH59" s="546">
        <f t="shared" si="21"/>
        <v>0</v>
      </c>
      <c r="BI59" s="108">
        <f t="shared" si="31"/>
        <v>0</v>
      </c>
      <c r="BJ59" s="108">
        <f t="shared" si="26"/>
        <v>0</v>
      </c>
      <c r="BK59" s="22">
        <f t="shared" si="27"/>
        <v>46867</v>
      </c>
      <c r="BL59" s="108">
        <f t="shared" si="6"/>
        <v>0</v>
      </c>
      <c r="BM59" s="2">
        <f>IF(AND(G14&gt;=$X$11,G14&lt;=$X$11+5),0,IF($C$9&gt;$AG$51,ROUND(BH13*IF(#REF!="",0,#REF!)/(DATEVALUE(CONCATENATE("01/01/",YEAR(AR14)+1))-DATEVALUE(CONCATENATE("01/01/",YEAR(AR14))))*(AR14-AR13),2),0))</f>
        <v>0</v>
      </c>
    </row>
    <row r="60" spans="1:65" s="16" customFormat="1" x14ac:dyDescent="0.3">
      <c r="A60" s="178"/>
      <c r="B60" s="178"/>
      <c r="C60" s="525"/>
      <c r="D60" s="182"/>
      <c r="E60" s="178"/>
      <c r="F60" s="178"/>
      <c r="G60" s="244">
        <f t="shared" si="28"/>
        <v>52</v>
      </c>
      <c r="H60" s="245">
        <f t="shared" si="7"/>
        <v>46897</v>
      </c>
      <c r="I60" s="246">
        <f t="shared" si="8"/>
        <v>0.21900000000000003</v>
      </c>
      <c r="J60" s="242">
        <f t="shared" si="0"/>
        <v>0</v>
      </c>
      <c r="K60" s="242">
        <f t="shared" si="22"/>
        <v>0</v>
      </c>
      <c r="L60" s="242">
        <f t="shared" si="9"/>
        <v>0</v>
      </c>
      <c r="M60" s="242">
        <f t="shared" si="23"/>
        <v>0</v>
      </c>
      <c r="N60" s="242">
        <f t="shared" si="1"/>
        <v>0</v>
      </c>
      <c r="O60" s="242">
        <v>0</v>
      </c>
      <c r="P60" s="242">
        <f t="shared" si="24"/>
        <v>0</v>
      </c>
      <c r="Q60" s="242">
        <f t="shared" si="2"/>
        <v>0</v>
      </c>
      <c r="R60" s="242">
        <f t="shared" si="10"/>
        <v>0</v>
      </c>
      <c r="S60" s="242">
        <f t="shared" si="11"/>
        <v>0</v>
      </c>
      <c r="T60" s="467">
        <f t="shared" si="40"/>
        <v>0</v>
      </c>
      <c r="U60" s="198">
        <f t="shared" si="29"/>
        <v>0</v>
      </c>
      <c r="V60" s="36">
        <f t="shared" si="12"/>
        <v>0</v>
      </c>
      <c r="W60" s="36">
        <f t="shared" si="13"/>
        <v>0</v>
      </c>
      <c r="X60" s="2" t="e">
        <f>IF(AND(G25&gt;=$X$11,G25&lt;=$X$11+5),0,IF($C$9&gt;$AG$51,ROUND(S24*#REF!/(DATEVALUE(CONCATENATE("01/01/",YEAR(H25)+1))-DATEVALUE(CONCATENATE("01/01/",YEAR(H25))))*(H25-H24),2),0))</f>
        <v>#REF!</v>
      </c>
      <c r="Y60" s="34">
        <f t="shared" si="43"/>
        <v>13038</v>
      </c>
      <c r="Z60" s="57">
        <f t="shared" si="41"/>
        <v>51520</v>
      </c>
      <c r="AB60" s="171"/>
      <c r="AC60" s="171">
        <v>3000000</v>
      </c>
      <c r="AD60" s="133" t="s">
        <v>318</v>
      </c>
      <c r="AE60" s="155"/>
      <c r="AF60" s="155"/>
      <c r="AG60" s="155"/>
      <c r="AH60" s="155"/>
      <c r="AI60" s="155"/>
      <c r="AJ60" s="155"/>
      <c r="AK60" s="155"/>
      <c r="AL60" s="2"/>
      <c r="AM60" s="2" t="e">
        <f>IF(AND(Z16&gt;=$X$11,Z16&lt;=$X$11+5),0,IF($C$9&gt;$AG$51,ROUND(AJ20*#REF!/(DATEVALUE(CONCATENATE("01/01/",YEAR(AA16)+1))-DATEVALUE(CONCATENATE("01/01/",YEAR(AA16))))*(AA16-AA15),2),0))</f>
        <v>#REF!</v>
      </c>
      <c r="AN60" s="34">
        <f t="shared" si="45"/>
        <v>12601</v>
      </c>
      <c r="AO60" s="57">
        <f t="shared" si="44"/>
        <v>50060</v>
      </c>
      <c r="AP60" s="130">
        <f t="shared" si="14"/>
        <v>0</v>
      </c>
      <c r="AQ60" s="553">
        <f t="shared" si="30"/>
        <v>52</v>
      </c>
      <c r="AR60" s="554">
        <f t="shared" si="15"/>
        <v>46897</v>
      </c>
      <c r="AS60" s="555">
        <f t="shared" si="46"/>
        <v>0.27900000000000003</v>
      </c>
      <c r="AT60" s="546">
        <f t="shared" si="16"/>
        <v>0</v>
      </c>
      <c r="AU60" s="546">
        <f t="shared" si="25"/>
        <v>0</v>
      </c>
      <c r="AV60" s="546">
        <f t="shared" si="17"/>
        <v>0</v>
      </c>
      <c r="AW60" s="546">
        <f t="shared" si="18"/>
        <v>0</v>
      </c>
      <c r="AX60" s="546">
        <f t="shared" si="4"/>
        <v>0</v>
      </c>
      <c r="AY60" s="546">
        <v>0</v>
      </c>
      <c r="AZ60" s="546">
        <f t="shared" si="19"/>
        <v>0</v>
      </c>
      <c r="BA60" s="546">
        <f t="shared" si="36"/>
        <v>0</v>
      </c>
      <c r="BB60" s="546">
        <f t="shared" si="35"/>
        <v>0</v>
      </c>
      <c r="BC60" s="546"/>
      <c r="BD60" s="546"/>
      <c r="BE60" s="546"/>
      <c r="BF60" s="546"/>
      <c r="BG60" s="546"/>
      <c r="BH60" s="546">
        <f t="shared" si="21"/>
        <v>0</v>
      </c>
      <c r="BI60" s="108">
        <f t="shared" si="31"/>
        <v>0</v>
      </c>
      <c r="BJ60" s="108">
        <f t="shared" si="26"/>
        <v>0</v>
      </c>
      <c r="BK60" s="22">
        <f t="shared" si="27"/>
        <v>46897</v>
      </c>
      <c r="BL60" s="108">
        <f t="shared" si="6"/>
        <v>0</v>
      </c>
      <c r="BM60" s="2" t="e">
        <f>IF(AND(G15&gt;=$X$11,G15&lt;=$X$11+5),0,IF($C$9&gt;$AG$51,ROUND(BH14*IF(#REF!="",0,#REF!)/(DATEVALUE(CONCATENATE("01/01/",YEAR(AR15)+1))-DATEVALUE(CONCATENATE("01/01/",YEAR(AR15))))*(AR15-AR14),2),0))</f>
        <v>#REF!</v>
      </c>
    </row>
    <row r="61" spans="1:65" s="16" customFormat="1" ht="15.75" customHeight="1" x14ac:dyDescent="0.3">
      <c r="A61" s="178"/>
      <c r="B61" s="178"/>
      <c r="C61" s="184"/>
      <c r="D61" s="182"/>
      <c r="E61" s="178"/>
      <c r="F61" s="178"/>
      <c r="G61" s="244">
        <f t="shared" si="28"/>
        <v>53</v>
      </c>
      <c r="H61" s="245">
        <f t="shared" si="7"/>
        <v>46928</v>
      </c>
      <c r="I61" s="246">
        <f t="shared" si="8"/>
        <v>0.21900000000000003</v>
      </c>
      <c r="J61" s="242">
        <f t="shared" si="0"/>
        <v>0</v>
      </c>
      <c r="K61" s="242">
        <f t="shared" si="22"/>
        <v>0</v>
      </c>
      <c r="L61" s="242">
        <f t="shared" si="9"/>
        <v>0</v>
      </c>
      <c r="M61" s="242">
        <f t="shared" si="23"/>
        <v>0</v>
      </c>
      <c r="N61" s="242">
        <f t="shared" si="1"/>
        <v>0</v>
      </c>
      <c r="O61" s="242">
        <v>0</v>
      </c>
      <c r="P61" s="242">
        <f t="shared" si="24"/>
        <v>0</v>
      </c>
      <c r="Q61" s="242">
        <f t="shared" si="2"/>
        <v>0</v>
      </c>
      <c r="R61" s="242">
        <f t="shared" si="10"/>
        <v>0</v>
      </c>
      <c r="S61" s="242">
        <f t="shared" si="11"/>
        <v>0</v>
      </c>
      <c r="T61" s="467">
        <f t="shared" si="40"/>
        <v>0</v>
      </c>
      <c r="U61" s="198">
        <f t="shared" si="29"/>
        <v>0</v>
      </c>
      <c r="V61" s="36">
        <f t="shared" si="12"/>
        <v>0</v>
      </c>
      <c r="W61" s="36">
        <f t="shared" si="13"/>
        <v>0</v>
      </c>
      <c r="X61" s="2" t="e">
        <f>IF(AND(G26&gt;=$X$11,G26&lt;=$X$11+5),0,IF($C$9&gt;$AG$51,ROUND(S25*#REF!/(DATEVALUE(CONCATENATE("01/01/",YEAR(H26)+1))-DATEVALUE(CONCATENATE("01/01/",YEAR(H26))))*(H26-H25),2),0))</f>
        <v>#REF!</v>
      </c>
      <c r="Y61" s="34">
        <f t="shared" si="43"/>
        <v>13038</v>
      </c>
      <c r="Z61" s="57">
        <f t="shared" si="41"/>
        <v>51885</v>
      </c>
      <c r="AC61" s="172"/>
      <c r="AD61" s="133">
        <v>3.5000000000000001E-3</v>
      </c>
      <c r="AE61" s="133">
        <v>3.5000000000000001E-3</v>
      </c>
      <c r="AF61" s="133">
        <v>2.5000000000000001E-3</v>
      </c>
      <c r="AG61" s="133">
        <v>3.5000000000000001E-3</v>
      </c>
      <c r="AH61" s="133">
        <v>0</v>
      </c>
      <c r="AI61" s="133">
        <v>1E-3</v>
      </c>
      <c r="AJ61" s="133">
        <v>4.0000000000000001E-3</v>
      </c>
      <c r="AK61" s="133">
        <v>0</v>
      </c>
      <c r="AL61" s="2"/>
      <c r="AM61" s="2" t="e">
        <f>IF(AND(Z17&gt;=$X$11,Z17&lt;=$X$11+5),0,IF($C$9&gt;$AG$51,ROUND(AJ21*#REF!/(DATEVALUE(CONCATENATE("01/01/",YEAR(AA17)+1))-DATEVALUE(CONCATENATE("01/01/",YEAR(AA17))))*(AA17-AA16),2),0))</f>
        <v>#REF!</v>
      </c>
      <c r="AN61" s="34">
        <f t="shared" si="45"/>
        <v>12601</v>
      </c>
      <c r="AO61" s="57">
        <f t="shared" si="44"/>
        <v>50425</v>
      </c>
      <c r="AP61" s="130">
        <f t="shared" si="14"/>
        <v>0</v>
      </c>
      <c r="AQ61" s="553">
        <f t="shared" si="30"/>
        <v>53</v>
      </c>
      <c r="AR61" s="554">
        <f t="shared" si="15"/>
        <v>46928</v>
      </c>
      <c r="AS61" s="555">
        <f t="shared" si="46"/>
        <v>0.27900000000000003</v>
      </c>
      <c r="AT61" s="546">
        <f t="shared" si="16"/>
        <v>0</v>
      </c>
      <c r="AU61" s="546">
        <f t="shared" si="25"/>
        <v>0</v>
      </c>
      <c r="AV61" s="546">
        <f t="shared" si="17"/>
        <v>0</v>
      </c>
      <c r="AW61" s="546">
        <f t="shared" si="18"/>
        <v>0</v>
      </c>
      <c r="AX61" s="546">
        <f t="shared" si="4"/>
        <v>0</v>
      </c>
      <c r="AY61" s="546">
        <v>0</v>
      </c>
      <c r="AZ61" s="546">
        <f t="shared" si="19"/>
        <v>0</v>
      </c>
      <c r="BA61" s="546">
        <f t="shared" si="36"/>
        <v>0</v>
      </c>
      <c r="BB61" s="546">
        <f t="shared" si="35"/>
        <v>0</v>
      </c>
      <c r="BC61" s="546"/>
      <c r="BD61" s="546"/>
      <c r="BE61" s="546"/>
      <c r="BF61" s="546"/>
      <c r="BG61" s="546"/>
      <c r="BH61" s="546">
        <f t="shared" si="21"/>
        <v>0</v>
      </c>
      <c r="BI61" s="108">
        <f t="shared" si="31"/>
        <v>0</v>
      </c>
      <c r="BJ61" s="108">
        <f t="shared" si="26"/>
        <v>0</v>
      </c>
      <c r="BK61" s="22">
        <f t="shared" si="27"/>
        <v>46928</v>
      </c>
      <c r="BL61" s="108">
        <f t="shared" si="6"/>
        <v>0</v>
      </c>
      <c r="BM61" s="2" t="e">
        <f>IF(AND(G16&gt;=$X$11,G16&lt;=$X$11+5),0,IF($C$9&gt;$AG$51,ROUND(BH15*IF(#REF!="",0,#REF!)/(DATEVALUE(CONCATENATE("01/01/",YEAR(AR16)+1))-DATEVALUE(CONCATENATE("01/01/",YEAR(AR16))))*(AR16-AR15),2),0))</f>
        <v>#REF!</v>
      </c>
    </row>
    <row r="62" spans="1:65" s="16" customFormat="1" x14ac:dyDescent="0.3">
      <c r="A62" s="178"/>
      <c r="B62" s="178"/>
      <c r="C62" s="184"/>
      <c r="D62" s="178"/>
      <c r="E62" s="178"/>
      <c r="F62" s="178"/>
      <c r="G62" s="244">
        <f t="shared" si="28"/>
        <v>54</v>
      </c>
      <c r="H62" s="245">
        <f t="shared" si="7"/>
        <v>46958</v>
      </c>
      <c r="I62" s="246">
        <f t="shared" si="8"/>
        <v>0.21900000000000003</v>
      </c>
      <c r="J62" s="242">
        <f t="shared" si="0"/>
        <v>0</v>
      </c>
      <c r="K62" s="242">
        <f t="shared" si="22"/>
        <v>0</v>
      </c>
      <c r="L62" s="242">
        <f t="shared" si="9"/>
        <v>0</v>
      </c>
      <c r="M62" s="242">
        <f t="shared" si="23"/>
        <v>0</v>
      </c>
      <c r="N62" s="242">
        <f t="shared" si="1"/>
        <v>0</v>
      </c>
      <c r="O62" s="242">
        <v>0</v>
      </c>
      <c r="P62" s="242">
        <f t="shared" si="24"/>
        <v>0</v>
      </c>
      <c r="Q62" s="242">
        <f t="shared" si="2"/>
        <v>0</v>
      </c>
      <c r="R62" s="242">
        <f t="shared" si="10"/>
        <v>0</v>
      </c>
      <c r="S62" s="242">
        <f t="shared" si="11"/>
        <v>0</v>
      </c>
      <c r="T62" s="467">
        <f t="shared" si="40"/>
        <v>0</v>
      </c>
      <c r="U62" s="198">
        <f t="shared" si="29"/>
        <v>0</v>
      </c>
      <c r="V62" s="36">
        <f t="shared" si="12"/>
        <v>0</v>
      </c>
      <c r="W62" s="36">
        <f t="shared" si="13"/>
        <v>0</v>
      </c>
      <c r="X62" s="2" t="e">
        <f>IF(AND(G27&gt;=$X$11,G27&lt;=$X$11+5),0,IF($C$9&gt;$AG$51,ROUND(S26*#REF!/(DATEVALUE(CONCATENATE("01/01/",YEAR(H27)+1))-DATEVALUE(CONCATENATE("01/01/",YEAR(H27))))*(H27-H26),2),0))</f>
        <v>#REF!</v>
      </c>
      <c r="Y62" s="34">
        <f t="shared" si="43"/>
        <v>13038</v>
      </c>
      <c r="Z62" s="57">
        <f t="shared" si="41"/>
        <v>52250</v>
      </c>
      <c r="AD62" s="133">
        <v>3.0000000000000001E-3</v>
      </c>
      <c r="AE62" s="133">
        <v>3.0000000000000001E-3</v>
      </c>
      <c r="AF62" s="133">
        <v>2.5000000000000001E-3</v>
      </c>
      <c r="AG62" s="133">
        <v>3.0000000000000001E-3</v>
      </c>
      <c r="AH62" s="133">
        <v>0</v>
      </c>
      <c r="AI62" s="133">
        <v>1E-3</v>
      </c>
      <c r="AJ62" s="133">
        <v>4.0000000000000001E-3</v>
      </c>
      <c r="AK62" s="133">
        <v>0</v>
      </c>
      <c r="AL62" s="2"/>
      <c r="AM62" s="2" t="e">
        <f>IF(AND(Z18&gt;=$X$11,Z18&lt;=$X$11+5),0,IF($C$9&gt;$AG$51,ROUND(AJ22*#REF!/(DATEVALUE(CONCATENATE("01/01/",YEAR(AA18)+1))-DATEVALUE(CONCATENATE("01/01/",YEAR(AA18))))*(AA18-AA17),2),0))</f>
        <v>#REF!</v>
      </c>
      <c r="AN62" s="34">
        <f t="shared" si="45"/>
        <v>12601</v>
      </c>
      <c r="AO62" s="57">
        <f t="shared" si="44"/>
        <v>50790</v>
      </c>
      <c r="AP62" s="130">
        <f t="shared" si="14"/>
        <v>0</v>
      </c>
      <c r="AQ62" s="553">
        <f t="shared" si="30"/>
        <v>54</v>
      </c>
      <c r="AR62" s="554">
        <f t="shared" si="15"/>
        <v>46958</v>
      </c>
      <c r="AS62" s="555">
        <f t="shared" si="46"/>
        <v>0.27900000000000003</v>
      </c>
      <c r="AT62" s="546">
        <f t="shared" si="16"/>
        <v>0</v>
      </c>
      <c r="AU62" s="546">
        <f t="shared" si="25"/>
        <v>0</v>
      </c>
      <c r="AV62" s="546">
        <f t="shared" si="17"/>
        <v>0</v>
      </c>
      <c r="AW62" s="546">
        <f t="shared" si="18"/>
        <v>0</v>
      </c>
      <c r="AX62" s="546">
        <f t="shared" si="4"/>
        <v>0</v>
      </c>
      <c r="AY62" s="546">
        <v>0</v>
      </c>
      <c r="AZ62" s="546">
        <f t="shared" si="19"/>
        <v>0</v>
      </c>
      <c r="BA62" s="546">
        <f t="shared" si="36"/>
        <v>0</v>
      </c>
      <c r="BB62" s="546">
        <f t="shared" si="35"/>
        <v>0</v>
      </c>
      <c r="BC62" s="546"/>
      <c r="BD62" s="546"/>
      <c r="BE62" s="546"/>
      <c r="BF62" s="546"/>
      <c r="BG62" s="546"/>
      <c r="BH62" s="546">
        <f t="shared" si="21"/>
        <v>0</v>
      </c>
      <c r="BI62" s="108">
        <f t="shared" si="31"/>
        <v>0</v>
      </c>
      <c r="BJ62" s="108">
        <f t="shared" si="26"/>
        <v>0</v>
      </c>
      <c r="BK62" s="22">
        <f t="shared" si="27"/>
        <v>46958</v>
      </c>
      <c r="BL62" s="108">
        <f t="shared" si="6"/>
        <v>0</v>
      </c>
      <c r="BM62" s="2" t="e">
        <f>IF(AND(G17&gt;=$X$11,G17&lt;=$X$11+5),0,IF($C$9&gt;$AG$51,ROUND(BH16*IF(#REF!="",0,#REF!)/(DATEVALUE(CONCATENATE("01/01/",YEAR(AR17)+1))-DATEVALUE(CONCATENATE("01/01/",YEAR(AR17))))*(AR17-AR16),2),0))</f>
        <v>#REF!</v>
      </c>
    </row>
    <row r="63" spans="1:65" s="16" customFormat="1" x14ac:dyDescent="0.3">
      <c r="A63" s="178"/>
      <c r="B63" s="178"/>
      <c r="C63" s="184"/>
      <c r="D63" s="178"/>
      <c r="E63" s="178"/>
      <c r="F63" s="178"/>
      <c r="G63" s="244">
        <f t="shared" si="28"/>
        <v>55</v>
      </c>
      <c r="H63" s="245">
        <f t="shared" si="7"/>
        <v>46989</v>
      </c>
      <c r="I63" s="246">
        <f t="shared" si="8"/>
        <v>0.21900000000000003</v>
      </c>
      <c r="J63" s="242">
        <f t="shared" si="0"/>
        <v>0</v>
      </c>
      <c r="K63" s="242">
        <f t="shared" si="22"/>
        <v>0</v>
      </c>
      <c r="L63" s="242">
        <f t="shared" si="9"/>
        <v>0</v>
      </c>
      <c r="M63" s="242">
        <f t="shared" si="23"/>
        <v>0</v>
      </c>
      <c r="N63" s="242">
        <f t="shared" si="1"/>
        <v>0</v>
      </c>
      <c r="O63" s="242">
        <v>0</v>
      </c>
      <c r="P63" s="242">
        <f t="shared" si="24"/>
        <v>0</v>
      </c>
      <c r="Q63" s="242">
        <f t="shared" si="2"/>
        <v>0</v>
      </c>
      <c r="R63" s="242">
        <f t="shared" si="10"/>
        <v>0</v>
      </c>
      <c r="S63" s="242">
        <f t="shared" si="11"/>
        <v>0</v>
      </c>
      <c r="T63" s="467">
        <f t="shared" si="40"/>
        <v>0</v>
      </c>
      <c r="U63" s="198">
        <f t="shared" si="29"/>
        <v>0</v>
      </c>
      <c r="V63" s="36">
        <f t="shared" si="12"/>
        <v>0</v>
      </c>
      <c r="W63" s="36">
        <f t="shared" si="13"/>
        <v>0</v>
      </c>
      <c r="X63" s="2" t="e">
        <f>IF(AND(G28&gt;=$X$11,G28&lt;=$X$11+5),0,IF($C$9&gt;$AG$51,ROUND(S27*#REF!/(DATEVALUE(CONCATENATE("01/01/",YEAR(H28)+1))-DATEVALUE(CONCATENATE("01/01/",YEAR(H28))))*(H28-H27),2),0))</f>
        <v>#REF!</v>
      </c>
      <c r="Y63" s="34">
        <f t="shared" si="43"/>
        <v>13038</v>
      </c>
      <c r="Z63" s="57">
        <f t="shared" si="41"/>
        <v>52615</v>
      </c>
      <c r="AD63" s="133">
        <v>2.5000000000000001E-3</v>
      </c>
      <c r="AE63" s="133">
        <v>2.5000000000000001E-3</v>
      </c>
      <c r="AF63" s="133">
        <v>2.5000000000000001E-3</v>
      </c>
      <c r="AG63" s="133">
        <v>2.5000000000000001E-3</v>
      </c>
      <c r="AH63" s="133">
        <v>0</v>
      </c>
      <c r="AI63" s="133">
        <v>1E-3</v>
      </c>
      <c r="AJ63" s="133">
        <v>3.2000000000000002E-3</v>
      </c>
      <c r="AK63" s="133">
        <v>0</v>
      </c>
      <c r="AM63" s="2" t="e">
        <f>IF(AND(Z19&gt;=$X$11,Z19&lt;=$X$11+5),0,IF($C$9&gt;$AG$51,ROUND(AJ23*#REF!/(DATEVALUE(CONCATENATE("01/01/",YEAR(AA19)+1))-DATEVALUE(CONCATENATE("01/01/",YEAR(AA19))))*(AA19-AA18),2),0))</f>
        <v>#REF!</v>
      </c>
      <c r="AN63" s="34">
        <f t="shared" si="45"/>
        <v>12601</v>
      </c>
      <c r="AO63" s="57">
        <f t="shared" si="44"/>
        <v>51155</v>
      </c>
      <c r="AP63" s="130">
        <f t="shared" si="14"/>
        <v>0</v>
      </c>
      <c r="AQ63" s="553">
        <f t="shared" si="30"/>
        <v>55</v>
      </c>
      <c r="AR63" s="554">
        <f t="shared" si="15"/>
        <v>46989</v>
      </c>
      <c r="AS63" s="555">
        <f t="shared" si="46"/>
        <v>0.27900000000000003</v>
      </c>
      <c r="AT63" s="546">
        <f t="shared" si="16"/>
        <v>0</v>
      </c>
      <c r="AU63" s="546">
        <f t="shared" si="25"/>
        <v>0</v>
      </c>
      <c r="AV63" s="546">
        <f t="shared" si="17"/>
        <v>0</v>
      </c>
      <c r="AW63" s="546">
        <f t="shared" si="18"/>
        <v>0</v>
      </c>
      <c r="AX63" s="546">
        <f t="shared" si="4"/>
        <v>0</v>
      </c>
      <c r="AY63" s="546">
        <v>0</v>
      </c>
      <c r="AZ63" s="546">
        <f t="shared" si="19"/>
        <v>0</v>
      </c>
      <c r="BA63" s="546">
        <f t="shared" si="36"/>
        <v>0</v>
      </c>
      <c r="BB63" s="546">
        <f t="shared" si="35"/>
        <v>0</v>
      </c>
      <c r="BC63" s="546"/>
      <c r="BD63" s="546"/>
      <c r="BE63" s="546"/>
      <c r="BF63" s="546"/>
      <c r="BG63" s="546"/>
      <c r="BH63" s="546">
        <f t="shared" si="21"/>
        <v>0</v>
      </c>
      <c r="BI63" s="108">
        <f t="shared" si="31"/>
        <v>0</v>
      </c>
      <c r="BJ63" s="108">
        <f t="shared" si="26"/>
        <v>0</v>
      </c>
      <c r="BK63" s="22">
        <f t="shared" si="27"/>
        <v>46989</v>
      </c>
      <c r="BL63" s="108">
        <f t="shared" si="6"/>
        <v>0</v>
      </c>
      <c r="BM63" s="2" t="e">
        <f>IF(AND(G18&gt;=$X$11,G18&lt;=$X$11+5),0,IF($C$9&gt;$AG$51,ROUND(BH17*IF(#REF!="",0,#REF!)/(DATEVALUE(CONCATENATE("01/01/",YEAR(AR18)+1))-DATEVALUE(CONCATENATE("01/01/",YEAR(AR18))))*(AR18-AR17),2),0))</f>
        <v>#REF!</v>
      </c>
    </row>
    <row r="64" spans="1:65" s="16" customFormat="1" x14ac:dyDescent="0.3">
      <c r="A64" s="178"/>
      <c r="B64" s="178"/>
      <c r="C64" s="184"/>
      <c r="D64" s="178"/>
      <c r="E64" s="178"/>
      <c r="F64" s="178"/>
      <c r="G64" s="244">
        <f t="shared" si="28"/>
        <v>56</v>
      </c>
      <c r="H64" s="245">
        <f t="shared" si="7"/>
        <v>47020</v>
      </c>
      <c r="I64" s="246">
        <f t="shared" si="8"/>
        <v>0.21900000000000003</v>
      </c>
      <c r="J64" s="242">
        <f t="shared" si="0"/>
        <v>0</v>
      </c>
      <c r="K64" s="242">
        <f t="shared" si="22"/>
        <v>0</v>
      </c>
      <c r="L64" s="242">
        <f t="shared" si="9"/>
        <v>0</v>
      </c>
      <c r="M64" s="242">
        <f t="shared" si="23"/>
        <v>0</v>
      </c>
      <c r="N64" s="242">
        <f t="shared" si="1"/>
        <v>0</v>
      </c>
      <c r="O64" s="242">
        <v>0</v>
      </c>
      <c r="P64" s="242">
        <f t="shared" si="24"/>
        <v>0</v>
      </c>
      <c r="Q64" s="242">
        <f t="shared" si="2"/>
        <v>0</v>
      </c>
      <c r="R64" s="242">
        <f t="shared" si="10"/>
        <v>0</v>
      </c>
      <c r="S64" s="242">
        <f t="shared" si="11"/>
        <v>0</v>
      </c>
      <c r="T64" s="467">
        <f t="shared" si="40"/>
        <v>0</v>
      </c>
      <c r="U64" s="198">
        <f t="shared" si="29"/>
        <v>0</v>
      </c>
      <c r="V64" s="36">
        <f t="shared" si="12"/>
        <v>0</v>
      </c>
      <c r="W64" s="36">
        <f t="shared" si="13"/>
        <v>0</v>
      </c>
      <c r="X64" s="2" t="e">
        <f>IF(AND(G29&gt;=$X$11,G29&lt;=$X$11+5),0,IF($C$9&gt;$AG$51,ROUND(S28*#REF!/(DATEVALUE(CONCATENATE("01/01/",YEAR(H29)+1))-DATEVALUE(CONCATENATE("01/01/",YEAR(H29))))*(H29-H28),2),0))</f>
        <v>#REF!</v>
      </c>
      <c r="Y64" s="34">
        <f t="shared" si="43"/>
        <v>13038</v>
      </c>
      <c r="Z64" s="57">
        <f t="shared" si="41"/>
        <v>52980</v>
      </c>
      <c r="AD64" s="133">
        <v>2E-3</v>
      </c>
      <c r="AE64" s="133">
        <v>2E-3</v>
      </c>
      <c r="AF64" s="155"/>
      <c r="AG64" s="133">
        <v>2E-3</v>
      </c>
      <c r="AH64" s="133">
        <v>0</v>
      </c>
      <c r="AI64" s="133">
        <v>1E-3</v>
      </c>
      <c r="AJ64" s="133">
        <v>2E-3</v>
      </c>
      <c r="AK64" s="133">
        <v>0</v>
      </c>
      <c r="AM64" s="2" t="e">
        <f>IF(AND(Z20&gt;=$X$11,Z20&lt;=$X$11+5),0,IF($C$9&gt;$AG$51,ROUND(AJ24*#REF!/(DATEVALUE(CONCATENATE("01/01/",YEAR(AA20)+1))-DATEVALUE(CONCATENATE("01/01/",YEAR(AA20))))*(AA20-AA19),2),0))</f>
        <v>#REF!</v>
      </c>
      <c r="AN64" s="34">
        <f t="shared" si="45"/>
        <v>12601</v>
      </c>
      <c r="AO64" s="57">
        <f t="shared" si="44"/>
        <v>51520</v>
      </c>
      <c r="AP64" s="130">
        <f t="shared" si="14"/>
        <v>0</v>
      </c>
      <c r="AQ64" s="553">
        <f t="shared" si="30"/>
        <v>56</v>
      </c>
      <c r="AR64" s="554">
        <f t="shared" si="15"/>
        <v>47020</v>
      </c>
      <c r="AS64" s="555">
        <f t="shared" si="46"/>
        <v>0.27900000000000003</v>
      </c>
      <c r="AT64" s="546">
        <f t="shared" si="16"/>
        <v>0</v>
      </c>
      <c r="AU64" s="546">
        <f t="shared" si="25"/>
        <v>0</v>
      </c>
      <c r="AV64" s="546">
        <f t="shared" si="17"/>
        <v>0</v>
      </c>
      <c r="AW64" s="546">
        <f t="shared" si="18"/>
        <v>0</v>
      </c>
      <c r="AX64" s="546">
        <f t="shared" si="4"/>
        <v>0</v>
      </c>
      <c r="AY64" s="546">
        <v>0</v>
      </c>
      <c r="AZ64" s="546">
        <f t="shared" si="19"/>
        <v>0</v>
      </c>
      <c r="BA64" s="546">
        <f t="shared" si="36"/>
        <v>0</v>
      </c>
      <c r="BB64" s="546">
        <f t="shared" si="35"/>
        <v>0</v>
      </c>
      <c r="BC64" s="546"/>
      <c r="BD64" s="546"/>
      <c r="BE64" s="546"/>
      <c r="BF64" s="546"/>
      <c r="BG64" s="546"/>
      <c r="BH64" s="546">
        <f t="shared" si="21"/>
        <v>0</v>
      </c>
      <c r="BI64" s="108">
        <f t="shared" si="31"/>
        <v>0</v>
      </c>
      <c r="BJ64" s="108">
        <f t="shared" si="26"/>
        <v>0</v>
      </c>
      <c r="BK64" s="22">
        <f t="shared" si="27"/>
        <v>47020</v>
      </c>
      <c r="BL64" s="108">
        <f t="shared" si="6"/>
        <v>0</v>
      </c>
      <c r="BM64" s="2" t="e">
        <f>IF(AND(G19&gt;=$X$11,G19&lt;=$X$11+5),0,IF($C$9&gt;$AG$51,ROUND(BH18*IF(#REF!="",0,#REF!)/(DATEVALUE(CONCATENATE("01/01/",YEAR(AR19)+1))-DATEVALUE(CONCATENATE("01/01/",YEAR(AR19))))*(AR19-AR18),2),0))</f>
        <v>#REF!</v>
      </c>
    </row>
    <row r="65" spans="1:65" s="16" customFormat="1" x14ac:dyDescent="0.3">
      <c r="A65" s="178"/>
      <c r="B65" s="178"/>
      <c r="C65" s="184"/>
      <c r="D65" s="178"/>
      <c r="E65" s="178"/>
      <c r="F65" s="178"/>
      <c r="G65" s="244">
        <f t="shared" si="28"/>
        <v>57</v>
      </c>
      <c r="H65" s="245">
        <f t="shared" si="7"/>
        <v>47050</v>
      </c>
      <c r="I65" s="246">
        <f t="shared" si="8"/>
        <v>0.21900000000000003</v>
      </c>
      <c r="J65" s="242">
        <f t="shared" si="0"/>
        <v>0</v>
      </c>
      <c r="K65" s="242">
        <f t="shared" si="22"/>
        <v>0</v>
      </c>
      <c r="L65" s="242">
        <f t="shared" si="9"/>
        <v>0</v>
      </c>
      <c r="M65" s="242">
        <f t="shared" si="23"/>
        <v>0</v>
      </c>
      <c r="N65" s="242">
        <f t="shared" si="1"/>
        <v>0</v>
      </c>
      <c r="O65" s="242">
        <v>0</v>
      </c>
      <c r="P65" s="242">
        <f t="shared" si="24"/>
        <v>0</v>
      </c>
      <c r="Q65" s="242">
        <f t="shared" si="2"/>
        <v>0</v>
      </c>
      <c r="R65" s="242">
        <f t="shared" si="10"/>
        <v>0</v>
      </c>
      <c r="S65" s="242">
        <f t="shared" si="11"/>
        <v>0</v>
      </c>
      <c r="T65" s="467">
        <f t="shared" si="40"/>
        <v>0</v>
      </c>
      <c r="U65" s="198">
        <f t="shared" si="29"/>
        <v>0</v>
      </c>
      <c r="V65" s="36">
        <f t="shared" si="12"/>
        <v>0</v>
      </c>
      <c r="W65" s="36">
        <f t="shared" si="13"/>
        <v>0</v>
      </c>
      <c r="X65" s="2" t="e">
        <f>IF(AND(G30&gt;=$X$11,G30&lt;=$X$11+5),0,IF($C$9&gt;$AG$51,ROUND(S29*#REF!/(DATEVALUE(CONCATENATE("01/01/",YEAR(H30)+1))-DATEVALUE(CONCATENATE("01/01/",YEAR(H30))))*(H30-H29),2),0))</f>
        <v>#REF!</v>
      </c>
      <c r="Y65" s="34">
        <f t="shared" si="43"/>
        <v>13038</v>
      </c>
      <c r="Z65" s="57">
        <f t="shared" si="41"/>
        <v>53345</v>
      </c>
      <c r="AC65" s="2"/>
      <c r="AD65" s="66">
        <f>IF(AD79&gt;$AB$59,AD64,IF(AD79&gt;$AB$58,AD63,IF(AD79&gt;$AB$57,AD62,AD61)))</f>
        <v>3.0000000000000001E-3</v>
      </c>
      <c r="AE65" s="66">
        <f>IF(AE79&gt;$AB$59,AE64,IF(AE79&gt;$AB$58,AE63,IF(AE79&gt;$AB$57,AE62,AE61)))</f>
        <v>3.0000000000000001E-3</v>
      </c>
      <c r="AF65" s="66">
        <f>IF(AF79&gt;$AB$59,AF64,IF(AF79&gt;$AB$58,AF63,IF(AF79&gt;$AB$57,AF62,AF61)))</f>
        <v>2.5000000000000001E-3</v>
      </c>
      <c r="AG65" s="66">
        <f>IF(AG79&gt;1000000,AG64,IF(AG79&gt;500000,AG63,IF(AG79&gt;200000,AG62,AG61)))</f>
        <v>3.0000000000000001E-3</v>
      </c>
      <c r="AH65" s="66">
        <f>IF(AH79&gt;$AB$59,AH64,IF(AH79&gt;$AB$58,AH63,IF(AH79&gt;$AB$57,AH62,AH61)))</f>
        <v>0</v>
      </c>
      <c r="AI65" s="66">
        <f>IF(AI79&gt;$AB$59,AI64,IF(AI79&gt;$AB$58,AI63,IF(AI79&gt;$AB$57,AI62,AI61)))</f>
        <v>1E-3</v>
      </c>
      <c r="AJ65" s="66">
        <f t="shared" ref="AJ65" si="47">IF(AJ79&gt;$AB$59,AJ64,IF(AJ79&gt;$AB$58,AJ63,IF(AJ79&gt;$AB$57,AJ62,AJ61)))</f>
        <v>4.0000000000000001E-3</v>
      </c>
      <c r="AK65" s="15" t="s">
        <v>126</v>
      </c>
      <c r="AM65" s="2" t="e">
        <f>IF(AND(Z21&gt;=$X$11,Z21&lt;=$X$11+5),0,IF($C$9&gt;$AG$51,ROUND(AJ25*#REF!/(DATEVALUE(CONCATENATE("01/01/",YEAR(AA21)+1))-DATEVALUE(CONCATENATE("01/01/",YEAR(AA21))))*(AA21-AA20),2),0))</f>
        <v>#REF!</v>
      </c>
      <c r="AN65" s="34">
        <f t="shared" si="45"/>
        <v>12601</v>
      </c>
      <c r="AO65" s="57">
        <f t="shared" si="44"/>
        <v>51885</v>
      </c>
      <c r="AP65" s="130">
        <f t="shared" si="14"/>
        <v>0</v>
      </c>
      <c r="AQ65" s="553">
        <f t="shared" si="30"/>
        <v>57</v>
      </c>
      <c r="AR65" s="554">
        <f t="shared" si="15"/>
        <v>47050</v>
      </c>
      <c r="AS65" s="555">
        <f t="shared" si="46"/>
        <v>0.27900000000000003</v>
      </c>
      <c r="AT65" s="546">
        <f t="shared" si="16"/>
        <v>0</v>
      </c>
      <c r="AU65" s="546">
        <f t="shared" si="25"/>
        <v>0</v>
      </c>
      <c r="AV65" s="546">
        <f t="shared" si="17"/>
        <v>0</v>
      </c>
      <c r="AW65" s="546">
        <f t="shared" si="18"/>
        <v>0</v>
      </c>
      <c r="AX65" s="546">
        <f t="shared" si="4"/>
        <v>0</v>
      </c>
      <c r="AY65" s="546">
        <v>0</v>
      </c>
      <c r="AZ65" s="546">
        <f t="shared" si="19"/>
        <v>0</v>
      </c>
      <c r="BA65" s="546">
        <f t="shared" si="36"/>
        <v>0</v>
      </c>
      <c r="BB65" s="546">
        <f t="shared" si="35"/>
        <v>0</v>
      </c>
      <c r="BC65" s="546"/>
      <c r="BD65" s="546"/>
      <c r="BE65" s="546"/>
      <c r="BF65" s="546"/>
      <c r="BG65" s="546"/>
      <c r="BH65" s="546">
        <f t="shared" si="21"/>
        <v>0</v>
      </c>
      <c r="BI65" s="108">
        <f t="shared" si="31"/>
        <v>0</v>
      </c>
      <c r="BJ65" s="108">
        <f t="shared" si="26"/>
        <v>0</v>
      </c>
      <c r="BK65" s="22">
        <f t="shared" si="27"/>
        <v>47050</v>
      </c>
      <c r="BL65" s="108">
        <f t="shared" si="6"/>
        <v>0</v>
      </c>
      <c r="BM65" s="2" t="e">
        <f>IF(AND(G20&gt;=$X$11,G20&lt;=$X$11+5),0,IF($C$9&gt;$AG$51,ROUND(BH19*IF(#REF!="",0,#REF!)/(DATEVALUE(CONCATENATE("01/01/",YEAR(AR20)+1))-DATEVALUE(CONCATENATE("01/01/",YEAR(AR20))))*(AR20-AR19),2),0))</f>
        <v>#REF!</v>
      </c>
    </row>
    <row r="66" spans="1:65" s="16" customFormat="1" x14ac:dyDescent="0.3">
      <c r="A66" s="178"/>
      <c r="B66" s="178"/>
      <c r="C66" s="184"/>
      <c r="D66" s="178"/>
      <c r="E66" s="178"/>
      <c r="F66" s="178"/>
      <c r="G66" s="244">
        <f t="shared" si="28"/>
        <v>58</v>
      </c>
      <c r="H66" s="245">
        <f t="shared" si="7"/>
        <v>47081</v>
      </c>
      <c r="I66" s="246">
        <f t="shared" si="8"/>
        <v>0.21900000000000003</v>
      </c>
      <c r="J66" s="242">
        <f t="shared" si="0"/>
        <v>0</v>
      </c>
      <c r="K66" s="242">
        <f t="shared" si="22"/>
        <v>0</v>
      </c>
      <c r="L66" s="242">
        <f t="shared" si="9"/>
        <v>0</v>
      </c>
      <c r="M66" s="242">
        <f t="shared" si="23"/>
        <v>0</v>
      </c>
      <c r="N66" s="242">
        <f t="shared" si="1"/>
        <v>0</v>
      </c>
      <c r="O66" s="242">
        <v>0</v>
      </c>
      <c r="P66" s="242">
        <f t="shared" si="24"/>
        <v>0</v>
      </c>
      <c r="Q66" s="242">
        <f t="shared" si="2"/>
        <v>0</v>
      </c>
      <c r="R66" s="242">
        <f t="shared" si="10"/>
        <v>0</v>
      </c>
      <c r="S66" s="242">
        <f t="shared" si="11"/>
        <v>0</v>
      </c>
      <c r="T66" s="467">
        <f t="shared" si="40"/>
        <v>0</v>
      </c>
      <c r="U66" s="198">
        <f t="shared" si="29"/>
        <v>0</v>
      </c>
      <c r="V66" s="36">
        <f t="shared" si="12"/>
        <v>0</v>
      </c>
      <c r="W66" s="36">
        <f t="shared" si="13"/>
        <v>0</v>
      </c>
      <c r="X66" s="2" t="e">
        <f>IF(AND(G31&gt;=$X$11,G31&lt;=$X$11+5),0,IF($C$9&gt;$AG$51,ROUND(S30*#REF!/(DATEVALUE(CONCATENATE("01/01/",YEAR(H31)+1))-DATEVALUE(CONCATENATE("01/01/",YEAR(H31))))*(H31-H30),2),0))</f>
        <v>#REF!</v>
      </c>
      <c r="Y66" s="34">
        <f t="shared" si="43"/>
        <v>13038</v>
      </c>
      <c r="Z66" s="57">
        <f t="shared" si="41"/>
        <v>53710</v>
      </c>
      <c r="AB66" s="133" t="s">
        <v>96</v>
      </c>
      <c r="AC66" s="15"/>
      <c r="AD66" s="143">
        <f>AD65*AD79*IF($C$10&gt;60,60,$C$10)</f>
        <v>35640</v>
      </c>
      <c r="AE66" s="143">
        <f>AE65*AE79*IF($C$10&gt;60,60,$C$10)</f>
        <v>35640</v>
      </c>
      <c r="AF66" s="143">
        <f>AF65*AF79*IF($C$10&gt;60,60,$C$10)</f>
        <v>40500</v>
      </c>
      <c r="AG66" s="143">
        <f>AG65*AG79*IF($C$10&gt;60,60,$C$10)</f>
        <v>38880</v>
      </c>
      <c r="AH66" s="143">
        <f t="shared" ref="AH66:AI66" si="48">AH65*AH79*$C$10</f>
        <v>0</v>
      </c>
      <c r="AI66" s="143">
        <f t="shared" si="48"/>
        <v>10800</v>
      </c>
      <c r="AJ66" s="143">
        <f>AJ65*AJ79*$C$10</f>
        <v>86400</v>
      </c>
      <c r="AK66" s="143">
        <f>AJ66+AI66</f>
        <v>97200</v>
      </c>
      <c r="AM66" s="2" t="e">
        <f>IF(AND(Z22&gt;=$X$11,Z22&lt;=$X$11+5),0,IF($C$9&gt;$AG$51,ROUND(AJ26*#REF!/(DATEVALUE(CONCATENATE("01/01/",YEAR(AA22)+1))-DATEVALUE(CONCATENATE("01/01/",YEAR(AA22))))*(AA22-AA21),2),0))</f>
        <v>#REF!</v>
      </c>
      <c r="AN66" s="34">
        <f t="shared" si="45"/>
        <v>12601</v>
      </c>
      <c r="AO66" s="57">
        <f t="shared" si="44"/>
        <v>52250</v>
      </c>
      <c r="AP66" s="130">
        <f t="shared" si="14"/>
        <v>0</v>
      </c>
      <c r="AQ66" s="553">
        <f t="shared" si="30"/>
        <v>58</v>
      </c>
      <c r="AR66" s="554">
        <f t="shared" si="15"/>
        <v>47081</v>
      </c>
      <c r="AS66" s="555">
        <f t="shared" si="46"/>
        <v>0.27900000000000003</v>
      </c>
      <c r="AT66" s="546">
        <f t="shared" si="16"/>
        <v>0</v>
      </c>
      <c r="AU66" s="546">
        <f t="shared" si="25"/>
        <v>0</v>
      </c>
      <c r="AV66" s="546">
        <f t="shared" si="17"/>
        <v>0</v>
      </c>
      <c r="AW66" s="546">
        <f t="shared" si="18"/>
        <v>0</v>
      </c>
      <c r="AX66" s="546">
        <f t="shared" si="4"/>
        <v>0</v>
      </c>
      <c r="AY66" s="546">
        <v>0</v>
      </c>
      <c r="AZ66" s="546">
        <f t="shared" si="19"/>
        <v>0</v>
      </c>
      <c r="BA66" s="546">
        <f t="shared" si="36"/>
        <v>0</v>
      </c>
      <c r="BB66" s="546">
        <f t="shared" si="35"/>
        <v>0</v>
      </c>
      <c r="BC66" s="546"/>
      <c r="BD66" s="546"/>
      <c r="BE66" s="546"/>
      <c r="BF66" s="546"/>
      <c r="BG66" s="546"/>
      <c r="BH66" s="546">
        <f t="shared" si="21"/>
        <v>0</v>
      </c>
      <c r="BI66" s="108">
        <f t="shared" si="31"/>
        <v>0</v>
      </c>
      <c r="BJ66" s="108">
        <f t="shared" si="26"/>
        <v>0</v>
      </c>
      <c r="BK66" s="22">
        <f t="shared" si="27"/>
        <v>47081</v>
      </c>
      <c r="BL66" s="108">
        <f t="shared" si="6"/>
        <v>0</v>
      </c>
      <c r="BM66" s="2" t="e">
        <f>IF(AND(G21&gt;=$X$11,G21&lt;=$X$11+5),0,IF($C$9&gt;$AG$51,ROUND(BH20*IF(#REF!="",0,#REF!)/(DATEVALUE(CONCATENATE("01/01/",YEAR(AR21)+1))-DATEVALUE(CONCATENATE("01/01/",YEAR(AR21))))*(AR21-AR20),2),0))</f>
        <v>#REF!</v>
      </c>
    </row>
    <row r="67" spans="1:65" s="16" customFormat="1" x14ac:dyDescent="0.3">
      <c r="A67" s="178"/>
      <c r="B67" s="178"/>
      <c r="C67" s="184"/>
      <c r="D67" s="178"/>
      <c r="E67" s="178"/>
      <c r="F67" s="178"/>
      <c r="G67" s="244">
        <f t="shared" si="28"/>
        <v>59</v>
      </c>
      <c r="H67" s="245">
        <f t="shared" si="7"/>
        <v>47111</v>
      </c>
      <c r="I67" s="246">
        <f t="shared" si="8"/>
        <v>0.21900000000000003</v>
      </c>
      <c r="J67" s="242">
        <f t="shared" si="0"/>
        <v>0</v>
      </c>
      <c r="K67" s="242">
        <f t="shared" si="22"/>
        <v>0</v>
      </c>
      <c r="L67" s="242">
        <f t="shared" si="9"/>
        <v>0</v>
      </c>
      <c r="M67" s="242">
        <f t="shared" si="23"/>
        <v>0</v>
      </c>
      <c r="N67" s="242">
        <f t="shared" si="1"/>
        <v>0</v>
      </c>
      <c r="O67" s="242">
        <v>0</v>
      </c>
      <c r="P67" s="242">
        <f t="shared" si="24"/>
        <v>0</v>
      </c>
      <c r="Q67" s="242">
        <f t="shared" si="2"/>
        <v>0</v>
      </c>
      <c r="R67" s="242">
        <f t="shared" si="10"/>
        <v>0</v>
      </c>
      <c r="S67" s="242">
        <f t="shared" si="11"/>
        <v>0</v>
      </c>
      <c r="T67" s="467">
        <f t="shared" si="40"/>
        <v>0</v>
      </c>
      <c r="U67" s="198">
        <f t="shared" si="29"/>
        <v>0</v>
      </c>
      <c r="V67" s="36">
        <f t="shared" si="12"/>
        <v>0</v>
      </c>
      <c r="W67" s="36">
        <f t="shared" si="13"/>
        <v>0</v>
      </c>
      <c r="X67" s="2" t="e">
        <f>IF(AND(G32&gt;=$X$11,G32&lt;=$X$11+5),0,IF($C$9&gt;$AG$51,ROUND(S31*#REF!/(DATEVALUE(CONCATENATE("01/01/",YEAR(H32)+1))-DATEVALUE(CONCATENATE("01/01/",YEAR(H32))))*(H32-H31),2),0))</f>
        <v>#REF!</v>
      </c>
      <c r="Y67" s="34">
        <f t="shared" si="43"/>
        <v>13038</v>
      </c>
      <c r="Z67" s="57">
        <f t="shared" si="41"/>
        <v>54075</v>
      </c>
      <c r="AB67" s="170">
        <v>20000</v>
      </c>
      <c r="AC67" s="133" t="s">
        <v>323</v>
      </c>
      <c r="AM67" s="2">
        <f>IF(AND(Z23&gt;=$X$11,Z23&lt;=$X$11+5),0,IF($C$9&gt;$AG$51,ROUND(AJ27*#REF!/(DATEVALUE(CONCATENATE("01/01/",YEAR(AA23)+1))-DATEVALUE(CONCATENATE("01/01/",YEAR(AA23))))*(AA23-AA22),2),0))</f>
        <v>0</v>
      </c>
      <c r="AN67" s="34">
        <f t="shared" si="45"/>
        <v>12601</v>
      </c>
      <c r="AO67" s="57">
        <f t="shared" si="44"/>
        <v>52615</v>
      </c>
      <c r="AP67" s="130">
        <f t="shared" si="14"/>
        <v>0</v>
      </c>
      <c r="AQ67" s="553">
        <f t="shared" si="30"/>
        <v>59</v>
      </c>
      <c r="AR67" s="554">
        <f t="shared" si="15"/>
        <v>47111</v>
      </c>
      <c r="AS67" s="555">
        <f t="shared" si="46"/>
        <v>0.27900000000000003</v>
      </c>
      <c r="AT67" s="546">
        <f t="shared" si="16"/>
        <v>0</v>
      </c>
      <c r="AU67" s="546">
        <f t="shared" si="25"/>
        <v>0</v>
      </c>
      <c r="AV67" s="546">
        <f t="shared" si="17"/>
        <v>0</v>
      </c>
      <c r="AW67" s="546">
        <f t="shared" si="18"/>
        <v>0</v>
      </c>
      <c r="AX67" s="546">
        <f t="shared" si="4"/>
        <v>0</v>
      </c>
      <c r="AY67" s="546">
        <v>0</v>
      </c>
      <c r="AZ67" s="546">
        <f t="shared" si="19"/>
        <v>0</v>
      </c>
      <c r="BA67" s="546">
        <f t="shared" si="36"/>
        <v>0</v>
      </c>
      <c r="BB67" s="546">
        <f t="shared" si="35"/>
        <v>0</v>
      </c>
      <c r="BC67" s="546"/>
      <c r="BD67" s="546"/>
      <c r="BE67" s="546"/>
      <c r="BF67" s="546"/>
      <c r="BG67" s="546"/>
      <c r="BH67" s="546">
        <f t="shared" si="21"/>
        <v>0</v>
      </c>
      <c r="BI67" s="108">
        <f t="shared" si="31"/>
        <v>0</v>
      </c>
      <c r="BJ67" s="108">
        <f t="shared" si="26"/>
        <v>0</v>
      </c>
      <c r="BK67" s="22">
        <f t="shared" si="27"/>
        <v>47111</v>
      </c>
      <c r="BL67" s="108">
        <f t="shared" si="6"/>
        <v>0</v>
      </c>
      <c r="BM67" s="2" t="e">
        <f>IF(AND(G22&gt;=$X$11,G22&lt;=$X$11+5),0,IF($C$9&gt;$AG$51,ROUND(BH21*IF(#REF!="",0,#REF!)/(DATEVALUE(CONCATENATE("01/01/",YEAR(AR22)+1))-DATEVALUE(CONCATENATE("01/01/",YEAR(AR22))))*(AR22-AR21),2),0))</f>
        <v>#REF!</v>
      </c>
    </row>
    <row r="68" spans="1:65" s="16" customFormat="1" ht="13.8" thickBot="1" x14ac:dyDescent="0.35">
      <c r="A68" s="178"/>
      <c r="B68" s="178"/>
      <c r="C68" s="184"/>
      <c r="D68" s="178"/>
      <c r="E68" s="178"/>
      <c r="F68" s="178"/>
      <c r="G68" s="248">
        <f t="shared" si="28"/>
        <v>60</v>
      </c>
      <c r="H68" s="679">
        <f t="shared" si="7"/>
        <v>47142</v>
      </c>
      <c r="I68" s="250">
        <f t="shared" si="8"/>
        <v>0.21900000000000003</v>
      </c>
      <c r="J68" s="242">
        <f t="shared" si="0"/>
        <v>0</v>
      </c>
      <c r="K68" s="252">
        <f t="shared" si="22"/>
        <v>0</v>
      </c>
      <c r="L68" s="242">
        <f t="shared" si="9"/>
        <v>0</v>
      </c>
      <c r="M68" s="252">
        <f t="shared" si="23"/>
        <v>0</v>
      </c>
      <c r="N68" s="252">
        <f t="shared" si="1"/>
        <v>0</v>
      </c>
      <c r="O68" s="252">
        <v>0</v>
      </c>
      <c r="P68" s="252">
        <f t="shared" si="24"/>
        <v>0</v>
      </c>
      <c r="Q68" s="252">
        <f t="shared" si="2"/>
        <v>0</v>
      </c>
      <c r="R68" s="252">
        <f t="shared" si="10"/>
        <v>0</v>
      </c>
      <c r="S68" s="252">
        <f t="shared" si="11"/>
        <v>0</v>
      </c>
      <c r="T68" s="252">
        <f>IF(G68=$C$10,(S67-K68+L68),0)</f>
        <v>0</v>
      </c>
      <c r="U68" s="198">
        <f t="shared" si="29"/>
        <v>0</v>
      </c>
      <c r="V68" s="36">
        <f t="shared" si="12"/>
        <v>0</v>
      </c>
      <c r="W68" s="36">
        <f t="shared" si="13"/>
        <v>0</v>
      </c>
      <c r="X68" s="2" t="e">
        <f>IF(AND(G33&gt;=$X$11,G33&lt;=$X$11+5),0,IF($C$9&gt;$AG$51,ROUND(S32*#REF!/(DATEVALUE(CONCATENATE("01/01/",YEAR(H33)+1))-DATEVALUE(CONCATENATE("01/01/",YEAR(H33))))*(H33-H32),2),0))</f>
        <v>#REF!</v>
      </c>
      <c r="Y68" s="34">
        <f t="shared" si="43"/>
        <v>13038</v>
      </c>
      <c r="Z68" s="57">
        <f t="shared" si="41"/>
        <v>54440</v>
      </c>
      <c r="AB68" s="170">
        <v>300001</v>
      </c>
      <c r="AC68" s="135">
        <v>160000</v>
      </c>
      <c r="AM68" s="2" t="e">
        <f>IF(AND(Z24&gt;=$X$11,Z24&lt;=$X$11+5),0,IF($C$9&gt;$AG$51,ROUND(AJ28*#REF!/(DATEVALUE(CONCATENATE("01/01/",YEAR(AA24)+1))-DATEVALUE(CONCATENATE("01/01/",YEAR(AA24))))*(AA24-AA23),2),0))</f>
        <v>#REF!</v>
      </c>
      <c r="AN68" s="34">
        <f t="shared" si="45"/>
        <v>12601</v>
      </c>
      <c r="AO68" s="57">
        <f t="shared" si="44"/>
        <v>52980</v>
      </c>
      <c r="AP68" s="130">
        <f t="shared" si="14"/>
        <v>0</v>
      </c>
      <c r="AQ68" s="556">
        <f t="shared" si="30"/>
        <v>60</v>
      </c>
      <c r="AR68" s="680">
        <f t="shared" si="15"/>
        <v>47142</v>
      </c>
      <c r="AS68" s="557">
        <f t="shared" si="46"/>
        <v>0.27900000000000003</v>
      </c>
      <c r="AT68" s="547">
        <f t="shared" si="16"/>
        <v>0</v>
      </c>
      <c r="AU68" s="547">
        <f t="shared" si="25"/>
        <v>0</v>
      </c>
      <c r="AV68" s="547">
        <f t="shared" si="17"/>
        <v>0</v>
      </c>
      <c r="AW68" s="547">
        <f t="shared" si="18"/>
        <v>0</v>
      </c>
      <c r="AX68" s="547">
        <f t="shared" si="4"/>
        <v>0</v>
      </c>
      <c r="AY68" s="547">
        <v>0</v>
      </c>
      <c r="AZ68" s="547">
        <f t="shared" si="19"/>
        <v>0</v>
      </c>
      <c r="BA68" s="547">
        <f t="shared" si="36"/>
        <v>0</v>
      </c>
      <c r="BB68" s="547">
        <f t="shared" si="35"/>
        <v>0</v>
      </c>
      <c r="BC68" s="547"/>
      <c r="BD68" s="547"/>
      <c r="BE68" s="547"/>
      <c r="BF68" s="547"/>
      <c r="BG68" s="547"/>
      <c r="BH68" s="547">
        <f t="shared" si="21"/>
        <v>0</v>
      </c>
      <c r="BI68" s="108">
        <f t="shared" si="31"/>
        <v>0</v>
      </c>
      <c r="BJ68" s="108">
        <f t="shared" si="26"/>
        <v>0</v>
      </c>
      <c r="BK68" s="22">
        <f t="shared" si="27"/>
        <v>47142</v>
      </c>
      <c r="BL68" s="108">
        <f t="shared" si="6"/>
        <v>0</v>
      </c>
      <c r="BM68" s="2" t="e">
        <f>IF(AND(G23&gt;=$X$11,G23&lt;=$X$11+5),0,IF($C$9&gt;$AG$51,ROUND(BH22*IF(#REF!="",0,#REF!)/(DATEVALUE(CONCATENATE("01/01/",YEAR(AR23)+1))-DATEVALUE(CONCATENATE("01/01/",YEAR(AR23))))*(AR23-AR22),2),0))</f>
        <v>#REF!</v>
      </c>
    </row>
    <row r="69" spans="1:65" s="16" customFormat="1" x14ac:dyDescent="0.3">
      <c r="A69" s="178"/>
      <c r="B69" s="178"/>
      <c r="C69" s="184"/>
      <c r="D69" s="178"/>
      <c r="E69" s="178"/>
      <c r="F69" s="178"/>
      <c r="G69" s="244">
        <f t="shared" si="28"/>
        <v>61</v>
      </c>
      <c r="H69" s="245">
        <f t="shared" si="7"/>
        <v>47173</v>
      </c>
      <c r="I69" s="246">
        <f t="shared" si="8"/>
        <v>0.21900000000000003</v>
      </c>
      <c r="J69" s="242">
        <f t="shared" si="0"/>
        <v>0</v>
      </c>
      <c r="K69" s="242">
        <f t="shared" si="22"/>
        <v>0</v>
      </c>
      <c r="L69" s="242">
        <f t="shared" si="9"/>
        <v>0</v>
      </c>
      <c r="M69" s="242">
        <f t="shared" si="23"/>
        <v>0</v>
      </c>
      <c r="N69" s="242">
        <f t="shared" si="1"/>
        <v>0</v>
      </c>
      <c r="O69" s="242">
        <v>0</v>
      </c>
      <c r="P69" s="242">
        <f t="shared" si="24"/>
        <v>0</v>
      </c>
      <c r="Q69" s="242">
        <f t="shared" si="2"/>
        <v>0</v>
      </c>
      <c r="R69" s="242">
        <f t="shared" si="10"/>
        <v>0</v>
      </c>
      <c r="S69" s="242">
        <f t="shared" si="11"/>
        <v>0</v>
      </c>
      <c r="T69" s="467">
        <f t="shared" ref="T69:T92" si="49">IF(G69=$C$10,(S68-K69+L69),0)</f>
        <v>0</v>
      </c>
      <c r="U69" s="36">
        <f t="shared" si="29"/>
        <v>0</v>
      </c>
      <c r="V69" s="36">
        <f t="shared" si="12"/>
        <v>0</v>
      </c>
      <c r="W69" s="36">
        <f t="shared" si="13"/>
        <v>0</v>
      </c>
      <c r="X69" s="2" t="e">
        <f>IF(AND(G34&gt;=$X$11,G34&lt;=$X$11+5),0,IF($C$9&gt;$AG$51,ROUND(S33*#REF!/(DATEVALUE(CONCATENATE("01/01/",YEAR(H34)+1))-DATEVALUE(CONCATENATE("01/01/",YEAR(H34))))*(H34-H33),2),0))</f>
        <v>#REF!</v>
      </c>
      <c r="Y69" s="34">
        <f t="shared" si="43"/>
        <v>13038</v>
      </c>
      <c r="Z69" s="57">
        <f t="shared" si="41"/>
        <v>54805</v>
      </c>
      <c r="AB69" s="170">
        <v>500001</v>
      </c>
      <c r="AC69" s="135">
        <v>400000</v>
      </c>
      <c r="AE69" s="2"/>
      <c r="AF69" s="2"/>
      <c r="AG69" s="2"/>
      <c r="AH69" s="2"/>
      <c r="AI69" s="2"/>
      <c r="AJ69" s="63"/>
      <c r="AK69" s="63"/>
      <c r="AL69" s="63"/>
      <c r="AM69" s="2">
        <f>IF(AND(Z25&gt;=$X$11,Z25&lt;=$X$11+5),0,IF($C$9&gt;$AG$51,ROUND(AJ29*#REF!/(DATEVALUE(CONCATENATE("01/01/",YEAR(AA25)+1))-DATEVALUE(CONCATENATE("01/01/",YEAR(AA25))))*(AA25-AA24),2),0))</f>
        <v>0</v>
      </c>
      <c r="AN69" s="34">
        <f t="shared" si="45"/>
        <v>12601</v>
      </c>
      <c r="AO69" s="57">
        <f t="shared" si="44"/>
        <v>53345</v>
      </c>
      <c r="AP69" s="130">
        <f t="shared" si="14"/>
        <v>0</v>
      </c>
      <c r="AQ69" s="553">
        <f t="shared" si="30"/>
        <v>61</v>
      </c>
      <c r="AR69" s="554">
        <f t="shared" si="15"/>
        <v>47173</v>
      </c>
      <c r="AS69" s="555">
        <f t="shared" si="46"/>
        <v>0.27900000000000003</v>
      </c>
      <c r="AT69" s="546">
        <f t="shared" si="16"/>
        <v>0</v>
      </c>
      <c r="AU69" s="546">
        <f t="shared" si="25"/>
        <v>0</v>
      </c>
      <c r="AV69" s="546">
        <f t="shared" si="17"/>
        <v>0</v>
      </c>
      <c r="AW69" s="546">
        <f t="shared" si="18"/>
        <v>0</v>
      </c>
      <c r="AX69" s="546">
        <f t="shared" si="4"/>
        <v>0</v>
      </c>
      <c r="AY69" s="546">
        <v>0</v>
      </c>
      <c r="AZ69" s="546">
        <f t="shared" si="19"/>
        <v>0</v>
      </c>
      <c r="BA69" s="546">
        <f t="shared" si="36"/>
        <v>0</v>
      </c>
      <c r="BB69" s="546">
        <f t="shared" si="35"/>
        <v>0</v>
      </c>
      <c r="BC69" s="546"/>
      <c r="BD69" s="546"/>
      <c r="BE69" s="546"/>
      <c r="BF69" s="546"/>
      <c r="BG69" s="546"/>
      <c r="BH69" s="546">
        <f t="shared" si="21"/>
        <v>0</v>
      </c>
      <c r="BI69" s="108">
        <f t="shared" si="31"/>
        <v>0</v>
      </c>
      <c r="BJ69" s="108">
        <f t="shared" si="26"/>
        <v>0</v>
      </c>
      <c r="BK69" s="22">
        <f t="shared" si="27"/>
        <v>47173</v>
      </c>
      <c r="BL69" s="108">
        <f t="shared" si="6"/>
        <v>0</v>
      </c>
      <c r="BM69" s="2" t="e">
        <f>IF(AND(G24&gt;=$X$11,G24&lt;=$X$11+5),0,IF($C$9&gt;$AG$51,ROUND(BH23*IF(#REF!="",0,#REF!)/(DATEVALUE(CONCATENATE("01/01/",YEAR(AR24)+1))-DATEVALUE(CONCATENATE("01/01/",YEAR(AR24))))*(AR24-AR23),2),0))</f>
        <v>#REF!</v>
      </c>
    </row>
    <row r="70" spans="1:65" s="16" customFormat="1" x14ac:dyDescent="0.3">
      <c r="A70" s="178"/>
      <c r="B70" s="178"/>
      <c r="C70" s="525"/>
      <c r="D70" s="182"/>
      <c r="E70" s="178"/>
      <c r="F70" s="178"/>
      <c r="G70" s="244">
        <f t="shared" si="28"/>
        <v>62</v>
      </c>
      <c r="H70" s="245">
        <f t="shared" si="7"/>
        <v>47201</v>
      </c>
      <c r="I70" s="246">
        <f t="shared" si="8"/>
        <v>0.21900000000000003</v>
      </c>
      <c r="J70" s="242">
        <f t="shared" si="0"/>
        <v>0</v>
      </c>
      <c r="K70" s="242">
        <f t="shared" si="22"/>
        <v>0</v>
      </c>
      <c r="L70" s="242">
        <f t="shared" si="9"/>
        <v>0</v>
      </c>
      <c r="M70" s="242">
        <f t="shared" si="23"/>
        <v>0</v>
      </c>
      <c r="N70" s="242">
        <f t="shared" si="1"/>
        <v>0</v>
      </c>
      <c r="O70" s="242">
        <v>0</v>
      </c>
      <c r="P70" s="242">
        <f t="shared" si="24"/>
        <v>0</v>
      </c>
      <c r="Q70" s="242">
        <f t="shared" si="2"/>
        <v>0</v>
      </c>
      <c r="R70" s="242">
        <f t="shared" si="10"/>
        <v>0</v>
      </c>
      <c r="S70" s="242">
        <f t="shared" si="11"/>
        <v>0</v>
      </c>
      <c r="T70" s="467">
        <f t="shared" si="49"/>
        <v>0</v>
      </c>
      <c r="U70" s="36">
        <f t="shared" si="29"/>
        <v>0</v>
      </c>
      <c r="V70" s="36">
        <f t="shared" si="12"/>
        <v>0</v>
      </c>
      <c r="W70" s="36">
        <f t="shared" si="13"/>
        <v>0</v>
      </c>
      <c r="X70" s="2" t="e">
        <f>IF(AND(G35&gt;=$X$11,G35&lt;=$X$11+5),0,IF($C$9&gt;$AG$51,ROUND(S34*#REF!/(DATEVALUE(CONCATENATE("01/01/",YEAR(H35)+1))-DATEVALUE(CONCATENATE("01/01/",YEAR(H35))))*(H35-H34),2),0))</f>
        <v>#REF!</v>
      </c>
      <c r="Y70" s="34">
        <f t="shared" si="43"/>
        <v>13038</v>
      </c>
      <c r="Z70" s="57">
        <f t="shared" si="41"/>
        <v>55170</v>
      </c>
      <c r="AB70" s="171">
        <v>600001</v>
      </c>
      <c r="AC70" s="135">
        <v>500000</v>
      </c>
      <c r="AD70" s="145" t="s">
        <v>330</v>
      </c>
      <c r="AE70" s="145" t="s">
        <v>111</v>
      </c>
      <c r="AF70" s="145" t="s">
        <v>114</v>
      </c>
      <c r="AG70" s="144" t="s">
        <v>366</v>
      </c>
      <c r="AH70" s="2" t="s">
        <v>35</v>
      </c>
      <c r="AI70" s="144" t="s">
        <v>118</v>
      </c>
      <c r="AJ70" s="144" t="s">
        <v>119</v>
      </c>
      <c r="AK70" s="145" t="s">
        <v>120</v>
      </c>
      <c r="AL70" s="15"/>
      <c r="AM70" s="2" t="e">
        <f>IF(AND(Z26&gt;=$X$11,Z26&lt;=$X$11+5),0,IF($C$9&gt;$AG$51,ROUND(AJ30*#REF!/(DATEVALUE(CONCATENATE("01/01/",YEAR(AA26)+1))-DATEVALUE(CONCATENATE("01/01/",YEAR(AA26))))*(AA26-AA25),2),0))</f>
        <v>#REF!</v>
      </c>
      <c r="AN70" s="34">
        <f t="shared" si="45"/>
        <v>12601</v>
      </c>
      <c r="AO70" s="57">
        <f t="shared" si="44"/>
        <v>53710</v>
      </c>
      <c r="AP70" s="130">
        <f t="shared" si="14"/>
        <v>0</v>
      </c>
      <c r="AQ70" s="553">
        <f t="shared" si="30"/>
        <v>62</v>
      </c>
      <c r="AR70" s="554">
        <f t="shared" si="15"/>
        <v>47201</v>
      </c>
      <c r="AS70" s="555">
        <f t="shared" si="46"/>
        <v>0.27900000000000003</v>
      </c>
      <c r="AT70" s="546">
        <f t="shared" si="16"/>
        <v>0</v>
      </c>
      <c r="AU70" s="546">
        <f t="shared" si="25"/>
        <v>0</v>
      </c>
      <c r="AV70" s="546">
        <f t="shared" si="17"/>
        <v>0</v>
      </c>
      <c r="AW70" s="546">
        <f t="shared" si="18"/>
        <v>0</v>
      </c>
      <c r="AX70" s="546">
        <f t="shared" si="4"/>
        <v>0</v>
      </c>
      <c r="AY70" s="546">
        <v>0</v>
      </c>
      <c r="AZ70" s="546">
        <f t="shared" si="19"/>
        <v>0</v>
      </c>
      <c r="BA70" s="546">
        <f t="shared" si="36"/>
        <v>0</v>
      </c>
      <c r="BB70" s="546">
        <f t="shared" si="35"/>
        <v>0</v>
      </c>
      <c r="BC70" s="546"/>
      <c r="BD70" s="546"/>
      <c r="BE70" s="546"/>
      <c r="BF70" s="546"/>
      <c r="BG70" s="546"/>
      <c r="BH70" s="546">
        <f t="shared" si="21"/>
        <v>0</v>
      </c>
      <c r="BI70" s="108">
        <f t="shared" si="31"/>
        <v>0</v>
      </c>
      <c r="BJ70" s="108">
        <f t="shared" si="26"/>
        <v>0</v>
      </c>
      <c r="BK70" s="22">
        <f t="shared" si="27"/>
        <v>47201</v>
      </c>
      <c r="BL70" s="108">
        <f t="shared" si="6"/>
        <v>0</v>
      </c>
      <c r="BM70" s="2" t="e">
        <f>IF(AND(G25&gt;=$X$11,G25&lt;=$X$11+5),0,IF($C$9&gt;$AG$51,ROUND(BH24*IF(#REF!="",0,#REF!)/(DATEVALUE(CONCATENATE("01/01/",YEAR(AR25)+1))-DATEVALUE(CONCATENATE("01/01/",YEAR(AR25))))*(AR25-AR24),2),0))</f>
        <v>#REF!</v>
      </c>
    </row>
    <row r="71" spans="1:65" s="16" customFormat="1" x14ac:dyDescent="0.3">
      <c r="A71" s="178"/>
      <c r="B71" s="178"/>
      <c r="C71" s="184"/>
      <c r="D71" s="182"/>
      <c r="E71" s="178"/>
      <c r="F71" s="178"/>
      <c r="G71" s="244">
        <f t="shared" si="28"/>
        <v>63</v>
      </c>
      <c r="H71" s="245">
        <f t="shared" si="7"/>
        <v>47232</v>
      </c>
      <c r="I71" s="246">
        <f t="shared" si="8"/>
        <v>0.21900000000000003</v>
      </c>
      <c r="J71" s="242">
        <f t="shared" si="0"/>
        <v>0</v>
      </c>
      <c r="K71" s="242">
        <f t="shared" si="22"/>
        <v>0</v>
      </c>
      <c r="L71" s="242">
        <f t="shared" si="9"/>
        <v>0</v>
      </c>
      <c r="M71" s="242">
        <f t="shared" si="23"/>
        <v>0</v>
      </c>
      <c r="N71" s="242">
        <f t="shared" si="1"/>
        <v>0</v>
      </c>
      <c r="O71" s="242">
        <v>0</v>
      </c>
      <c r="P71" s="242">
        <f t="shared" si="24"/>
        <v>0</v>
      </c>
      <c r="Q71" s="242">
        <f t="shared" si="2"/>
        <v>0</v>
      </c>
      <c r="R71" s="242">
        <f t="shared" si="10"/>
        <v>0</v>
      </c>
      <c r="S71" s="242">
        <f t="shared" si="11"/>
        <v>0</v>
      </c>
      <c r="T71" s="467">
        <f t="shared" si="49"/>
        <v>0</v>
      </c>
      <c r="U71" s="36">
        <f t="shared" si="29"/>
        <v>0</v>
      </c>
      <c r="V71" s="36">
        <f t="shared" si="12"/>
        <v>0</v>
      </c>
      <c r="W71" s="36">
        <f t="shared" si="13"/>
        <v>0</v>
      </c>
      <c r="X71" s="2" t="e">
        <f>IF(AND(G36&gt;=$X$11,G36&lt;=$X$11+5),0,IF($C$9&gt;$AG$51,ROUND(S35*#REF!/(DATEVALUE(CONCATENATE("01/01/",YEAR(H36)+1))-DATEVALUE(CONCATENATE("01/01/",YEAR(H36))))*(H36-H35),2),0))</f>
        <v>#REF!</v>
      </c>
      <c r="Y71" s="34">
        <f t="shared" si="43"/>
        <v>13038</v>
      </c>
      <c r="Z71" s="57">
        <f t="shared" si="41"/>
        <v>55535</v>
      </c>
      <c r="AB71" s="171">
        <v>1000001</v>
      </c>
      <c r="AC71" s="135">
        <v>800000</v>
      </c>
      <c r="AD71" s="133" t="s">
        <v>98</v>
      </c>
      <c r="AE71" s="134"/>
      <c r="AF71" s="134"/>
      <c r="AG71" s="134"/>
      <c r="AH71" s="134"/>
      <c r="AI71" s="134"/>
      <c r="AJ71" s="134"/>
      <c r="AK71" s="134"/>
      <c r="AL71" s="15"/>
      <c r="AM71" s="2" t="e">
        <f>IF(AND(Z27&gt;=$X$11,Z27&lt;=$X$11+5),0,IF($C$9&gt;$AG$51,ROUND(AJ31*#REF!/(DATEVALUE(CONCATENATE("01/01/",YEAR(AA27)+1))-DATEVALUE(CONCATENATE("01/01/",YEAR(AA27))))*(AA27-AA26),2),0))</f>
        <v>#REF!</v>
      </c>
      <c r="AN71" s="34">
        <f t="shared" si="45"/>
        <v>12601</v>
      </c>
      <c r="AO71" s="57">
        <f t="shared" si="44"/>
        <v>54075</v>
      </c>
      <c r="AP71" s="130">
        <f t="shared" si="14"/>
        <v>0</v>
      </c>
      <c r="AQ71" s="553">
        <f t="shared" si="30"/>
        <v>63</v>
      </c>
      <c r="AR71" s="554">
        <f t="shared" si="15"/>
        <v>47232</v>
      </c>
      <c r="AS71" s="555">
        <f t="shared" si="46"/>
        <v>0.27900000000000003</v>
      </c>
      <c r="AT71" s="546">
        <f t="shared" si="16"/>
        <v>0</v>
      </c>
      <c r="AU71" s="546">
        <f t="shared" si="25"/>
        <v>0</v>
      </c>
      <c r="AV71" s="546">
        <f t="shared" si="17"/>
        <v>0</v>
      </c>
      <c r="AW71" s="546">
        <f t="shared" si="18"/>
        <v>0</v>
      </c>
      <c r="AX71" s="546">
        <f t="shared" si="4"/>
        <v>0</v>
      </c>
      <c r="AY71" s="546">
        <v>0</v>
      </c>
      <c r="AZ71" s="546">
        <f t="shared" si="19"/>
        <v>0</v>
      </c>
      <c r="BA71" s="546">
        <f t="shared" si="36"/>
        <v>0</v>
      </c>
      <c r="BB71" s="546">
        <f t="shared" si="35"/>
        <v>0</v>
      </c>
      <c r="BC71" s="546"/>
      <c r="BD71" s="546"/>
      <c r="BE71" s="546"/>
      <c r="BF71" s="546"/>
      <c r="BG71" s="546"/>
      <c r="BH71" s="546">
        <f t="shared" si="21"/>
        <v>0</v>
      </c>
      <c r="BI71" s="108">
        <f t="shared" si="31"/>
        <v>0</v>
      </c>
      <c r="BJ71" s="108">
        <f t="shared" si="26"/>
        <v>0</v>
      </c>
      <c r="BK71" s="22">
        <f t="shared" si="27"/>
        <v>47232</v>
      </c>
      <c r="BL71" s="108">
        <f t="shared" si="6"/>
        <v>0</v>
      </c>
      <c r="BM71" s="2" t="e">
        <f>IF(AND(G26&gt;=$X$11,G26&lt;=$X$11+5),0,IF($C$9&gt;$AG$51,ROUND(BH25*IF(#REF!="",0,#REF!)/(DATEVALUE(CONCATENATE("01/01/",YEAR(AR26)+1))-DATEVALUE(CONCATENATE("01/01/",YEAR(AR26))))*(AR26-AR25),2),0))</f>
        <v>#REF!</v>
      </c>
    </row>
    <row r="72" spans="1:65" s="16" customFormat="1" x14ac:dyDescent="0.3">
      <c r="A72" s="178"/>
      <c r="B72" s="178"/>
      <c r="C72" s="184"/>
      <c r="D72" s="178"/>
      <c r="E72" s="178"/>
      <c r="F72" s="178"/>
      <c r="G72" s="244">
        <f t="shared" si="28"/>
        <v>64</v>
      </c>
      <c r="H72" s="245">
        <f t="shared" si="7"/>
        <v>47262</v>
      </c>
      <c r="I72" s="246">
        <f t="shared" si="8"/>
        <v>0.21900000000000003</v>
      </c>
      <c r="J72" s="242">
        <f t="shared" si="0"/>
        <v>0</v>
      </c>
      <c r="K72" s="242">
        <f t="shared" si="22"/>
        <v>0</v>
      </c>
      <c r="L72" s="242">
        <f t="shared" si="9"/>
        <v>0</v>
      </c>
      <c r="M72" s="242">
        <f t="shared" si="23"/>
        <v>0</v>
      </c>
      <c r="N72" s="242">
        <f t="shared" si="1"/>
        <v>0</v>
      </c>
      <c r="O72" s="242">
        <v>0</v>
      </c>
      <c r="P72" s="242">
        <f t="shared" si="24"/>
        <v>0</v>
      </c>
      <c r="Q72" s="242">
        <f t="shared" si="2"/>
        <v>0</v>
      </c>
      <c r="R72" s="242">
        <f t="shared" si="10"/>
        <v>0</v>
      </c>
      <c r="S72" s="242">
        <f t="shared" si="11"/>
        <v>0</v>
      </c>
      <c r="T72" s="467">
        <f t="shared" si="49"/>
        <v>0</v>
      </c>
      <c r="U72" s="36">
        <f t="shared" si="29"/>
        <v>0</v>
      </c>
      <c r="V72" s="36">
        <f t="shared" si="12"/>
        <v>0</v>
      </c>
      <c r="W72" s="36">
        <f t="shared" si="13"/>
        <v>0</v>
      </c>
      <c r="X72" s="2" t="e">
        <f>IF(AND(G37&gt;=$X$11,G37&lt;=$X$11+5),0,IF($C$9&gt;$AG$51,ROUND(S36*#REF!/(DATEVALUE(CONCATENATE("01/01/",YEAR(H37)+1))-DATEVALUE(CONCATENATE("01/01/",YEAR(H37))))*(H37-H36),2),0))</f>
        <v>#REF!</v>
      </c>
      <c r="Y72" s="34">
        <f t="shared" si="43"/>
        <v>13038</v>
      </c>
      <c r="Z72" s="57">
        <f t="shared" si="41"/>
        <v>55900</v>
      </c>
      <c r="AB72" s="16" t="s">
        <v>101</v>
      </c>
      <c r="AC72" s="135">
        <v>900000</v>
      </c>
      <c r="AD72" s="134">
        <v>1</v>
      </c>
      <c r="AE72" s="134">
        <v>1.25</v>
      </c>
      <c r="AF72" s="134">
        <v>1.5</v>
      </c>
      <c r="AG72" s="134">
        <v>1.5</v>
      </c>
      <c r="AH72" s="134">
        <v>0</v>
      </c>
      <c r="AI72" s="134">
        <v>1</v>
      </c>
      <c r="AJ72" s="134">
        <v>2</v>
      </c>
      <c r="AK72" s="134">
        <v>2.5</v>
      </c>
      <c r="AL72" s="15"/>
      <c r="AM72" s="2" t="e">
        <f>IF(AND(Z28&gt;=$X$11,Z28&lt;=$X$11+5),0,IF($C$9&gt;$AG$51,ROUND(AJ32*#REF!/(DATEVALUE(CONCATENATE("01/01/",YEAR(AA28)+1))-DATEVALUE(CONCATENATE("01/01/",YEAR(AA28))))*(AA28-AA27),2),0))</f>
        <v>#REF!</v>
      </c>
      <c r="AN72" s="34">
        <f t="shared" si="45"/>
        <v>12601</v>
      </c>
      <c r="AO72" s="57">
        <f t="shared" si="44"/>
        <v>54440</v>
      </c>
      <c r="AP72" s="130">
        <f t="shared" si="14"/>
        <v>0</v>
      </c>
      <c r="AQ72" s="553">
        <f t="shared" si="30"/>
        <v>64</v>
      </c>
      <c r="AR72" s="554">
        <f t="shared" si="15"/>
        <v>47262</v>
      </c>
      <c r="AS72" s="555">
        <f t="shared" si="46"/>
        <v>0.27900000000000003</v>
      </c>
      <c r="AT72" s="546">
        <f t="shared" si="16"/>
        <v>0</v>
      </c>
      <c r="AU72" s="546">
        <f t="shared" si="25"/>
        <v>0</v>
      </c>
      <c r="AV72" s="546">
        <f t="shared" si="17"/>
        <v>0</v>
      </c>
      <c r="AW72" s="546">
        <f t="shared" si="18"/>
        <v>0</v>
      </c>
      <c r="AX72" s="546">
        <f t="shared" si="4"/>
        <v>0</v>
      </c>
      <c r="AY72" s="546">
        <v>0</v>
      </c>
      <c r="AZ72" s="546">
        <f t="shared" si="19"/>
        <v>0</v>
      </c>
      <c r="BA72" s="546">
        <f t="shared" si="36"/>
        <v>0</v>
      </c>
      <c r="BB72" s="546">
        <f t="shared" si="35"/>
        <v>0</v>
      </c>
      <c r="BC72" s="546"/>
      <c r="BD72" s="546"/>
      <c r="BE72" s="546"/>
      <c r="BF72" s="546"/>
      <c r="BG72" s="546"/>
      <c r="BH72" s="546">
        <f t="shared" si="21"/>
        <v>0</v>
      </c>
      <c r="BI72" s="108">
        <f t="shared" si="31"/>
        <v>0</v>
      </c>
      <c r="BJ72" s="108">
        <f t="shared" si="26"/>
        <v>0</v>
      </c>
      <c r="BK72" s="22">
        <f t="shared" si="27"/>
        <v>47262</v>
      </c>
      <c r="BL72" s="108">
        <f t="shared" si="6"/>
        <v>0</v>
      </c>
      <c r="BM72" s="2" t="e">
        <f>IF(AND(G27&gt;=$X$11,G27&lt;=$X$11+5),0,IF($C$9&gt;$AG$51,ROUND(BH26*IF(#REF!="",0,#REF!)/(DATEVALUE(CONCATENATE("01/01/",YEAR(AR27)+1))-DATEVALUE(CONCATENATE("01/01/",YEAR(AR27))))*(AR27-AR26),2),0))</f>
        <v>#REF!</v>
      </c>
    </row>
    <row r="73" spans="1:65" s="16" customFormat="1" x14ac:dyDescent="0.3">
      <c r="A73" s="178"/>
      <c r="B73" s="178"/>
      <c r="C73" s="184"/>
      <c r="D73" s="178"/>
      <c r="E73" s="178"/>
      <c r="F73" s="178"/>
      <c r="G73" s="244">
        <f t="shared" si="28"/>
        <v>65</v>
      </c>
      <c r="H73" s="245">
        <f t="shared" si="7"/>
        <v>47293</v>
      </c>
      <c r="I73" s="246">
        <f t="shared" si="8"/>
        <v>0.21900000000000003</v>
      </c>
      <c r="J73" s="242">
        <f t="shared" si="0"/>
        <v>0</v>
      </c>
      <c r="K73" s="242">
        <f t="shared" si="22"/>
        <v>0</v>
      </c>
      <c r="L73" s="242">
        <f t="shared" si="9"/>
        <v>0</v>
      </c>
      <c r="M73" s="242">
        <f t="shared" si="23"/>
        <v>0</v>
      </c>
      <c r="N73" s="242">
        <f t="shared" ref="N73:N108" si="50">IF(P73-Q73&gt;$C$24,$C$24-L73,IF(V73=0,0,R73)+$AJ$51)</f>
        <v>0</v>
      </c>
      <c r="O73" s="242">
        <v>0</v>
      </c>
      <c r="P73" s="242">
        <f t="shared" si="24"/>
        <v>0</v>
      </c>
      <c r="Q73" s="242">
        <f t="shared" ref="Q73:Q108" si="51">IF(V73=0,0,0)</f>
        <v>0</v>
      </c>
      <c r="R73" s="242">
        <f t="shared" si="10"/>
        <v>0</v>
      </c>
      <c r="S73" s="242">
        <f t="shared" si="11"/>
        <v>0</v>
      </c>
      <c r="T73" s="467">
        <f t="shared" si="49"/>
        <v>0</v>
      </c>
      <c r="U73" s="36">
        <f t="shared" si="29"/>
        <v>0</v>
      </c>
      <c r="V73" s="36">
        <f t="shared" si="12"/>
        <v>0</v>
      </c>
      <c r="W73" s="36">
        <f t="shared" si="13"/>
        <v>0</v>
      </c>
      <c r="X73" s="2" t="e">
        <f>IF(AND(G38&gt;=$X$11,G38&lt;=$X$11+5),0,IF($C$9&gt;$AG$51,ROUND(S37*#REF!/(DATEVALUE(CONCATENATE("01/01/",YEAR(H38)+1))-DATEVALUE(CONCATENATE("01/01/",YEAR(H38))))*(H38-H37),2),0))</f>
        <v>#REF!</v>
      </c>
      <c r="Y73" s="34">
        <f t="shared" si="43"/>
        <v>13038</v>
      </c>
      <c r="Z73" s="57">
        <f t="shared" si="41"/>
        <v>56265</v>
      </c>
      <c r="AC73" s="16">
        <v>1500000</v>
      </c>
      <c r="AD73" s="134">
        <v>1.1000000000000001</v>
      </c>
      <c r="AE73" s="134">
        <v>1.35</v>
      </c>
      <c r="AF73" s="134">
        <v>1.5</v>
      </c>
      <c r="AG73" s="134">
        <v>1.5</v>
      </c>
      <c r="AH73" s="134">
        <v>0</v>
      </c>
      <c r="AI73" s="134">
        <v>1</v>
      </c>
      <c r="AJ73" s="134">
        <v>2</v>
      </c>
      <c r="AK73" s="134">
        <v>2</v>
      </c>
      <c r="AL73" s="15"/>
      <c r="AM73" s="2" t="e">
        <f>IF(AND(Z29&gt;=$X$11,Z29&lt;=$X$11+5),0,IF($C$9&gt;$AG$51,ROUND(AJ33*#REF!/(DATEVALUE(CONCATENATE("01/01/",YEAR(AA29)+1))-DATEVALUE(CONCATENATE("01/01/",YEAR(AA29))))*(AA29-AA28),2),0))</f>
        <v>#REF!</v>
      </c>
      <c r="AN73" s="34">
        <f t="shared" si="45"/>
        <v>12601</v>
      </c>
      <c r="AO73" s="57">
        <f t="shared" si="44"/>
        <v>54805</v>
      </c>
      <c r="AP73" s="130">
        <f t="shared" si="14"/>
        <v>0</v>
      </c>
      <c r="AQ73" s="553">
        <f t="shared" si="30"/>
        <v>65</v>
      </c>
      <c r="AR73" s="554">
        <f t="shared" si="15"/>
        <v>47293</v>
      </c>
      <c r="AS73" s="555">
        <f t="shared" si="46"/>
        <v>0.27900000000000003</v>
      </c>
      <c r="AT73" s="546">
        <f t="shared" si="16"/>
        <v>0</v>
      </c>
      <c r="AU73" s="546">
        <f t="shared" si="25"/>
        <v>0</v>
      </c>
      <c r="AV73" s="546">
        <f t="shared" si="17"/>
        <v>0</v>
      </c>
      <c r="AW73" s="546">
        <f t="shared" si="18"/>
        <v>0</v>
      </c>
      <c r="AX73" s="546">
        <f t="shared" ref="AX73:AX108" si="52">IF(AZ73-BA73&gt;$D$24,$D$24-AV73,IF(BJ73=0,0,BB73)+BY121)</f>
        <v>0</v>
      </c>
      <c r="AY73" s="546">
        <v>0</v>
      </c>
      <c r="AZ73" s="546">
        <f t="shared" si="19"/>
        <v>0</v>
      </c>
      <c r="BA73" s="546">
        <f t="shared" si="36"/>
        <v>0</v>
      </c>
      <c r="BB73" s="546">
        <f t="shared" si="35"/>
        <v>0</v>
      </c>
      <c r="BC73" s="546"/>
      <c r="BD73" s="546"/>
      <c r="BE73" s="546"/>
      <c r="BF73" s="546"/>
      <c r="BG73" s="546"/>
      <c r="BH73" s="546">
        <f t="shared" si="21"/>
        <v>0</v>
      </c>
      <c r="BI73" s="108">
        <f t="shared" si="31"/>
        <v>0</v>
      </c>
      <c r="BJ73" s="108">
        <f t="shared" si="26"/>
        <v>0</v>
      </c>
      <c r="BK73" s="22">
        <f t="shared" si="27"/>
        <v>47293</v>
      </c>
      <c r="BL73" s="108">
        <f t="shared" ref="BL73:BL114" si="53">K73</f>
        <v>0</v>
      </c>
      <c r="BM73" s="2" t="e">
        <f>IF(AND(G28&gt;=$X$11,G28&lt;=$X$11+5),0,IF($C$9&gt;$AG$51,ROUND(BH27*IF(#REF!="",0,#REF!)/(DATEVALUE(CONCATENATE("01/01/",YEAR(AR28)+1))-DATEVALUE(CONCATENATE("01/01/",YEAR(AR28))))*(AR28-AR27),2),0))</f>
        <v>#REF!</v>
      </c>
    </row>
    <row r="74" spans="1:65" s="16" customFormat="1" x14ac:dyDescent="0.3">
      <c r="A74" s="178"/>
      <c r="B74" s="178"/>
      <c r="C74" s="184"/>
      <c r="D74" s="178"/>
      <c r="E74" s="178"/>
      <c r="F74" s="178"/>
      <c r="G74" s="244">
        <f t="shared" si="28"/>
        <v>66</v>
      </c>
      <c r="H74" s="245">
        <f t="shared" ref="H74:H108" si="54">IF((OR(DAY($AE$54)=29,DAY($AE$54)=30,DAY($AE$54)=31)),(EDATE($C$9-3,G74)),EDATE($C$9,G74))</f>
        <v>47323</v>
      </c>
      <c r="I74" s="246">
        <f t="shared" ref="I74:I108" si="55">IF(AND($X$11=1,G74&gt;=$X$11,),0%,$C$13)</f>
        <v>0.21900000000000003</v>
      </c>
      <c r="J74" s="242">
        <f t="shared" ref="J74:J108" si="56">K74+Q74</f>
        <v>0</v>
      </c>
      <c r="K74" s="242">
        <f t="shared" si="22"/>
        <v>0</v>
      </c>
      <c r="L74" s="242">
        <f t="shared" ref="L74:L108" si="57">S73*($C$13/(DATE(YEAR(H73)+1,1,1)-DATE(YEAR(H73),1,1))*(H74-H73))</f>
        <v>0</v>
      </c>
      <c r="M74" s="242">
        <f t="shared" si="23"/>
        <v>0</v>
      </c>
      <c r="N74" s="242">
        <f t="shared" si="50"/>
        <v>0</v>
      </c>
      <c r="O74" s="242">
        <v>0</v>
      </c>
      <c r="P74" s="242">
        <f t="shared" si="24"/>
        <v>0</v>
      </c>
      <c r="Q74" s="242">
        <f t="shared" si="51"/>
        <v>0</v>
      </c>
      <c r="R74" s="242">
        <f t="shared" ref="R74:R108" si="58">IF(V74=0,0,0)</f>
        <v>0</v>
      </c>
      <c r="S74" s="242">
        <f t="shared" ref="S74" si="59">S73-M74-T74</f>
        <v>0</v>
      </c>
      <c r="T74" s="467">
        <f t="shared" si="49"/>
        <v>0</v>
      </c>
      <c r="U74" s="36">
        <f t="shared" si="29"/>
        <v>0</v>
      </c>
      <c r="V74" s="36">
        <f t="shared" ref="V74:V107" si="60">U74</f>
        <v>0</v>
      </c>
      <c r="W74" s="36">
        <f t="shared" ref="W74:W108" si="61">IF(G74=$C$10,T74,0)</f>
        <v>0</v>
      </c>
      <c r="X74" s="2" t="e">
        <f>IF(AND(G39&gt;=$X$11,G39&lt;=$X$11+5),0,IF($C$9&gt;$AG$51,ROUND(S38*#REF!/(DATEVALUE(CONCATENATE("01/01/",YEAR(H39)+1))-DATEVALUE(CONCATENATE("01/01/",YEAR(H39))))*(H39-H38),2),0))</f>
        <v>#REF!</v>
      </c>
      <c r="Y74" s="34">
        <f t="shared" si="43"/>
        <v>13038</v>
      </c>
      <c r="Z74" s="57">
        <f t="shared" si="41"/>
        <v>56630</v>
      </c>
      <c r="AD74" s="134">
        <v>1.2</v>
      </c>
      <c r="AE74" s="134">
        <v>1.5</v>
      </c>
      <c r="AF74" s="134">
        <v>1.3</v>
      </c>
      <c r="AG74" s="134">
        <v>1.2</v>
      </c>
      <c r="AH74" s="134">
        <v>0</v>
      </c>
      <c r="AI74" s="134">
        <v>1</v>
      </c>
      <c r="AJ74" s="134">
        <v>1.5</v>
      </c>
      <c r="AK74" s="134">
        <v>1.5</v>
      </c>
      <c r="AL74" s="15"/>
      <c r="AM74" s="2" t="e">
        <f>IF(AND(Z30&gt;=$X$11,Z30&lt;=$X$11+5),0,IF($C$9&gt;$AG$51,ROUND(AJ34*#REF!/(DATEVALUE(CONCATENATE("01/01/",YEAR(AA30)+1))-DATEVALUE(CONCATENATE("01/01/",YEAR(AA30))))*(AA30-AA29),2),0))</f>
        <v>#REF!</v>
      </c>
      <c r="AN74" s="34">
        <f t="shared" si="45"/>
        <v>12601</v>
      </c>
      <c r="AO74" s="57">
        <f t="shared" si="44"/>
        <v>55170</v>
      </c>
      <c r="AP74" s="130">
        <f t="shared" ref="AP74:AP108" si="62">IF(OR(AU74="",AU74=0),0,1)</f>
        <v>0</v>
      </c>
      <c r="AQ74" s="553">
        <f t="shared" si="30"/>
        <v>66</v>
      </c>
      <c r="AR74" s="554">
        <f t="shared" ref="AR74:AR108" si="63">IF((OR(DAY($AE$54)=29,DAY($AE$54)=30,DAY($AE$54)=31)),(EDATE($C$9-3,AQ74)),EDATE($C$9,AQ74))</f>
        <v>47323</v>
      </c>
      <c r="AS74" s="555">
        <f t="shared" si="46"/>
        <v>0.27900000000000003</v>
      </c>
      <c r="AT74" s="546">
        <f t="shared" ref="AT74:AT108" si="64">AU74+BA74</f>
        <v>0</v>
      </c>
      <c r="AU74" s="546">
        <f t="shared" si="25"/>
        <v>0</v>
      </c>
      <c r="AV74" s="546">
        <f t="shared" ref="AV74:AV108" si="65">BH73*($D$13/365*(AR74-AR73))</f>
        <v>0</v>
      </c>
      <c r="AW74" s="546">
        <f t="shared" ref="AW74:AW108" si="66">IF(BJ74=0,0,IF(BJ74=1,BH73,IF(BH73+AX74+AV74&gt;AU73,AU74-AV74-AX74,BH73)))</f>
        <v>0</v>
      </c>
      <c r="AX74" s="546">
        <f t="shared" si="52"/>
        <v>0</v>
      </c>
      <c r="AY74" s="546">
        <v>0</v>
      </c>
      <c r="AZ74" s="546">
        <f t="shared" si="19"/>
        <v>0</v>
      </c>
      <c r="BA74" s="546">
        <f t="shared" si="36"/>
        <v>0</v>
      </c>
      <c r="BB74" s="546">
        <f t="shared" si="35"/>
        <v>0</v>
      </c>
      <c r="BC74" s="546"/>
      <c r="BD74" s="546"/>
      <c r="BE74" s="546"/>
      <c r="BF74" s="546"/>
      <c r="BG74" s="546"/>
      <c r="BH74" s="546">
        <f t="shared" ref="BH74:BH108" si="67">IF(OR(BJ74=1,BH73=0),0,BH73-AW74)</f>
        <v>0</v>
      </c>
      <c r="BI74" s="108">
        <f t="shared" si="31"/>
        <v>0</v>
      </c>
      <c r="BJ74" s="108">
        <f t="shared" si="26"/>
        <v>0</v>
      </c>
      <c r="BK74" s="22">
        <f t="shared" si="27"/>
        <v>47323</v>
      </c>
      <c r="BL74" s="108">
        <f t="shared" si="53"/>
        <v>0</v>
      </c>
      <c r="BM74" s="2" t="e">
        <f>IF(AND(G29&gt;=$X$11,G29&lt;=$X$11+5),0,IF($C$9&gt;$AG$51,ROUND(BH28*IF(#REF!="",0,#REF!)/(DATEVALUE(CONCATENATE("01/01/",YEAR(AR29)+1))-DATEVALUE(CONCATENATE("01/01/",YEAR(AR29))))*(AR29-AR28),2),0))</f>
        <v>#REF!</v>
      </c>
    </row>
    <row r="75" spans="1:65" s="16" customFormat="1" x14ac:dyDescent="0.3">
      <c r="A75" s="178"/>
      <c r="B75" s="178"/>
      <c r="C75" s="184"/>
      <c r="D75" s="178"/>
      <c r="E75" s="178"/>
      <c r="F75" s="178"/>
      <c r="G75" s="244">
        <f t="shared" si="28"/>
        <v>67</v>
      </c>
      <c r="H75" s="245">
        <f t="shared" si="54"/>
        <v>47354</v>
      </c>
      <c r="I75" s="246">
        <f t="shared" si="55"/>
        <v>0.21900000000000003</v>
      </c>
      <c r="J75" s="242">
        <f t="shared" si="56"/>
        <v>0</v>
      </c>
      <c r="K75" s="242">
        <f t="shared" ref="K75:K108" si="68">IF(G75&gt;$C$10,0,IF((S74+L75)&lt;K74,(S74+L75),IF(T74=0,K74,MIN(K74,ROUNDUP(S74*$C$13/12/((1-(1+$C$13/12)^(0-($C$10-G75)))),0)))))</f>
        <v>0</v>
      </c>
      <c r="L75" s="242">
        <f t="shared" si="57"/>
        <v>0</v>
      </c>
      <c r="M75" s="242">
        <f t="shared" ref="M75:M92" si="69">IF(S74=0,0,IF(S74+L75&gt;K74,K75-L75,S74))</f>
        <v>0</v>
      </c>
      <c r="N75" s="242">
        <f t="shared" si="50"/>
        <v>0</v>
      </c>
      <c r="O75" s="242">
        <v>0</v>
      </c>
      <c r="P75" s="242">
        <f t="shared" si="24"/>
        <v>0</v>
      </c>
      <c r="Q75" s="242">
        <f t="shared" si="51"/>
        <v>0</v>
      </c>
      <c r="R75" s="242">
        <f t="shared" si="58"/>
        <v>0</v>
      </c>
      <c r="S75" s="242">
        <f t="shared" ref="S75:S108" si="70">IF(OR(V75=1,S74=0),0,S74-M75)</f>
        <v>0</v>
      </c>
      <c r="T75" s="467">
        <f t="shared" si="49"/>
        <v>0</v>
      </c>
      <c r="U75" s="36">
        <f t="shared" si="29"/>
        <v>0</v>
      </c>
      <c r="V75" s="36">
        <f t="shared" si="60"/>
        <v>0</v>
      </c>
      <c r="W75" s="36">
        <f t="shared" si="61"/>
        <v>0</v>
      </c>
      <c r="X75" s="2" t="e">
        <f>IF(AND(G40&gt;=$X$11,G40&lt;=$X$11+5),0,IF($C$9&gt;$AG$51,ROUND(S39*#REF!/(DATEVALUE(CONCATENATE("01/01/",YEAR(H40)+1))-DATEVALUE(CONCATENATE("01/01/",YEAR(H40))))*(H40-H39),2),0))</f>
        <v>#REF!</v>
      </c>
      <c r="Y75" s="34">
        <f t="shared" si="43"/>
        <v>13038</v>
      </c>
      <c r="Z75" s="57">
        <f t="shared" si="41"/>
        <v>56995</v>
      </c>
      <c r="AD75" s="134">
        <v>1.1000000000000001</v>
      </c>
      <c r="AE75" s="134">
        <v>1.25</v>
      </c>
      <c r="AF75" s="134">
        <v>1.3</v>
      </c>
      <c r="AG75" s="134">
        <v>1.2</v>
      </c>
      <c r="AH75" s="134">
        <v>0</v>
      </c>
      <c r="AI75" s="134">
        <v>1</v>
      </c>
      <c r="AJ75" s="134">
        <v>1.3</v>
      </c>
      <c r="AK75" s="134">
        <v>1.3</v>
      </c>
      <c r="AL75" s="2"/>
      <c r="AM75" s="2" t="e">
        <f>IF(AND(Z31&gt;=$X$11,Z31&lt;=$X$11+5),0,IF($C$9&gt;$AG$51,ROUND(AJ35*#REF!/(DATEVALUE(CONCATENATE("01/01/",YEAR(AA31)+1))-DATEVALUE(CONCATENATE("01/01/",YEAR(AA31))))*(AA31-AA30),2),0))</f>
        <v>#REF!</v>
      </c>
      <c r="AN75" s="34">
        <f t="shared" si="45"/>
        <v>12601</v>
      </c>
      <c r="AO75" s="57">
        <f t="shared" si="44"/>
        <v>55535</v>
      </c>
      <c r="AP75" s="130">
        <f t="shared" si="62"/>
        <v>0</v>
      </c>
      <c r="AQ75" s="553">
        <f t="shared" si="30"/>
        <v>67</v>
      </c>
      <c r="AR75" s="554">
        <f t="shared" si="63"/>
        <v>47354</v>
      </c>
      <c r="AS75" s="555">
        <f t="shared" si="46"/>
        <v>0.27900000000000003</v>
      </c>
      <c r="AT75" s="546">
        <f t="shared" si="64"/>
        <v>0</v>
      </c>
      <c r="AU75" s="546">
        <f t="shared" ref="AU75:AU108" si="71">IF(AQ75&gt;$C$10,0,IF(BD74=0,AU74,ROUNDUP(BC74*$C$11/12/((1-(1+$C$11/12)^(0-($C$10-AQ75)))),0)))</f>
        <v>0</v>
      </c>
      <c r="AV75" s="546">
        <f t="shared" si="65"/>
        <v>0</v>
      </c>
      <c r="AW75" s="546">
        <f t="shared" si="66"/>
        <v>0</v>
      </c>
      <c r="AX75" s="559">
        <f t="shared" si="52"/>
        <v>0</v>
      </c>
      <c r="AY75" s="559">
        <v>0</v>
      </c>
      <c r="AZ75" s="559">
        <f t="shared" si="19"/>
        <v>0</v>
      </c>
      <c r="BA75" s="559">
        <f t="shared" si="36"/>
        <v>0</v>
      </c>
      <c r="BB75" s="559">
        <f t="shared" si="35"/>
        <v>0</v>
      </c>
      <c r="BC75" s="559"/>
      <c r="BD75" s="559"/>
      <c r="BE75" s="559"/>
      <c r="BF75" s="559"/>
      <c r="BG75" s="559"/>
      <c r="BH75" s="546">
        <f t="shared" si="67"/>
        <v>0</v>
      </c>
      <c r="BI75" s="108">
        <f t="shared" si="31"/>
        <v>0</v>
      </c>
      <c r="BJ75" s="108">
        <f t="shared" ref="BJ75:BJ114" si="72">BI75</f>
        <v>0</v>
      </c>
      <c r="BK75" s="22">
        <f t="shared" ref="BK75:BK114" si="73">H75</f>
        <v>47354</v>
      </c>
      <c r="BL75" s="108">
        <f t="shared" si="53"/>
        <v>0</v>
      </c>
      <c r="BM75" s="2" t="e">
        <f>IF(AND(G30&gt;=$X$11,G30&lt;=$X$11+5),0,IF($C$9&gt;$AG$51,ROUND(BH29*IF(#REF!="",0,#REF!)/(DATEVALUE(CONCATENATE("01/01/",YEAR(AR30)+1))-DATEVALUE(CONCATENATE("01/01/",YEAR(AR30))))*(AR30-AR29),2),0))</f>
        <v>#REF!</v>
      </c>
    </row>
    <row r="76" spans="1:65" s="16" customFormat="1" x14ac:dyDescent="0.3">
      <c r="A76" s="178"/>
      <c r="B76" s="178"/>
      <c r="C76" s="184"/>
      <c r="D76" s="178"/>
      <c r="E76" s="178"/>
      <c r="F76" s="178"/>
      <c r="G76" s="244">
        <f t="shared" ref="G76:G108" si="74">G75+1</f>
        <v>68</v>
      </c>
      <c r="H76" s="245">
        <f t="shared" si="54"/>
        <v>47385</v>
      </c>
      <c r="I76" s="246">
        <f t="shared" si="55"/>
        <v>0.21900000000000003</v>
      </c>
      <c r="J76" s="242">
        <f t="shared" si="56"/>
        <v>0</v>
      </c>
      <c r="K76" s="242">
        <f t="shared" si="68"/>
        <v>0</v>
      </c>
      <c r="L76" s="242">
        <f t="shared" si="57"/>
        <v>0</v>
      </c>
      <c r="M76" s="242">
        <f t="shared" si="69"/>
        <v>0</v>
      </c>
      <c r="N76" s="242">
        <f t="shared" si="50"/>
        <v>0</v>
      </c>
      <c r="O76" s="242">
        <v>0</v>
      </c>
      <c r="P76" s="242">
        <f t="shared" si="24"/>
        <v>0</v>
      </c>
      <c r="Q76" s="242">
        <f t="shared" si="51"/>
        <v>0</v>
      </c>
      <c r="R76" s="242">
        <f t="shared" si="58"/>
        <v>0</v>
      </c>
      <c r="S76" s="242">
        <f t="shared" si="70"/>
        <v>0</v>
      </c>
      <c r="T76" s="467">
        <f t="shared" si="49"/>
        <v>0</v>
      </c>
      <c r="U76" s="36">
        <f t="shared" ref="U76:U108" si="75">IF((U75-1)&lt;0,0,U75-1)</f>
        <v>0</v>
      </c>
      <c r="V76" s="36">
        <f t="shared" si="60"/>
        <v>0</v>
      </c>
      <c r="W76" s="36">
        <f t="shared" si="61"/>
        <v>0</v>
      </c>
      <c r="X76" s="2" t="e">
        <f>IF(AND(G41&gt;=$X$11,G41&lt;=$X$11+5),0,IF($C$9&gt;$AG$51,ROUND(S40*#REF!/(DATEVALUE(CONCATENATE("01/01/",YEAR(H41)+1))-DATEVALUE(CONCATENATE("01/01/",YEAR(H41))))*(H41-H40),2),0))</f>
        <v>#REF!</v>
      </c>
      <c r="Y76" s="34">
        <f t="shared" si="43"/>
        <v>13038</v>
      </c>
      <c r="Z76" s="57">
        <f t="shared" si="41"/>
        <v>57360</v>
      </c>
      <c r="AD76" s="134">
        <v>1</v>
      </c>
      <c r="AE76" s="134">
        <v>1.1000000000000001</v>
      </c>
      <c r="AF76" s="134">
        <v>1.3</v>
      </c>
      <c r="AG76" s="134">
        <v>1</v>
      </c>
      <c r="AH76" s="134">
        <v>0</v>
      </c>
      <c r="AI76" s="134">
        <v>1</v>
      </c>
      <c r="AJ76" s="134">
        <v>1</v>
      </c>
      <c r="AK76" s="134">
        <v>1</v>
      </c>
      <c r="AM76" s="2" t="e">
        <f>IF(AND(Z32&gt;=$X$11,Z32&lt;=$X$11+5),0,IF($C$9&gt;$AG$51,ROUND(AJ36*#REF!/(DATEVALUE(CONCATENATE("01/01/",YEAR(AA32)+1))-DATEVALUE(CONCATENATE("01/01/",YEAR(AA32))))*(AA32-AA31),2),0))</f>
        <v>#N/A</v>
      </c>
      <c r="AN76" s="34">
        <f t="shared" si="45"/>
        <v>12601</v>
      </c>
      <c r="AO76" s="57">
        <f t="shared" si="44"/>
        <v>55900</v>
      </c>
      <c r="AP76" s="130">
        <f t="shared" si="62"/>
        <v>0</v>
      </c>
      <c r="AQ76" s="553">
        <f t="shared" ref="AQ76:AQ108" si="76">AQ75+1</f>
        <v>68</v>
      </c>
      <c r="AR76" s="554">
        <f t="shared" si="63"/>
        <v>47385</v>
      </c>
      <c r="AS76" s="555">
        <f t="shared" si="46"/>
        <v>0.27900000000000003</v>
      </c>
      <c r="AT76" s="546">
        <f t="shared" si="64"/>
        <v>0</v>
      </c>
      <c r="AU76" s="546">
        <f t="shared" si="71"/>
        <v>0</v>
      </c>
      <c r="AV76" s="546">
        <f t="shared" si="65"/>
        <v>0</v>
      </c>
      <c r="AW76" s="546">
        <f t="shared" si="66"/>
        <v>0</v>
      </c>
      <c r="AX76" s="559">
        <f t="shared" si="52"/>
        <v>0</v>
      </c>
      <c r="AY76" s="559">
        <v>0</v>
      </c>
      <c r="AZ76" s="559">
        <f t="shared" si="19"/>
        <v>0</v>
      </c>
      <c r="BA76" s="559">
        <f t="shared" si="36"/>
        <v>0</v>
      </c>
      <c r="BB76" s="559">
        <f t="shared" si="35"/>
        <v>0</v>
      </c>
      <c r="BC76" s="559"/>
      <c r="BD76" s="559"/>
      <c r="BE76" s="559"/>
      <c r="BF76" s="559"/>
      <c r="BG76" s="559"/>
      <c r="BH76" s="546">
        <f t="shared" si="67"/>
        <v>0</v>
      </c>
      <c r="BI76" s="108">
        <f t="shared" ref="BI76:BI114" si="77">IF((BI75-1)&lt;0,0,BI75-1)</f>
        <v>0</v>
      </c>
      <c r="BJ76" s="108">
        <f t="shared" si="72"/>
        <v>0</v>
      </c>
      <c r="BK76" s="22">
        <f t="shared" si="73"/>
        <v>47385</v>
      </c>
      <c r="BL76" s="108">
        <f t="shared" si="53"/>
        <v>0</v>
      </c>
      <c r="BM76" s="2" t="e">
        <f>IF(AND(G31&gt;=$X$11,G31&lt;=$X$11+5),0,IF($C$9&gt;$AG$51,ROUND(BH30*IF(#REF!="",0,#REF!)/(DATEVALUE(CONCATENATE("01/01/",YEAR(AR31)+1))-DATEVALUE(CONCATENATE("01/01/",YEAR(AR31))))*(AR31-AR30),2),0))</f>
        <v>#REF!</v>
      </c>
    </row>
    <row r="77" spans="1:65" s="16" customFormat="1" x14ac:dyDescent="0.3">
      <c r="A77" s="178"/>
      <c r="B77" s="178"/>
      <c r="C77" s="184"/>
      <c r="D77" s="178"/>
      <c r="E77" s="178"/>
      <c r="F77" s="178"/>
      <c r="G77" s="244">
        <f t="shared" si="74"/>
        <v>69</v>
      </c>
      <c r="H77" s="245">
        <f t="shared" si="54"/>
        <v>47415</v>
      </c>
      <c r="I77" s="246">
        <f t="shared" si="55"/>
        <v>0.21900000000000003</v>
      </c>
      <c r="J77" s="242">
        <f t="shared" si="56"/>
        <v>0</v>
      </c>
      <c r="K77" s="242">
        <f t="shared" si="68"/>
        <v>0</v>
      </c>
      <c r="L77" s="242">
        <f t="shared" si="57"/>
        <v>0</v>
      </c>
      <c r="M77" s="242">
        <f t="shared" si="69"/>
        <v>0</v>
      </c>
      <c r="N77" s="242">
        <f t="shared" si="50"/>
        <v>0</v>
      </c>
      <c r="O77" s="242">
        <v>0</v>
      </c>
      <c r="P77" s="242">
        <f t="shared" si="24"/>
        <v>0</v>
      </c>
      <c r="Q77" s="242">
        <f t="shared" si="51"/>
        <v>0</v>
      </c>
      <c r="R77" s="242">
        <f t="shared" si="58"/>
        <v>0</v>
      </c>
      <c r="S77" s="242">
        <f t="shared" si="70"/>
        <v>0</v>
      </c>
      <c r="T77" s="467">
        <f t="shared" si="49"/>
        <v>0</v>
      </c>
      <c r="U77" s="36">
        <f t="shared" si="75"/>
        <v>0</v>
      </c>
      <c r="V77" s="36">
        <f t="shared" si="60"/>
        <v>0</v>
      </c>
      <c r="W77" s="36">
        <f t="shared" si="61"/>
        <v>0</v>
      </c>
      <c r="X77" s="2" t="e">
        <f>IF(AND(G42&gt;=$X$11,G42&lt;=$X$11+5),0,IF($C$9&gt;$AG$51,ROUND(S41*#REF!/(DATEVALUE(CONCATENATE("01/01/",YEAR(H42)+1))-DATEVALUE(CONCATENATE("01/01/",YEAR(H42))))*(H42-H41),2),0))</f>
        <v>#REF!</v>
      </c>
      <c r="Y77" s="34">
        <f t="shared" si="43"/>
        <v>13038</v>
      </c>
      <c r="Z77" s="57">
        <f t="shared" si="41"/>
        <v>57725</v>
      </c>
      <c r="AD77" s="16">
        <f>IF($C$7&gt;=$AB$71,AD76,IF($C$7&gt;=$AB$70,AD75,IF($C$7&gt;=$AB$69,AD74,IF($C$7&gt;=$AB$68,AD73,AD72))))</f>
        <v>1</v>
      </c>
      <c r="AE77" s="16">
        <v>1.3</v>
      </c>
      <c r="AF77" s="16">
        <f>IF($C$7&gt;=$AB$71,AF76,IF($C$7&gt;=$AB$70,AF75,IF($C$7&gt;=$AB$69,AF74,IF($C$7&gt;=$AB$68,AF73,AF72))))</f>
        <v>1.5</v>
      </c>
      <c r="AG77" s="16">
        <f>IF($C$7&gt;=$AB$71,AG76,IF($C$7&gt;=$AB$70,AG75,IF($C$7&gt;=$AB$69,AG74,IF($C$7&gt;=$AB$68,AG73,AG72))))</f>
        <v>1.5</v>
      </c>
      <c r="AH77" s="16">
        <f>IF($C$7&gt;=$AB$71,AH76,IF($C$7&gt;=$AB$70,AH75,IF($C$7&gt;=$AB$69,AH74,IF($C$7&gt;=$AB$68,AH73,AH72))))</f>
        <v>0</v>
      </c>
      <c r="AI77" s="16">
        <f>IF($C$7&gt;=$AB$71,AI76,IF($C$7&gt;=$AB$70,AI75,IF($C$7&gt;=$AB$69,AI74,IF($C$7&gt;=$AB$68,AI73,AI72))))</f>
        <v>1</v>
      </c>
      <c r="AJ77" s="16">
        <f>IF($C$7&gt;=$AB$71,AJ76,IF($C$7&gt;=$AB$70,AJ75,IF($C$7&gt;=$AB$69,AJ74,IF($C$7&gt;=$AB$68,AJ73,AJ72))))</f>
        <v>2</v>
      </c>
      <c r="AK77" s="16">
        <v>1</v>
      </c>
      <c r="AM77" s="2" t="e">
        <f>IF(AND(#REF!&gt;=$X$11,#REF!&lt;=$X$11+5),0,IF($C$9&gt;$AG$51,ROUND(AJ37*#REF!/(DATEVALUE(CONCATENATE("01/01/",YEAR(#REF!)+1))-DATEVALUE(CONCATENATE("01/01/",YEAR(#REF!))))*(#REF!-AA32),2),0))</f>
        <v>#REF!</v>
      </c>
      <c r="AN77" s="34">
        <f t="shared" si="45"/>
        <v>12601</v>
      </c>
      <c r="AO77" s="57">
        <f t="shared" si="44"/>
        <v>56265</v>
      </c>
      <c r="AP77" s="130">
        <f t="shared" si="62"/>
        <v>0</v>
      </c>
      <c r="AQ77" s="553">
        <f t="shared" si="76"/>
        <v>69</v>
      </c>
      <c r="AR77" s="554">
        <f t="shared" si="63"/>
        <v>47415</v>
      </c>
      <c r="AS77" s="555">
        <f t="shared" si="46"/>
        <v>0.27900000000000003</v>
      </c>
      <c r="AT77" s="546">
        <f t="shared" si="64"/>
        <v>0</v>
      </c>
      <c r="AU77" s="546">
        <f t="shared" si="71"/>
        <v>0</v>
      </c>
      <c r="AV77" s="546">
        <f t="shared" si="65"/>
        <v>0</v>
      </c>
      <c r="AW77" s="546">
        <f t="shared" si="66"/>
        <v>0</v>
      </c>
      <c r="AX77" s="559">
        <f t="shared" si="52"/>
        <v>0</v>
      </c>
      <c r="AY77" s="559">
        <v>0</v>
      </c>
      <c r="AZ77" s="559">
        <f t="shared" si="19"/>
        <v>0</v>
      </c>
      <c r="BA77" s="559">
        <f t="shared" si="36"/>
        <v>0</v>
      </c>
      <c r="BB77" s="559">
        <f t="shared" si="35"/>
        <v>0</v>
      </c>
      <c r="BC77" s="559"/>
      <c r="BD77" s="559"/>
      <c r="BE77" s="559"/>
      <c r="BF77" s="559"/>
      <c r="BG77" s="559"/>
      <c r="BH77" s="546">
        <f t="shared" si="67"/>
        <v>0</v>
      </c>
      <c r="BI77" s="108">
        <f t="shared" si="77"/>
        <v>0</v>
      </c>
      <c r="BJ77" s="108">
        <f t="shared" si="72"/>
        <v>0</v>
      </c>
      <c r="BK77" s="22">
        <f t="shared" si="73"/>
        <v>47415</v>
      </c>
      <c r="BL77" s="108">
        <f t="shared" si="53"/>
        <v>0</v>
      </c>
      <c r="BM77" s="2" t="e">
        <f>IF(AND(G32&gt;=$X$11,G32&lt;=$X$11+5),0,IF($C$9&gt;$AG$51,ROUND(BH31*IF(#REF!="",0,#REF!)/(DATEVALUE(CONCATENATE("01/01/",YEAR(AR32)+1))-DATEVALUE(CONCATENATE("01/01/",YEAR(AR32))))*(AR32-AR31),2),0))</f>
        <v>#REF!</v>
      </c>
    </row>
    <row r="78" spans="1:65" s="16" customFormat="1" x14ac:dyDescent="0.3">
      <c r="A78" s="178"/>
      <c r="B78" s="178"/>
      <c r="C78" s="184"/>
      <c r="D78" s="178"/>
      <c r="E78" s="178"/>
      <c r="F78" s="178"/>
      <c r="G78" s="244">
        <f t="shared" si="74"/>
        <v>70</v>
      </c>
      <c r="H78" s="245">
        <f t="shared" si="54"/>
        <v>47446</v>
      </c>
      <c r="I78" s="246">
        <f t="shared" si="55"/>
        <v>0.21900000000000003</v>
      </c>
      <c r="J78" s="242">
        <f t="shared" si="56"/>
        <v>0</v>
      </c>
      <c r="K78" s="242">
        <f t="shared" si="68"/>
        <v>0</v>
      </c>
      <c r="L78" s="242">
        <f t="shared" si="57"/>
        <v>0</v>
      </c>
      <c r="M78" s="242">
        <f t="shared" si="69"/>
        <v>0</v>
      </c>
      <c r="N78" s="242">
        <f t="shared" si="50"/>
        <v>0</v>
      </c>
      <c r="O78" s="242">
        <v>0</v>
      </c>
      <c r="P78" s="242">
        <f t="shared" si="24"/>
        <v>0</v>
      </c>
      <c r="Q78" s="242">
        <f t="shared" si="51"/>
        <v>0</v>
      </c>
      <c r="R78" s="242">
        <f t="shared" si="58"/>
        <v>0</v>
      </c>
      <c r="S78" s="242">
        <f>IF(OR(V78=1,S77=0),0,S77-M78)</f>
        <v>0</v>
      </c>
      <c r="T78" s="467">
        <f t="shared" si="49"/>
        <v>0</v>
      </c>
      <c r="U78" s="36">
        <f t="shared" si="75"/>
        <v>0</v>
      </c>
      <c r="V78" s="36">
        <f t="shared" si="60"/>
        <v>0</v>
      </c>
      <c r="W78" s="36">
        <f t="shared" si="61"/>
        <v>0</v>
      </c>
      <c r="X78" s="2" t="e">
        <f>IF(AND(G43&gt;=$X$11,G43&lt;=$X$11+5),0,IF($C$9&gt;$AG$51,ROUND(S42*#REF!/(DATEVALUE(CONCATENATE("01/01/",YEAR(H43)+1))-DATEVALUE(CONCATENATE("01/01/",YEAR(H43))))*(H43-H42),2),0))</f>
        <v>#REF!</v>
      </c>
      <c r="Y78" s="34">
        <f t="shared" si="43"/>
        <v>13038</v>
      </c>
      <c r="Z78" s="57">
        <f t="shared" si="41"/>
        <v>58090</v>
      </c>
      <c r="AD78" s="16" t="s">
        <v>330</v>
      </c>
      <c r="AE78" s="16" t="s">
        <v>112</v>
      </c>
      <c r="AF78" s="16" t="s">
        <v>116</v>
      </c>
      <c r="AH78" s="16" t="s">
        <v>113</v>
      </c>
      <c r="AI78" s="16" t="s">
        <v>122</v>
      </c>
      <c r="AJ78" s="16" t="s">
        <v>121</v>
      </c>
      <c r="AM78" s="2" t="e">
        <f>IF(AND(#REF!&gt;=$X$11,#REF!&lt;=$X$11+5),0,IF($C$9&gt;$AG$51,ROUND(AJ38*#REF!/(DATEVALUE(CONCATENATE("01/01/",YEAR(#REF!)+1))-DATEVALUE(CONCATENATE("01/01/",YEAR(#REF!))))*(#REF!-#REF!),2),0))</f>
        <v>#REF!</v>
      </c>
      <c r="AN78" s="34">
        <f t="shared" si="45"/>
        <v>12601</v>
      </c>
      <c r="AO78" s="57">
        <f t="shared" si="44"/>
        <v>56630</v>
      </c>
      <c r="AP78" s="130">
        <f t="shared" si="62"/>
        <v>0</v>
      </c>
      <c r="AQ78" s="553">
        <f t="shared" si="76"/>
        <v>70</v>
      </c>
      <c r="AR78" s="554">
        <f t="shared" si="63"/>
        <v>47446</v>
      </c>
      <c r="AS78" s="555">
        <f t="shared" si="46"/>
        <v>0.27900000000000003</v>
      </c>
      <c r="AT78" s="546">
        <f t="shared" si="64"/>
        <v>0</v>
      </c>
      <c r="AU78" s="546">
        <f t="shared" si="71"/>
        <v>0</v>
      </c>
      <c r="AV78" s="546">
        <f t="shared" si="65"/>
        <v>0</v>
      </c>
      <c r="AW78" s="546">
        <f t="shared" si="66"/>
        <v>0</v>
      </c>
      <c r="AX78" s="559">
        <f t="shared" si="52"/>
        <v>0</v>
      </c>
      <c r="AY78" s="559">
        <v>0</v>
      </c>
      <c r="AZ78" s="559">
        <f t="shared" si="19"/>
        <v>0</v>
      </c>
      <c r="BA78" s="559">
        <f t="shared" si="36"/>
        <v>0</v>
      </c>
      <c r="BB78" s="559">
        <f t="shared" si="35"/>
        <v>0</v>
      </c>
      <c r="BC78" s="559"/>
      <c r="BD78" s="559"/>
      <c r="BE78" s="559"/>
      <c r="BF78" s="559"/>
      <c r="BG78" s="559"/>
      <c r="BH78" s="546">
        <f t="shared" si="67"/>
        <v>0</v>
      </c>
      <c r="BI78" s="108">
        <f t="shared" si="77"/>
        <v>0</v>
      </c>
      <c r="BJ78" s="108">
        <f t="shared" si="72"/>
        <v>0</v>
      </c>
      <c r="BK78" s="22">
        <f t="shared" si="73"/>
        <v>47446</v>
      </c>
      <c r="BL78" s="108">
        <f t="shared" si="53"/>
        <v>0</v>
      </c>
      <c r="BM78" s="2" t="e">
        <f>IF(AND(G33&gt;=$X$11,G33&lt;=$X$11+5),0,IF($C$9&gt;$AG$51,ROUND(BH32*IF(#REF!="",0,#REF!)/(DATEVALUE(CONCATENATE("01/01/",YEAR(AR33)+1))-DATEVALUE(CONCATENATE("01/01/",YEAR(AR33))))*(AR33-AR32),2),0))</f>
        <v>#REF!</v>
      </c>
    </row>
    <row r="79" spans="1:65" s="16" customFormat="1" x14ac:dyDescent="0.3">
      <c r="A79" s="178"/>
      <c r="B79" s="178"/>
      <c r="C79" s="184"/>
      <c r="D79" s="178"/>
      <c r="E79" s="178"/>
      <c r="F79" s="178"/>
      <c r="G79" s="244">
        <f t="shared" si="74"/>
        <v>71</v>
      </c>
      <c r="H79" s="245">
        <f t="shared" si="54"/>
        <v>47476</v>
      </c>
      <c r="I79" s="246">
        <f t="shared" si="55"/>
        <v>0.21900000000000003</v>
      </c>
      <c r="J79" s="242">
        <f t="shared" si="56"/>
        <v>0</v>
      </c>
      <c r="K79" s="242">
        <f t="shared" si="68"/>
        <v>0</v>
      </c>
      <c r="L79" s="242">
        <f t="shared" si="57"/>
        <v>0</v>
      </c>
      <c r="M79" s="242">
        <f t="shared" si="69"/>
        <v>0</v>
      </c>
      <c r="N79" s="242">
        <f t="shared" si="50"/>
        <v>0</v>
      </c>
      <c r="O79" s="242">
        <v>0</v>
      </c>
      <c r="P79" s="242">
        <f t="shared" si="24"/>
        <v>0</v>
      </c>
      <c r="Q79" s="242">
        <f t="shared" si="51"/>
        <v>0</v>
      </c>
      <c r="R79" s="242">
        <f t="shared" si="58"/>
        <v>0</v>
      </c>
      <c r="S79" s="242">
        <f t="shared" si="70"/>
        <v>0</v>
      </c>
      <c r="T79" s="467">
        <f t="shared" si="49"/>
        <v>0</v>
      </c>
      <c r="U79" s="36">
        <f t="shared" si="75"/>
        <v>0</v>
      </c>
      <c r="V79" s="36">
        <f t="shared" si="60"/>
        <v>0</v>
      </c>
      <c r="W79" s="36">
        <f t="shared" si="61"/>
        <v>0</v>
      </c>
      <c r="X79" s="2" t="e">
        <f>IF(AND(G44&gt;=$X$11,G44&lt;=$X$11+5),0,IF($C$9&gt;$AG$51,ROUND(S43*#REF!/(DATEVALUE(CONCATENATE("01/01/",YEAR(H44)+1))-DATEVALUE(CONCATENATE("01/01/",YEAR(H44))))*(H44-H43),2),0))</f>
        <v>#REF!</v>
      </c>
      <c r="Y79" s="34">
        <f t="shared" si="43"/>
        <v>13038</v>
      </c>
      <c r="Z79" s="57">
        <f t="shared" si="41"/>
        <v>58455</v>
      </c>
      <c r="AD79" s="143">
        <f>MIN($C$7*IF($C$7&gt;$AC$71,AD76,IF($C$7&gt;$AC$70,AD75,IF($C$7&gt;$AC$69,AD74,IF($C$7&gt;$AC$68,AD73,AD72)))),5000000)</f>
        <v>330000</v>
      </c>
      <c r="AE79" s="143">
        <f>MIN($C$7*IF($C$7&gt;$AC$72,AE77,IF($C$7&gt;$AC$77,AE76,IF($C$7&gt;$AC$70,AE75,IF($C$7&gt;$AC$69,AE74,IF($C$7&gt;$AC$68,AE73,AE72))))),5000000)</f>
        <v>330000</v>
      </c>
      <c r="AF79" s="143">
        <f>MIN(3000000,$C$7*IF($C$7&gt;=$AB$71,AF76,IF($C$7&gt;=$AB$70,AF75,IF($C$7&gt;=$AB$69,AF74,IF($C$7&gt;=$AB$68,AF73,AF72)))))</f>
        <v>450000</v>
      </c>
      <c r="AG79" s="143">
        <f>MIN(5000000,$C$7*IF($C$7&gt;500000,AG76,IF($C$7&gt;200000,AG75,AG72)))</f>
        <v>360000</v>
      </c>
      <c r="AH79" s="143">
        <f>MIN(3000000,$C$7*IF($C$7&gt;=$AB$71,AH76,IF($C$7&gt;=$AB$70,AH75,IF($C$7&gt;=$AB$69,AH74,IF($C$7&gt;=$AB$68,AH73,AH72)))))</f>
        <v>0</v>
      </c>
      <c r="AI79" s="143">
        <f>$C$7*IF($C$7&gt;=$AB$71,AI76,IF($C$7&gt;=$AB$70,AI75,IF($C$7&gt;=$AB$69,AI74,IF($C$7&gt;=$AB$68,AI73,AI72))))</f>
        <v>300000</v>
      </c>
      <c r="AJ79" s="143">
        <f>$C$7*IF($C$7&gt;=$AB$71,AJ76,IF($C$7&gt;=$AB$70,AJ75,IF($C$7&gt;=$AB$69,AJ74,IF($C$7&gt;=$AB$68,AJ73,AJ72))))</f>
        <v>600000</v>
      </c>
      <c r="AM79" s="2" t="e">
        <f>IF(AND(#REF!&gt;=$X$11,#REF!&lt;=$X$11+5),0,IF($C$9&gt;$AG$51,ROUND(AJ39*#REF!/(DATEVALUE(CONCATENATE("01/01/",YEAR(#REF!)+1))-DATEVALUE(CONCATENATE("01/01/",YEAR(#REF!))))*(#REF!-#REF!),2),0))</f>
        <v>#REF!</v>
      </c>
      <c r="AN79" s="34">
        <f t="shared" si="45"/>
        <v>12601</v>
      </c>
      <c r="AO79" s="57">
        <f t="shared" si="44"/>
        <v>56995</v>
      </c>
      <c r="AP79" s="130">
        <f t="shared" si="62"/>
        <v>0</v>
      </c>
      <c r="AQ79" s="553">
        <f t="shared" si="76"/>
        <v>71</v>
      </c>
      <c r="AR79" s="554">
        <f t="shared" si="63"/>
        <v>47476</v>
      </c>
      <c r="AS79" s="555">
        <f t="shared" si="46"/>
        <v>0.27900000000000003</v>
      </c>
      <c r="AT79" s="546">
        <f t="shared" si="64"/>
        <v>0</v>
      </c>
      <c r="AU79" s="546">
        <f t="shared" si="71"/>
        <v>0</v>
      </c>
      <c r="AV79" s="546">
        <f t="shared" si="65"/>
        <v>0</v>
      </c>
      <c r="AW79" s="546">
        <f t="shared" si="66"/>
        <v>0</v>
      </c>
      <c r="AX79" s="559">
        <f t="shared" si="52"/>
        <v>0</v>
      </c>
      <c r="AY79" s="559">
        <v>0</v>
      </c>
      <c r="AZ79" s="559">
        <f t="shared" si="19"/>
        <v>0</v>
      </c>
      <c r="BA79" s="559">
        <f t="shared" si="36"/>
        <v>0</v>
      </c>
      <c r="BB79" s="559">
        <f t="shared" si="35"/>
        <v>0</v>
      </c>
      <c r="BC79" s="559"/>
      <c r="BD79" s="559"/>
      <c r="BE79" s="559"/>
      <c r="BF79" s="559"/>
      <c r="BG79" s="559"/>
      <c r="BH79" s="546">
        <f t="shared" si="67"/>
        <v>0</v>
      </c>
      <c r="BI79" s="108">
        <f t="shared" si="77"/>
        <v>0</v>
      </c>
      <c r="BJ79" s="108">
        <f t="shared" si="72"/>
        <v>0</v>
      </c>
      <c r="BK79" s="22">
        <f t="shared" si="73"/>
        <v>47476</v>
      </c>
      <c r="BL79" s="108">
        <f t="shared" si="53"/>
        <v>0</v>
      </c>
      <c r="BM79" s="2" t="e">
        <f>IF(AND(G34&gt;=$X$11,G34&lt;=$X$11+5),0,IF($C$9&gt;$AG$51,ROUND(BH33*IF(#REF!="",0,#REF!)/(DATEVALUE(CONCATENATE("01/01/",YEAR(AR34)+1))-DATEVALUE(CONCATENATE("01/01/",YEAR(AR34))))*(AR34-AR33),2),0))</f>
        <v>#REF!</v>
      </c>
    </row>
    <row r="80" spans="1:65" s="16" customFormat="1" ht="13.8" thickBot="1" x14ac:dyDescent="0.35">
      <c r="A80" s="178"/>
      <c r="B80" s="178"/>
      <c r="C80" s="184"/>
      <c r="D80" s="178"/>
      <c r="E80" s="178"/>
      <c r="F80" s="178"/>
      <c r="G80" s="248">
        <f t="shared" si="74"/>
        <v>72</v>
      </c>
      <c r="H80" s="679">
        <f t="shared" si="54"/>
        <v>47507</v>
      </c>
      <c r="I80" s="250">
        <f t="shared" si="55"/>
        <v>0.21900000000000003</v>
      </c>
      <c r="J80" s="242">
        <f t="shared" si="56"/>
        <v>0</v>
      </c>
      <c r="K80" s="252">
        <f t="shared" si="68"/>
        <v>0</v>
      </c>
      <c r="L80" s="242">
        <f t="shared" si="57"/>
        <v>0</v>
      </c>
      <c r="M80" s="252">
        <f t="shared" si="69"/>
        <v>0</v>
      </c>
      <c r="N80" s="252">
        <f t="shared" si="50"/>
        <v>0</v>
      </c>
      <c r="O80" s="252">
        <v>0</v>
      </c>
      <c r="P80" s="252">
        <f t="shared" si="24"/>
        <v>0</v>
      </c>
      <c r="Q80" s="252">
        <f t="shared" si="51"/>
        <v>0</v>
      </c>
      <c r="R80" s="252">
        <f t="shared" si="58"/>
        <v>0</v>
      </c>
      <c r="S80" s="252">
        <f t="shared" si="70"/>
        <v>0</v>
      </c>
      <c r="T80" s="252">
        <f t="shared" si="49"/>
        <v>0</v>
      </c>
      <c r="U80" s="36">
        <f t="shared" si="75"/>
        <v>0</v>
      </c>
      <c r="V80" s="36">
        <f t="shared" si="60"/>
        <v>0</v>
      </c>
      <c r="W80" s="36">
        <f t="shared" si="61"/>
        <v>0</v>
      </c>
      <c r="X80" s="2" t="e">
        <f>IF(AND(G45&gt;=$X$11,G45&lt;=$X$11+5),0,IF($C$9&gt;$AG$51,ROUND(S44*#REF!/(DATEVALUE(CONCATENATE("01/01/",YEAR(H45)+1))-DATEVALUE(CONCATENATE("01/01/",YEAR(H45))))*(H45-H44),2),0))</f>
        <v>#REF!</v>
      </c>
      <c r="Y80" s="34">
        <f t="shared" si="43"/>
        <v>0</v>
      </c>
      <c r="Z80" s="57">
        <f t="shared" si="41"/>
        <v>58820</v>
      </c>
      <c r="AM80" s="2" t="e">
        <f>IF(AND(#REF!&gt;=$X$11,#REF!&lt;=$X$11+5),0,IF($C$9&gt;$AG$51,ROUND(AJ40*#REF!/(DATEVALUE(CONCATENATE("01/01/",YEAR(#REF!)+1))-DATEVALUE(CONCATENATE("01/01/",YEAR(#REF!))))*(#REF!-#REF!),2),0))</f>
        <v>#REF!</v>
      </c>
      <c r="AN80" s="34">
        <f t="shared" si="45"/>
        <v>12601</v>
      </c>
      <c r="AO80" s="57">
        <f t="shared" si="44"/>
        <v>57360</v>
      </c>
      <c r="AP80" s="130">
        <f t="shared" si="62"/>
        <v>0</v>
      </c>
      <c r="AQ80" s="556">
        <f t="shared" si="76"/>
        <v>72</v>
      </c>
      <c r="AR80" s="680">
        <f t="shared" si="63"/>
        <v>47507</v>
      </c>
      <c r="AS80" s="557">
        <f t="shared" si="46"/>
        <v>0.27900000000000003</v>
      </c>
      <c r="AT80" s="546">
        <f t="shared" si="64"/>
        <v>0</v>
      </c>
      <c r="AU80" s="547">
        <f t="shared" si="71"/>
        <v>0</v>
      </c>
      <c r="AV80" s="547">
        <f t="shared" si="65"/>
        <v>0</v>
      </c>
      <c r="AW80" s="547">
        <f t="shared" si="66"/>
        <v>0</v>
      </c>
      <c r="AX80" s="560">
        <f t="shared" si="52"/>
        <v>0</v>
      </c>
      <c r="AY80" s="560">
        <v>0</v>
      </c>
      <c r="AZ80" s="560">
        <f t="shared" si="19"/>
        <v>0</v>
      </c>
      <c r="BA80" s="560">
        <f t="shared" si="36"/>
        <v>0</v>
      </c>
      <c r="BB80" s="560">
        <f t="shared" si="35"/>
        <v>0</v>
      </c>
      <c r="BC80" s="560"/>
      <c r="BD80" s="560"/>
      <c r="BE80" s="560"/>
      <c r="BF80" s="560"/>
      <c r="BG80" s="560"/>
      <c r="BH80" s="547">
        <f t="shared" si="67"/>
        <v>0</v>
      </c>
      <c r="BI80" s="108">
        <f t="shared" si="77"/>
        <v>0</v>
      </c>
      <c r="BJ80" s="108">
        <f t="shared" si="72"/>
        <v>0</v>
      </c>
      <c r="BK80" s="22">
        <f t="shared" si="73"/>
        <v>47507</v>
      </c>
      <c r="BL80" s="108">
        <f t="shared" si="53"/>
        <v>0</v>
      </c>
      <c r="BM80" s="2" t="e">
        <f>IF(AND(G35&gt;=$X$11,G35&lt;=$X$11+5),0,IF($C$9&gt;$AG$51,ROUND(BH34*IF(#REF!="",0,#REF!)/(DATEVALUE(CONCATENATE("01/01/",YEAR(AR35)+1))-DATEVALUE(CONCATENATE("01/01/",YEAR(AR35))))*(AR35-AR34),2),0))</f>
        <v>#REF!</v>
      </c>
    </row>
    <row r="81" spans="1:65" s="16" customFormat="1" x14ac:dyDescent="0.3">
      <c r="A81" s="178"/>
      <c r="B81" s="178"/>
      <c r="C81" s="184"/>
      <c r="D81" s="178"/>
      <c r="E81" s="178"/>
      <c r="F81" s="178"/>
      <c r="G81" s="244">
        <f t="shared" si="74"/>
        <v>73</v>
      </c>
      <c r="H81" s="245">
        <f t="shared" si="54"/>
        <v>47538</v>
      </c>
      <c r="I81" s="246">
        <f t="shared" si="55"/>
        <v>0.21900000000000003</v>
      </c>
      <c r="J81" s="242">
        <f t="shared" si="56"/>
        <v>0</v>
      </c>
      <c r="K81" s="242">
        <f t="shared" si="68"/>
        <v>0</v>
      </c>
      <c r="L81" s="242">
        <f t="shared" si="57"/>
        <v>0</v>
      </c>
      <c r="M81" s="242">
        <f t="shared" si="69"/>
        <v>0</v>
      </c>
      <c r="N81" s="242">
        <f t="shared" si="50"/>
        <v>0</v>
      </c>
      <c r="O81" s="242">
        <v>0</v>
      </c>
      <c r="P81" s="242">
        <f t="shared" si="24"/>
        <v>0</v>
      </c>
      <c r="Q81" s="242">
        <f t="shared" si="51"/>
        <v>0</v>
      </c>
      <c r="R81" s="242">
        <f t="shared" si="58"/>
        <v>0</v>
      </c>
      <c r="S81" s="242">
        <f t="shared" si="70"/>
        <v>0</v>
      </c>
      <c r="T81" s="467">
        <f t="shared" si="49"/>
        <v>0</v>
      </c>
      <c r="U81" s="36">
        <f t="shared" si="75"/>
        <v>0</v>
      </c>
      <c r="V81" s="36">
        <f t="shared" si="60"/>
        <v>0</v>
      </c>
      <c r="W81" s="36">
        <f t="shared" si="61"/>
        <v>0</v>
      </c>
      <c r="X81" s="2" t="e">
        <f>IF(AND(G46&gt;=$X$11,G46&lt;=$X$11+5),0,IF($C$9&gt;$AG$51,ROUND(S45*#REF!/(DATEVALUE(CONCATENATE("01/01/",YEAR(H46)+1))-DATEVALUE(CONCATENATE("01/01/",YEAR(H46))))*(H46-H45),2),0))</f>
        <v>#REF!</v>
      </c>
      <c r="Y81" s="34">
        <f t="shared" si="43"/>
        <v>0</v>
      </c>
      <c r="Z81" s="57">
        <f t="shared" si="41"/>
        <v>59185</v>
      </c>
      <c r="AM81" s="2" t="e">
        <f>IF(AND(#REF!&gt;=$X$11,#REF!&lt;=$X$11+5),0,IF($C$9&gt;$AG$51,ROUND(AJ41*#REF!/(DATEVALUE(CONCATENATE("01/01/",YEAR(#REF!)+1))-DATEVALUE(CONCATENATE("01/01/",YEAR(#REF!))))*(#REF!-#REF!),2),0))</f>
        <v>#REF!</v>
      </c>
      <c r="AN81" s="34">
        <f t="shared" si="45"/>
        <v>12601</v>
      </c>
      <c r="AO81" s="57">
        <f t="shared" si="44"/>
        <v>57725</v>
      </c>
      <c r="AP81" s="130">
        <f t="shared" si="62"/>
        <v>0</v>
      </c>
      <c r="AQ81" s="553">
        <f t="shared" si="76"/>
        <v>73</v>
      </c>
      <c r="AR81" s="554">
        <f t="shared" si="63"/>
        <v>47538</v>
      </c>
      <c r="AS81" s="555">
        <f t="shared" si="46"/>
        <v>0.27900000000000003</v>
      </c>
      <c r="AT81" s="546">
        <f t="shared" si="64"/>
        <v>0</v>
      </c>
      <c r="AU81" s="546">
        <f t="shared" si="71"/>
        <v>0</v>
      </c>
      <c r="AV81" s="546">
        <f t="shared" si="65"/>
        <v>0</v>
      </c>
      <c r="AW81" s="546">
        <f t="shared" si="66"/>
        <v>0</v>
      </c>
      <c r="AX81" s="559">
        <f t="shared" si="52"/>
        <v>0</v>
      </c>
      <c r="AY81" s="559">
        <v>0</v>
      </c>
      <c r="AZ81" s="559">
        <f t="shared" si="19"/>
        <v>0</v>
      </c>
      <c r="BA81" s="559">
        <f t="shared" si="36"/>
        <v>0</v>
      </c>
      <c r="BB81" s="559">
        <f t="shared" si="35"/>
        <v>0</v>
      </c>
      <c r="BC81" s="559"/>
      <c r="BD81" s="559"/>
      <c r="BE81" s="559"/>
      <c r="BF81" s="559"/>
      <c r="BG81" s="559"/>
      <c r="BH81" s="546">
        <f t="shared" si="67"/>
        <v>0</v>
      </c>
      <c r="BI81" s="108">
        <f t="shared" si="77"/>
        <v>0</v>
      </c>
      <c r="BJ81" s="108">
        <f t="shared" si="72"/>
        <v>0</v>
      </c>
      <c r="BK81" s="22">
        <f t="shared" si="73"/>
        <v>47538</v>
      </c>
      <c r="BL81" s="108">
        <f t="shared" si="53"/>
        <v>0</v>
      </c>
      <c r="BM81" s="2" t="e">
        <f>IF(AND(G36&gt;=$X$11,G36&lt;=$X$11+5),0,IF($C$9&gt;$AG$51,ROUND(BH35*IF(#REF!="",0,#REF!)/(DATEVALUE(CONCATENATE("01/01/",YEAR(AR36)+1))-DATEVALUE(CONCATENATE("01/01/",YEAR(AR36))))*(AR36-AR35),2),0))</f>
        <v>#REF!</v>
      </c>
    </row>
    <row r="82" spans="1:65" s="16" customFormat="1" x14ac:dyDescent="0.3">
      <c r="A82" s="183"/>
      <c r="B82" s="180"/>
      <c r="C82" s="184"/>
      <c r="D82" s="182"/>
      <c r="E82" s="178"/>
      <c r="F82" s="178"/>
      <c r="G82" s="244">
        <f t="shared" si="74"/>
        <v>74</v>
      </c>
      <c r="H82" s="245">
        <f t="shared" si="54"/>
        <v>47566</v>
      </c>
      <c r="I82" s="246">
        <f t="shared" si="55"/>
        <v>0.21900000000000003</v>
      </c>
      <c r="J82" s="242">
        <f t="shared" si="56"/>
        <v>0</v>
      </c>
      <c r="K82" s="242">
        <f t="shared" si="68"/>
        <v>0</v>
      </c>
      <c r="L82" s="242">
        <f t="shared" si="57"/>
        <v>0</v>
      </c>
      <c r="M82" s="242">
        <f t="shared" si="69"/>
        <v>0</v>
      </c>
      <c r="N82" s="242">
        <f t="shared" si="50"/>
        <v>0</v>
      </c>
      <c r="O82" s="242">
        <v>0</v>
      </c>
      <c r="P82" s="242">
        <f t="shared" si="24"/>
        <v>0</v>
      </c>
      <c r="Q82" s="242">
        <f t="shared" si="51"/>
        <v>0</v>
      </c>
      <c r="R82" s="242">
        <f t="shared" si="58"/>
        <v>0</v>
      </c>
      <c r="S82" s="242">
        <f t="shared" si="70"/>
        <v>0</v>
      </c>
      <c r="T82" s="467">
        <f t="shared" si="49"/>
        <v>0</v>
      </c>
      <c r="U82" s="36">
        <f t="shared" si="75"/>
        <v>0</v>
      </c>
      <c r="V82" s="36">
        <f t="shared" si="60"/>
        <v>0</v>
      </c>
      <c r="W82" s="36">
        <f t="shared" si="61"/>
        <v>0</v>
      </c>
      <c r="X82" s="2" t="e">
        <f>IF(AND(G47&gt;=$X$11,G47&lt;=$X$11+5),0,IF($C$9&gt;$AG$51,ROUND(S46*#REF!/(DATEVALUE(CONCATENATE("01/01/",YEAR(H47)+1))-DATEVALUE(CONCATENATE("01/01/",YEAR(H47))))*(H47-H46),2),0))</f>
        <v>#REF!</v>
      </c>
      <c r="Y82" s="34">
        <f t="shared" si="43"/>
        <v>0</v>
      </c>
      <c r="Z82" s="57">
        <f t="shared" si="41"/>
        <v>59550</v>
      </c>
      <c r="AA82" s="60">
        <v>43858</v>
      </c>
      <c r="AF82" s="16">
        <f>500000*0.3*60</f>
        <v>9000000</v>
      </c>
      <c r="AM82" s="2" t="e">
        <f>IF(AND(#REF!&gt;=$X$11,#REF!&lt;=$X$11+5),0,IF($C$9&gt;$AG$51,ROUND(AJ42*#REF!/(DATEVALUE(CONCATENATE("01/01/",YEAR(#REF!)+1))-DATEVALUE(CONCATENATE("01/01/",YEAR(#REF!))))*(#REF!-#REF!),2),0))</f>
        <v>#REF!</v>
      </c>
      <c r="AN82" s="34">
        <f t="shared" si="45"/>
        <v>12601</v>
      </c>
      <c r="AO82" s="57">
        <f t="shared" si="44"/>
        <v>58090</v>
      </c>
      <c r="AP82" s="130">
        <f t="shared" si="62"/>
        <v>0</v>
      </c>
      <c r="AQ82" s="553">
        <f t="shared" si="76"/>
        <v>74</v>
      </c>
      <c r="AR82" s="554">
        <f t="shared" si="63"/>
        <v>47566</v>
      </c>
      <c r="AS82" s="555">
        <f t="shared" si="46"/>
        <v>0.27900000000000003</v>
      </c>
      <c r="AT82" s="546">
        <f t="shared" si="64"/>
        <v>0</v>
      </c>
      <c r="AU82" s="546">
        <f t="shared" si="71"/>
        <v>0</v>
      </c>
      <c r="AV82" s="546">
        <f t="shared" si="65"/>
        <v>0</v>
      </c>
      <c r="AW82" s="546">
        <f t="shared" si="66"/>
        <v>0</v>
      </c>
      <c r="AX82" s="559">
        <f t="shared" si="52"/>
        <v>0</v>
      </c>
      <c r="AY82" s="559">
        <v>0</v>
      </c>
      <c r="AZ82" s="559">
        <f t="shared" si="19"/>
        <v>0</v>
      </c>
      <c r="BA82" s="559">
        <f t="shared" si="36"/>
        <v>0</v>
      </c>
      <c r="BB82" s="559">
        <f t="shared" si="35"/>
        <v>0</v>
      </c>
      <c r="BC82" s="559"/>
      <c r="BD82" s="559"/>
      <c r="BE82" s="559"/>
      <c r="BF82" s="559"/>
      <c r="BG82" s="559"/>
      <c r="BH82" s="546">
        <f t="shared" si="67"/>
        <v>0</v>
      </c>
      <c r="BI82" s="108">
        <f t="shared" si="77"/>
        <v>0</v>
      </c>
      <c r="BJ82" s="108">
        <f t="shared" si="72"/>
        <v>0</v>
      </c>
      <c r="BK82" s="22">
        <f t="shared" si="73"/>
        <v>47566</v>
      </c>
      <c r="BL82" s="108">
        <f t="shared" si="53"/>
        <v>0</v>
      </c>
      <c r="BM82" s="2" t="e">
        <f>IF(AND(G37&gt;=$X$11,G37&lt;=$X$11+5),0,IF($C$9&gt;$AG$51,ROUND(BH36*IF(#REF!="",0,#REF!)/(DATEVALUE(CONCATENATE("01/01/",YEAR(AR37)+1))-DATEVALUE(CONCATENATE("01/01/",YEAR(AR37))))*(AR37-AR36),2),0))</f>
        <v>#REF!</v>
      </c>
    </row>
    <row r="83" spans="1:65" s="16" customFormat="1" x14ac:dyDescent="0.3">
      <c r="A83" s="183"/>
      <c r="B83" s="178"/>
      <c r="C83" s="184"/>
      <c r="D83" s="178"/>
      <c r="E83" s="178"/>
      <c r="F83" s="178"/>
      <c r="G83" s="244">
        <f t="shared" si="74"/>
        <v>75</v>
      </c>
      <c r="H83" s="245">
        <f t="shared" si="54"/>
        <v>47597</v>
      </c>
      <c r="I83" s="246">
        <f t="shared" si="55"/>
        <v>0.21900000000000003</v>
      </c>
      <c r="J83" s="242">
        <f t="shared" si="56"/>
        <v>0</v>
      </c>
      <c r="K83" s="242">
        <f t="shared" si="68"/>
        <v>0</v>
      </c>
      <c r="L83" s="242">
        <f t="shared" si="57"/>
        <v>0</v>
      </c>
      <c r="M83" s="242">
        <f t="shared" si="69"/>
        <v>0</v>
      </c>
      <c r="N83" s="242">
        <f t="shared" si="50"/>
        <v>0</v>
      </c>
      <c r="O83" s="242">
        <v>0</v>
      </c>
      <c r="P83" s="242">
        <f t="shared" si="24"/>
        <v>0</v>
      </c>
      <c r="Q83" s="242">
        <f t="shared" si="51"/>
        <v>0</v>
      </c>
      <c r="R83" s="242">
        <f t="shared" si="58"/>
        <v>0</v>
      </c>
      <c r="S83" s="242">
        <f t="shared" si="70"/>
        <v>0</v>
      </c>
      <c r="T83" s="467">
        <f t="shared" si="49"/>
        <v>0</v>
      </c>
      <c r="U83" s="36">
        <f t="shared" si="75"/>
        <v>0</v>
      </c>
      <c r="V83" s="36">
        <f t="shared" si="60"/>
        <v>0</v>
      </c>
      <c r="W83" s="36">
        <f t="shared" si="61"/>
        <v>0</v>
      </c>
      <c r="X83" s="2" t="e">
        <f>IF(AND(G48&gt;=$X$11,G48&lt;=$X$11+5),0,IF($C$9&gt;$AG$51,ROUND(S47*#REF!/(DATEVALUE(CONCATENATE("01/01/",YEAR(H48)+1))-DATEVALUE(CONCATENATE("01/01/",YEAR(H48))))*(H48-H47),2),0))</f>
        <v>#REF!</v>
      </c>
      <c r="Y83" s="34">
        <f t="shared" si="43"/>
        <v>0</v>
      </c>
      <c r="Z83" s="57">
        <f t="shared" si="41"/>
        <v>59915</v>
      </c>
      <c r="AM83" s="2" t="e">
        <f>IF(AND(#REF!&gt;=$X$11,#REF!&lt;=$X$11+5),0,IF($C$9&gt;$AG$51,ROUND(AJ43*#REF!/(DATEVALUE(CONCATENATE("01/01/",YEAR(#REF!)+1))-DATEVALUE(CONCATENATE("01/01/",YEAR(#REF!))))*(#REF!-#REF!),2),0))</f>
        <v>#REF!</v>
      </c>
      <c r="AN83" s="34">
        <f t="shared" si="45"/>
        <v>12601</v>
      </c>
      <c r="AO83" s="57">
        <f t="shared" si="44"/>
        <v>58455</v>
      </c>
      <c r="AP83" s="130">
        <f t="shared" si="62"/>
        <v>0</v>
      </c>
      <c r="AQ83" s="553">
        <f t="shared" si="76"/>
        <v>75</v>
      </c>
      <c r="AR83" s="554">
        <f t="shared" si="63"/>
        <v>47597</v>
      </c>
      <c r="AS83" s="555">
        <f t="shared" si="46"/>
        <v>0.27900000000000003</v>
      </c>
      <c r="AT83" s="546">
        <f t="shared" si="64"/>
        <v>0</v>
      </c>
      <c r="AU83" s="546">
        <f t="shared" si="71"/>
        <v>0</v>
      </c>
      <c r="AV83" s="546">
        <f t="shared" si="65"/>
        <v>0</v>
      </c>
      <c r="AW83" s="546">
        <f t="shared" si="66"/>
        <v>0</v>
      </c>
      <c r="AX83" s="559">
        <f t="shared" si="52"/>
        <v>0</v>
      </c>
      <c r="AY83" s="559">
        <v>0</v>
      </c>
      <c r="AZ83" s="559">
        <f t="shared" si="19"/>
        <v>0</v>
      </c>
      <c r="BA83" s="559">
        <f t="shared" si="36"/>
        <v>0</v>
      </c>
      <c r="BB83" s="559">
        <f t="shared" si="35"/>
        <v>0</v>
      </c>
      <c r="BC83" s="559"/>
      <c r="BD83" s="559"/>
      <c r="BE83" s="559"/>
      <c r="BF83" s="559"/>
      <c r="BG83" s="559"/>
      <c r="BH83" s="546">
        <f t="shared" si="67"/>
        <v>0</v>
      </c>
      <c r="BI83" s="108">
        <f t="shared" si="77"/>
        <v>0</v>
      </c>
      <c r="BJ83" s="108">
        <f t="shared" si="72"/>
        <v>0</v>
      </c>
      <c r="BK83" s="22">
        <f t="shared" si="73"/>
        <v>47597</v>
      </c>
      <c r="BL83" s="108">
        <f t="shared" si="53"/>
        <v>0</v>
      </c>
      <c r="BM83" s="2" t="e">
        <f>IF(AND(G38&gt;=$X$11,G38&lt;=$X$11+5),0,IF($C$9&gt;$AG$51,ROUND(BH37*IF(#REF!="",0,#REF!)/(DATEVALUE(CONCATENATE("01/01/",YEAR(AR38)+1))-DATEVALUE(CONCATENATE("01/01/",YEAR(AR38))))*(AR38-AR37),2),0))</f>
        <v>#REF!</v>
      </c>
    </row>
    <row r="84" spans="1:65" s="16" customFormat="1" x14ac:dyDescent="0.3">
      <c r="A84" s="178"/>
      <c r="B84" s="178"/>
      <c r="C84" s="184"/>
      <c r="D84" s="184"/>
      <c r="E84" s="178"/>
      <c r="F84" s="178"/>
      <c r="G84" s="244">
        <f t="shared" si="74"/>
        <v>76</v>
      </c>
      <c r="H84" s="245">
        <f t="shared" si="54"/>
        <v>47627</v>
      </c>
      <c r="I84" s="246">
        <f t="shared" si="55"/>
        <v>0.21900000000000003</v>
      </c>
      <c r="J84" s="242">
        <f t="shared" si="56"/>
        <v>0</v>
      </c>
      <c r="K84" s="242">
        <f t="shared" si="68"/>
        <v>0</v>
      </c>
      <c r="L84" s="242">
        <f t="shared" si="57"/>
        <v>0</v>
      </c>
      <c r="M84" s="242">
        <f t="shared" si="69"/>
        <v>0</v>
      </c>
      <c r="N84" s="242">
        <f t="shared" si="50"/>
        <v>0</v>
      </c>
      <c r="O84" s="242">
        <v>0</v>
      </c>
      <c r="P84" s="242">
        <f t="shared" si="24"/>
        <v>0</v>
      </c>
      <c r="Q84" s="242">
        <f t="shared" si="51"/>
        <v>0</v>
      </c>
      <c r="R84" s="242">
        <f t="shared" si="58"/>
        <v>0</v>
      </c>
      <c r="S84" s="242">
        <f t="shared" si="70"/>
        <v>0</v>
      </c>
      <c r="T84" s="467">
        <f t="shared" si="49"/>
        <v>0</v>
      </c>
      <c r="U84" s="36">
        <f t="shared" si="75"/>
        <v>0</v>
      </c>
      <c r="V84" s="36">
        <f t="shared" si="60"/>
        <v>0</v>
      </c>
      <c r="W84" s="36">
        <f t="shared" si="61"/>
        <v>0</v>
      </c>
      <c r="X84" s="2" t="e">
        <f>IF(AND(G49&gt;=$X$11,G49&lt;=$X$11+5),0,IF($C$9&gt;$AG$51,ROUND(S48*#REF!/(DATEVALUE(CONCATENATE("01/01/",YEAR(H49)+1))-DATEVALUE(CONCATENATE("01/01/",YEAR(H49))))*(H49-H48),2),0))</f>
        <v>#REF!</v>
      </c>
      <c r="Y84" s="34">
        <f t="shared" si="43"/>
        <v>0</v>
      </c>
      <c r="Z84" s="57">
        <f t="shared" si="41"/>
        <v>60280</v>
      </c>
      <c r="AM84" s="2" t="e">
        <f>IF(AND(#REF!&gt;=$X$11,#REF!&lt;=$X$11+5),0,IF($C$9&gt;$AG$51,ROUND(AJ44*#REF!/(DATEVALUE(CONCATENATE("01/01/",YEAR(#REF!)+1))-DATEVALUE(CONCATENATE("01/01/",YEAR(#REF!))))*(#REF!-#REF!),2),0))</f>
        <v>#REF!</v>
      </c>
      <c r="AN84" s="34">
        <f t="shared" si="45"/>
        <v>0</v>
      </c>
      <c r="AO84" s="57">
        <f t="shared" si="44"/>
        <v>58820</v>
      </c>
      <c r="AP84" s="130">
        <f t="shared" si="62"/>
        <v>0</v>
      </c>
      <c r="AQ84" s="553">
        <f t="shared" si="76"/>
        <v>76</v>
      </c>
      <c r="AR84" s="554">
        <f t="shared" si="63"/>
        <v>47627</v>
      </c>
      <c r="AS84" s="555">
        <f t="shared" si="46"/>
        <v>0.27900000000000003</v>
      </c>
      <c r="AT84" s="546">
        <f t="shared" si="64"/>
        <v>0</v>
      </c>
      <c r="AU84" s="546">
        <f t="shared" si="71"/>
        <v>0</v>
      </c>
      <c r="AV84" s="546">
        <f t="shared" si="65"/>
        <v>0</v>
      </c>
      <c r="AW84" s="546">
        <f t="shared" si="66"/>
        <v>0</v>
      </c>
      <c r="AX84" s="559">
        <f t="shared" si="52"/>
        <v>0</v>
      </c>
      <c r="AY84" s="559">
        <v>0</v>
      </c>
      <c r="AZ84" s="559">
        <f t="shared" si="19"/>
        <v>0</v>
      </c>
      <c r="BA84" s="559">
        <f t="shared" si="36"/>
        <v>0</v>
      </c>
      <c r="BB84" s="559">
        <f t="shared" ref="BB84:BB108" si="78">IF(BJ90=0,0,0)</f>
        <v>0</v>
      </c>
      <c r="BC84" s="559"/>
      <c r="BD84" s="559"/>
      <c r="BE84" s="559"/>
      <c r="BF84" s="559"/>
      <c r="BG84" s="559"/>
      <c r="BH84" s="546">
        <f t="shared" si="67"/>
        <v>0</v>
      </c>
      <c r="BI84" s="108">
        <f t="shared" si="77"/>
        <v>0</v>
      </c>
      <c r="BJ84" s="108">
        <f t="shared" si="72"/>
        <v>0</v>
      </c>
      <c r="BK84" s="22">
        <f t="shared" si="73"/>
        <v>47627</v>
      </c>
      <c r="BL84" s="108">
        <f t="shared" si="53"/>
        <v>0</v>
      </c>
      <c r="BM84" s="2" t="e">
        <f>IF(AND(G39&gt;=$X$11,G39&lt;=$X$11+5),0,IF($C$9&gt;$AG$51,ROUND(BH38*IF(#REF!="",0,#REF!)/(DATEVALUE(CONCATENATE("01/01/",YEAR(AR39)+1))-DATEVALUE(CONCATENATE("01/01/",YEAR(AR39))))*(AR39-AR38),2),0))</f>
        <v>#REF!</v>
      </c>
    </row>
    <row r="85" spans="1:65" s="16" customFormat="1" x14ac:dyDescent="0.3">
      <c r="A85" s="178"/>
      <c r="B85" s="178"/>
      <c r="C85" s="184"/>
      <c r="D85" s="184"/>
      <c r="E85" s="178"/>
      <c r="F85" s="178"/>
      <c r="G85" s="244">
        <f t="shared" si="74"/>
        <v>77</v>
      </c>
      <c r="H85" s="245">
        <f t="shared" si="54"/>
        <v>47658</v>
      </c>
      <c r="I85" s="246">
        <f t="shared" si="55"/>
        <v>0.21900000000000003</v>
      </c>
      <c r="J85" s="242">
        <f t="shared" si="56"/>
        <v>0</v>
      </c>
      <c r="K85" s="242">
        <f t="shared" si="68"/>
        <v>0</v>
      </c>
      <c r="L85" s="242">
        <f t="shared" si="57"/>
        <v>0</v>
      </c>
      <c r="M85" s="242">
        <f t="shared" si="69"/>
        <v>0</v>
      </c>
      <c r="N85" s="242">
        <f t="shared" si="50"/>
        <v>0</v>
      </c>
      <c r="O85" s="242">
        <v>0</v>
      </c>
      <c r="P85" s="242">
        <f t="shared" si="24"/>
        <v>0</v>
      </c>
      <c r="Q85" s="242">
        <f t="shared" si="51"/>
        <v>0</v>
      </c>
      <c r="R85" s="242">
        <f t="shared" si="58"/>
        <v>0</v>
      </c>
      <c r="S85" s="242">
        <f t="shared" si="70"/>
        <v>0</v>
      </c>
      <c r="T85" s="467">
        <f t="shared" si="49"/>
        <v>0</v>
      </c>
      <c r="U85" s="36">
        <f t="shared" si="75"/>
        <v>0</v>
      </c>
      <c r="V85" s="36">
        <f t="shared" si="60"/>
        <v>0</v>
      </c>
      <c r="W85" s="36">
        <f t="shared" si="61"/>
        <v>0</v>
      </c>
      <c r="X85" s="2" t="e">
        <f>IF(AND(G50&gt;=$X$11,G50&lt;=$X$11+5),0,IF($C$9&gt;$AG$51,ROUND(S49*#REF!/(DATEVALUE(CONCATENATE("01/01/",YEAR(H50)+1))-DATEVALUE(CONCATENATE("01/01/",YEAR(H50))))*(H50-H49),2),0))</f>
        <v>#REF!</v>
      </c>
      <c r="Y85" s="34">
        <f t="shared" si="43"/>
        <v>0</v>
      </c>
      <c r="Z85" s="57">
        <f t="shared" si="41"/>
        <v>60645</v>
      </c>
      <c r="AD85" s="890" t="s">
        <v>104</v>
      </c>
      <c r="AE85" s="890"/>
      <c r="AF85" s="890"/>
      <c r="AG85" s="890"/>
      <c r="AH85" s="890"/>
      <c r="AI85" s="890"/>
      <c r="AJ85" s="890"/>
      <c r="AM85" s="2" t="e">
        <f>IF(AND(Z42&gt;=$X$11,Z42&lt;=$X$11+5),0,IF($C$9&gt;$AG$51,ROUND(AJ45*#REF!/(DATEVALUE(CONCATENATE("01/01/",YEAR(AA42)+1))-DATEVALUE(CONCATENATE("01/01/",YEAR(AA42))))*(AA42-#REF!),2),0))</f>
        <v>#REF!</v>
      </c>
      <c r="AN85" s="34">
        <f t="shared" si="45"/>
        <v>0</v>
      </c>
      <c r="AO85" s="57">
        <f t="shared" si="44"/>
        <v>59185</v>
      </c>
      <c r="AP85" s="130">
        <f t="shared" si="62"/>
        <v>0</v>
      </c>
      <c r="AQ85" s="553">
        <f t="shared" si="76"/>
        <v>77</v>
      </c>
      <c r="AR85" s="554">
        <f t="shared" si="63"/>
        <v>47658</v>
      </c>
      <c r="AS85" s="555">
        <f t="shared" si="46"/>
        <v>0.27900000000000003</v>
      </c>
      <c r="AT85" s="546">
        <f t="shared" si="64"/>
        <v>0</v>
      </c>
      <c r="AU85" s="546">
        <f t="shared" si="71"/>
        <v>0</v>
      </c>
      <c r="AV85" s="546">
        <f t="shared" si="65"/>
        <v>0</v>
      </c>
      <c r="AW85" s="546">
        <f t="shared" si="66"/>
        <v>0</v>
      </c>
      <c r="AX85" s="559">
        <f t="shared" si="52"/>
        <v>0</v>
      </c>
      <c r="AY85" s="559">
        <v>0</v>
      </c>
      <c r="AZ85" s="559">
        <f t="shared" si="19"/>
        <v>0</v>
      </c>
      <c r="BA85" s="559">
        <f t="shared" ref="BA85:BA108" si="79">IF(BJ91=0,0,0)</f>
        <v>0</v>
      </c>
      <c r="BB85" s="559">
        <f t="shared" si="78"/>
        <v>0</v>
      </c>
      <c r="BC85" s="559"/>
      <c r="BD85" s="559"/>
      <c r="BE85" s="559"/>
      <c r="BF85" s="559"/>
      <c r="BG85" s="559"/>
      <c r="BH85" s="546">
        <f t="shared" si="67"/>
        <v>0</v>
      </c>
      <c r="BI85" s="108">
        <f t="shared" si="77"/>
        <v>0</v>
      </c>
      <c r="BJ85" s="108">
        <f t="shared" si="72"/>
        <v>0</v>
      </c>
      <c r="BK85" s="22">
        <f t="shared" si="73"/>
        <v>47658</v>
      </c>
      <c r="BL85" s="108">
        <f t="shared" si="53"/>
        <v>0</v>
      </c>
      <c r="BM85" s="2" t="e">
        <f>IF(AND(G40&gt;=$X$11,G40&lt;=$X$11+5),0,IF($C$9&gt;$AG$51,ROUND(BH39*IF(#REF!="",0,#REF!)/(DATEVALUE(CONCATENATE("01/01/",YEAR(AR40)+1))-DATEVALUE(CONCATENATE("01/01/",YEAR(AR40))))*(AR40-AR39),2),0))</f>
        <v>#REF!</v>
      </c>
    </row>
    <row r="86" spans="1:65" s="16" customFormat="1" ht="14.4" x14ac:dyDescent="0.3">
      <c r="A86" s="178"/>
      <c r="B86" s="178"/>
      <c r="C86" s="184"/>
      <c r="D86" s="184"/>
      <c r="E86" s="178"/>
      <c r="F86" s="178"/>
      <c r="G86" s="244">
        <f t="shared" si="74"/>
        <v>78</v>
      </c>
      <c r="H86" s="245">
        <f t="shared" si="54"/>
        <v>47688</v>
      </c>
      <c r="I86" s="246">
        <f t="shared" si="55"/>
        <v>0.21900000000000003</v>
      </c>
      <c r="J86" s="242">
        <f t="shared" si="56"/>
        <v>0</v>
      </c>
      <c r="K86" s="242">
        <f t="shared" si="68"/>
        <v>0</v>
      </c>
      <c r="L86" s="242">
        <f t="shared" si="57"/>
        <v>0</v>
      </c>
      <c r="M86" s="242">
        <f t="shared" si="69"/>
        <v>0</v>
      </c>
      <c r="N86" s="242">
        <f t="shared" si="50"/>
        <v>0</v>
      </c>
      <c r="O86" s="242">
        <v>0</v>
      </c>
      <c r="P86" s="242">
        <f t="shared" ref="P86:P108" si="80">L86+Q86</f>
        <v>0</v>
      </c>
      <c r="Q86" s="242">
        <f t="shared" si="51"/>
        <v>0</v>
      </c>
      <c r="R86" s="242">
        <f t="shared" si="58"/>
        <v>0</v>
      </c>
      <c r="S86" s="242">
        <f t="shared" si="70"/>
        <v>0</v>
      </c>
      <c r="T86" s="467">
        <f t="shared" si="49"/>
        <v>0</v>
      </c>
      <c r="U86" s="36">
        <f t="shared" si="75"/>
        <v>0</v>
      </c>
      <c r="V86" s="36">
        <f t="shared" si="60"/>
        <v>0</v>
      </c>
      <c r="W86" s="36">
        <f t="shared" si="61"/>
        <v>0</v>
      </c>
      <c r="X86" s="2" t="e">
        <f>IF(AND(G51&gt;=$X$11,G51&lt;=$X$11+5),0,IF($C$9&gt;$AG$51,ROUND(S50*#REF!/(DATEVALUE(CONCATENATE("01/01/",YEAR(H51)+1))-DATEVALUE(CONCATENATE("01/01/",YEAR(H51))))*(H51-H50),2),0))</f>
        <v>#REF!</v>
      </c>
      <c r="Y86" s="34">
        <f t="shared" si="43"/>
        <v>0</v>
      </c>
      <c r="Z86" s="57">
        <f t="shared" si="41"/>
        <v>61010</v>
      </c>
      <c r="AD86" s="140"/>
      <c r="AE86" s="140"/>
      <c r="AF86" s="140" t="s">
        <v>106</v>
      </c>
      <c r="AG86" s="140" t="s">
        <v>107</v>
      </c>
      <c r="AH86" s="140" t="s">
        <v>108</v>
      </c>
      <c r="AI86" s="140" t="s">
        <v>109</v>
      </c>
      <c r="AJ86" s="140" t="s">
        <v>110</v>
      </c>
      <c r="AM86" s="2" t="e">
        <f>IF(AND(Z43&gt;=$X$11,Z43&lt;=$X$11+5),0,IF($C$9&gt;$AG$51,ROUND(AJ46*#REF!/(DATEVALUE(CONCATENATE("01/01/",YEAR(AA43)+1))-DATEVALUE(CONCATENATE("01/01/",YEAR(AA43))))*(AA43-AA42),2),0))</f>
        <v>#REF!</v>
      </c>
      <c r="AN86" s="34">
        <f t="shared" si="45"/>
        <v>0</v>
      </c>
      <c r="AO86" s="57">
        <f t="shared" si="44"/>
        <v>59550</v>
      </c>
      <c r="AP86" s="130">
        <f t="shared" si="62"/>
        <v>0</v>
      </c>
      <c r="AQ86" s="553">
        <f t="shared" si="76"/>
        <v>78</v>
      </c>
      <c r="AR86" s="554">
        <f t="shared" si="63"/>
        <v>47688</v>
      </c>
      <c r="AS86" s="555">
        <f t="shared" si="46"/>
        <v>0.27900000000000003</v>
      </c>
      <c r="AT86" s="546">
        <f t="shared" si="64"/>
        <v>0</v>
      </c>
      <c r="AU86" s="546">
        <f t="shared" si="71"/>
        <v>0</v>
      </c>
      <c r="AV86" s="546">
        <f t="shared" si="65"/>
        <v>0</v>
      </c>
      <c r="AW86" s="546">
        <f t="shared" si="66"/>
        <v>0</v>
      </c>
      <c r="AX86" s="559">
        <f t="shared" si="52"/>
        <v>0</v>
      </c>
      <c r="AY86" s="559">
        <v>0</v>
      </c>
      <c r="AZ86" s="559">
        <f t="shared" ref="AZ86:AZ108" si="81">AV86+BA86</f>
        <v>0</v>
      </c>
      <c r="BA86" s="559">
        <f t="shared" si="79"/>
        <v>0</v>
      </c>
      <c r="BB86" s="559">
        <f t="shared" si="78"/>
        <v>0</v>
      </c>
      <c r="BC86" s="559"/>
      <c r="BD86" s="559"/>
      <c r="BE86" s="559"/>
      <c r="BF86" s="559"/>
      <c r="BG86" s="559"/>
      <c r="BH86" s="546">
        <f t="shared" si="67"/>
        <v>0</v>
      </c>
      <c r="BI86" s="108">
        <f t="shared" si="77"/>
        <v>0</v>
      </c>
      <c r="BJ86" s="108">
        <f t="shared" si="72"/>
        <v>0</v>
      </c>
      <c r="BK86" s="22">
        <f t="shared" si="73"/>
        <v>47688</v>
      </c>
      <c r="BL86" s="108">
        <f t="shared" si="53"/>
        <v>0</v>
      </c>
      <c r="BM86" s="2" t="e">
        <f>IF(AND(G41&gt;=$X$11,G41&lt;=$X$11+5),0,IF($C$9&gt;$AG$51,ROUND(BH40*IF(#REF!="",0,#REF!)/(DATEVALUE(CONCATENATE("01/01/",YEAR(AR41)+1))-DATEVALUE(CONCATENATE("01/01/",YEAR(AR41))))*(AR41-AR40),2),0))</f>
        <v>#REF!</v>
      </c>
    </row>
    <row r="87" spans="1:65" s="16" customFormat="1" ht="14.4" x14ac:dyDescent="0.3">
      <c r="A87" s="178"/>
      <c r="B87" s="178"/>
      <c r="C87" s="184"/>
      <c r="D87" s="184"/>
      <c r="E87" s="178"/>
      <c r="F87" s="178"/>
      <c r="G87" s="244">
        <f t="shared" si="74"/>
        <v>79</v>
      </c>
      <c r="H87" s="245">
        <f t="shared" si="54"/>
        <v>47719</v>
      </c>
      <c r="I87" s="246">
        <f t="shared" si="55"/>
        <v>0.21900000000000003</v>
      </c>
      <c r="J87" s="242">
        <f t="shared" si="56"/>
        <v>0</v>
      </c>
      <c r="K87" s="242">
        <f t="shared" si="68"/>
        <v>0</v>
      </c>
      <c r="L87" s="242">
        <f t="shared" si="57"/>
        <v>0</v>
      </c>
      <c r="M87" s="242">
        <f t="shared" si="69"/>
        <v>0</v>
      </c>
      <c r="N87" s="242">
        <f t="shared" si="50"/>
        <v>0</v>
      </c>
      <c r="O87" s="242">
        <v>0</v>
      </c>
      <c r="P87" s="242">
        <f t="shared" si="80"/>
        <v>0</v>
      </c>
      <c r="Q87" s="242">
        <f t="shared" si="51"/>
        <v>0</v>
      </c>
      <c r="R87" s="242">
        <f t="shared" si="58"/>
        <v>0</v>
      </c>
      <c r="S87" s="242">
        <f t="shared" si="70"/>
        <v>0</v>
      </c>
      <c r="T87" s="467">
        <f t="shared" si="49"/>
        <v>0</v>
      </c>
      <c r="U87" s="36">
        <f t="shared" si="75"/>
        <v>0</v>
      </c>
      <c r="V87" s="36">
        <f t="shared" si="60"/>
        <v>0</v>
      </c>
      <c r="W87" s="36">
        <f t="shared" si="61"/>
        <v>0</v>
      </c>
      <c r="X87" s="2" t="e">
        <f>IF(AND(G52&gt;=$X$11,G52&lt;=$X$11+5),0,IF($C$9&gt;$AG$51,ROUND(S51*#REF!/(DATEVALUE(CONCATENATE("01/01/",YEAR(H52)+1))-DATEVALUE(CONCATENATE("01/01/",YEAR(H52))))*(H52-H51),2),0))</f>
        <v>#REF!</v>
      </c>
      <c r="Y87" s="34">
        <f t="shared" si="43"/>
        <v>0</v>
      </c>
      <c r="Z87" s="57">
        <f t="shared" si="41"/>
        <v>61375</v>
      </c>
      <c r="AD87" s="140"/>
      <c r="AE87" s="140"/>
      <c r="AF87" s="141">
        <v>36</v>
      </c>
      <c r="AG87" s="142">
        <v>37</v>
      </c>
      <c r="AH87" s="142">
        <v>49</v>
      </c>
      <c r="AI87" s="141">
        <v>61</v>
      </c>
      <c r="AJ87" s="141">
        <v>73</v>
      </c>
      <c r="AM87" s="2" t="e">
        <f>IF(AND(Z44&gt;=$X$11,Z44&lt;=$X$11+5),0,IF($C$9&gt;$AG$51,ROUND(AJ47*#REF!/(DATEVALUE(CONCATENATE("01/01/",YEAR(AA44)+1))-DATEVALUE(CONCATENATE("01/01/",YEAR(AA44))))*(AA44-AA43),2),0))</f>
        <v>#REF!</v>
      </c>
      <c r="AN87" s="34">
        <f t="shared" si="45"/>
        <v>0</v>
      </c>
      <c r="AO87" s="57">
        <f t="shared" si="44"/>
        <v>59915</v>
      </c>
      <c r="AP87" s="130">
        <f t="shared" si="62"/>
        <v>0</v>
      </c>
      <c r="AQ87" s="553">
        <f t="shared" si="76"/>
        <v>79</v>
      </c>
      <c r="AR87" s="554">
        <f t="shared" si="63"/>
        <v>47719</v>
      </c>
      <c r="AS87" s="555">
        <f t="shared" si="46"/>
        <v>0.27900000000000003</v>
      </c>
      <c r="AT87" s="546">
        <f t="shared" si="64"/>
        <v>0</v>
      </c>
      <c r="AU87" s="546">
        <f t="shared" si="71"/>
        <v>0</v>
      </c>
      <c r="AV87" s="546">
        <f t="shared" si="65"/>
        <v>0</v>
      </c>
      <c r="AW87" s="546">
        <f t="shared" si="66"/>
        <v>0</v>
      </c>
      <c r="AX87" s="559">
        <f t="shared" si="52"/>
        <v>0</v>
      </c>
      <c r="AY87" s="559">
        <v>0</v>
      </c>
      <c r="AZ87" s="559">
        <f t="shared" si="81"/>
        <v>0</v>
      </c>
      <c r="BA87" s="559">
        <f t="shared" si="79"/>
        <v>0</v>
      </c>
      <c r="BB87" s="559">
        <f t="shared" si="78"/>
        <v>0</v>
      </c>
      <c r="BC87" s="559"/>
      <c r="BD87" s="559"/>
      <c r="BE87" s="559"/>
      <c r="BF87" s="559"/>
      <c r="BG87" s="559"/>
      <c r="BH87" s="546">
        <f t="shared" si="67"/>
        <v>0</v>
      </c>
      <c r="BI87" s="108">
        <f t="shared" si="77"/>
        <v>0</v>
      </c>
      <c r="BJ87" s="108">
        <f t="shared" si="72"/>
        <v>0</v>
      </c>
      <c r="BK87" s="22">
        <f t="shared" si="73"/>
        <v>47719</v>
      </c>
      <c r="BL87" s="108">
        <f t="shared" si="53"/>
        <v>0</v>
      </c>
      <c r="BM87" s="2" t="e">
        <f>IF(AND(G42&gt;=$X$11,G42&lt;=$X$11+5),0,IF($C$9&gt;$AG$51,ROUND(BH41*IF(#REF!="",0,#REF!)/(DATEVALUE(CONCATENATE("01/01/",YEAR(AR42)+1))-DATEVALUE(CONCATENATE("01/01/",YEAR(AR42))))*(AR42-AR41),2),0))</f>
        <v>#REF!</v>
      </c>
    </row>
    <row r="88" spans="1:65" s="16" customFormat="1" ht="14.4" x14ac:dyDescent="0.3">
      <c r="A88" s="178"/>
      <c r="B88" s="178"/>
      <c r="C88" s="184"/>
      <c r="D88" s="184"/>
      <c r="E88" s="178"/>
      <c r="F88" s="178"/>
      <c r="G88" s="244">
        <f t="shared" si="74"/>
        <v>80</v>
      </c>
      <c r="H88" s="245">
        <f t="shared" si="54"/>
        <v>47750</v>
      </c>
      <c r="I88" s="246">
        <f t="shared" si="55"/>
        <v>0.21900000000000003</v>
      </c>
      <c r="J88" s="242">
        <f t="shared" si="56"/>
        <v>0</v>
      </c>
      <c r="K88" s="242">
        <f t="shared" si="68"/>
        <v>0</v>
      </c>
      <c r="L88" s="242">
        <f t="shared" si="57"/>
        <v>0</v>
      </c>
      <c r="M88" s="242">
        <f t="shared" si="69"/>
        <v>0</v>
      </c>
      <c r="N88" s="242">
        <f t="shared" si="50"/>
        <v>0</v>
      </c>
      <c r="O88" s="242">
        <v>0</v>
      </c>
      <c r="P88" s="242">
        <f t="shared" si="80"/>
        <v>0</v>
      </c>
      <c r="Q88" s="242">
        <f t="shared" si="51"/>
        <v>0</v>
      </c>
      <c r="R88" s="242">
        <f t="shared" si="58"/>
        <v>0</v>
      </c>
      <c r="S88" s="242">
        <f t="shared" si="70"/>
        <v>0</v>
      </c>
      <c r="T88" s="467">
        <f t="shared" si="49"/>
        <v>0</v>
      </c>
      <c r="U88" s="36">
        <f t="shared" si="75"/>
        <v>0</v>
      </c>
      <c r="V88" s="36">
        <f t="shared" si="60"/>
        <v>0</v>
      </c>
      <c r="W88" s="36">
        <f t="shared" si="61"/>
        <v>0</v>
      </c>
      <c r="X88" s="2" t="e">
        <f>IF(AND(G53&gt;=$X$11,G53&lt;=$X$11+5),0,IF($C$9&gt;$AG$51,ROUND(S52*#REF!/(DATEVALUE(CONCATENATE("01/01/",YEAR(H53)+1))-DATEVALUE(CONCATENATE("01/01/",YEAR(H53))))*(H53-H52),2),0))</f>
        <v>#REF!</v>
      </c>
      <c r="Y88" s="34">
        <f t="shared" si="43"/>
        <v>0</v>
      </c>
      <c r="Z88" s="57">
        <f t="shared" si="41"/>
        <v>61740</v>
      </c>
      <c r="AD88" s="140"/>
      <c r="AE88" s="140"/>
      <c r="AF88" s="142">
        <v>36</v>
      </c>
      <c r="AG88" s="142">
        <v>48</v>
      </c>
      <c r="AH88" s="142">
        <v>60</v>
      </c>
      <c r="AI88" s="142">
        <v>72</v>
      </c>
      <c r="AJ88" s="142">
        <v>84</v>
      </c>
      <c r="AM88" s="2" t="e">
        <f>IF(AND(Z45&gt;=$X$11,Z45&lt;=$X$11+5),0,IF($C$9&gt;$AG$51,ROUND(AJ48*#REF!/(DATEVALUE(CONCATENATE("01/01/",YEAR(AA45)+1))-DATEVALUE(CONCATENATE("01/01/",YEAR(AA45))))*(AA45-AA44),2),0))</f>
        <v>#REF!</v>
      </c>
      <c r="AN88" s="34">
        <f t="shared" si="45"/>
        <v>0</v>
      </c>
      <c r="AO88" s="57">
        <f t="shared" si="44"/>
        <v>60280</v>
      </c>
      <c r="AP88" s="130">
        <f t="shared" si="62"/>
        <v>0</v>
      </c>
      <c r="AQ88" s="553">
        <f t="shared" si="76"/>
        <v>80</v>
      </c>
      <c r="AR88" s="554">
        <f t="shared" si="63"/>
        <v>47750</v>
      </c>
      <c r="AS88" s="555">
        <f t="shared" si="46"/>
        <v>0.27900000000000003</v>
      </c>
      <c r="AT88" s="546">
        <f t="shared" si="64"/>
        <v>0</v>
      </c>
      <c r="AU88" s="546">
        <f t="shared" si="71"/>
        <v>0</v>
      </c>
      <c r="AV88" s="546">
        <f t="shared" si="65"/>
        <v>0</v>
      </c>
      <c r="AW88" s="546">
        <f t="shared" si="66"/>
        <v>0</v>
      </c>
      <c r="AX88" s="559">
        <f t="shared" si="52"/>
        <v>0</v>
      </c>
      <c r="AY88" s="559">
        <v>0</v>
      </c>
      <c r="AZ88" s="559">
        <f t="shared" si="81"/>
        <v>0</v>
      </c>
      <c r="BA88" s="559">
        <f t="shared" si="79"/>
        <v>0</v>
      </c>
      <c r="BB88" s="559">
        <f t="shared" si="78"/>
        <v>0</v>
      </c>
      <c r="BC88" s="559"/>
      <c r="BD88" s="559"/>
      <c r="BE88" s="559"/>
      <c r="BF88" s="559"/>
      <c r="BG88" s="559"/>
      <c r="BH88" s="546">
        <f t="shared" si="67"/>
        <v>0</v>
      </c>
      <c r="BI88" s="108">
        <f t="shared" si="77"/>
        <v>0</v>
      </c>
      <c r="BJ88" s="108">
        <f t="shared" si="72"/>
        <v>0</v>
      </c>
      <c r="BK88" s="22">
        <f t="shared" si="73"/>
        <v>47750</v>
      </c>
      <c r="BL88" s="108">
        <f t="shared" si="53"/>
        <v>0</v>
      </c>
      <c r="BM88" s="2" t="e">
        <f>IF(AND(G43&gt;=$X$11,G43&lt;=$X$11+5),0,IF($C$9&gt;$AG$51,ROUND(BH42*IF(#REF!="",0,#REF!)/(DATEVALUE(CONCATENATE("01/01/",YEAR(AR43)+1))-DATEVALUE(CONCATENATE("01/01/",YEAR(AR43))))*(AR43-AR42),2),0))</f>
        <v>#REF!</v>
      </c>
    </row>
    <row r="89" spans="1:65" s="16" customFormat="1" ht="13.8" x14ac:dyDescent="0.3">
      <c r="A89" s="178"/>
      <c r="B89" s="178"/>
      <c r="C89" s="184"/>
      <c r="D89" s="184"/>
      <c r="E89" s="178"/>
      <c r="F89" s="178"/>
      <c r="G89" s="244">
        <f t="shared" si="74"/>
        <v>81</v>
      </c>
      <c r="H89" s="245">
        <f t="shared" si="54"/>
        <v>47780</v>
      </c>
      <c r="I89" s="246">
        <f t="shared" si="55"/>
        <v>0.21900000000000003</v>
      </c>
      <c r="J89" s="242">
        <f t="shared" si="56"/>
        <v>0</v>
      </c>
      <c r="K89" s="242">
        <f t="shared" si="68"/>
        <v>0</v>
      </c>
      <c r="L89" s="242">
        <f t="shared" si="57"/>
        <v>0</v>
      </c>
      <c r="M89" s="242">
        <f t="shared" si="69"/>
        <v>0</v>
      </c>
      <c r="N89" s="242">
        <f t="shared" si="50"/>
        <v>0</v>
      </c>
      <c r="O89" s="242">
        <v>0</v>
      </c>
      <c r="P89" s="242">
        <f t="shared" si="80"/>
        <v>0</v>
      </c>
      <c r="Q89" s="242">
        <f t="shared" si="51"/>
        <v>0</v>
      </c>
      <c r="R89" s="242">
        <f t="shared" si="58"/>
        <v>0</v>
      </c>
      <c r="S89" s="242">
        <f t="shared" si="70"/>
        <v>0</v>
      </c>
      <c r="T89" s="467">
        <f t="shared" si="49"/>
        <v>0</v>
      </c>
      <c r="U89" s="36">
        <f t="shared" si="75"/>
        <v>0</v>
      </c>
      <c r="V89" s="36">
        <f t="shared" si="60"/>
        <v>0</v>
      </c>
      <c r="W89" s="36">
        <f t="shared" si="61"/>
        <v>0</v>
      </c>
      <c r="X89" s="2" t="e">
        <f>IF(AND(G54&gt;=$X$11,G54&lt;=$X$11+5),0,IF($C$9&gt;$AG$51,ROUND(S53*#REF!/(DATEVALUE(CONCATENATE("01/01/",YEAR(H54)+1))-DATEVALUE(CONCATENATE("01/01/",YEAR(H54))))*(H54-H53),2),0))</f>
        <v>#REF!</v>
      </c>
      <c r="Y89" s="34">
        <f t="shared" si="43"/>
        <v>0</v>
      </c>
      <c r="Z89" s="57">
        <f t="shared" si="41"/>
        <v>62105</v>
      </c>
      <c r="AD89" s="142">
        <v>0</v>
      </c>
      <c r="AE89" s="142">
        <v>300000</v>
      </c>
      <c r="AF89" s="580">
        <v>2499</v>
      </c>
      <c r="AG89" s="580">
        <v>3499</v>
      </c>
      <c r="AH89" s="580">
        <v>5499</v>
      </c>
      <c r="AI89" s="580">
        <v>5499</v>
      </c>
      <c r="AJ89" s="580">
        <v>5499</v>
      </c>
      <c r="AM89" s="2" t="e">
        <f>IF(AND(Z46&gt;=$X$11,Z46&lt;=$X$11+5),0,IF($C$9&gt;$AG$51,ROUND(AJ49*#REF!/(DATEVALUE(CONCATENATE("01/01/",YEAR(AA46)+1))-DATEVALUE(CONCATENATE("01/01/",YEAR(AA46))))*(AA46-AA45),2),0))</f>
        <v>#REF!</v>
      </c>
      <c r="AN89" s="34">
        <f t="shared" si="45"/>
        <v>0</v>
      </c>
      <c r="AO89" s="57">
        <f t="shared" si="44"/>
        <v>60645</v>
      </c>
      <c r="AP89" s="130">
        <f t="shared" si="62"/>
        <v>0</v>
      </c>
      <c r="AQ89" s="553">
        <f t="shared" si="76"/>
        <v>81</v>
      </c>
      <c r="AR89" s="554">
        <f t="shared" si="63"/>
        <v>47780</v>
      </c>
      <c r="AS89" s="555">
        <f t="shared" si="46"/>
        <v>0.27900000000000003</v>
      </c>
      <c r="AT89" s="546">
        <f t="shared" si="64"/>
        <v>0</v>
      </c>
      <c r="AU89" s="546">
        <f t="shared" si="71"/>
        <v>0</v>
      </c>
      <c r="AV89" s="546">
        <f t="shared" si="65"/>
        <v>0</v>
      </c>
      <c r="AW89" s="546">
        <f t="shared" si="66"/>
        <v>0</v>
      </c>
      <c r="AX89" s="559">
        <f t="shared" si="52"/>
        <v>0</v>
      </c>
      <c r="AY89" s="559">
        <v>0</v>
      </c>
      <c r="AZ89" s="559">
        <f t="shared" si="81"/>
        <v>0</v>
      </c>
      <c r="BA89" s="559">
        <f t="shared" si="79"/>
        <v>0</v>
      </c>
      <c r="BB89" s="559">
        <f t="shared" si="78"/>
        <v>0</v>
      </c>
      <c r="BC89" s="559"/>
      <c r="BD89" s="559"/>
      <c r="BE89" s="559"/>
      <c r="BF89" s="559"/>
      <c r="BG89" s="559"/>
      <c r="BH89" s="546">
        <f t="shared" si="67"/>
        <v>0</v>
      </c>
      <c r="BI89" s="108">
        <f t="shared" si="77"/>
        <v>0</v>
      </c>
      <c r="BJ89" s="108">
        <f t="shared" si="72"/>
        <v>0</v>
      </c>
      <c r="BK89" s="22">
        <f t="shared" si="73"/>
        <v>47780</v>
      </c>
      <c r="BL89" s="108">
        <f t="shared" si="53"/>
        <v>0</v>
      </c>
      <c r="BM89" s="2" t="e">
        <f>IF(AND(G44&gt;=$X$11,G44&lt;=$X$11+5),0,IF($C$9&gt;$AG$51,ROUND(BH43*IF(#REF!="",0,#REF!)/(DATEVALUE(CONCATENATE("01/01/",YEAR(AR44)+1))-DATEVALUE(CONCATENATE("01/01/",YEAR(AR44))))*(AR44-AR43),2),0))</f>
        <v>#REF!</v>
      </c>
    </row>
    <row r="90" spans="1:65" s="16" customFormat="1" ht="13.8" x14ac:dyDescent="0.3">
      <c r="A90" s="178"/>
      <c r="B90" s="178"/>
      <c r="C90" s="184"/>
      <c r="D90" s="184"/>
      <c r="E90" s="184"/>
      <c r="F90" s="184"/>
      <c r="G90" s="244">
        <f t="shared" si="74"/>
        <v>82</v>
      </c>
      <c r="H90" s="245">
        <f t="shared" si="54"/>
        <v>47811</v>
      </c>
      <c r="I90" s="246">
        <f t="shared" si="55"/>
        <v>0.21900000000000003</v>
      </c>
      <c r="J90" s="242">
        <f t="shared" si="56"/>
        <v>0</v>
      </c>
      <c r="K90" s="242">
        <f t="shared" si="68"/>
        <v>0</v>
      </c>
      <c r="L90" s="242">
        <f t="shared" si="57"/>
        <v>0</v>
      </c>
      <c r="M90" s="242">
        <f t="shared" si="69"/>
        <v>0</v>
      </c>
      <c r="N90" s="242">
        <f t="shared" si="50"/>
        <v>0</v>
      </c>
      <c r="O90" s="242">
        <v>0</v>
      </c>
      <c r="P90" s="242">
        <f t="shared" si="80"/>
        <v>0</v>
      </c>
      <c r="Q90" s="242">
        <f t="shared" si="51"/>
        <v>0</v>
      </c>
      <c r="R90" s="242">
        <f t="shared" si="58"/>
        <v>0</v>
      </c>
      <c r="S90" s="242">
        <f t="shared" si="70"/>
        <v>0</v>
      </c>
      <c r="T90" s="467">
        <f t="shared" si="49"/>
        <v>0</v>
      </c>
      <c r="U90" s="36">
        <f t="shared" si="75"/>
        <v>0</v>
      </c>
      <c r="V90" s="36">
        <f t="shared" si="60"/>
        <v>0</v>
      </c>
      <c r="W90" s="36">
        <f t="shared" si="61"/>
        <v>0</v>
      </c>
      <c r="X90" s="2" t="e">
        <f>IF(AND(G55&gt;=$X$11,G55&lt;=$X$11+5),0,IF($C$9&gt;$AG$51,ROUND(S54*#REF!/(DATEVALUE(CONCATENATE("01/01/",YEAR(H55)+1))-DATEVALUE(CONCATENATE("01/01/",YEAR(H55))))*(H55-H54),2),0))</f>
        <v>#REF!</v>
      </c>
      <c r="Y90" s="34">
        <f t="shared" si="43"/>
        <v>0</v>
      </c>
      <c r="Z90" s="57">
        <f t="shared" si="41"/>
        <v>62470</v>
      </c>
      <c r="AD90" s="142">
        <v>300001</v>
      </c>
      <c r="AE90" s="142">
        <v>500000</v>
      </c>
      <c r="AF90" s="580">
        <v>3499</v>
      </c>
      <c r="AG90" s="580">
        <v>4999</v>
      </c>
      <c r="AH90" s="580">
        <v>6999</v>
      </c>
      <c r="AI90" s="580">
        <v>6999</v>
      </c>
      <c r="AJ90" s="580">
        <v>6999</v>
      </c>
      <c r="AM90" s="2" t="e">
        <f>IF(AND(Z47&gt;=$X$11,Z47&lt;=$X$11+5),0,IF($C$9&gt;$AG$51,ROUND(AJ50*#REF!/(DATEVALUE(CONCATENATE("01/01/",YEAR(AA47)+1))-DATEVALUE(CONCATENATE("01/01/",YEAR(AA47))))*(AA47-AA46),2),0))</f>
        <v>#REF!</v>
      </c>
      <c r="AN90" s="34">
        <f t="shared" si="45"/>
        <v>0</v>
      </c>
      <c r="AO90" s="57">
        <f t="shared" si="44"/>
        <v>61010</v>
      </c>
      <c r="AP90" s="130">
        <f t="shared" si="62"/>
        <v>0</v>
      </c>
      <c r="AQ90" s="553">
        <f t="shared" si="76"/>
        <v>82</v>
      </c>
      <c r="AR90" s="554">
        <f t="shared" si="63"/>
        <v>47811</v>
      </c>
      <c r="AS90" s="555">
        <f t="shared" si="46"/>
        <v>0.27900000000000003</v>
      </c>
      <c r="AT90" s="546">
        <f t="shared" si="64"/>
        <v>0</v>
      </c>
      <c r="AU90" s="546">
        <f t="shared" si="71"/>
        <v>0</v>
      </c>
      <c r="AV90" s="546">
        <f t="shared" si="65"/>
        <v>0</v>
      </c>
      <c r="AW90" s="546">
        <f t="shared" si="66"/>
        <v>0</v>
      </c>
      <c r="AX90" s="559">
        <f t="shared" si="52"/>
        <v>0</v>
      </c>
      <c r="AY90" s="559">
        <v>0</v>
      </c>
      <c r="AZ90" s="559">
        <f t="shared" si="81"/>
        <v>0</v>
      </c>
      <c r="BA90" s="559">
        <f t="shared" si="79"/>
        <v>0</v>
      </c>
      <c r="BB90" s="559">
        <f t="shared" si="78"/>
        <v>0</v>
      </c>
      <c r="BC90" s="559"/>
      <c r="BD90" s="559"/>
      <c r="BE90" s="559"/>
      <c r="BF90" s="559"/>
      <c r="BG90" s="559"/>
      <c r="BH90" s="546">
        <f t="shared" si="67"/>
        <v>0</v>
      </c>
      <c r="BI90" s="108">
        <f t="shared" si="77"/>
        <v>0</v>
      </c>
      <c r="BJ90" s="108">
        <f t="shared" si="72"/>
        <v>0</v>
      </c>
      <c r="BK90" s="22">
        <f t="shared" si="73"/>
        <v>47811</v>
      </c>
      <c r="BL90" s="108">
        <f t="shared" si="53"/>
        <v>0</v>
      </c>
      <c r="BM90" s="2" t="e">
        <f>IF(AND(G45&gt;=$X$11,G45&lt;=$X$11+5),0,IF($C$9&gt;$AG$51,ROUND(BH44*IF(#REF!="",0,#REF!)/(DATEVALUE(CONCATENATE("01/01/",YEAR(AR45)+1))-DATEVALUE(CONCATENATE("01/01/",YEAR(AR45))))*(AR45-AR44),2),0))</f>
        <v>#REF!</v>
      </c>
    </row>
    <row r="91" spans="1:65" s="16" customFormat="1" ht="13.8" x14ac:dyDescent="0.3">
      <c r="A91" s="178"/>
      <c r="B91" s="178"/>
      <c r="C91" s="184"/>
      <c r="D91" s="184"/>
      <c r="E91" s="184"/>
      <c r="F91" s="184"/>
      <c r="G91" s="244">
        <f t="shared" si="74"/>
        <v>83</v>
      </c>
      <c r="H91" s="245">
        <f t="shared" si="54"/>
        <v>47841</v>
      </c>
      <c r="I91" s="246">
        <f t="shared" si="55"/>
        <v>0.21900000000000003</v>
      </c>
      <c r="J91" s="242">
        <f t="shared" si="56"/>
        <v>0</v>
      </c>
      <c r="K91" s="242">
        <f t="shared" si="68"/>
        <v>0</v>
      </c>
      <c r="L91" s="242">
        <f t="shared" si="57"/>
        <v>0</v>
      </c>
      <c r="M91" s="242">
        <f t="shared" si="69"/>
        <v>0</v>
      </c>
      <c r="N91" s="242">
        <f t="shared" si="50"/>
        <v>0</v>
      </c>
      <c r="O91" s="242">
        <v>0</v>
      </c>
      <c r="P91" s="242">
        <f t="shared" si="80"/>
        <v>0</v>
      </c>
      <c r="Q91" s="242">
        <f t="shared" si="51"/>
        <v>0</v>
      </c>
      <c r="R91" s="242">
        <f t="shared" si="58"/>
        <v>0</v>
      </c>
      <c r="S91" s="242">
        <f t="shared" si="70"/>
        <v>0</v>
      </c>
      <c r="T91" s="467">
        <f t="shared" si="49"/>
        <v>0</v>
      </c>
      <c r="U91" s="36">
        <f t="shared" si="75"/>
        <v>0</v>
      </c>
      <c r="V91" s="36">
        <f t="shared" si="60"/>
        <v>0</v>
      </c>
      <c r="W91" s="36">
        <f t="shared" si="61"/>
        <v>0</v>
      </c>
      <c r="X91" s="2" t="e">
        <f>IF(AND(G56&gt;=$X$11,G56&lt;=$X$11+5),0,IF($C$9&gt;$AG$51,ROUND(S55*#REF!/(DATEVALUE(CONCATENATE("01/01/",YEAR(H56)+1))-DATEVALUE(CONCATENATE("01/01/",YEAR(H56))))*(H56-H55),2),0))</f>
        <v>#REF!</v>
      </c>
      <c r="Y91" s="34">
        <f t="shared" si="43"/>
        <v>0</v>
      </c>
      <c r="Z91" s="57">
        <f t="shared" si="41"/>
        <v>62835</v>
      </c>
      <c r="AD91" s="142">
        <v>500001</v>
      </c>
      <c r="AE91" s="142">
        <v>1000000</v>
      </c>
      <c r="AF91" s="580">
        <v>4999</v>
      </c>
      <c r="AG91" s="580">
        <v>6499</v>
      </c>
      <c r="AH91" s="580">
        <v>8499</v>
      </c>
      <c r="AI91" s="580">
        <v>9499</v>
      </c>
      <c r="AJ91" s="580">
        <v>10999</v>
      </c>
      <c r="AM91" s="2" t="e">
        <f>IF(AND(Z48&gt;=$X$11,Z48&lt;=$X$11+5),0,IF($C$9&gt;$AG$51,ROUND(AJ51*#REF!/(DATEVALUE(CONCATENATE("01/01/",YEAR(AA48)+1))-DATEVALUE(CONCATENATE("01/01/",YEAR(AA48))))*(AA48-AA47),2),0))</f>
        <v>#REF!</v>
      </c>
      <c r="AN91" s="34">
        <f t="shared" si="45"/>
        <v>0</v>
      </c>
      <c r="AO91" s="57">
        <f t="shared" si="44"/>
        <v>61375</v>
      </c>
      <c r="AP91" s="130">
        <f t="shared" si="62"/>
        <v>0</v>
      </c>
      <c r="AQ91" s="553">
        <f t="shared" si="76"/>
        <v>83</v>
      </c>
      <c r="AR91" s="554">
        <f t="shared" si="63"/>
        <v>47841</v>
      </c>
      <c r="AS91" s="555">
        <f t="shared" si="46"/>
        <v>0.27900000000000003</v>
      </c>
      <c r="AT91" s="546">
        <f t="shared" si="64"/>
        <v>0</v>
      </c>
      <c r="AU91" s="546">
        <f t="shared" si="71"/>
        <v>0</v>
      </c>
      <c r="AV91" s="546">
        <f t="shared" si="65"/>
        <v>0</v>
      </c>
      <c r="AW91" s="546">
        <f t="shared" si="66"/>
        <v>0</v>
      </c>
      <c r="AX91" s="559">
        <f t="shared" si="52"/>
        <v>0</v>
      </c>
      <c r="AY91" s="559">
        <v>0</v>
      </c>
      <c r="AZ91" s="559">
        <f t="shared" si="81"/>
        <v>0</v>
      </c>
      <c r="BA91" s="559">
        <f t="shared" si="79"/>
        <v>0</v>
      </c>
      <c r="BB91" s="559">
        <f t="shared" si="78"/>
        <v>0</v>
      </c>
      <c r="BC91" s="559"/>
      <c r="BD91" s="559"/>
      <c r="BE91" s="559"/>
      <c r="BF91" s="559"/>
      <c r="BG91" s="559"/>
      <c r="BH91" s="546">
        <f t="shared" si="67"/>
        <v>0</v>
      </c>
      <c r="BI91" s="108">
        <f t="shared" si="77"/>
        <v>0</v>
      </c>
      <c r="BJ91" s="108">
        <f t="shared" si="72"/>
        <v>0</v>
      </c>
      <c r="BK91" s="22">
        <f t="shared" si="73"/>
        <v>47841</v>
      </c>
      <c r="BL91" s="108">
        <f t="shared" si="53"/>
        <v>0</v>
      </c>
      <c r="BM91" s="2" t="e">
        <f>IF(AND(G46&gt;=$X$11,G46&lt;=$X$11+5),0,IF($C$9&gt;$AG$51,ROUND(BH45*IF(#REF!="",0,#REF!)/(DATEVALUE(CONCATENATE("01/01/",YEAR(AR46)+1))-DATEVALUE(CONCATENATE("01/01/",YEAR(AR46))))*(AR46-AR45),2),0))</f>
        <v>#REF!</v>
      </c>
    </row>
    <row r="92" spans="1:65" s="16" customFormat="1" ht="13.8" x14ac:dyDescent="0.3">
      <c r="A92" s="178"/>
      <c r="B92" s="178"/>
      <c r="C92" s="184"/>
      <c r="D92" s="184"/>
      <c r="E92" s="184"/>
      <c r="F92" s="184"/>
      <c r="G92" s="244">
        <f t="shared" si="74"/>
        <v>84</v>
      </c>
      <c r="H92" s="245">
        <f t="shared" si="54"/>
        <v>47872</v>
      </c>
      <c r="I92" s="246">
        <f t="shared" si="55"/>
        <v>0.21900000000000003</v>
      </c>
      <c r="J92" s="242">
        <f t="shared" si="56"/>
        <v>0</v>
      </c>
      <c r="K92" s="242">
        <f t="shared" si="68"/>
        <v>0</v>
      </c>
      <c r="L92" s="242">
        <f t="shared" si="57"/>
        <v>0</v>
      </c>
      <c r="M92" s="242">
        <f t="shared" si="69"/>
        <v>0</v>
      </c>
      <c r="N92" s="242">
        <f t="shared" si="50"/>
        <v>0</v>
      </c>
      <c r="O92" s="242">
        <v>0</v>
      </c>
      <c r="P92" s="242">
        <f t="shared" si="80"/>
        <v>0</v>
      </c>
      <c r="Q92" s="242">
        <f t="shared" si="51"/>
        <v>0</v>
      </c>
      <c r="R92" s="242">
        <f t="shared" si="58"/>
        <v>0</v>
      </c>
      <c r="S92" s="242">
        <f t="shared" si="70"/>
        <v>0</v>
      </c>
      <c r="T92" s="467">
        <f t="shared" si="49"/>
        <v>0</v>
      </c>
      <c r="U92" s="36">
        <f t="shared" si="75"/>
        <v>0</v>
      </c>
      <c r="V92" s="36">
        <f t="shared" si="60"/>
        <v>0</v>
      </c>
      <c r="W92" s="36">
        <f t="shared" si="61"/>
        <v>0</v>
      </c>
      <c r="X92" s="2" t="e">
        <f>IF(AND(G57&gt;=$X$11,G57&lt;=$X$11+5),0,IF($C$9&gt;$AG$51,ROUND(S56*#REF!/(DATEVALUE(CONCATENATE("01/01/",YEAR(H57)+1))-DATEVALUE(CONCATENATE("01/01/",YEAR(H57))))*(H57-H56),2),0))</f>
        <v>#REF!</v>
      </c>
      <c r="Y92" s="34">
        <f t="shared" si="43"/>
        <v>0</v>
      </c>
      <c r="Z92" s="57">
        <f t="shared" si="41"/>
        <v>63200</v>
      </c>
      <c r="AD92" s="142">
        <v>1000001</v>
      </c>
      <c r="AE92" s="142">
        <v>10000000</v>
      </c>
      <c r="AF92" s="580">
        <v>6499</v>
      </c>
      <c r="AG92" s="580">
        <v>8499</v>
      </c>
      <c r="AH92" s="580">
        <v>9999</v>
      </c>
      <c r="AI92" s="580">
        <v>10999</v>
      </c>
      <c r="AJ92" s="580">
        <v>11999</v>
      </c>
      <c r="AM92" s="2" t="e">
        <f>IF(AND(Z49&gt;=$X$11,Z49&lt;=$X$11+5),0,IF($C$9&gt;$AG$51,ROUND(AJ52*#REF!/(DATEVALUE(CONCATENATE("01/01/",YEAR(AA49)+1))-DATEVALUE(CONCATENATE("01/01/",YEAR(AA49))))*(AA49-AA48),2),0))</f>
        <v>#REF!</v>
      </c>
      <c r="AN92" s="34">
        <f t="shared" si="45"/>
        <v>0</v>
      </c>
      <c r="AO92" s="57">
        <f t="shared" si="44"/>
        <v>61740</v>
      </c>
      <c r="AP92" s="130">
        <f t="shared" si="62"/>
        <v>0</v>
      </c>
      <c r="AQ92" s="553">
        <f t="shared" si="76"/>
        <v>84</v>
      </c>
      <c r="AR92" s="554">
        <f t="shared" si="63"/>
        <v>47872</v>
      </c>
      <c r="AS92" s="555">
        <f t="shared" si="46"/>
        <v>0.27900000000000003</v>
      </c>
      <c r="AT92" s="546">
        <f t="shared" si="64"/>
        <v>0</v>
      </c>
      <c r="AU92" s="546">
        <f t="shared" si="71"/>
        <v>0</v>
      </c>
      <c r="AV92" s="546">
        <f t="shared" si="65"/>
        <v>0</v>
      </c>
      <c r="AW92" s="546">
        <f t="shared" si="66"/>
        <v>0</v>
      </c>
      <c r="AX92" s="559">
        <f t="shared" si="52"/>
        <v>0</v>
      </c>
      <c r="AY92" s="559">
        <v>0</v>
      </c>
      <c r="AZ92" s="559">
        <f t="shared" si="81"/>
        <v>0</v>
      </c>
      <c r="BA92" s="559">
        <f t="shared" si="79"/>
        <v>0</v>
      </c>
      <c r="BB92" s="559">
        <f t="shared" si="78"/>
        <v>0</v>
      </c>
      <c r="BC92" s="559"/>
      <c r="BD92" s="559"/>
      <c r="BE92" s="559"/>
      <c r="BF92" s="559"/>
      <c r="BG92" s="559"/>
      <c r="BH92" s="546">
        <f t="shared" si="67"/>
        <v>0</v>
      </c>
      <c r="BI92" s="108">
        <f t="shared" si="77"/>
        <v>0</v>
      </c>
      <c r="BJ92" s="108">
        <f t="shared" si="72"/>
        <v>0</v>
      </c>
      <c r="BK92" s="22">
        <f t="shared" si="73"/>
        <v>47872</v>
      </c>
      <c r="BL92" s="108">
        <f t="shared" si="53"/>
        <v>0</v>
      </c>
      <c r="BM92" s="2" t="e">
        <f>IF(AND(G47&gt;=$X$11,G47&lt;=$X$11+5),0,IF($C$9&gt;$AG$51,ROUND(BH46*IF(#REF!="",0,#REF!)/(DATEVALUE(CONCATENATE("01/01/",YEAR(AR47)+1))-DATEVALUE(CONCATENATE("01/01/",YEAR(AR47))))*(AR47-AR46),2),0))</f>
        <v>#REF!</v>
      </c>
    </row>
    <row r="93" spans="1:65" s="16" customFormat="1" x14ac:dyDescent="0.3">
      <c r="A93" s="178"/>
      <c r="B93" s="178"/>
      <c r="C93" s="184"/>
      <c r="D93" s="184"/>
      <c r="E93" s="184"/>
      <c r="F93" s="184"/>
      <c r="G93" s="114">
        <f t="shared" si="74"/>
        <v>85</v>
      </c>
      <c r="H93" s="245">
        <f t="shared" si="54"/>
        <v>47903</v>
      </c>
      <c r="I93" s="246">
        <f t="shared" si="55"/>
        <v>0.21900000000000003</v>
      </c>
      <c r="J93" s="24">
        <f t="shared" si="56"/>
        <v>0</v>
      </c>
      <c r="K93" s="242">
        <f t="shared" si="68"/>
        <v>0</v>
      </c>
      <c r="L93" s="242">
        <f t="shared" si="57"/>
        <v>0</v>
      </c>
      <c r="M93" s="24">
        <f t="shared" ref="M93:M108" si="82">IF(V93=0,0,IF(V93=1,S92,IF(S92+N93+L93&gt;K92,K93-L93-N93,S92)))</f>
        <v>0</v>
      </c>
      <c r="N93" s="24">
        <f t="shared" si="50"/>
        <v>0</v>
      </c>
      <c r="O93" s="24">
        <v>0</v>
      </c>
      <c r="P93" s="24">
        <f t="shared" si="80"/>
        <v>0</v>
      </c>
      <c r="Q93" s="24">
        <f t="shared" si="51"/>
        <v>0</v>
      </c>
      <c r="R93" s="24">
        <f t="shared" si="58"/>
        <v>0</v>
      </c>
      <c r="S93" s="24">
        <f t="shared" si="70"/>
        <v>0</v>
      </c>
      <c r="T93" s="24">
        <f>IF(G93=C35,'КЭШ, Реф (БВ_ОПТИ_Базовый)'!$C$26-'КЭШ, Реф (БВ_ОПТИ_Базовый)'!$C$27,0)</f>
        <v>0</v>
      </c>
      <c r="U93" s="36">
        <f t="shared" si="75"/>
        <v>0</v>
      </c>
      <c r="V93" s="36">
        <f t="shared" si="60"/>
        <v>0</v>
      </c>
      <c r="W93" s="36">
        <f t="shared" si="61"/>
        <v>0</v>
      </c>
      <c r="X93" s="2" t="e">
        <f>IF(AND(G58&gt;=$X$11,G58&lt;=$X$11+5),0,IF($C$9&gt;$AG$51,ROUND(S57*#REF!/(DATEVALUE(CONCATENATE("01/01/",YEAR(H58)+1))-DATEVALUE(CONCATENATE("01/01/",YEAR(H58))))*(H58-H57),2),0))</f>
        <v>#REF!</v>
      </c>
      <c r="Y93" s="34">
        <f t="shared" si="43"/>
        <v>0</v>
      </c>
      <c r="Z93" s="57">
        <f t="shared" si="41"/>
        <v>63565</v>
      </c>
      <c r="AF93" s="16">
        <f>IF($C$7&gt;AE89,AF90,IF($C$7&gt;AE90,AF91,IF($C$7&gt;AE91,AF92,AF89)))</f>
        <v>2499</v>
      </c>
      <c r="AM93" s="2" t="e">
        <f>IF(AND(Z50&gt;=$X$11,Z50&lt;=$X$11+5),0,IF($C$9&gt;$AG$51,ROUND(AJ53*#REF!/(DATEVALUE(CONCATENATE("01/01/",YEAR(AA50)+1))-DATEVALUE(CONCATENATE("01/01/",YEAR(AA50))))*(AA50-AA49),2),0))</f>
        <v>#REF!</v>
      </c>
      <c r="AN93" s="34">
        <f t="shared" si="45"/>
        <v>0</v>
      </c>
      <c r="AO93" s="57">
        <f t="shared" si="44"/>
        <v>62105</v>
      </c>
      <c r="AP93" s="130">
        <f t="shared" si="62"/>
        <v>0</v>
      </c>
      <c r="AQ93" s="109">
        <f t="shared" si="76"/>
        <v>85</v>
      </c>
      <c r="AR93" s="681">
        <f t="shared" si="63"/>
        <v>47903</v>
      </c>
      <c r="AS93" s="177">
        <f t="shared" si="46"/>
        <v>0.27900000000000003</v>
      </c>
      <c r="AT93" s="105">
        <f t="shared" si="64"/>
        <v>0</v>
      </c>
      <c r="AU93" s="105">
        <f t="shared" si="71"/>
        <v>0</v>
      </c>
      <c r="AV93" s="559">
        <f t="shared" si="65"/>
        <v>0</v>
      </c>
      <c r="AW93" s="105">
        <f t="shared" si="66"/>
        <v>0</v>
      </c>
      <c r="AX93" s="105">
        <f t="shared" si="52"/>
        <v>0</v>
      </c>
      <c r="AY93" s="105">
        <v>0</v>
      </c>
      <c r="AZ93" s="105">
        <f t="shared" si="81"/>
        <v>0</v>
      </c>
      <c r="BA93" s="105">
        <f t="shared" si="79"/>
        <v>0</v>
      </c>
      <c r="BB93" s="105">
        <f t="shared" si="78"/>
        <v>0</v>
      </c>
      <c r="BC93" s="105"/>
      <c r="BD93" s="105"/>
      <c r="BE93" s="105"/>
      <c r="BF93" s="105"/>
      <c r="BG93" s="105"/>
      <c r="BH93" s="105">
        <f t="shared" si="67"/>
        <v>0</v>
      </c>
      <c r="BI93" s="108">
        <f t="shared" si="77"/>
        <v>0</v>
      </c>
      <c r="BJ93" s="108">
        <f t="shared" si="72"/>
        <v>0</v>
      </c>
      <c r="BK93" s="22">
        <f t="shared" si="73"/>
        <v>47903</v>
      </c>
      <c r="BL93" s="108">
        <f t="shared" si="53"/>
        <v>0</v>
      </c>
      <c r="BM93" s="2" t="e">
        <f>IF(AND(G48&gt;=$X$11,G48&lt;=$X$11+5),0,IF($C$9&gt;$AG$51,ROUND(BH47*IF(#REF!="",0,#REF!)/(DATEVALUE(CONCATENATE("01/01/",YEAR(AR48)+1))-DATEVALUE(CONCATENATE("01/01/",YEAR(AR48))))*(AR48-AR47),2),0))</f>
        <v>#REF!</v>
      </c>
    </row>
    <row r="94" spans="1:65" s="16" customFormat="1" x14ac:dyDescent="0.3">
      <c r="A94" s="178"/>
      <c r="B94" s="178"/>
      <c r="C94" s="184"/>
      <c r="D94" s="184"/>
      <c r="E94" s="184"/>
      <c r="F94" s="184"/>
      <c r="G94" s="114">
        <f t="shared" si="74"/>
        <v>86</v>
      </c>
      <c r="H94" s="245">
        <f t="shared" si="54"/>
        <v>47931</v>
      </c>
      <c r="I94" s="246">
        <f t="shared" si="55"/>
        <v>0.21900000000000003</v>
      </c>
      <c r="J94" s="24">
        <f t="shared" si="56"/>
        <v>0</v>
      </c>
      <c r="K94" s="242">
        <f t="shared" si="68"/>
        <v>0</v>
      </c>
      <c r="L94" s="242">
        <f t="shared" si="57"/>
        <v>0</v>
      </c>
      <c r="M94" s="24">
        <f t="shared" si="82"/>
        <v>0</v>
      </c>
      <c r="N94" s="24">
        <f t="shared" si="50"/>
        <v>0</v>
      </c>
      <c r="O94" s="24">
        <v>0</v>
      </c>
      <c r="P94" s="24">
        <f t="shared" si="80"/>
        <v>0</v>
      </c>
      <c r="Q94" s="24">
        <f t="shared" si="51"/>
        <v>0</v>
      </c>
      <c r="R94" s="24">
        <f t="shared" si="58"/>
        <v>0</v>
      </c>
      <c r="S94" s="24">
        <f t="shared" si="70"/>
        <v>0</v>
      </c>
      <c r="T94" s="24">
        <f>IF(G94=C36,'КЭШ, Реф (БВ_ОПТИ_Базовый)'!$C$26-'КЭШ, Реф (БВ_ОПТИ_Базовый)'!$C$27,0)</f>
        <v>0</v>
      </c>
      <c r="U94" s="36">
        <f t="shared" si="75"/>
        <v>0</v>
      </c>
      <c r="V94" s="36">
        <f t="shared" si="60"/>
        <v>0</v>
      </c>
      <c r="W94" s="36">
        <f t="shared" si="61"/>
        <v>0</v>
      </c>
      <c r="X94" s="2" t="e">
        <f>IF(AND(G59&gt;=$X$11,G59&lt;=$X$11+5),0,IF($C$9&gt;$AG$51,ROUND(S58*#REF!/(DATEVALUE(CONCATENATE("01/01/",YEAR(H59)+1))-DATEVALUE(CONCATENATE("01/01/",YEAR(H59))))*(H59-H58),2),0))</f>
        <v>#REF!</v>
      </c>
      <c r="Y94" s="34">
        <f t="shared" si="43"/>
        <v>0</v>
      </c>
      <c r="Z94" s="57">
        <f t="shared" si="41"/>
        <v>63930</v>
      </c>
      <c r="AM94" s="2" t="e">
        <f>IF(AND(Z51&gt;=$X$11,Z51&lt;=$X$11+5),0,IF($C$9&gt;$AG$51,ROUND(AJ54*#REF!/(DATEVALUE(CONCATENATE("01/01/",YEAR(AA51)+1))-DATEVALUE(CONCATENATE("01/01/",YEAR(AA51))))*(AA51-AA50),2),0))</f>
        <v>#REF!</v>
      </c>
      <c r="AN94" s="34">
        <f t="shared" si="45"/>
        <v>0</v>
      </c>
      <c r="AO94" s="57">
        <f t="shared" si="44"/>
        <v>62470</v>
      </c>
      <c r="AP94" s="130">
        <f t="shared" si="62"/>
        <v>0</v>
      </c>
      <c r="AQ94" s="109">
        <f t="shared" si="76"/>
        <v>86</v>
      </c>
      <c r="AR94" s="681">
        <f t="shared" si="63"/>
        <v>47931</v>
      </c>
      <c r="AS94" s="177">
        <f t="shared" si="46"/>
        <v>0.27900000000000003</v>
      </c>
      <c r="AT94" s="105">
        <f t="shared" si="64"/>
        <v>0</v>
      </c>
      <c r="AU94" s="105">
        <f t="shared" si="71"/>
        <v>0</v>
      </c>
      <c r="AV94" s="559">
        <f t="shared" si="65"/>
        <v>0</v>
      </c>
      <c r="AW94" s="105">
        <f t="shared" si="66"/>
        <v>0</v>
      </c>
      <c r="AX94" s="105">
        <f t="shared" si="52"/>
        <v>0</v>
      </c>
      <c r="AY94" s="105">
        <v>0</v>
      </c>
      <c r="AZ94" s="105">
        <f t="shared" si="81"/>
        <v>0</v>
      </c>
      <c r="BA94" s="105">
        <f t="shared" si="79"/>
        <v>0</v>
      </c>
      <c r="BB94" s="105">
        <f t="shared" si="78"/>
        <v>0</v>
      </c>
      <c r="BC94" s="105"/>
      <c r="BD94" s="105"/>
      <c r="BE94" s="105"/>
      <c r="BF94" s="105"/>
      <c r="BG94" s="105"/>
      <c r="BH94" s="105">
        <f t="shared" si="67"/>
        <v>0</v>
      </c>
      <c r="BI94" s="108">
        <f t="shared" si="77"/>
        <v>0</v>
      </c>
      <c r="BJ94" s="108">
        <f t="shared" si="72"/>
        <v>0</v>
      </c>
      <c r="BK94" s="22">
        <f t="shared" si="73"/>
        <v>47931</v>
      </c>
      <c r="BL94" s="108">
        <f t="shared" si="53"/>
        <v>0</v>
      </c>
      <c r="BM94" s="2" t="e">
        <f>IF(AND(G49&gt;=$X$11,G49&lt;=$X$11+5),0,IF($C$9&gt;$AG$51,ROUND(BH48*IF(#REF!="",0,#REF!)/(DATEVALUE(CONCATENATE("01/01/",YEAR(AR49)+1))-DATEVALUE(CONCATENATE("01/01/",YEAR(AR49))))*(AR49-AR48),2),0))</f>
        <v>#REF!</v>
      </c>
    </row>
    <row r="95" spans="1:65" s="16" customFormat="1" x14ac:dyDescent="0.3">
      <c r="A95" s="178"/>
      <c r="B95" s="178"/>
      <c r="C95" s="184"/>
      <c r="D95" s="184"/>
      <c r="E95" s="184"/>
      <c r="F95" s="184"/>
      <c r="G95" s="114">
        <f t="shared" si="74"/>
        <v>87</v>
      </c>
      <c r="H95" s="245">
        <f t="shared" si="54"/>
        <v>47962</v>
      </c>
      <c r="I95" s="246">
        <f t="shared" si="55"/>
        <v>0.21900000000000003</v>
      </c>
      <c r="J95" s="24">
        <f t="shared" si="56"/>
        <v>0</v>
      </c>
      <c r="K95" s="242">
        <f t="shared" si="68"/>
        <v>0</v>
      </c>
      <c r="L95" s="242">
        <f t="shared" si="57"/>
        <v>0</v>
      </c>
      <c r="M95" s="24">
        <f t="shared" si="82"/>
        <v>0</v>
      </c>
      <c r="N95" s="24">
        <f t="shared" si="50"/>
        <v>0</v>
      </c>
      <c r="O95" s="24">
        <v>0</v>
      </c>
      <c r="P95" s="24">
        <f t="shared" si="80"/>
        <v>0</v>
      </c>
      <c r="Q95" s="24">
        <f t="shared" si="51"/>
        <v>0</v>
      </c>
      <c r="R95" s="24">
        <f t="shared" si="58"/>
        <v>0</v>
      </c>
      <c r="S95" s="24">
        <f t="shared" si="70"/>
        <v>0</v>
      </c>
      <c r="T95" s="24">
        <f>IF(G95=C37,'КЭШ, Реф (БВ_ОПТИ_Базовый)'!$C$26-'КЭШ, Реф (БВ_ОПТИ_Базовый)'!$C$27,0)</f>
        <v>0</v>
      </c>
      <c r="U95" s="36">
        <f t="shared" si="75"/>
        <v>0</v>
      </c>
      <c r="V95" s="36">
        <f t="shared" si="60"/>
        <v>0</v>
      </c>
      <c r="W95" s="36">
        <f t="shared" si="61"/>
        <v>0</v>
      </c>
      <c r="X95" s="2" t="e">
        <f>IF(AND(G60&gt;=$X$11,G60&lt;=$X$11+5),0,IF($C$9&gt;$AG$51,ROUND(S59*#REF!/(DATEVALUE(CONCATENATE("01/01/",YEAR(H60)+1))-DATEVALUE(CONCATENATE("01/01/",YEAR(H60))))*(H60-H59),2),0))</f>
        <v>#REF!</v>
      </c>
      <c r="Y95" s="34">
        <f t="shared" si="43"/>
        <v>0</v>
      </c>
      <c r="Z95" s="57">
        <f t="shared" si="41"/>
        <v>64295</v>
      </c>
      <c r="AM95" s="2" t="e">
        <f>IF(AND(Z52&gt;=$X$11,Z52&lt;=$X$11+5),0,IF($C$9&gt;$AG$51,ROUND(AJ55*#REF!/(DATEVALUE(CONCATENATE("01/01/",YEAR(AA52)+1))-DATEVALUE(CONCATENATE("01/01/",YEAR(AA52))))*(AA52-AA51),2),0))</f>
        <v>#REF!</v>
      </c>
      <c r="AN95" s="34">
        <f t="shared" si="45"/>
        <v>0</v>
      </c>
      <c r="AO95" s="57">
        <f t="shared" si="44"/>
        <v>62835</v>
      </c>
      <c r="AP95" s="130">
        <f t="shared" si="62"/>
        <v>0</v>
      </c>
      <c r="AQ95" s="109">
        <f t="shared" si="76"/>
        <v>87</v>
      </c>
      <c r="AR95" s="681">
        <f t="shared" si="63"/>
        <v>47962</v>
      </c>
      <c r="AS95" s="177">
        <f t="shared" si="46"/>
        <v>0.27900000000000003</v>
      </c>
      <c r="AT95" s="105">
        <f t="shared" si="64"/>
        <v>0</v>
      </c>
      <c r="AU95" s="105">
        <f t="shared" si="71"/>
        <v>0</v>
      </c>
      <c r="AV95" s="559">
        <f t="shared" si="65"/>
        <v>0</v>
      </c>
      <c r="AW95" s="105">
        <f t="shared" si="66"/>
        <v>0</v>
      </c>
      <c r="AX95" s="105">
        <f t="shared" si="52"/>
        <v>0</v>
      </c>
      <c r="AY95" s="105">
        <v>0</v>
      </c>
      <c r="AZ95" s="105">
        <f t="shared" si="81"/>
        <v>0</v>
      </c>
      <c r="BA95" s="105">
        <f t="shared" si="79"/>
        <v>0</v>
      </c>
      <c r="BB95" s="105">
        <f t="shared" si="78"/>
        <v>0</v>
      </c>
      <c r="BC95" s="105"/>
      <c r="BD95" s="105"/>
      <c r="BE95" s="105"/>
      <c r="BF95" s="105"/>
      <c r="BG95" s="105"/>
      <c r="BH95" s="105">
        <f t="shared" si="67"/>
        <v>0</v>
      </c>
      <c r="BI95" s="108">
        <f t="shared" si="77"/>
        <v>0</v>
      </c>
      <c r="BJ95" s="108">
        <f t="shared" si="72"/>
        <v>0</v>
      </c>
      <c r="BK95" s="22">
        <f t="shared" si="73"/>
        <v>47962</v>
      </c>
      <c r="BL95" s="108">
        <f t="shared" si="53"/>
        <v>0</v>
      </c>
      <c r="BM95" s="2" t="e">
        <f>IF(AND(G50&gt;=$X$11,G50&lt;=$X$11+5),0,IF($C$9&gt;$AG$51,ROUND(BH49*IF(#REF!="",0,#REF!)/(DATEVALUE(CONCATENATE("01/01/",YEAR(AR50)+1))-DATEVALUE(CONCATENATE("01/01/",YEAR(AR50))))*(AR50-AR49),2),0))</f>
        <v>#REF!</v>
      </c>
    </row>
    <row r="96" spans="1:65" s="16" customFormat="1" x14ac:dyDescent="0.3">
      <c r="A96" s="178"/>
      <c r="B96" s="178"/>
      <c r="C96" s="184"/>
      <c r="D96" s="184"/>
      <c r="E96" s="184"/>
      <c r="F96" s="184"/>
      <c r="G96" s="114">
        <f t="shared" si="74"/>
        <v>88</v>
      </c>
      <c r="H96" s="245">
        <f t="shared" si="54"/>
        <v>47992</v>
      </c>
      <c r="I96" s="246">
        <f t="shared" si="55"/>
        <v>0.21900000000000003</v>
      </c>
      <c r="J96" s="24">
        <f t="shared" si="56"/>
        <v>0</v>
      </c>
      <c r="K96" s="242">
        <f t="shared" si="68"/>
        <v>0</v>
      </c>
      <c r="L96" s="242">
        <f t="shared" si="57"/>
        <v>0</v>
      </c>
      <c r="M96" s="24">
        <f t="shared" si="82"/>
        <v>0</v>
      </c>
      <c r="N96" s="24">
        <f t="shared" si="50"/>
        <v>0</v>
      </c>
      <c r="O96" s="24">
        <v>0</v>
      </c>
      <c r="P96" s="24">
        <f t="shared" si="80"/>
        <v>0</v>
      </c>
      <c r="Q96" s="24">
        <f t="shared" si="51"/>
        <v>0</v>
      </c>
      <c r="R96" s="24">
        <f t="shared" si="58"/>
        <v>0</v>
      </c>
      <c r="S96" s="24">
        <f t="shared" si="70"/>
        <v>0</v>
      </c>
      <c r="T96" s="24">
        <f>IF(G96=C38,'КЭШ, Реф (БВ_ОПТИ_Базовый)'!$C$26-'КЭШ, Реф (БВ_ОПТИ_Базовый)'!$C$27,0)</f>
        <v>0</v>
      </c>
      <c r="U96" s="36">
        <f t="shared" si="75"/>
        <v>0</v>
      </c>
      <c r="V96" s="36">
        <f t="shared" si="60"/>
        <v>0</v>
      </c>
      <c r="W96" s="36">
        <f t="shared" si="61"/>
        <v>0</v>
      </c>
      <c r="X96" s="2" t="e">
        <f>IF(AND(G61&gt;=$X$11,G61&lt;=$X$11+5),0,IF($C$9&gt;$AG$51,ROUND(S60*#REF!/(DATEVALUE(CONCATENATE("01/01/",YEAR(H61)+1))-DATEVALUE(CONCATENATE("01/01/",YEAR(H61))))*(H61-H60),2),0))</f>
        <v>#REF!</v>
      </c>
      <c r="Y96" s="34">
        <f t="shared" si="43"/>
        <v>0</v>
      </c>
      <c r="Z96" s="57">
        <f t="shared" si="41"/>
        <v>64660</v>
      </c>
      <c r="AM96" s="2" t="e">
        <f>IF(AND(Z53&gt;=$X$11,Z53&lt;=$X$11+5),0,IF($C$9&gt;$AG$51,ROUND(AJ56*#REF!/(DATEVALUE(CONCATENATE("01/01/",YEAR(AA53)+1))-DATEVALUE(CONCATENATE("01/01/",YEAR(AA53))))*(AA53-AA52),2),0))</f>
        <v>#REF!</v>
      </c>
      <c r="AN96" s="34">
        <f t="shared" si="45"/>
        <v>0</v>
      </c>
      <c r="AO96" s="57">
        <f t="shared" si="44"/>
        <v>63200</v>
      </c>
      <c r="AP96" s="130">
        <f t="shared" si="62"/>
        <v>0</v>
      </c>
      <c r="AQ96" s="109">
        <f t="shared" si="76"/>
        <v>88</v>
      </c>
      <c r="AR96" s="681">
        <f t="shared" si="63"/>
        <v>47992</v>
      </c>
      <c r="AS96" s="177">
        <f t="shared" si="46"/>
        <v>0.27900000000000003</v>
      </c>
      <c r="AT96" s="105">
        <f t="shared" si="64"/>
        <v>0</v>
      </c>
      <c r="AU96" s="105">
        <f t="shared" si="71"/>
        <v>0</v>
      </c>
      <c r="AV96" s="559">
        <f t="shared" si="65"/>
        <v>0</v>
      </c>
      <c r="AW96" s="105">
        <f t="shared" si="66"/>
        <v>0</v>
      </c>
      <c r="AX96" s="105">
        <f t="shared" si="52"/>
        <v>0</v>
      </c>
      <c r="AY96" s="105">
        <v>0</v>
      </c>
      <c r="AZ96" s="105">
        <f t="shared" si="81"/>
        <v>0</v>
      </c>
      <c r="BA96" s="105">
        <f t="shared" si="79"/>
        <v>0</v>
      </c>
      <c r="BB96" s="105">
        <f t="shared" si="78"/>
        <v>0</v>
      </c>
      <c r="BC96" s="105"/>
      <c r="BD96" s="105"/>
      <c r="BE96" s="105"/>
      <c r="BF96" s="105"/>
      <c r="BG96" s="105"/>
      <c r="BH96" s="105">
        <f t="shared" si="67"/>
        <v>0</v>
      </c>
      <c r="BI96" s="108">
        <f t="shared" si="77"/>
        <v>0</v>
      </c>
      <c r="BJ96" s="108">
        <f t="shared" si="72"/>
        <v>0</v>
      </c>
      <c r="BK96" s="22">
        <f t="shared" si="73"/>
        <v>47992</v>
      </c>
      <c r="BL96" s="108">
        <f t="shared" si="53"/>
        <v>0</v>
      </c>
      <c r="BM96" s="2" t="e">
        <f>IF(AND(G51&gt;=$X$11,G51&lt;=$X$11+5),0,IF($C$9&gt;$AG$51,ROUND(BH50*IF(#REF!="",0,#REF!)/(DATEVALUE(CONCATENATE("01/01/",YEAR(AR51)+1))-DATEVALUE(CONCATENATE("01/01/",YEAR(AR51))))*(AR51-AR50),2),0))</f>
        <v>#REF!</v>
      </c>
    </row>
    <row r="97" spans="1:1218" s="16" customFormat="1" x14ac:dyDescent="0.3">
      <c r="A97" s="178"/>
      <c r="B97" s="178"/>
      <c r="C97" s="184"/>
      <c r="D97" s="184"/>
      <c r="E97" s="184"/>
      <c r="F97" s="184"/>
      <c r="G97" s="114">
        <f t="shared" si="74"/>
        <v>89</v>
      </c>
      <c r="H97" s="245">
        <f t="shared" si="54"/>
        <v>48023</v>
      </c>
      <c r="I97" s="246">
        <f t="shared" si="55"/>
        <v>0.21900000000000003</v>
      </c>
      <c r="J97" s="24">
        <f t="shared" si="56"/>
        <v>0</v>
      </c>
      <c r="K97" s="242">
        <f t="shared" si="68"/>
        <v>0</v>
      </c>
      <c r="L97" s="242">
        <f t="shared" si="57"/>
        <v>0</v>
      </c>
      <c r="M97" s="24">
        <f t="shared" si="82"/>
        <v>0</v>
      </c>
      <c r="N97" s="24">
        <f t="shared" si="50"/>
        <v>0</v>
      </c>
      <c r="O97" s="24">
        <v>0</v>
      </c>
      <c r="P97" s="24">
        <f t="shared" si="80"/>
        <v>0</v>
      </c>
      <c r="Q97" s="24">
        <f t="shared" si="51"/>
        <v>0</v>
      </c>
      <c r="R97" s="24">
        <f t="shared" si="58"/>
        <v>0</v>
      </c>
      <c r="S97" s="24">
        <f t="shared" si="70"/>
        <v>0</v>
      </c>
      <c r="T97" s="24">
        <f>IF(G97=C39,'КЭШ, Реф (БВ_ОПТИ_Базовый)'!$C$26-'КЭШ, Реф (БВ_ОПТИ_Базовый)'!$C$27,0)</f>
        <v>0</v>
      </c>
      <c r="U97" s="36">
        <f t="shared" si="75"/>
        <v>0</v>
      </c>
      <c r="V97" s="36">
        <f t="shared" si="60"/>
        <v>0</v>
      </c>
      <c r="W97" s="36">
        <f t="shared" si="61"/>
        <v>0</v>
      </c>
      <c r="X97" s="2" t="e">
        <f>IF(AND(G62&gt;=$X$11,G62&lt;=$X$11+5),0,IF($C$9&gt;$AG$51,ROUND(S61*#REF!/(DATEVALUE(CONCATENATE("01/01/",YEAR(H62)+1))-DATEVALUE(CONCATENATE("01/01/",YEAR(H62))))*(H62-H61),2),0))</f>
        <v>#REF!</v>
      </c>
      <c r="Y97" s="34">
        <f t="shared" si="43"/>
        <v>0</v>
      </c>
      <c r="Z97" s="57">
        <f t="shared" si="41"/>
        <v>65025</v>
      </c>
      <c r="AM97" s="2" t="e">
        <f>IF(AND(Z54&gt;=$X$11,Z54&lt;=$X$11+5),0,IF($C$9&gt;$AG$51,ROUND(AJ57*#REF!/(DATEVALUE(CONCATENATE("01/01/",YEAR(AA54)+1))-DATEVALUE(CONCATENATE("01/01/",YEAR(AA54))))*(AA54-AA53),2),0))</f>
        <v>#REF!</v>
      </c>
      <c r="AN97" s="34">
        <f t="shared" si="45"/>
        <v>0</v>
      </c>
      <c r="AO97" s="57">
        <f t="shared" si="44"/>
        <v>63565</v>
      </c>
      <c r="AP97" s="130">
        <f t="shared" si="62"/>
        <v>0</v>
      </c>
      <c r="AQ97" s="109">
        <f t="shared" si="76"/>
        <v>89</v>
      </c>
      <c r="AR97" s="681">
        <f t="shared" si="63"/>
        <v>48023</v>
      </c>
      <c r="AS97" s="177">
        <f t="shared" si="46"/>
        <v>0.27900000000000003</v>
      </c>
      <c r="AT97" s="105">
        <f t="shared" si="64"/>
        <v>0</v>
      </c>
      <c r="AU97" s="105">
        <f t="shared" si="71"/>
        <v>0</v>
      </c>
      <c r="AV97" s="559">
        <f t="shared" si="65"/>
        <v>0</v>
      </c>
      <c r="AW97" s="105">
        <f t="shared" si="66"/>
        <v>0</v>
      </c>
      <c r="AX97" s="105">
        <f t="shared" si="52"/>
        <v>0</v>
      </c>
      <c r="AY97" s="105">
        <v>0</v>
      </c>
      <c r="AZ97" s="105">
        <f t="shared" si="81"/>
        <v>0</v>
      </c>
      <c r="BA97" s="105">
        <f t="shared" si="79"/>
        <v>0</v>
      </c>
      <c r="BB97" s="105">
        <f t="shared" si="78"/>
        <v>0</v>
      </c>
      <c r="BC97" s="105"/>
      <c r="BD97" s="105"/>
      <c r="BE97" s="105"/>
      <c r="BF97" s="105"/>
      <c r="BG97" s="105"/>
      <c r="BH97" s="105">
        <f t="shared" si="67"/>
        <v>0</v>
      </c>
      <c r="BI97" s="108">
        <f t="shared" si="77"/>
        <v>0</v>
      </c>
      <c r="BJ97" s="108">
        <f t="shared" si="72"/>
        <v>0</v>
      </c>
      <c r="BK97" s="22">
        <f t="shared" si="73"/>
        <v>48023</v>
      </c>
      <c r="BL97" s="108">
        <f t="shared" si="53"/>
        <v>0</v>
      </c>
      <c r="BM97" s="2" t="e">
        <f>IF(AND(G52&gt;=$X$11,G52&lt;=$X$11+5),0,IF($C$9&gt;$AG$51,ROUND(BH51*IF(#REF!="",0,#REF!)/(DATEVALUE(CONCATENATE("01/01/",YEAR(AR52)+1))-DATEVALUE(CONCATENATE("01/01/",YEAR(AR52))))*(AR52-AR51),2),0))</f>
        <v>#REF!</v>
      </c>
    </row>
    <row r="98" spans="1:1218" s="16" customFormat="1" x14ac:dyDescent="0.3">
      <c r="A98" s="178"/>
      <c r="B98" s="178"/>
      <c r="C98" s="184"/>
      <c r="D98" s="184"/>
      <c r="E98" s="184"/>
      <c r="F98" s="184"/>
      <c r="G98" s="114">
        <f t="shared" si="74"/>
        <v>90</v>
      </c>
      <c r="H98" s="245">
        <f t="shared" si="54"/>
        <v>48053</v>
      </c>
      <c r="I98" s="246">
        <f t="shared" si="55"/>
        <v>0.21900000000000003</v>
      </c>
      <c r="J98" s="24">
        <f t="shared" si="56"/>
        <v>0</v>
      </c>
      <c r="K98" s="242">
        <f t="shared" si="68"/>
        <v>0</v>
      </c>
      <c r="L98" s="242">
        <f t="shared" si="57"/>
        <v>0</v>
      </c>
      <c r="M98" s="24">
        <f t="shared" si="82"/>
        <v>0</v>
      </c>
      <c r="N98" s="24">
        <f t="shared" si="50"/>
        <v>0</v>
      </c>
      <c r="O98" s="24">
        <v>0</v>
      </c>
      <c r="P98" s="24">
        <f t="shared" si="80"/>
        <v>0</v>
      </c>
      <c r="Q98" s="24">
        <f t="shared" si="51"/>
        <v>0</v>
      </c>
      <c r="R98" s="24">
        <f t="shared" si="58"/>
        <v>0</v>
      </c>
      <c r="S98" s="24">
        <f t="shared" si="70"/>
        <v>0</v>
      </c>
      <c r="T98" s="24">
        <f>IF(G98=C40,'КЭШ, Реф (БВ_ОПТИ_Базовый)'!$C$26-'КЭШ, Реф (БВ_ОПТИ_Базовый)'!$C$27,0)</f>
        <v>0</v>
      </c>
      <c r="U98" s="36">
        <f t="shared" si="75"/>
        <v>0</v>
      </c>
      <c r="V98" s="36">
        <f t="shared" si="60"/>
        <v>0</v>
      </c>
      <c r="W98" s="36">
        <f t="shared" si="61"/>
        <v>0</v>
      </c>
      <c r="X98" s="2" t="e">
        <f>IF(AND(G63&gt;=$X$11,G63&lt;=$X$11+5),0,IF($C$9&gt;$AG$51,ROUND(S62*#REF!/(DATEVALUE(CONCATENATE("01/01/",YEAR(H63)+1))-DATEVALUE(CONCATENATE("01/01/",YEAR(H63))))*(H63-H62),2),0))</f>
        <v>#REF!</v>
      </c>
      <c r="Y98" s="34">
        <f t="shared" si="43"/>
        <v>0</v>
      </c>
      <c r="Z98" s="57">
        <f t="shared" si="41"/>
        <v>65390</v>
      </c>
      <c r="AM98" s="2" t="e">
        <f>IF(AND(Z55&gt;=$X$11,Z55&lt;=$X$11+5),0,IF($C$9&gt;$AG$51,ROUND(AJ58*#REF!/(DATEVALUE(CONCATENATE("01/01/",YEAR(AA55)+1))-DATEVALUE(CONCATENATE("01/01/",YEAR(AA55))))*(AA55-AA54),2),0))</f>
        <v>#REF!</v>
      </c>
      <c r="AN98" s="34">
        <f t="shared" si="45"/>
        <v>0</v>
      </c>
      <c r="AO98" s="57">
        <f t="shared" si="44"/>
        <v>63930</v>
      </c>
      <c r="AP98" s="130">
        <f t="shared" si="62"/>
        <v>0</v>
      </c>
      <c r="AQ98" s="109">
        <f t="shared" si="76"/>
        <v>90</v>
      </c>
      <c r="AR98" s="681">
        <f t="shared" si="63"/>
        <v>48053</v>
      </c>
      <c r="AS98" s="177">
        <f t="shared" si="46"/>
        <v>0.27900000000000003</v>
      </c>
      <c r="AT98" s="105">
        <f t="shared" si="64"/>
        <v>0</v>
      </c>
      <c r="AU98" s="105">
        <f t="shared" si="71"/>
        <v>0</v>
      </c>
      <c r="AV98" s="559">
        <f t="shared" si="65"/>
        <v>0</v>
      </c>
      <c r="AW98" s="105">
        <f t="shared" si="66"/>
        <v>0</v>
      </c>
      <c r="AX98" s="105">
        <f t="shared" si="52"/>
        <v>0</v>
      </c>
      <c r="AY98" s="105">
        <v>0</v>
      </c>
      <c r="AZ98" s="105">
        <f t="shared" si="81"/>
        <v>0</v>
      </c>
      <c r="BA98" s="105">
        <f t="shared" si="79"/>
        <v>0</v>
      </c>
      <c r="BB98" s="105">
        <f t="shared" si="78"/>
        <v>0</v>
      </c>
      <c r="BC98" s="105"/>
      <c r="BD98" s="105"/>
      <c r="BE98" s="105"/>
      <c r="BF98" s="105"/>
      <c r="BG98" s="105"/>
      <c r="BH98" s="105">
        <f t="shared" si="67"/>
        <v>0</v>
      </c>
      <c r="BI98" s="108">
        <f t="shared" si="77"/>
        <v>0</v>
      </c>
      <c r="BJ98" s="108">
        <f t="shared" si="72"/>
        <v>0</v>
      </c>
      <c r="BK98" s="22">
        <f t="shared" si="73"/>
        <v>48053</v>
      </c>
      <c r="BL98" s="108">
        <f t="shared" si="53"/>
        <v>0</v>
      </c>
      <c r="BM98" s="2" t="e">
        <f>IF(AND(G53&gt;=$X$11,G53&lt;=$X$11+5),0,IF($C$9&gt;$AG$51,ROUND(BH52*IF(#REF!="",0,#REF!)/(DATEVALUE(CONCATENATE("01/01/",YEAR(AR53)+1))-DATEVALUE(CONCATENATE("01/01/",YEAR(AR53))))*(AR53-AR52),2),0))</f>
        <v>#REF!</v>
      </c>
    </row>
    <row r="99" spans="1:1218" s="16" customFormat="1" x14ac:dyDescent="0.3">
      <c r="A99" s="178"/>
      <c r="B99" s="178"/>
      <c r="C99" s="184"/>
      <c r="D99" s="184"/>
      <c r="E99" s="184"/>
      <c r="F99" s="184"/>
      <c r="G99" s="114">
        <f t="shared" si="74"/>
        <v>91</v>
      </c>
      <c r="H99" s="245">
        <f t="shared" si="54"/>
        <v>48084</v>
      </c>
      <c r="I99" s="246">
        <f t="shared" si="55"/>
        <v>0.21900000000000003</v>
      </c>
      <c r="J99" s="24">
        <f t="shared" si="56"/>
        <v>0</v>
      </c>
      <c r="K99" s="242">
        <f t="shared" si="68"/>
        <v>0</v>
      </c>
      <c r="L99" s="242">
        <f t="shared" si="57"/>
        <v>0</v>
      </c>
      <c r="M99" s="24">
        <f t="shared" si="82"/>
        <v>0</v>
      </c>
      <c r="N99" s="24">
        <f t="shared" si="50"/>
        <v>0</v>
      </c>
      <c r="O99" s="24">
        <v>0</v>
      </c>
      <c r="P99" s="24">
        <f t="shared" si="80"/>
        <v>0</v>
      </c>
      <c r="Q99" s="24">
        <f t="shared" si="51"/>
        <v>0</v>
      </c>
      <c r="R99" s="24">
        <f t="shared" si="58"/>
        <v>0</v>
      </c>
      <c r="S99" s="24">
        <f t="shared" si="70"/>
        <v>0</v>
      </c>
      <c r="T99" s="24">
        <f>IF(G99=C41,'КЭШ, Реф (БВ_ОПТИ_Базовый)'!$C$26-'КЭШ, Реф (БВ_ОПТИ_Базовый)'!$C$27,0)</f>
        <v>0</v>
      </c>
      <c r="U99" s="36">
        <f t="shared" si="75"/>
        <v>0</v>
      </c>
      <c r="V99" s="36">
        <f t="shared" si="60"/>
        <v>0</v>
      </c>
      <c r="W99" s="36">
        <f t="shared" si="61"/>
        <v>0</v>
      </c>
      <c r="X99" s="2" t="e">
        <f>IF(AND(G64&gt;=$X$11,G64&lt;=$X$11+5),0,IF($C$9&gt;$AG$51,ROUND(S63*#REF!/(DATEVALUE(CONCATENATE("01/01/",YEAR(H64)+1))-DATEVALUE(CONCATENATE("01/01/",YEAR(H64))))*(H64-H63),2),0))</f>
        <v>#REF!</v>
      </c>
      <c r="Y99" s="34">
        <f t="shared" si="43"/>
        <v>0</v>
      </c>
      <c r="Z99" s="57">
        <f t="shared" si="41"/>
        <v>65755</v>
      </c>
      <c r="AM99" s="2" t="e">
        <f>IF(AND(Z56&gt;=$X$11,Z56&lt;=$X$11+5),0,IF($C$9&gt;$AG$51,ROUND(AJ59*#REF!/(DATEVALUE(CONCATENATE("01/01/",YEAR(AA56)+1))-DATEVALUE(CONCATENATE("01/01/",YEAR(AA56))))*(AA56-AA55),2),0))</f>
        <v>#VALUE!</v>
      </c>
      <c r="AN99" s="34">
        <f t="shared" si="45"/>
        <v>0</v>
      </c>
      <c r="AO99" s="57">
        <f t="shared" si="44"/>
        <v>64295</v>
      </c>
      <c r="AP99" s="130">
        <f t="shared" si="62"/>
        <v>0</v>
      </c>
      <c r="AQ99" s="109">
        <f t="shared" si="76"/>
        <v>91</v>
      </c>
      <c r="AR99" s="681">
        <f t="shared" si="63"/>
        <v>48084</v>
      </c>
      <c r="AS99" s="177">
        <f t="shared" si="46"/>
        <v>0.27900000000000003</v>
      </c>
      <c r="AT99" s="105">
        <f t="shared" si="64"/>
        <v>0</v>
      </c>
      <c r="AU99" s="105">
        <f t="shared" si="71"/>
        <v>0</v>
      </c>
      <c r="AV99" s="559">
        <f t="shared" si="65"/>
        <v>0</v>
      </c>
      <c r="AW99" s="105">
        <f t="shared" si="66"/>
        <v>0</v>
      </c>
      <c r="AX99" s="105">
        <f t="shared" si="52"/>
        <v>0</v>
      </c>
      <c r="AY99" s="105">
        <v>0</v>
      </c>
      <c r="AZ99" s="105">
        <f t="shared" si="81"/>
        <v>0</v>
      </c>
      <c r="BA99" s="105">
        <f t="shared" si="79"/>
        <v>0</v>
      </c>
      <c r="BB99" s="105">
        <f t="shared" si="78"/>
        <v>0</v>
      </c>
      <c r="BC99" s="105"/>
      <c r="BD99" s="105"/>
      <c r="BE99" s="105"/>
      <c r="BF99" s="105"/>
      <c r="BG99" s="105"/>
      <c r="BH99" s="105">
        <f t="shared" si="67"/>
        <v>0</v>
      </c>
      <c r="BI99" s="108">
        <f t="shared" si="77"/>
        <v>0</v>
      </c>
      <c r="BJ99" s="108">
        <f t="shared" si="72"/>
        <v>0</v>
      </c>
      <c r="BK99" s="22">
        <f t="shared" si="73"/>
        <v>48084</v>
      </c>
      <c r="BL99" s="108">
        <f t="shared" si="53"/>
        <v>0</v>
      </c>
      <c r="BM99" s="2" t="e">
        <f>IF(AND(G54&gt;=$X$11,G54&lt;=$X$11+5),0,IF($C$9&gt;$AG$51,ROUND(BH53*IF(#REF!="",0,#REF!)/(DATEVALUE(CONCATENATE("01/01/",YEAR(AR54)+1))-DATEVALUE(CONCATENATE("01/01/",YEAR(AR54))))*(AR54-AR53),2),0))</f>
        <v>#REF!</v>
      </c>
    </row>
    <row r="100" spans="1:1218" s="16" customFormat="1" x14ac:dyDescent="0.3">
      <c r="A100" s="178"/>
      <c r="B100" s="178"/>
      <c r="C100" s="184"/>
      <c r="D100" s="184"/>
      <c r="E100" s="184"/>
      <c r="F100" s="184"/>
      <c r="G100" s="114">
        <f t="shared" si="74"/>
        <v>92</v>
      </c>
      <c r="H100" s="245">
        <f t="shared" si="54"/>
        <v>48115</v>
      </c>
      <c r="I100" s="246">
        <f t="shared" si="55"/>
        <v>0.21900000000000003</v>
      </c>
      <c r="J100" s="24">
        <f t="shared" si="56"/>
        <v>0</v>
      </c>
      <c r="K100" s="242">
        <f t="shared" si="68"/>
        <v>0</v>
      </c>
      <c r="L100" s="242">
        <f t="shared" si="57"/>
        <v>0</v>
      </c>
      <c r="M100" s="24">
        <f t="shared" si="82"/>
        <v>0</v>
      </c>
      <c r="N100" s="24">
        <f t="shared" si="50"/>
        <v>0</v>
      </c>
      <c r="O100" s="24">
        <v>0</v>
      </c>
      <c r="P100" s="24">
        <f t="shared" si="80"/>
        <v>0</v>
      </c>
      <c r="Q100" s="24">
        <f t="shared" si="51"/>
        <v>0</v>
      </c>
      <c r="R100" s="24">
        <f t="shared" si="58"/>
        <v>0</v>
      </c>
      <c r="S100" s="24">
        <f t="shared" si="70"/>
        <v>0</v>
      </c>
      <c r="T100" s="24">
        <f>IF(G100=C42,'КЭШ, Реф (БВ_ОПТИ_Базовый)'!$C$26-'КЭШ, Реф (БВ_ОПТИ_Базовый)'!$C$27,0)</f>
        <v>0</v>
      </c>
      <c r="U100" s="36">
        <f t="shared" si="75"/>
        <v>0</v>
      </c>
      <c r="V100" s="36">
        <f t="shared" si="60"/>
        <v>0</v>
      </c>
      <c r="W100" s="36">
        <f t="shared" si="61"/>
        <v>0</v>
      </c>
      <c r="X100" s="2" t="e">
        <f>IF(AND(G65&gt;=$X$11,G65&lt;=$X$11+5),0,IF($C$9&gt;$AG$51,ROUND(S64*#REF!/(DATEVALUE(CONCATENATE("01/01/",YEAR(H65)+1))-DATEVALUE(CONCATENATE("01/01/",YEAR(H65))))*(H65-H64),2),0))</f>
        <v>#REF!</v>
      </c>
      <c r="Y100" s="34">
        <f t="shared" si="43"/>
        <v>0</v>
      </c>
      <c r="Z100" s="57">
        <f t="shared" si="41"/>
        <v>66120</v>
      </c>
      <c r="AM100" s="2" t="e">
        <f>IF(AND(Z57&gt;=$X$11,Z57&lt;=$X$11+5),0,IF($C$9&gt;$AG$51,ROUND(AJ60*#REF!/(DATEVALUE(CONCATENATE("01/01/",YEAR(AA57)+1))-DATEVALUE(CONCATENATE("01/01/",YEAR(AA57))))*(AA57-AA56),2),0))</f>
        <v>#REF!</v>
      </c>
      <c r="AN100" s="34">
        <f t="shared" si="45"/>
        <v>0</v>
      </c>
      <c r="AO100" s="57">
        <f t="shared" si="44"/>
        <v>64660</v>
      </c>
      <c r="AP100" s="130">
        <f t="shared" si="62"/>
        <v>0</v>
      </c>
      <c r="AQ100" s="109">
        <f t="shared" si="76"/>
        <v>92</v>
      </c>
      <c r="AR100" s="681">
        <f t="shared" si="63"/>
        <v>48115</v>
      </c>
      <c r="AS100" s="177">
        <f t="shared" si="46"/>
        <v>0.27900000000000003</v>
      </c>
      <c r="AT100" s="105">
        <f t="shared" si="64"/>
        <v>0</v>
      </c>
      <c r="AU100" s="105">
        <f t="shared" si="71"/>
        <v>0</v>
      </c>
      <c r="AV100" s="559">
        <f t="shared" si="65"/>
        <v>0</v>
      </c>
      <c r="AW100" s="105">
        <f t="shared" si="66"/>
        <v>0</v>
      </c>
      <c r="AX100" s="105">
        <f t="shared" si="52"/>
        <v>0</v>
      </c>
      <c r="AY100" s="105">
        <v>0</v>
      </c>
      <c r="AZ100" s="105">
        <f t="shared" si="81"/>
        <v>0</v>
      </c>
      <c r="BA100" s="105">
        <f t="shared" si="79"/>
        <v>0</v>
      </c>
      <c r="BB100" s="105">
        <f t="shared" si="78"/>
        <v>0</v>
      </c>
      <c r="BC100" s="105"/>
      <c r="BD100" s="105"/>
      <c r="BE100" s="105"/>
      <c r="BF100" s="105"/>
      <c r="BG100" s="105"/>
      <c r="BH100" s="105">
        <f t="shared" si="67"/>
        <v>0</v>
      </c>
      <c r="BI100" s="108">
        <f t="shared" si="77"/>
        <v>0</v>
      </c>
      <c r="BJ100" s="108">
        <f t="shared" si="72"/>
        <v>0</v>
      </c>
      <c r="BK100" s="22">
        <f t="shared" si="73"/>
        <v>48115</v>
      </c>
      <c r="BL100" s="108">
        <f t="shared" si="53"/>
        <v>0</v>
      </c>
      <c r="BM100" s="2" t="e">
        <f>IF(AND(G55&gt;=$X$11,G55&lt;=$X$11+5),0,IF($C$9&gt;$AG$51,ROUND(BH54*IF(#REF!="",0,#REF!)/(DATEVALUE(CONCATENATE("01/01/",YEAR(AR55)+1))-DATEVALUE(CONCATENATE("01/01/",YEAR(AR55))))*(AR55-AR54),2),0))</f>
        <v>#REF!</v>
      </c>
    </row>
    <row r="101" spans="1:1218" s="16" customFormat="1" x14ac:dyDescent="0.3">
      <c r="A101" s="178"/>
      <c r="B101" s="178"/>
      <c r="C101" s="184"/>
      <c r="D101" s="184"/>
      <c r="E101" s="184"/>
      <c r="F101" s="184"/>
      <c r="G101" s="114">
        <f t="shared" si="74"/>
        <v>93</v>
      </c>
      <c r="H101" s="245">
        <f t="shared" si="54"/>
        <v>48145</v>
      </c>
      <c r="I101" s="246">
        <f t="shared" si="55"/>
        <v>0.21900000000000003</v>
      </c>
      <c r="J101" s="24">
        <f t="shared" si="56"/>
        <v>0</v>
      </c>
      <c r="K101" s="242">
        <f t="shared" si="68"/>
        <v>0</v>
      </c>
      <c r="L101" s="242">
        <f t="shared" si="57"/>
        <v>0</v>
      </c>
      <c r="M101" s="24">
        <f t="shared" si="82"/>
        <v>0</v>
      </c>
      <c r="N101" s="24">
        <f t="shared" si="50"/>
        <v>0</v>
      </c>
      <c r="O101" s="24">
        <v>0</v>
      </c>
      <c r="P101" s="24">
        <f t="shared" si="80"/>
        <v>0</v>
      </c>
      <c r="Q101" s="24">
        <f t="shared" si="51"/>
        <v>0</v>
      </c>
      <c r="R101" s="24">
        <f t="shared" si="58"/>
        <v>0</v>
      </c>
      <c r="S101" s="24">
        <f t="shared" si="70"/>
        <v>0</v>
      </c>
      <c r="T101" s="24">
        <f>IF(G101=C43,'КЭШ, Реф (БВ_ОПТИ_Базовый)'!$C$26-'КЭШ, Реф (БВ_ОПТИ_Базовый)'!$C$27,0)</f>
        <v>0</v>
      </c>
      <c r="U101" s="36">
        <f t="shared" si="75"/>
        <v>0</v>
      </c>
      <c r="V101" s="36">
        <f t="shared" si="60"/>
        <v>0</v>
      </c>
      <c r="W101" s="36">
        <f t="shared" si="61"/>
        <v>0</v>
      </c>
      <c r="X101" s="2" t="e">
        <f>IF(AND(G66&gt;=$X$11,G66&lt;=$X$11+5),0,IF($C$9&gt;$AG$51,ROUND(S65*#REF!/(DATEVALUE(CONCATENATE("01/01/",YEAR(H66)+1))-DATEVALUE(CONCATENATE("01/01/",YEAR(H66))))*(H66-H65),2),0))</f>
        <v>#REF!</v>
      </c>
      <c r="Y101" s="34">
        <f t="shared" si="43"/>
        <v>0</v>
      </c>
      <c r="Z101" s="57">
        <f t="shared" si="41"/>
        <v>66485</v>
      </c>
      <c r="AM101" s="2" t="e">
        <f>IF(AND(Z58&gt;=$X$11,Z58&lt;=$X$11+5),0,IF($C$9&gt;$AG$51,ROUND(AJ61*#REF!/(DATEVALUE(CONCATENATE("01/01/",YEAR(AA58)+1))-DATEVALUE(CONCATENATE("01/01/",YEAR(AA58))))*(AA58-AA57),2),0))</f>
        <v>#REF!</v>
      </c>
      <c r="AN101" s="34">
        <f t="shared" si="45"/>
        <v>0</v>
      </c>
      <c r="AO101" s="57">
        <f t="shared" si="44"/>
        <v>65025</v>
      </c>
      <c r="AP101" s="130">
        <f t="shared" si="62"/>
        <v>0</v>
      </c>
      <c r="AQ101" s="109">
        <f t="shared" si="76"/>
        <v>93</v>
      </c>
      <c r="AR101" s="681">
        <f t="shared" si="63"/>
        <v>48145</v>
      </c>
      <c r="AS101" s="177">
        <f t="shared" si="46"/>
        <v>0.27900000000000003</v>
      </c>
      <c r="AT101" s="105">
        <f t="shared" si="64"/>
        <v>0</v>
      </c>
      <c r="AU101" s="105">
        <f t="shared" si="71"/>
        <v>0</v>
      </c>
      <c r="AV101" s="559">
        <f t="shared" si="65"/>
        <v>0</v>
      </c>
      <c r="AW101" s="105">
        <f t="shared" si="66"/>
        <v>0</v>
      </c>
      <c r="AX101" s="105">
        <f t="shared" si="52"/>
        <v>0</v>
      </c>
      <c r="AY101" s="105">
        <v>0</v>
      </c>
      <c r="AZ101" s="105">
        <f t="shared" si="81"/>
        <v>0</v>
      </c>
      <c r="BA101" s="105">
        <f t="shared" si="79"/>
        <v>0</v>
      </c>
      <c r="BB101" s="105">
        <f t="shared" si="78"/>
        <v>0</v>
      </c>
      <c r="BC101" s="105"/>
      <c r="BD101" s="105"/>
      <c r="BE101" s="105"/>
      <c r="BF101" s="105"/>
      <c r="BG101" s="105"/>
      <c r="BH101" s="105">
        <f t="shared" si="67"/>
        <v>0</v>
      </c>
      <c r="BI101" s="108">
        <f t="shared" si="77"/>
        <v>0</v>
      </c>
      <c r="BJ101" s="108">
        <f t="shared" si="72"/>
        <v>0</v>
      </c>
      <c r="BK101" s="22">
        <f t="shared" si="73"/>
        <v>48145</v>
      </c>
      <c r="BL101" s="108">
        <f t="shared" si="53"/>
        <v>0</v>
      </c>
      <c r="BM101" s="2" t="e">
        <f>IF(AND(G56&gt;=$X$11,G56&lt;=$X$11+5),0,IF($C$9&gt;$AG$51,ROUND(BH55*IF(#REF!="",0,#REF!)/(DATEVALUE(CONCATENATE("01/01/",YEAR(AR56)+1))-DATEVALUE(CONCATENATE("01/01/",YEAR(AR56))))*(AR56-AR55),2),0))</f>
        <v>#REF!</v>
      </c>
    </row>
    <row r="102" spans="1:1218" s="16" customFormat="1" x14ac:dyDescent="0.3">
      <c r="A102" s="178"/>
      <c r="B102" s="178"/>
      <c r="C102" s="184"/>
      <c r="D102" s="184"/>
      <c r="E102" s="184"/>
      <c r="F102" s="184"/>
      <c r="G102" s="114">
        <f t="shared" si="74"/>
        <v>94</v>
      </c>
      <c r="H102" s="245">
        <f t="shared" si="54"/>
        <v>48176</v>
      </c>
      <c r="I102" s="246">
        <f t="shared" si="55"/>
        <v>0.21900000000000003</v>
      </c>
      <c r="J102" s="24">
        <f t="shared" si="56"/>
        <v>0</v>
      </c>
      <c r="K102" s="242">
        <f t="shared" si="68"/>
        <v>0</v>
      </c>
      <c r="L102" s="242">
        <f t="shared" si="57"/>
        <v>0</v>
      </c>
      <c r="M102" s="24">
        <f t="shared" si="82"/>
        <v>0</v>
      </c>
      <c r="N102" s="24">
        <f t="shared" si="50"/>
        <v>0</v>
      </c>
      <c r="O102" s="24">
        <v>0</v>
      </c>
      <c r="P102" s="24">
        <f t="shared" si="80"/>
        <v>0</v>
      </c>
      <c r="Q102" s="24">
        <f t="shared" si="51"/>
        <v>0</v>
      </c>
      <c r="R102" s="24">
        <f t="shared" si="58"/>
        <v>0</v>
      </c>
      <c r="S102" s="24">
        <f t="shared" si="70"/>
        <v>0</v>
      </c>
      <c r="T102" s="24">
        <f>IF(G102=C44,'КЭШ, Реф (БВ_ОПТИ_Базовый)'!$C$26-'КЭШ, Реф (БВ_ОПТИ_Базовый)'!$C$27,0)</f>
        <v>0</v>
      </c>
      <c r="U102" s="36">
        <f t="shared" si="75"/>
        <v>0</v>
      </c>
      <c r="V102" s="36">
        <f t="shared" si="60"/>
        <v>0</v>
      </c>
      <c r="W102" s="36">
        <f t="shared" si="61"/>
        <v>0</v>
      </c>
      <c r="X102" s="2" t="e">
        <f>IF(AND(G67&gt;=$X$11,G67&lt;=$X$11+5),0,IF($C$9&gt;$AG$51,ROUND(S66*#REF!/(DATEVALUE(CONCATENATE("01/01/",YEAR(H67)+1))-DATEVALUE(CONCATENATE("01/01/",YEAR(H67))))*(H67-H66),2),0))</f>
        <v>#REF!</v>
      </c>
      <c r="Y102" s="34">
        <f t="shared" si="43"/>
        <v>0</v>
      </c>
      <c r="Z102" s="57">
        <f t="shared" si="41"/>
        <v>66850</v>
      </c>
      <c r="AM102" s="2" t="e">
        <f>IF(AND(Z59&gt;=$X$11,Z59&lt;=$X$11+5),0,IF($C$9&gt;$AG$51,ROUND(AJ62*#REF!/(DATEVALUE(CONCATENATE("01/01/",YEAR(AA59)+1))-DATEVALUE(CONCATENATE("01/01/",YEAR(AA59))))*(AA59-AA58),2),0))</f>
        <v>#REF!</v>
      </c>
      <c r="AN102" s="34">
        <f t="shared" si="45"/>
        <v>0</v>
      </c>
      <c r="AO102" s="57">
        <f t="shared" si="44"/>
        <v>65390</v>
      </c>
      <c r="AP102" s="130">
        <f t="shared" si="62"/>
        <v>0</v>
      </c>
      <c r="AQ102" s="109">
        <f t="shared" si="76"/>
        <v>94</v>
      </c>
      <c r="AR102" s="681">
        <f t="shared" si="63"/>
        <v>48176</v>
      </c>
      <c r="AS102" s="177">
        <f t="shared" si="46"/>
        <v>0.27900000000000003</v>
      </c>
      <c r="AT102" s="105">
        <f t="shared" si="64"/>
        <v>0</v>
      </c>
      <c r="AU102" s="105">
        <f t="shared" si="71"/>
        <v>0</v>
      </c>
      <c r="AV102" s="559">
        <f t="shared" si="65"/>
        <v>0</v>
      </c>
      <c r="AW102" s="105">
        <f t="shared" si="66"/>
        <v>0</v>
      </c>
      <c r="AX102" s="105">
        <f t="shared" si="52"/>
        <v>0</v>
      </c>
      <c r="AY102" s="105">
        <v>0</v>
      </c>
      <c r="AZ102" s="105">
        <f t="shared" si="81"/>
        <v>0</v>
      </c>
      <c r="BA102" s="105">
        <f t="shared" si="79"/>
        <v>0</v>
      </c>
      <c r="BB102" s="105">
        <f t="shared" si="78"/>
        <v>0</v>
      </c>
      <c r="BC102" s="105"/>
      <c r="BD102" s="105"/>
      <c r="BE102" s="105"/>
      <c r="BF102" s="105"/>
      <c r="BG102" s="105"/>
      <c r="BH102" s="105">
        <f t="shared" si="67"/>
        <v>0</v>
      </c>
      <c r="BI102" s="108">
        <f t="shared" si="77"/>
        <v>0</v>
      </c>
      <c r="BJ102" s="108">
        <f t="shared" si="72"/>
        <v>0</v>
      </c>
      <c r="BK102" s="22">
        <f t="shared" si="73"/>
        <v>48176</v>
      </c>
      <c r="BL102" s="108">
        <f t="shared" si="53"/>
        <v>0</v>
      </c>
      <c r="BM102" s="2" t="e">
        <f>IF(AND(G57&gt;=$X$11,G57&lt;=$X$11+5),0,IF($C$9&gt;$AG$51,ROUND(BH56*IF(#REF!="",0,#REF!)/(DATEVALUE(CONCATENATE("01/01/",YEAR(AR57)+1))-DATEVALUE(CONCATENATE("01/01/",YEAR(AR57))))*(AR57-AR56),2),0))</f>
        <v>#REF!</v>
      </c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  <c r="AAB102" s="2"/>
      <c r="AAC102" s="2"/>
      <c r="AAD102" s="2"/>
      <c r="AAE102" s="2"/>
      <c r="AAF102" s="2"/>
      <c r="AAG102" s="2"/>
      <c r="AAH102" s="2"/>
      <c r="AAI102" s="2"/>
      <c r="AAJ102" s="2"/>
      <c r="AAK102" s="2"/>
      <c r="AAL102" s="2"/>
      <c r="AAM102" s="2"/>
      <c r="AAN102" s="2"/>
      <c r="AAO102" s="2"/>
      <c r="AAP102" s="2"/>
      <c r="AAQ102" s="2"/>
      <c r="AAR102" s="2"/>
      <c r="AAS102" s="2"/>
      <c r="AAT102" s="2"/>
      <c r="AAU102" s="2"/>
      <c r="AAV102" s="2"/>
      <c r="AAW102" s="2"/>
      <c r="AAX102" s="2"/>
      <c r="AAY102" s="2"/>
      <c r="AAZ102" s="2"/>
      <c r="ABA102" s="2"/>
      <c r="ABB102" s="2"/>
      <c r="ABC102" s="2"/>
      <c r="ABD102" s="2"/>
      <c r="ABE102" s="2"/>
      <c r="ABF102" s="2"/>
      <c r="ABG102" s="2"/>
      <c r="ABH102" s="2"/>
      <c r="ABI102" s="2"/>
      <c r="ABJ102" s="2"/>
      <c r="ABK102" s="2"/>
      <c r="ABL102" s="2"/>
      <c r="ABM102" s="2"/>
      <c r="ABN102" s="2"/>
      <c r="ABO102" s="2"/>
      <c r="ABP102" s="2"/>
      <c r="ABQ102" s="2"/>
      <c r="ABR102" s="2"/>
      <c r="ABS102" s="2"/>
      <c r="ABT102" s="2"/>
      <c r="ABU102" s="2"/>
      <c r="ABV102" s="2"/>
      <c r="ABW102" s="2"/>
      <c r="ABX102" s="2"/>
      <c r="ABY102" s="2"/>
      <c r="ABZ102" s="2"/>
      <c r="ACA102" s="2"/>
      <c r="ACB102" s="2"/>
      <c r="ACC102" s="2"/>
      <c r="ACD102" s="2"/>
      <c r="ACE102" s="2"/>
      <c r="ACF102" s="2"/>
      <c r="ACG102" s="2"/>
      <c r="ACH102" s="2"/>
      <c r="ACI102" s="2"/>
      <c r="ACJ102" s="2"/>
      <c r="ACK102" s="2"/>
      <c r="ACL102" s="2"/>
      <c r="ACM102" s="2"/>
      <c r="ACN102" s="2"/>
      <c r="ACO102" s="2"/>
      <c r="ACP102" s="2"/>
      <c r="ACQ102" s="2"/>
      <c r="ACR102" s="2"/>
      <c r="ACS102" s="2"/>
      <c r="ACT102" s="2"/>
      <c r="ACU102" s="2"/>
      <c r="ACV102" s="2"/>
      <c r="ACW102" s="2"/>
      <c r="ACX102" s="2"/>
      <c r="ACY102" s="2"/>
      <c r="ACZ102" s="2"/>
      <c r="ADA102" s="2"/>
      <c r="ADB102" s="2"/>
      <c r="ADC102" s="2"/>
      <c r="ADD102" s="2"/>
      <c r="ADE102" s="2"/>
      <c r="ADF102" s="2"/>
      <c r="ADG102" s="2"/>
      <c r="ADH102" s="2"/>
      <c r="ADI102" s="2"/>
      <c r="ADJ102" s="2"/>
      <c r="ADK102" s="2"/>
      <c r="ADL102" s="2"/>
      <c r="ADM102" s="2"/>
      <c r="ADN102" s="2"/>
      <c r="ADO102" s="2"/>
      <c r="ADP102" s="2"/>
      <c r="ADQ102" s="2"/>
      <c r="ADR102" s="2"/>
      <c r="ADS102" s="2"/>
      <c r="ADT102" s="2"/>
      <c r="ADU102" s="2"/>
      <c r="ADV102" s="2"/>
      <c r="ADW102" s="2"/>
      <c r="ADX102" s="2"/>
      <c r="ADY102" s="2"/>
      <c r="ADZ102" s="2"/>
      <c r="AEA102" s="2"/>
      <c r="AEB102" s="2"/>
      <c r="AEC102" s="2"/>
      <c r="AED102" s="2"/>
      <c r="AEE102" s="2"/>
      <c r="AEF102" s="2"/>
      <c r="AEG102" s="2"/>
      <c r="AEH102" s="2"/>
      <c r="AEI102" s="2"/>
      <c r="AEJ102" s="2"/>
      <c r="AEK102" s="2"/>
      <c r="AEL102" s="2"/>
      <c r="AEM102" s="2"/>
      <c r="AEN102" s="2"/>
      <c r="AEO102" s="2"/>
      <c r="AEP102" s="2"/>
      <c r="AEQ102" s="2"/>
      <c r="AER102" s="2"/>
      <c r="AES102" s="2"/>
      <c r="AET102" s="2"/>
      <c r="AEU102" s="2"/>
      <c r="AEV102" s="2"/>
      <c r="AEW102" s="2"/>
      <c r="AEX102" s="2"/>
      <c r="AEY102" s="2"/>
      <c r="AEZ102" s="2"/>
      <c r="AFA102" s="2"/>
      <c r="AFB102" s="2"/>
      <c r="AFC102" s="2"/>
      <c r="AFD102" s="2"/>
      <c r="AFE102" s="2"/>
      <c r="AFF102" s="2"/>
      <c r="AFG102" s="2"/>
      <c r="AFH102" s="2"/>
      <c r="AFI102" s="2"/>
      <c r="AFJ102" s="2"/>
      <c r="AFK102" s="2"/>
      <c r="AFL102" s="2"/>
      <c r="AFM102" s="2"/>
      <c r="AFN102" s="2"/>
      <c r="AFO102" s="2"/>
      <c r="AFP102" s="2"/>
      <c r="AFQ102" s="2"/>
      <c r="AFR102" s="2"/>
      <c r="AFS102" s="2"/>
      <c r="AFT102" s="2"/>
      <c r="AFU102" s="2"/>
      <c r="AFV102" s="2"/>
      <c r="AFW102" s="2"/>
      <c r="AFX102" s="2"/>
      <c r="AFY102" s="2"/>
      <c r="AFZ102" s="2"/>
      <c r="AGA102" s="2"/>
      <c r="AGB102" s="2"/>
      <c r="AGC102" s="2"/>
      <c r="AGD102" s="2"/>
      <c r="AGE102" s="2"/>
      <c r="AGF102" s="2"/>
      <c r="AGG102" s="2"/>
      <c r="AGH102" s="2"/>
      <c r="AGI102" s="2"/>
      <c r="AGJ102" s="2"/>
      <c r="AGK102" s="2"/>
      <c r="AGL102" s="2"/>
      <c r="AGM102" s="2"/>
      <c r="AGN102" s="2"/>
      <c r="AGO102" s="2"/>
      <c r="AGP102" s="2"/>
      <c r="AGQ102" s="2"/>
      <c r="AGR102" s="2"/>
      <c r="AGS102" s="2"/>
      <c r="AGT102" s="2"/>
      <c r="AGU102" s="2"/>
      <c r="AGV102" s="2"/>
      <c r="AGW102" s="2"/>
      <c r="AGX102" s="2"/>
      <c r="AGY102" s="2"/>
      <c r="AGZ102" s="2"/>
      <c r="AHA102" s="2"/>
      <c r="AHB102" s="2"/>
      <c r="AHC102" s="2"/>
      <c r="AHD102" s="2"/>
      <c r="AHE102" s="2"/>
      <c r="AHF102" s="2"/>
      <c r="AHG102" s="2"/>
      <c r="AHH102" s="2"/>
      <c r="AHI102" s="2"/>
      <c r="AHJ102" s="2"/>
      <c r="AHK102" s="2"/>
      <c r="AHL102" s="2"/>
      <c r="AHM102" s="2"/>
      <c r="AHN102" s="2"/>
      <c r="AHO102" s="2"/>
      <c r="AHP102" s="2"/>
      <c r="AHQ102" s="2"/>
      <c r="AHR102" s="2"/>
      <c r="AHS102" s="2"/>
      <c r="AHT102" s="2"/>
      <c r="AHU102" s="2"/>
      <c r="AHV102" s="2"/>
      <c r="AHW102" s="2"/>
      <c r="AHX102" s="2"/>
      <c r="AHY102" s="2"/>
      <c r="AHZ102" s="2"/>
      <c r="AIA102" s="2"/>
      <c r="AIB102" s="2"/>
      <c r="AIC102" s="2"/>
      <c r="AID102" s="2"/>
      <c r="AIE102" s="2"/>
      <c r="AIF102" s="2"/>
      <c r="AIG102" s="2"/>
      <c r="AIH102" s="2"/>
      <c r="AII102" s="2"/>
      <c r="AIJ102" s="2"/>
      <c r="AIK102" s="2"/>
      <c r="AIL102" s="2"/>
      <c r="AIM102" s="2"/>
      <c r="AIN102" s="2"/>
      <c r="AIO102" s="2"/>
      <c r="AIP102" s="2"/>
      <c r="AIQ102" s="2"/>
      <c r="AIR102" s="2"/>
      <c r="AIS102" s="2"/>
      <c r="AIT102" s="2"/>
      <c r="AIU102" s="2"/>
      <c r="AIV102" s="2"/>
      <c r="AIW102" s="2"/>
      <c r="AIX102" s="2"/>
      <c r="AIY102" s="2"/>
      <c r="AIZ102" s="2"/>
      <c r="AJA102" s="2"/>
      <c r="AJB102" s="2"/>
      <c r="AJC102" s="2"/>
      <c r="AJD102" s="2"/>
      <c r="AJE102" s="2"/>
      <c r="AJF102" s="2"/>
      <c r="AJG102" s="2"/>
      <c r="AJH102" s="2"/>
      <c r="AJI102" s="2"/>
      <c r="AJJ102" s="2"/>
      <c r="AJK102" s="2"/>
      <c r="AJL102" s="2"/>
      <c r="AJM102" s="2"/>
      <c r="AJN102" s="2"/>
      <c r="AJO102" s="2"/>
      <c r="AJP102" s="2"/>
      <c r="AJQ102" s="2"/>
      <c r="AJR102" s="2"/>
      <c r="AJS102" s="2"/>
      <c r="AJT102" s="2"/>
      <c r="AJU102" s="2"/>
      <c r="AJV102" s="2"/>
      <c r="AJW102" s="2"/>
      <c r="AJX102" s="2"/>
      <c r="AJY102" s="2"/>
      <c r="AJZ102" s="2"/>
      <c r="AKA102" s="2"/>
      <c r="AKB102" s="2"/>
      <c r="AKC102" s="2"/>
      <c r="AKD102" s="2"/>
      <c r="AKE102" s="2"/>
      <c r="AKF102" s="2"/>
      <c r="AKG102" s="2"/>
      <c r="AKH102" s="2"/>
      <c r="AKI102" s="2"/>
      <c r="AKJ102" s="2"/>
      <c r="AKK102" s="2"/>
      <c r="AKL102" s="2"/>
      <c r="AKM102" s="2"/>
      <c r="AKN102" s="2"/>
      <c r="AKO102" s="2"/>
      <c r="AKP102" s="2"/>
      <c r="AKQ102" s="2"/>
      <c r="AKR102" s="2"/>
      <c r="AKS102" s="2"/>
      <c r="AKT102" s="2"/>
      <c r="AKU102" s="2"/>
      <c r="AKV102" s="2"/>
      <c r="AKW102" s="2"/>
      <c r="AKX102" s="2"/>
      <c r="AKY102" s="2"/>
      <c r="AKZ102" s="2"/>
      <c r="ALA102" s="2"/>
      <c r="ALB102" s="2"/>
      <c r="ALC102" s="2"/>
      <c r="ALD102" s="2"/>
      <c r="ALE102" s="2"/>
      <c r="ALF102" s="2"/>
      <c r="ALG102" s="2"/>
      <c r="ALH102" s="2"/>
      <c r="ALI102" s="2"/>
      <c r="ALJ102" s="2"/>
      <c r="ALK102" s="2"/>
      <c r="ALL102" s="2"/>
      <c r="ALM102" s="2"/>
      <c r="ALN102" s="2"/>
      <c r="ALO102" s="2"/>
      <c r="ALP102" s="2"/>
      <c r="ALQ102" s="2"/>
      <c r="ALR102" s="2"/>
      <c r="ALS102" s="2"/>
      <c r="ALT102" s="2"/>
      <c r="ALU102" s="2"/>
      <c r="ALV102" s="2"/>
      <c r="ALW102" s="2"/>
      <c r="ALX102" s="2"/>
      <c r="ALY102" s="2"/>
      <c r="ALZ102" s="2"/>
      <c r="AMA102" s="2"/>
      <c r="AMB102" s="2"/>
      <c r="AMC102" s="2"/>
      <c r="AMD102" s="2"/>
      <c r="AME102" s="2"/>
      <c r="AMF102" s="2"/>
      <c r="AMG102" s="2"/>
      <c r="AMH102" s="2"/>
      <c r="AMI102" s="2"/>
      <c r="AMJ102" s="2"/>
      <c r="AMK102" s="2"/>
      <c r="AML102" s="2"/>
      <c r="AMM102" s="2"/>
      <c r="AMN102" s="2"/>
      <c r="AMO102" s="2"/>
      <c r="AMP102" s="2"/>
      <c r="AMQ102" s="2"/>
      <c r="AMR102" s="2"/>
      <c r="AMS102" s="2"/>
      <c r="AMT102" s="2"/>
      <c r="AMU102" s="2"/>
      <c r="AMV102" s="2"/>
      <c r="AMW102" s="2"/>
      <c r="AMX102" s="2"/>
      <c r="AMY102" s="2"/>
      <c r="AMZ102" s="2"/>
      <c r="ANA102" s="2"/>
      <c r="ANB102" s="2"/>
      <c r="ANC102" s="2"/>
      <c r="AND102" s="2"/>
      <c r="ANE102" s="2"/>
      <c r="ANF102" s="2"/>
      <c r="ANG102" s="2"/>
      <c r="ANH102" s="2"/>
      <c r="ANI102" s="2"/>
      <c r="ANJ102" s="2"/>
      <c r="ANK102" s="2"/>
      <c r="ANL102" s="2"/>
      <c r="ANM102" s="2"/>
      <c r="ANN102" s="2"/>
      <c r="ANO102" s="2"/>
      <c r="ANP102" s="2"/>
      <c r="ANQ102" s="2"/>
      <c r="ANR102" s="2"/>
      <c r="ANS102" s="2"/>
      <c r="ANT102" s="2"/>
      <c r="ANU102" s="2"/>
      <c r="ANV102" s="2"/>
      <c r="ANW102" s="2"/>
      <c r="ANX102" s="2"/>
      <c r="ANY102" s="2"/>
      <c r="ANZ102" s="2"/>
      <c r="AOA102" s="2"/>
      <c r="AOB102" s="2"/>
      <c r="AOC102" s="2"/>
      <c r="AOD102" s="2"/>
      <c r="AOE102" s="2"/>
      <c r="AOF102" s="2"/>
      <c r="AOG102" s="2"/>
      <c r="AOH102" s="2"/>
      <c r="AOI102" s="2"/>
      <c r="AOJ102" s="2"/>
      <c r="AOK102" s="2"/>
      <c r="AOL102" s="2"/>
      <c r="AOM102" s="2"/>
      <c r="AON102" s="2"/>
      <c r="AOO102" s="2"/>
      <c r="AOP102" s="2"/>
      <c r="AOQ102" s="2"/>
      <c r="AOR102" s="2"/>
      <c r="AOS102" s="2"/>
      <c r="AOT102" s="2"/>
      <c r="AOU102" s="2"/>
      <c r="AOV102" s="2"/>
      <c r="AOW102" s="2"/>
      <c r="AOX102" s="2"/>
      <c r="AOY102" s="2"/>
      <c r="AOZ102" s="2"/>
      <c r="APA102" s="2"/>
      <c r="APB102" s="2"/>
      <c r="APC102" s="2"/>
      <c r="APD102" s="2"/>
      <c r="APE102" s="2"/>
      <c r="APF102" s="2"/>
      <c r="APG102" s="2"/>
      <c r="APH102" s="2"/>
      <c r="API102" s="2"/>
      <c r="APJ102" s="2"/>
      <c r="APK102" s="2"/>
      <c r="APL102" s="2"/>
      <c r="APM102" s="2"/>
      <c r="APN102" s="2"/>
      <c r="APO102" s="2"/>
      <c r="APP102" s="2"/>
      <c r="APQ102" s="2"/>
      <c r="APR102" s="2"/>
      <c r="APS102" s="2"/>
      <c r="APT102" s="2"/>
      <c r="APU102" s="2"/>
      <c r="APV102" s="2"/>
      <c r="APW102" s="2"/>
      <c r="APX102" s="2"/>
      <c r="APY102" s="2"/>
      <c r="APZ102" s="2"/>
      <c r="AQA102" s="2"/>
      <c r="AQB102" s="2"/>
      <c r="AQC102" s="2"/>
      <c r="AQD102" s="2"/>
      <c r="AQE102" s="2"/>
      <c r="AQF102" s="2"/>
      <c r="AQG102" s="2"/>
      <c r="AQH102" s="2"/>
      <c r="AQI102" s="2"/>
      <c r="AQJ102" s="2"/>
      <c r="AQK102" s="2"/>
      <c r="AQL102" s="2"/>
      <c r="AQM102" s="2"/>
      <c r="AQN102" s="2"/>
      <c r="AQO102" s="2"/>
      <c r="AQP102" s="2"/>
      <c r="AQQ102" s="2"/>
      <c r="AQR102" s="2"/>
      <c r="AQS102" s="2"/>
      <c r="AQT102" s="2"/>
      <c r="AQU102" s="2"/>
      <c r="AQV102" s="2"/>
      <c r="AQW102" s="2"/>
      <c r="AQX102" s="2"/>
      <c r="AQY102" s="2"/>
      <c r="AQZ102" s="2"/>
      <c r="ARA102" s="2"/>
      <c r="ARB102" s="2"/>
      <c r="ARC102" s="2"/>
      <c r="ARD102" s="2"/>
      <c r="ARE102" s="2"/>
      <c r="ARF102" s="2"/>
      <c r="ARG102" s="2"/>
      <c r="ARH102" s="2"/>
      <c r="ARI102" s="2"/>
      <c r="ARJ102" s="2"/>
      <c r="ARK102" s="2"/>
      <c r="ARL102" s="2"/>
      <c r="ARM102" s="2"/>
      <c r="ARN102" s="2"/>
      <c r="ARO102" s="2"/>
      <c r="ARP102" s="2"/>
      <c r="ARQ102" s="2"/>
      <c r="ARR102" s="2"/>
      <c r="ARS102" s="2"/>
      <c r="ART102" s="2"/>
      <c r="ARU102" s="2"/>
      <c r="ARV102" s="2"/>
      <c r="ARW102" s="2"/>
      <c r="ARX102" s="2"/>
      <c r="ARY102" s="2"/>
      <c r="ARZ102" s="2"/>
      <c r="ASA102" s="2"/>
      <c r="ASB102" s="2"/>
      <c r="ASC102" s="2"/>
      <c r="ASD102" s="2"/>
      <c r="ASE102" s="2"/>
      <c r="ASF102" s="2"/>
      <c r="ASG102" s="2"/>
      <c r="ASH102" s="2"/>
      <c r="ASI102" s="2"/>
      <c r="ASJ102" s="2"/>
      <c r="ASK102" s="2"/>
      <c r="ASL102" s="2"/>
      <c r="ASM102" s="2"/>
      <c r="ASN102" s="2"/>
      <c r="ASO102" s="2"/>
      <c r="ASP102" s="2"/>
      <c r="ASQ102" s="2"/>
      <c r="ASR102" s="2"/>
      <c r="ASS102" s="2"/>
      <c r="AST102" s="2"/>
      <c r="ASU102" s="2"/>
      <c r="ASV102" s="2"/>
      <c r="ASW102" s="2"/>
      <c r="ASX102" s="2"/>
      <c r="ASY102" s="2"/>
      <c r="ASZ102" s="2"/>
      <c r="ATA102" s="2"/>
      <c r="ATB102" s="2"/>
      <c r="ATC102" s="2"/>
      <c r="ATD102" s="2"/>
      <c r="ATE102" s="2"/>
      <c r="ATF102" s="2"/>
      <c r="ATG102" s="2"/>
      <c r="ATH102" s="2"/>
      <c r="ATI102" s="2"/>
      <c r="ATJ102" s="2"/>
      <c r="ATK102" s="2"/>
      <c r="ATL102" s="2"/>
      <c r="ATM102" s="2"/>
      <c r="ATN102" s="2"/>
      <c r="ATO102" s="2"/>
      <c r="ATP102" s="2"/>
      <c r="ATQ102" s="2"/>
      <c r="ATR102" s="2"/>
      <c r="ATS102" s="2"/>
      <c r="ATT102" s="2"/>
      <c r="ATU102" s="2"/>
      <c r="ATV102" s="2"/>
    </row>
    <row r="103" spans="1:1218" x14ac:dyDescent="0.3">
      <c r="A103" s="178"/>
      <c r="B103" s="178"/>
      <c r="C103" s="184"/>
      <c r="D103" s="184"/>
      <c r="E103" s="184"/>
      <c r="F103" s="184"/>
      <c r="G103" s="114">
        <f t="shared" si="74"/>
        <v>95</v>
      </c>
      <c r="H103" s="245">
        <f t="shared" si="54"/>
        <v>48206</v>
      </c>
      <c r="I103" s="246">
        <f t="shared" si="55"/>
        <v>0.21900000000000003</v>
      </c>
      <c r="J103" s="24">
        <f t="shared" si="56"/>
        <v>0</v>
      </c>
      <c r="K103" s="242">
        <f t="shared" si="68"/>
        <v>0</v>
      </c>
      <c r="L103" s="242">
        <f t="shared" si="57"/>
        <v>0</v>
      </c>
      <c r="M103" s="24">
        <f t="shared" si="82"/>
        <v>0</v>
      </c>
      <c r="N103" s="24">
        <f t="shared" si="50"/>
        <v>0</v>
      </c>
      <c r="O103" s="24">
        <v>0</v>
      </c>
      <c r="P103" s="24">
        <f t="shared" si="80"/>
        <v>0</v>
      </c>
      <c r="Q103" s="24">
        <f t="shared" si="51"/>
        <v>0</v>
      </c>
      <c r="R103" s="24">
        <f t="shared" si="58"/>
        <v>0</v>
      </c>
      <c r="S103" s="24">
        <f t="shared" si="70"/>
        <v>0</v>
      </c>
      <c r="T103" s="24">
        <f>IF(G103=C45,'КЭШ, Реф (БВ_ОПТИ_Базовый)'!$C$26-'КЭШ, Реф (БВ_ОПТИ_Базовый)'!$C$27,0)</f>
        <v>0</v>
      </c>
      <c r="U103" s="36">
        <f t="shared" si="75"/>
        <v>0</v>
      </c>
      <c r="V103" s="36">
        <f t="shared" si="60"/>
        <v>0</v>
      </c>
      <c r="W103" s="36">
        <f t="shared" si="61"/>
        <v>0</v>
      </c>
      <c r="X103" s="2" t="e">
        <f>IF(AND(G68&gt;=$X$11,G68&lt;=$X$11+5),0,IF($C$9&gt;$AG$51,ROUND(S67*#REF!/(DATEVALUE(CONCATENATE("01/01/",YEAR(H68)+1))-DATEVALUE(CONCATENATE("01/01/",YEAR(H68))))*(H68-H67),2),0))</f>
        <v>#REF!</v>
      </c>
      <c r="Y103" s="34">
        <f t="shared" si="43"/>
        <v>0</v>
      </c>
      <c r="Z103" s="57">
        <f t="shared" si="41"/>
        <v>67215</v>
      </c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2" t="e">
        <f>IF(AND(Z60&gt;=$X$11,Z60&lt;=$X$11+5),0,IF($C$9&gt;$AG$51,ROUND(AJ63*#REF!/(DATEVALUE(CONCATENATE("01/01/",YEAR(AA60)+1))-DATEVALUE(CONCATENATE("01/01/",YEAR(AA60))))*(AA60-AA59),2),0))</f>
        <v>#REF!</v>
      </c>
      <c r="AN103" s="34">
        <f t="shared" si="45"/>
        <v>0</v>
      </c>
      <c r="AO103" s="57">
        <f t="shared" si="44"/>
        <v>65755</v>
      </c>
      <c r="AP103" s="130">
        <f t="shared" si="62"/>
        <v>0</v>
      </c>
      <c r="AQ103" s="109">
        <f t="shared" si="76"/>
        <v>95</v>
      </c>
      <c r="AR103" s="681">
        <f t="shared" si="63"/>
        <v>48206</v>
      </c>
      <c r="AS103" s="177">
        <f t="shared" si="46"/>
        <v>0.27900000000000003</v>
      </c>
      <c r="AT103" s="105">
        <f t="shared" si="64"/>
        <v>0</v>
      </c>
      <c r="AU103" s="105">
        <f t="shared" si="71"/>
        <v>0</v>
      </c>
      <c r="AV103" s="559">
        <f t="shared" si="65"/>
        <v>0</v>
      </c>
      <c r="AW103" s="105">
        <f t="shared" si="66"/>
        <v>0</v>
      </c>
      <c r="AX103" s="105">
        <f t="shared" si="52"/>
        <v>0</v>
      </c>
      <c r="AY103" s="105">
        <v>0</v>
      </c>
      <c r="AZ103" s="105">
        <f t="shared" si="81"/>
        <v>0</v>
      </c>
      <c r="BA103" s="105">
        <f t="shared" si="79"/>
        <v>0</v>
      </c>
      <c r="BB103" s="105">
        <f t="shared" si="78"/>
        <v>0</v>
      </c>
      <c r="BC103" s="105"/>
      <c r="BD103" s="105"/>
      <c r="BE103" s="105"/>
      <c r="BF103" s="105"/>
      <c r="BG103" s="105"/>
      <c r="BH103" s="105">
        <f t="shared" si="67"/>
        <v>0</v>
      </c>
      <c r="BI103" s="108">
        <f t="shared" si="77"/>
        <v>0</v>
      </c>
      <c r="BJ103" s="108">
        <f t="shared" si="72"/>
        <v>0</v>
      </c>
      <c r="BK103" s="22">
        <f t="shared" si="73"/>
        <v>48206</v>
      </c>
      <c r="BL103" s="108">
        <f t="shared" si="53"/>
        <v>0</v>
      </c>
      <c r="BM103" s="2" t="e">
        <f>IF(AND(G58&gt;=$X$11,G58&lt;=$X$11+5),0,IF($C$9&gt;$AG$51,ROUND(BH57*IF(#REF!="",0,#REF!)/(DATEVALUE(CONCATENATE("01/01/",YEAR(AR58)+1))-DATEVALUE(CONCATENATE("01/01/",YEAR(AR58))))*(AR58-AR57),2),0))</f>
        <v>#REF!</v>
      </c>
    </row>
    <row r="104" spans="1:1218" x14ac:dyDescent="0.3">
      <c r="A104" s="178"/>
      <c r="B104" s="178"/>
      <c r="C104" s="184"/>
      <c r="D104" s="184"/>
      <c r="E104" s="184"/>
      <c r="F104" s="184"/>
      <c r="G104" s="114">
        <f t="shared" si="74"/>
        <v>96</v>
      </c>
      <c r="H104" s="245">
        <f t="shared" si="54"/>
        <v>48237</v>
      </c>
      <c r="I104" s="246">
        <f t="shared" si="55"/>
        <v>0.21900000000000003</v>
      </c>
      <c r="J104" s="24">
        <f t="shared" si="56"/>
        <v>0</v>
      </c>
      <c r="K104" s="242">
        <f t="shared" si="68"/>
        <v>0</v>
      </c>
      <c r="L104" s="242">
        <f t="shared" si="57"/>
        <v>0</v>
      </c>
      <c r="M104" s="24">
        <f t="shared" si="82"/>
        <v>0</v>
      </c>
      <c r="N104" s="24">
        <f t="shared" si="50"/>
        <v>0</v>
      </c>
      <c r="O104" s="24">
        <v>0</v>
      </c>
      <c r="P104" s="24">
        <f t="shared" si="80"/>
        <v>0</v>
      </c>
      <c r="Q104" s="24">
        <f t="shared" si="51"/>
        <v>0</v>
      </c>
      <c r="R104" s="24">
        <f t="shared" si="58"/>
        <v>0</v>
      </c>
      <c r="S104" s="24">
        <f t="shared" si="70"/>
        <v>0</v>
      </c>
      <c r="T104" s="24">
        <f>IF(G104=C46,'КЭШ, Реф (БВ_ОПТИ_Базовый)'!$C$26-'КЭШ, Реф (БВ_ОПТИ_Базовый)'!$C$27,0)</f>
        <v>0</v>
      </c>
      <c r="U104" s="36">
        <f t="shared" si="75"/>
        <v>0</v>
      </c>
      <c r="V104" s="36">
        <f t="shared" si="60"/>
        <v>0</v>
      </c>
      <c r="W104" s="36">
        <f t="shared" si="61"/>
        <v>0</v>
      </c>
      <c r="X104" s="2" t="e">
        <f>IF(AND(G69&gt;=$X$11,G69&lt;=$X$11+5),0,IF($C$9&gt;$AG$51,ROUND(S68*#REF!/(DATEVALUE(CONCATENATE("01/01/",YEAR(H69)+1))-DATEVALUE(CONCATENATE("01/01/",YEAR(H69))))*(H69-H68),2),0))</f>
        <v>#REF!</v>
      </c>
      <c r="Y104" s="34">
        <f t="shared" si="43"/>
        <v>0</v>
      </c>
      <c r="Z104" s="57">
        <f t="shared" si="41"/>
        <v>67580</v>
      </c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2" t="e">
        <f>IF(AND(Z61&gt;=$X$11,Z61&lt;=$X$11+5),0,IF($C$9&gt;$AG$51,ROUND(AJ64*#REF!/(DATEVALUE(CONCATENATE("01/01/",YEAR(AA61)+1))-DATEVALUE(CONCATENATE("01/01/",YEAR(AA61))))*(AA61-AA60),2),0))</f>
        <v>#REF!</v>
      </c>
      <c r="AN104" s="34">
        <f t="shared" si="45"/>
        <v>0</v>
      </c>
      <c r="AO104" s="57">
        <f t="shared" si="44"/>
        <v>66120</v>
      </c>
      <c r="AP104" s="130">
        <f t="shared" si="62"/>
        <v>0</v>
      </c>
      <c r="AQ104" s="109">
        <f t="shared" si="76"/>
        <v>96</v>
      </c>
      <c r="AR104" s="681">
        <f t="shared" si="63"/>
        <v>48237</v>
      </c>
      <c r="AS104" s="177">
        <f t="shared" si="46"/>
        <v>0.27900000000000003</v>
      </c>
      <c r="AT104" s="105">
        <f t="shared" si="64"/>
        <v>0</v>
      </c>
      <c r="AU104" s="105">
        <f t="shared" si="71"/>
        <v>0</v>
      </c>
      <c r="AV104" s="559">
        <f t="shared" si="65"/>
        <v>0</v>
      </c>
      <c r="AW104" s="105">
        <f t="shared" si="66"/>
        <v>0</v>
      </c>
      <c r="AX104" s="105">
        <f t="shared" si="52"/>
        <v>0</v>
      </c>
      <c r="AY104" s="105">
        <v>0</v>
      </c>
      <c r="AZ104" s="105">
        <f t="shared" si="81"/>
        <v>0</v>
      </c>
      <c r="BA104" s="105">
        <f t="shared" si="79"/>
        <v>0</v>
      </c>
      <c r="BB104" s="105">
        <f t="shared" si="78"/>
        <v>0</v>
      </c>
      <c r="BC104" s="105"/>
      <c r="BD104" s="105"/>
      <c r="BE104" s="105"/>
      <c r="BF104" s="105"/>
      <c r="BG104" s="105"/>
      <c r="BH104" s="105">
        <f t="shared" si="67"/>
        <v>0</v>
      </c>
      <c r="BI104" s="108">
        <f t="shared" si="77"/>
        <v>0</v>
      </c>
      <c r="BJ104" s="108">
        <f t="shared" si="72"/>
        <v>0</v>
      </c>
      <c r="BK104" s="22">
        <f t="shared" si="73"/>
        <v>48237</v>
      </c>
      <c r="BL104" s="108">
        <f t="shared" si="53"/>
        <v>0</v>
      </c>
      <c r="BM104" s="2" t="e">
        <f>IF(AND(G59&gt;=$X$11,G59&lt;=$X$11+5),0,IF($C$9&gt;$AG$51,ROUND(BH58*IF(#REF!="",0,#REF!)/(DATEVALUE(CONCATENATE("01/01/",YEAR(AR59)+1))-DATEVALUE(CONCATENATE("01/01/",YEAR(AR59))))*(AR59-AR58),2),0))</f>
        <v>#REF!</v>
      </c>
    </row>
    <row r="105" spans="1:1218" x14ac:dyDescent="0.3">
      <c r="A105" s="178"/>
      <c r="B105" s="178"/>
      <c r="C105" s="184"/>
      <c r="D105" s="184"/>
      <c r="E105" s="184"/>
      <c r="F105" s="184"/>
      <c r="G105" s="114">
        <f t="shared" si="74"/>
        <v>97</v>
      </c>
      <c r="H105" s="245">
        <f t="shared" si="54"/>
        <v>48268</v>
      </c>
      <c r="I105" s="246">
        <f t="shared" si="55"/>
        <v>0.21900000000000003</v>
      </c>
      <c r="J105" s="24">
        <f t="shared" si="56"/>
        <v>0</v>
      </c>
      <c r="K105" s="242">
        <f t="shared" si="68"/>
        <v>0</v>
      </c>
      <c r="L105" s="242">
        <f t="shared" si="57"/>
        <v>0</v>
      </c>
      <c r="M105" s="24">
        <f t="shared" si="82"/>
        <v>0</v>
      </c>
      <c r="N105" s="24">
        <f t="shared" si="50"/>
        <v>0</v>
      </c>
      <c r="O105" s="24">
        <v>0</v>
      </c>
      <c r="P105" s="24">
        <f t="shared" si="80"/>
        <v>0</v>
      </c>
      <c r="Q105" s="24">
        <f t="shared" si="51"/>
        <v>0</v>
      </c>
      <c r="R105" s="24">
        <f t="shared" si="58"/>
        <v>0</v>
      </c>
      <c r="S105" s="24">
        <f t="shared" si="70"/>
        <v>0</v>
      </c>
      <c r="T105" s="24">
        <f>IF(G105=C47,'КЭШ, Реф (БВ_ОПТИ_Базовый)'!$C$26-'КЭШ, Реф (БВ_ОПТИ_Базовый)'!$C$27,0)</f>
        <v>0</v>
      </c>
      <c r="U105" s="36">
        <f t="shared" si="75"/>
        <v>0</v>
      </c>
      <c r="V105" s="36">
        <f t="shared" si="60"/>
        <v>0</v>
      </c>
      <c r="W105" s="36">
        <f t="shared" si="61"/>
        <v>0</v>
      </c>
      <c r="X105" s="2" t="e">
        <f>IF(AND(G70&gt;=$X$11,G70&lt;=$X$11+5),0,IF($C$9&gt;$AG$51,ROUND(S69*#REF!/(DATEVALUE(CONCATENATE("01/01/",YEAR(H70)+1))-DATEVALUE(CONCATENATE("01/01/",YEAR(H70))))*(H70-H69),2),0))</f>
        <v>#REF!</v>
      </c>
      <c r="Y105" s="34">
        <f t="shared" si="43"/>
        <v>0</v>
      </c>
      <c r="Z105" s="57">
        <f t="shared" si="41"/>
        <v>67945</v>
      </c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2" t="e">
        <f>IF(AND(Z62&gt;=$X$11,Z62&lt;=$X$11+5),0,IF($C$9&gt;$AG$51,ROUND(AJ65*#REF!/(DATEVALUE(CONCATENATE("01/01/",YEAR(AA62)+1))-DATEVALUE(CONCATENATE("01/01/",YEAR(AA62))))*(AA62-AA61),2),0))</f>
        <v>#REF!</v>
      </c>
      <c r="AN105" s="34">
        <f t="shared" si="45"/>
        <v>0</v>
      </c>
      <c r="AO105" s="57">
        <f t="shared" si="44"/>
        <v>66485</v>
      </c>
      <c r="AP105" s="130">
        <f t="shared" si="62"/>
        <v>0</v>
      </c>
      <c r="AQ105" s="109">
        <f t="shared" si="76"/>
        <v>97</v>
      </c>
      <c r="AR105" s="681">
        <f t="shared" si="63"/>
        <v>48268</v>
      </c>
      <c r="AS105" s="177">
        <f t="shared" si="46"/>
        <v>0.27900000000000003</v>
      </c>
      <c r="AT105" s="105">
        <f t="shared" si="64"/>
        <v>0</v>
      </c>
      <c r="AU105" s="105">
        <f t="shared" si="71"/>
        <v>0</v>
      </c>
      <c r="AV105" s="559">
        <f t="shared" si="65"/>
        <v>0</v>
      </c>
      <c r="AW105" s="105">
        <f t="shared" si="66"/>
        <v>0</v>
      </c>
      <c r="AX105" s="105">
        <f t="shared" si="52"/>
        <v>0</v>
      </c>
      <c r="AY105" s="105">
        <v>0</v>
      </c>
      <c r="AZ105" s="105">
        <f t="shared" si="81"/>
        <v>0</v>
      </c>
      <c r="BA105" s="105">
        <f t="shared" si="79"/>
        <v>0</v>
      </c>
      <c r="BB105" s="105">
        <f t="shared" si="78"/>
        <v>0</v>
      </c>
      <c r="BC105" s="105"/>
      <c r="BD105" s="105"/>
      <c r="BE105" s="105"/>
      <c r="BF105" s="105"/>
      <c r="BG105" s="105"/>
      <c r="BH105" s="105">
        <f t="shared" si="67"/>
        <v>0</v>
      </c>
      <c r="BI105" s="108">
        <f t="shared" si="77"/>
        <v>0</v>
      </c>
      <c r="BJ105" s="108">
        <f t="shared" si="72"/>
        <v>0</v>
      </c>
      <c r="BK105" s="22">
        <f t="shared" si="73"/>
        <v>48268</v>
      </c>
      <c r="BL105" s="108">
        <f t="shared" si="53"/>
        <v>0</v>
      </c>
      <c r="BM105" s="2" t="e">
        <f>IF(AND(G60&gt;=$X$11,G60&lt;=$X$11+5),0,IF($C$9&gt;$AG$51,ROUND(BH59*IF(#REF!="",0,#REF!)/(DATEVALUE(CONCATENATE("01/01/",YEAR(AR60)+1))-DATEVALUE(CONCATENATE("01/01/",YEAR(AR60))))*(AR60-AR59),2),0))</f>
        <v>#REF!</v>
      </c>
    </row>
    <row r="106" spans="1:1218" x14ac:dyDescent="0.3">
      <c r="A106" s="178"/>
      <c r="B106" s="178"/>
      <c r="C106" s="184"/>
      <c r="D106" s="184"/>
      <c r="E106" s="184"/>
      <c r="F106" s="184"/>
      <c r="G106" s="114">
        <f t="shared" si="74"/>
        <v>98</v>
      </c>
      <c r="H106" s="245">
        <f t="shared" si="54"/>
        <v>48297</v>
      </c>
      <c r="I106" s="246">
        <f t="shared" si="55"/>
        <v>0.21900000000000003</v>
      </c>
      <c r="J106" s="24">
        <f t="shared" si="56"/>
        <v>0</v>
      </c>
      <c r="K106" s="242">
        <f t="shared" si="68"/>
        <v>0</v>
      </c>
      <c r="L106" s="242">
        <f t="shared" si="57"/>
        <v>0</v>
      </c>
      <c r="M106" s="24">
        <f t="shared" si="82"/>
        <v>0</v>
      </c>
      <c r="N106" s="24">
        <f t="shared" si="50"/>
        <v>0</v>
      </c>
      <c r="O106" s="24">
        <v>0</v>
      </c>
      <c r="P106" s="24">
        <f t="shared" si="80"/>
        <v>0</v>
      </c>
      <c r="Q106" s="24">
        <f t="shared" si="51"/>
        <v>0</v>
      </c>
      <c r="R106" s="24">
        <f t="shared" si="58"/>
        <v>0</v>
      </c>
      <c r="S106" s="24">
        <f t="shared" si="70"/>
        <v>0</v>
      </c>
      <c r="T106" s="24">
        <f>IF(G106=C48,'КЭШ, Реф (БВ_ОПТИ_Базовый)'!$C$26-'КЭШ, Реф (БВ_ОПТИ_Базовый)'!$C$27,0)</f>
        <v>0</v>
      </c>
      <c r="U106" s="36">
        <f t="shared" si="75"/>
        <v>0</v>
      </c>
      <c r="V106" s="36">
        <f t="shared" si="60"/>
        <v>0</v>
      </c>
      <c r="W106" s="36">
        <f t="shared" si="61"/>
        <v>0</v>
      </c>
      <c r="X106" s="2" t="e">
        <f>IF(AND(G71&gt;=$X$11,G71&lt;=$X$11+5),0,IF($C$9&gt;$AG$51,ROUND(S70*#REF!/(DATEVALUE(CONCATENATE("01/01/",YEAR(H71)+1))-DATEVALUE(CONCATENATE("01/01/",YEAR(H71))))*(H71-H70),2),0))</f>
        <v>#REF!</v>
      </c>
      <c r="Y106" s="34">
        <f t="shared" si="43"/>
        <v>0</v>
      </c>
      <c r="Z106" s="57">
        <f t="shared" si="41"/>
        <v>68310</v>
      </c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2" t="e">
        <f>IF(AND(Z63&gt;=$X$11,Z63&lt;=$X$11+5),0,IF($C$9&gt;$AG$51,ROUND(AJ66*#REF!/(DATEVALUE(CONCATENATE("01/01/",YEAR(AA63)+1))-DATEVALUE(CONCATENATE("01/01/",YEAR(AA63))))*(AA63-AA62),2),0))</f>
        <v>#REF!</v>
      </c>
      <c r="AN106" s="34">
        <f t="shared" si="45"/>
        <v>0</v>
      </c>
      <c r="AO106" s="57">
        <f t="shared" si="44"/>
        <v>66850</v>
      </c>
      <c r="AP106" s="130">
        <f t="shared" si="62"/>
        <v>0</v>
      </c>
      <c r="AQ106" s="109">
        <f t="shared" si="76"/>
        <v>98</v>
      </c>
      <c r="AR106" s="681">
        <f t="shared" si="63"/>
        <v>48297</v>
      </c>
      <c r="AS106" s="177">
        <f t="shared" si="46"/>
        <v>0.27900000000000003</v>
      </c>
      <c r="AT106" s="105">
        <f t="shared" si="64"/>
        <v>0</v>
      </c>
      <c r="AU106" s="105">
        <f t="shared" si="71"/>
        <v>0</v>
      </c>
      <c r="AV106" s="559">
        <f t="shared" si="65"/>
        <v>0</v>
      </c>
      <c r="AW106" s="105">
        <f t="shared" si="66"/>
        <v>0</v>
      </c>
      <c r="AX106" s="105">
        <f t="shared" si="52"/>
        <v>0</v>
      </c>
      <c r="AY106" s="105">
        <v>0</v>
      </c>
      <c r="AZ106" s="105">
        <f t="shared" si="81"/>
        <v>0</v>
      </c>
      <c r="BA106" s="105">
        <f t="shared" si="79"/>
        <v>0</v>
      </c>
      <c r="BB106" s="105">
        <f t="shared" si="78"/>
        <v>0</v>
      </c>
      <c r="BC106" s="105"/>
      <c r="BD106" s="105"/>
      <c r="BE106" s="105"/>
      <c r="BF106" s="105"/>
      <c r="BG106" s="105"/>
      <c r="BH106" s="105">
        <f t="shared" si="67"/>
        <v>0</v>
      </c>
      <c r="BI106" s="108">
        <f t="shared" si="77"/>
        <v>0</v>
      </c>
      <c r="BJ106" s="108">
        <f t="shared" si="72"/>
        <v>0</v>
      </c>
      <c r="BK106" s="22">
        <f t="shared" si="73"/>
        <v>48297</v>
      </c>
      <c r="BL106" s="108">
        <f t="shared" si="53"/>
        <v>0</v>
      </c>
      <c r="BM106" s="2" t="e">
        <f>IF(AND(G61&gt;=$X$11,G61&lt;=$X$11+5),0,IF($C$9&gt;$AG$51,ROUND(BH60*IF(#REF!="",0,#REF!)/(DATEVALUE(CONCATENATE("01/01/",YEAR(AR61)+1))-DATEVALUE(CONCATENATE("01/01/",YEAR(AR61))))*(AR61-AR60),2),0))</f>
        <v>#REF!</v>
      </c>
    </row>
    <row r="107" spans="1:1218" x14ac:dyDescent="0.3">
      <c r="A107" s="178"/>
      <c r="B107" s="178"/>
      <c r="C107" s="184"/>
      <c r="D107" s="184"/>
      <c r="E107" s="184"/>
      <c r="F107" s="184"/>
      <c r="G107" s="114">
        <f t="shared" si="74"/>
        <v>99</v>
      </c>
      <c r="H107" s="245">
        <f t="shared" si="54"/>
        <v>48328</v>
      </c>
      <c r="I107" s="246">
        <f t="shared" si="55"/>
        <v>0.21900000000000003</v>
      </c>
      <c r="J107" s="24">
        <f t="shared" si="56"/>
        <v>0</v>
      </c>
      <c r="K107" s="242">
        <f t="shared" si="68"/>
        <v>0</v>
      </c>
      <c r="L107" s="242">
        <f t="shared" si="57"/>
        <v>0</v>
      </c>
      <c r="M107" s="24">
        <f t="shared" si="82"/>
        <v>0</v>
      </c>
      <c r="N107" s="24">
        <f t="shared" si="50"/>
        <v>0</v>
      </c>
      <c r="O107" s="24">
        <v>0</v>
      </c>
      <c r="P107" s="24">
        <f t="shared" si="80"/>
        <v>0</v>
      </c>
      <c r="Q107" s="24">
        <f t="shared" si="51"/>
        <v>0</v>
      </c>
      <c r="R107" s="24">
        <f t="shared" si="58"/>
        <v>0</v>
      </c>
      <c r="S107" s="24">
        <f t="shared" si="70"/>
        <v>0</v>
      </c>
      <c r="T107" s="24">
        <f>IF(G107=C49,'КЭШ, Реф (БВ_ОПТИ_Базовый)'!$C$26-'КЭШ, Реф (БВ_ОПТИ_Базовый)'!$C$27,0)</f>
        <v>0</v>
      </c>
      <c r="U107" s="36">
        <f t="shared" si="75"/>
        <v>0</v>
      </c>
      <c r="V107" s="36">
        <f t="shared" si="60"/>
        <v>0</v>
      </c>
      <c r="W107" s="36">
        <f t="shared" si="61"/>
        <v>0</v>
      </c>
      <c r="X107" s="2" t="e">
        <f>IF(AND(G72&gt;=$X$11,G72&lt;=$X$11+5),0,IF($C$9&gt;$AG$51,ROUND(S71*#REF!/(DATEVALUE(CONCATENATE("01/01/",YEAR(H72)+1))-DATEVALUE(CONCATENATE("01/01/",YEAR(H72))))*(H72-H71),2),0))</f>
        <v>#REF!</v>
      </c>
      <c r="Y107" s="34">
        <f t="shared" si="43"/>
        <v>0</v>
      </c>
      <c r="Z107" s="57">
        <f t="shared" si="41"/>
        <v>68675</v>
      </c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2" t="e">
        <f>IF(AND(Z64&gt;=$X$11,Z64&lt;=$X$11+5),0,IF($C$9&gt;$AG$51,ROUND(AJ67*#REF!/(DATEVALUE(CONCATENATE("01/01/",YEAR(AA64)+1))-DATEVALUE(CONCATENATE("01/01/",YEAR(AA64))))*(AA64-AA63),2),0))</f>
        <v>#REF!</v>
      </c>
      <c r="AN107" s="34">
        <f t="shared" si="45"/>
        <v>0</v>
      </c>
      <c r="AO107" s="57">
        <f t="shared" si="44"/>
        <v>67215</v>
      </c>
      <c r="AP107" s="130">
        <f t="shared" si="62"/>
        <v>0</v>
      </c>
      <c r="AQ107" s="109">
        <f t="shared" si="76"/>
        <v>99</v>
      </c>
      <c r="AR107" s="681">
        <f t="shared" si="63"/>
        <v>48328</v>
      </c>
      <c r="AS107" s="177">
        <f t="shared" si="46"/>
        <v>0.27900000000000003</v>
      </c>
      <c r="AT107" s="105">
        <f t="shared" si="64"/>
        <v>0</v>
      </c>
      <c r="AU107" s="105">
        <f t="shared" si="71"/>
        <v>0</v>
      </c>
      <c r="AV107" s="559">
        <f t="shared" si="65"/>
        <v>0</v>
      </c>
      <c r="AW107" s="105">
        <f t="shared" si="66"/>
        <v>0</v>
      </c>
      <c r="AX107" s="105">
        <f t="shared" si="52"/>
        <v>0</v>
      </c>
      <c r="AY107" s="105">
        <v>0</v>
      </c>
      <c r="AZ107" s="105">
        <f t="shared" si="81"/>
        <v>0</v>
      </c>
      <c r="BA107" s="105">
        <f t="shared" si="79"/>
        <v>0</v>
      </c>
      <c r="BB107" s="105">
        <f t="shared" si="78"/>
        <v>0</v>
      </c>
      <c r="BC107" s="105"/>
      <c r="BD107" s="105"/>
      <c r="BE107" s="105"/>
      <c r="BF107" s="105"/>
      <c r="BG107" s="105"/>
      <c r="BH107" s="105">
        <f t="shared" si="67"/>
        <v>0</v>
      </c>
      <c r="BI107" s="108">
        <f t="shared" si="77"/>
        <v>0</v>
      </c>
      <c r="BJ107" s="108">
        <f t="shared" si="72"/>
        <v>0</v>
      </c>
      <c r="BK107" s="22">
        <f t="shared" si="73"/>
        <v>48328</v>
      </c>
      <c r="BL107" s="108">
        <f t="shared" si="53"/>
        <v>0</v>
      </c>
      <c r="BM107" s="2" t="e">
        <f>IF(AND(G62&gt;=$X$11,G62&lt;=$X$11+5),0,IF($C$9&gt;$AG$51,ROUND(BH61*IF(#REF!="",0,#REF!)/(DATEVALUE(CONCATENATE("01/01/",YEAR(AR62)+1))-DATEVALUE(CONCATENATE("01/01/",YEAR(AR62))))*(AR62-AR61),2),0))</f>
        <v>#REF!</v>
      </c>
    </row>
    <row r="108" spans="1:1218" x14ac:dyDescent="0.3">
      <c r="A108" s="178"/>
      <c r="B108" s="178"/>
      <c r="C108" s="184"/>
      <c r="D108" s="184"/>
      <c r="E108" s="184"/>
      <c r="F108" s="184"/>
      <c r="G108" s="114">
        <f t="shared" si="74"/>
        <v>100</v>
      </c>
      <c r="H108" s="245">
        <f t="shared" si="54"/>
        <v>48358</v>
      </c>
      <c r="I108" s="246">
        <f t="shared" si="55"/>
        <v>0.21900000000000003</v>
      </c>
      <c r="J108" s="24">
        <f t="shared" si="56"/>
        <v>0</v>
      </c>
      <c r="K108" s="242">
        <f t="shared" si="68"/>
        <v>0</v>
      </c>
      <c r="L108" s="242">
        <f t="shared" si="57"/>
        <v>0</v>
      </c>
      <c r="M108" s="24">
        <f t="shared" si="82"/>
        <v>0</v>
      </c>
      <c r="N108" s="24">
        <f t="shared" si="50"/>
        <v>0</v>
      </c>
      <c r="O108" s="24">
        <v>0</v>
      </c>
      <c r="P108" s="24">
        <f t="shared" si="80"/>
        <v>0</v>
      </c>
      <c r="Q108" s="24">
        <f t="shared" si="51"/>
        <v>0</v>
      </c>
      <c r="R108" s="24">
        <f t="shared" si="58"/>
        <v>0</v>
      </c>
      <c r="S108" s="24">
        <f t="shared" si="70"/>
        <v>0</v>
      </c>
      <c r="T108" s="24">
        <f>IF(G108=C50,'КЭШ, Реф (БВ_ОПТИ_Базовый)'!$C$26-'КЭШ, Реф (БВ_ОПТИ_Базовый)'!$C$27,0)</f>
        <v>0</v>
      </c>
      <c r="U108" s="36">
        <f t="shared" si="75"/>
        <v>0</v>
      </c>
      <c r="V108" s="36">
        <f>IF(ISERR(CEILING(FLOOR(NPER($C$11/12,-$AE$55,S107),0.1),1))=TRUE,0,CEILING(FLOOR(NPER($C$11/12,-$AE$55,S107),0.1),1))</f>
        <v>0</v>
      </c>
      <c r="W108" s="36">
        <f t="shared" si="61"/>
        <v>0</v>
      </c>
      <c r="X108" s="2" t="e">
        <f>IF(AND(G73&gt;=$X$11,G73&lt;=$X$11+5),0,IF($C$9&gt;$AG$51,ROUND(S72*#REF!/(DATEVALUE(CONCATENATE("01/01/",YEAR(H73)+1))-DATEVALUE(CONCATENATE("01/01/",YEAR(H73))))*(H73-H72),2),0))</f>
        <v>#REF!</v>
      </c>
      <c r="Y108" s="34">
        <f t="shared" si="43"/>
        <v>0</v>
      </c>
      <c r="Z108" s="57">
        <f t="shared" si="41"/>
        <v>69040</v>
      </c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2" t="e">
        <f>IF(AND(Z65&gt;=$X$11,Z65&lt;=$X$11+5),0,IF($C$9&gt;$AG$51,ROUND(AJ68*#REF!/(DATEVALUE(CONCATENATE("01/01/",YEAR(AA65)+1))-DATEVALUE(CONCATENATE("01/01/",YEAR(AA65))))*(AA65-AA64),2),0))</f>
        <v>#REF!</v>
      </c>
      <c r="AN108" s="34">
        <f t="shared" si="45"/>
        <v>0</v>
      </c>
      <c r="AO108" s="57">
        <f t="shared" si="44"/>
        <v>67580</v>
      </c>
      <c r="AP108" s="130">
        <f t="shared" si="62"/>
        <v>0</v>
      </c>
      <c r="AQ108" s="109">
        <f t="shared" si="76"/>
        <v>100</v>
      </c>
      <c r="AR108" s="681">
        <f t="shared" si="63"/>
        <v>48358</v>
      </c>
      <c r="AS108" s="177">
        <f t="shared" si="46"/>
        <v>0.27900000000000003</v>
      </c>
      <c r="AT108" s="105">
        <f t="shared" si="64"/>
        <v>0</v>
      </c>
      <c r="AU108" s="105">
        <f t="shared" si="71"/>
        <v>0</v>
      </c>
      <c r="AV108" s="559">
        <f t="shared" si="65"/>
        <v>0</v>
      </c>
      <c r="AW108" s="105">
        <f t="shared" si="66"/>
        <v>0</v>
      </c>
      <c r="AX108" s="105">
        <f t="shared" si="52"/>
        <v>0</v>
      </c>
      <c r="AY108" s="105">
        <v>0</v>
      </c>
      <c r="AZ108" s="105">
        <f t="shared" si="81"/>
        <v>0</v>
      </c>
      <c r="BA108" s="105">
        <f t="shared" si="79"/>
        <v>0</v>
      </c>
      <c r="BB108" s="105">
        <f t="shared" si="78"/>
        <v>0</v>
      </c>
      <c r="BC108" s="105"/>
      <c r="BD108" s="105"/>
      <c r="BE108" s="105"/>
      <c r="BF108" s="105"/>
      <c r="BG108" s="105"/>
      <c r="BH108" s="105">
        <f t="shared" si="67"/>
        <v>0</v>
      </c>
      <c r="BI108" s="108">
        <f t="shared" si="77"/>
        <v>0</v>
      </c>
      <c r="BJ108" s="108">
        <f t="shared" si="72"/>
        <v>0</v>
      </c>
      <c r="BK108" s="22">
        <f t="shared" si="73"/>
        <v>48358</v>
      </c>
      <c r="BL108" s="108">
        <f t="shared" si="53"/>
        <v>0</v>
      </c>
      <c r="BM108" s="2" t="e">
        <f>IF(AND(G63&gt;=$X$11,G63&lt;=$X$11+5),0,IF($C$9&gt;$AG$51,ROUND(BH62*IF(#REF!="",0,#REF!)/(DATEVALUE(CONCATENATE("01/01/",YEAR(AR63)+1))-DATEVALUE(CONCATENATE("01/01/",YEAR(AR63))))*(AR63-AR62),2),0))</f>
        <v>#REF!</v>
      </c>
    </row>
    <row r="109" spans="1:1218" x14ac:dyDescent="0.3">
      <c r="A109" s="178"/>
      <c r="B109" s="178"/>
      <c r="C109" s="184"/>
      <c r="D109" s="184"/>
      <c r="E109" s="184"/>
      <c r="F109" s="184"/>
      <c r="G109" s="28"/>
      <c r="H109" s="29" t="s">
        <v>7</v>
      </c>
      <c r="I109" s="29"/>
      <c r="J109" s="30">
        <f>(SUM(J9:J108))</f>
        <v>469368</v>
      </c>
      <c r="K109" s="30">
        <f>(SUM(K9:K108)-IF(CODE(C12)=209,AJ51,0))</f>
        <v>469368</v>
      </c>
      <c r="L109" s="30">
        <f>(SUM(L9:L108)-IF(CODE(D12)=209,AK51,0))</f>
        <v>136546.74594851327</v>
      </c>
      <c r="M109" s="30">
        <f t="shared" ref="M109:R109" si="83">SUM(M9:M108)</f>
        <v>332821.25405148673</v>
      </c>
      <c r="N109" s="31">
        <f t="shared" si="83"/>
        <v>0</v>
      </c>
      <c r="O109" s="31">
        <f t="shared" si="83"/>
        <v>0</v>
      </c>
      <c r="P109" s="31">
        <f t="shared" si="83"/>
        <v>136546.74594851327</v>
      </c>
      <c r="Q109" s="31">
        <f t="shared" si="83"/>
        <v>0</v>
      </c>
      <c r="R109" s="31">
        <f t="shared" si="83"/>
        <v>0</v>
      </c>
      <c r="S109" s="31"/>
      <c r="T109" s="31"/>
      <c r="U109" s="31"/>
      <c r="V109" s="31"/>
      <c r="W109" s="31">
        <f>SUM(W9:W108)</f>
        <v>19157.745948513064</v>
      </c>
      <c r="X109" s="2" t="e">
        <f>IF(AND(G74&gt;=$X$11,G74&lt;=$X$11+5),0,IF($C$9&gt;$AG$51,ROUND(S73*#REF!/(DATEVALUE(CONCATENATE("01/01/",YEAR(H74)+1))-DATEVALUE(CONCATENATE("01/01/",YEAR(H74))))*(H74-H73),2),0))</f>
        <v>#REF!</v>
      </c>
      <c r="Y109" s="34">
        <f t="shared" si="43"/>
        <v>0</v>
      </c>
      <c r="Z109" s="57">
        <f t="shared" ref="Z109:Z143" si="84">Z108+365</f>
        <v>69405</v>
      </c>
      <c r="AA109" s="16"/>
      <c r="AB109" s="16"/>
      <c r="AC109" s="16"/>
      <c r="AD109" s="16"/>
      <c r="AE109" s="16"/>
      <c r="AF109" s="16">
        <f>IF($C$7&lt;=$AF$89,AE89,IF($C$7&lt;=$AE$90,AF90,IF($C$7&lt;=$AE$91,AF91,AF92)))</f>
        <v>3499</v>
      </c>
      <c r="AG109" s="16">
        <f>IF($C$7&lt;=$AF$89,AF89,IF($C$7&lt;=$AE$90,AG90,IF($C$7&lt;=$AE$91,AG91,AG92)))</f>
        <v>4999</v>
      </c>
      <c r="AH109" s="16">
        <f>IF($C$7&lt;=$AF$89,AG89,IF($C$7&lt;=$AE$90,AH90,IF($C$7&lt;=$AE$91,AH91,AH92)))</f>
        <v>6999</v>
      </c>
      <c r="AI109" s="16">
        <f>IF($C$7&lt;=$AF$89,AH89,IF($C$7&lt;=$AE$90,AI90,IF($C$7&lt;=$AE$91,AI91,AI92)))</f>
        <v>6999</v>
      </c>
      <c r="AJ109" s="16">
        <f>IF($C$7&lt;=$AF$89,AI89,IF($C$7&lt;=$AE$90,AJ90,IF($C$7&lt;=$AE$91,AJ91,AJ92)))</f>
        <v>6999</v>
      </c>
      <c r="AK109" s="16">
        <f>IF($C$10&lt;=AF88,AF109,IF($C$10&lt;=AG88,AG109,IF($C$10&lt;=AH88,AH109,IF($C$10&lt;=AI88,AI109,AJ109))))</f>
        <v>3499</v>
      </c>
      <c r="AL109" s="16"/>
      <c r="AM109" s="2" t="e">
        <f>IF(AND(Z66&gt;=$X$11,Z66&lt;=$X$11+5),0,IF($C$9&gt;$AG$51,ROUND(AJ69*#REF!/(DATEVALUE(CONCATENATE("01/01/",YEAR(AA66)+1))-DATEVALUE(CONCATENATE("01/01/",YEAR(AA66))))*(AA66-AA65),2),0))</f>
        <v>#REF!</v>
      </c>
      <c r="AN109" s="34">
        <f t="shared" si="45"/>
        <v>0</v>
      </c>
      <c r="AO109" s="57">
        <f t="shared" si="44"/>
        <v>67945</v>
      </c>
      <c r="AP109" s="130"/>
      <c r="AQ109" s="28"/>
      <c r="AR109" s="29" t="s">
        <v>7</v>
      </c>
      <c r="AS109" s="29"/>
      <c r="AT109" s="30">
        <f>SUM(AT9:AT108)</f>
        <v>453636</v>
      </c>
      <c r="AU109" s="30">
        <f>SUM(AU9:AU108)</f>
        <v>453636</v>
      </c>
      <c r="AV109" s="30">
        <f>SUM(AV9:AV108)</f>
        <v>146689.75948506407</v>
      </c>
      <c r="AW109" s="30">
        <f>SUM(AW9:AW108)</f>
        <v>303498.99999999994</v>
      </c>
      <c r="AX109" s="30">
        <f>SUM(AX9:AX108)</f>
        <v>0</v>
      </c>
      <c r="AY109" s="31"/>
      <c r="AZ109" s="31"/>
      <c r="BA109" s="30">
        <f>SUM(BA9:BA108)</f>
        <v>0</v>
      </c>
      <c r="BB109" s="31"/>
      <c r="BC109" s="31"/>
      <c r="BD109" s="31"/>
      <c r="BE109" s="31"/>
      <c r="BF109" s="31"/>
      <c r="BG109" s="31"/>
      <c r="BH109" s="31"/>
      <c r="BI109" s="108">
        <f t="shared" si="77"/>
        <v>0</v>
      </c>
      <c r="BJ109" s="108">
        <f t="shared" si="72"/>
        <v>0</v>
      </c>
      <c r="BK109" s="22" t="str">
        <f t="shared" si="73"/>
        <v>Итого</v>
      </c>
      <c r="BL109" s="108">
        <f t="shared" si="53"/>
        <v>469368</v>
      </c>
      <c r="BM109" s="2" t="e">
        <f>IF(AND(G64&gt;=$X$11,G64&lt;=$X$11+5),0,IF($C$9&gt;$AG$51,ROUND(BH63*IF(#REF!="",0,#REF!)/(DATEVALUE(CONCATENATE("01/01/",YEAR(AR64)+1))-DATEVALUE(CONCATENATE("01/01/",YEAR(AR64))))*(AR64-AR63),2),0))</f>
        <v>#REF!</v>
      </c>
    </row>
    <row r="110" spans="1:1218" x14ac:dyDescent="0.25">
      <c r="X110" s="2" t="e">
        <f>IF(AND(G75&gt;=$X$11,G75&lt;=$X$11+5),0,IF($C$9&gt;$AG$51,ROUND(S74*#REF!/(DATEVALUE(CONCATENATE("01/01/",YEAR(H75)+1))-DATEVALUE(CONCATENATE("01/01/",YEAR(H75))))*(H75-H74),2),0))</f>
        <v>#REF!</v>
      </c>
      <c r="Y110" s="34">
        <f t="shared" ref="Y110:Y142" si="85">IF(K75 &gt; 0, K75, 0)</f>
        <v>0</v>
      </c>
      <c r="Z110" s="57">
        <f t="shared" si="84"/>
        <v>69770</v>
      </c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2" t="e">
        <f>IF(AND(Z67&gt;=$X$11,Z67&lt;=$X$11+5),0,IF($C$9&gt;$AG$51,ROUND(AJ70*#REF!/(DATEVALUE(CONCATENATE("01/01/",YEAR(AA67)+1))-DATEVALUE(CONCATENATE("01/01/",YEAR(AA67))))*(AA67-AA66),2),0))</f>
        <v>#VALUE!</v>
      </c>
      <c r="AN110" s="34">
        <f t="shared" si="45"/>
        <v>0</v>
      </c>
      <c r="AO110" s="57">
        <f t="shared" si="44"/>
        <v>68310</v>
      </c>
      <c r="AP110" s="130"/>
      <c r="BI110" s="108">
        <f t="shared" si="77"/>
        <v>0</v>
      </c>
      <c r="BJ110" s="108">
        <f t="shared" si="72"/>
        <v>0</v>
      </c>
      <c r="BK110" s="22">
        <f t="shared" si="73"/>
        <v>0</v>
      </c>
      <c r="BL110" s="108">
        <f t="shared" si="53"/>
        <v>0</v>
      </c>
      <c r="BM110" s="2" t="e">
        <f>IF(AND(G65&gt;=$X$11,G65&lt;=$X$11+5),0,IF($C$9&gt;$AG$51,ROUND(BH64*IF(#REF!="",0,#REF!)/(DATEVALUE(CONCATENATE("01/01/",YEAR(AR65)+1))-DATEVALUE(CONCATENATE("01/01/",YEAR(AR65))))*(AR65-AR64),2),0))</f>
        <v>#REF!</v>
      </c>
    </row>
    <row r="111" spans="1:1218" x14ac:dyDescent="0.25">
      <c r="X111" s="2" t="e">
        <f>IF(AND(G76&gt;=$X$11,G76&lt;=$X$11+5),0,IF($C$9&gt;$AG$51,ROUND(S75*#REF!/(DATEVALUE(CONCATENATE("01/01/",YEAR(H76)+1))-DATEVALUE(CONCATENATE("01/01/",YEAR(H76))))*(H76-H75),2),0))</f>
        <v>#REF!</v>
      </c>
      <c r="Y111" s="34">
        <f t="shared" si="85"/>
        <v>0</v>
      </c>
      <c r="Z111" s="57">
        <f t="shared" si="84"/>
        <v>70135</v>
      </c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2" t="e">
        <f>IF(AND(Z68&gt;=$X$11,Z68&lt;=$X$11+5),0,IF($C$9&gt;$AG$51,ROUND(AJ71*#REF!/(DATEVALUE(CONCATENATE("01/01/",YEAR(AA68)+1))-DATEVALUE(CONCATENATE("01/01/",YEAR(AA68))))*(AA68-AA67),2),0))</f>
        <v>#REF!</v>
      </c>
      <c r="AN111" s="34">
        <f t="shared" si="45"/>
        <v>0</v>
      </c>
      <c r="AO111" s="57">
        <f t="shared" si="44"/>
        <v>68675</v>
      </c>
      <c r="AP111" s="130"/>
      <c r="BI111" s="108">
        <f t="shared" si="77"/>
        <v>0</v>
      </c>
      <c r="BJ111" s="108">
        <f t="shared" si="72"/>
        <v>0</v>
      </c>
      <c r="BK111" s="22">
        <f t="shared" si="73"/>
        <v>0</v>
      </c>
      <c r="BL111" s="108">
        <f t="shared" si="53"/>
        <v>0</v>
      </c>
      <c r="BM111" s="2" t="e">
        <f>IF(AND(G66&gt;=$X$11,G66&lt;=$X$11+5),0,IF($C$9&gt;$AG$51,ROUND(BH65*IF(#REF!="",0,#REF!)/(DATEVALUE(CONCATENATE("01/01/",YEAR(AR66)+1))-DATEVALUE(CONCATENATE("01/01/",YEAR(AR66))))*(AR66-AR65),2),0))</f>
        <v>#REF!</v>
      </c>
    </row>
    <row r="112" spans="1:1218" x14ac:dyDescent="0.25">
      <c r="X112" s="2" t="e">
        <f>IF(AND(G77&gt;=$X$11,G77&lt;=$X$11+5),0,IF($C$9&gt;$AG$51,ROUND(S76*#REF!/(DATEVALUE(CONCATENATE("01/01/",YEAR(H77)+1))-DATEVALUE(CONCATENATE("01/01/",YEAR(H77))))*(H77-H76),2),0))</f>
        <v>#REF!</v>
      </c>
      <c r="Y112" s="34">
        <f t="shared" si="85"/>
        <v>0</v>
      </c>
      <c r="Z112" s="57">
        <f t="shared" si="84"/>
        <v>70500</v>
      </c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2" t="e">
        <f>IF(AND(Z69&gt;=$X$11,Z69&lt;=$X$11+5),0,IF($C$9&gt;$AG$51,ROUND(AJ72*#REF!/(DATEVALUE(CONCATENATE("01/01/",YEAR(AA69)+1))-DATEVALUE(CONCATENATE("01/01/",YEAR(AA69))))*(AA69-AA68),2),0))</f>
        <v>#REF!</v>
      </c>
      <c r="AN112" s="34">
        <f t="shared" si="45"/>
        <v>0</v>
      </c>
      <c r="AO112" s="57">
        <f t="shared" si="44"/>
        <v>69040</v>
      </c>
      <c r="AP112" s="130"/>
      <c r="BI112" s="108">
        <f t="shared" si="77"/>
        <v>0</v>
      </c>
      <c r="BJ112" s="108">
        <f t="shared" si="72"/>
        <v>0</v>
      </c>
      <c r="BK112" s="22">
        <f t="shared" si="73"/>
        <v>0</v>
      </c>
      <c r="BL112" s="108">
        <f t="shared" si="53"/>
        <v>0</v>
      </c>
      <c r="BM112" s="2" t="e">
        <f>IF(AND(G67&gt;=$X$11,G67&lt;=$X$11+5),0,IF($C$9&gt;$AG$51,ROUND(BH66*IF(#REF!="",0,#REF!)/(DATEVALUE(CONCATENATE("01/01/",YEAR(AR67)+1))-DATEVALUE(CONCATENATE("01/01/",YEAR(AR67))))*(AR67-AR66),2),0))</f>
        <v>#REF!</v>
      </c>
    </row>
    <row r="113" spans="24:65" x14ac:dyDescent="0.25">
      <c r="X113" s="2" t="e">
        <f>IF(AND(G78&gt;=$X$11,G78&lt;=$X$11+5),0,IF($C$9&gt;$AG$51,ROUND(S77*#REF!/(DATEVALUE(CONCATENATE("01/01/",YEAR(H78)+1))-DATEVALUE(CONCATENATE("01/01/",YEAR(H78))))*(H78-H77),2),0))</f>
        <v>#REF!</v>
      </c>
      <c r="Y113" s="34">
        <f t="shared" si="85"/>
        <v>0</v>
      </c>
      <c r="Z113" s="57">
        <f t="shared" si="84"/>
        <v>70865</v>
      </c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2" t="e">
        <f>IF(AND(Z70&gt;=$X$11,Z70&lt;=$X$11+5),0,IF($C$9&gt;$AG$51,ROUND(AJ73*#REF!/(DATEVALUE(CONCATENATE("01/01/",YEAR(AA70)+1))-DATEVALUE(CONCATENATE("01/01/",YEAR(AA70))))*(AA70-AA69),2),0))</f>
        <v>#REF!</v>
      </c>
      <c r="AN113" s="34">
        <f t="shared" si="45"/>
        <v>0</v>
      </c>
      <c r="AO113" s="57">
        <f t="shared" ref="AO113:AO147" si="86">AO112+365</f>
        <v>69405</v>
      </c>
      <c r="AP113" s="130"/>
      <c r="BI113" s="108">
        <f t="shared" si="77"/>
        <v>0</v>
      </c>
      <c r="BJ113" s="108">
        <f t="shared" si="72"/>
        <v>0</v>
      </c>
      <c r="BK113" s="22">
        <f t="shared" si="73"/>
        <v>0</v>
      </c>
      <c r="BL113" s="108">
        <f t="shared" si="53"/>
        <v>0</v>
      </c>
      <c r="BM113" s="2" t="e">
        <f>IF(AND(G68&gt;=$X$11,G68&lt;=$X$11+5),0,IF($C$9&gt;$AG$51,ROUND(BH67*IF(#REF!="",0,#REF!)/(DATEVALUE(CONCATENATE("01/01/",YEAR(AR68)+1))-DATEVALUE(CONCATENATE("01/01/",YEAR(AR68))))*(AR68-AR67),2),0))</f>
        <v>#REF!</v>
      </c>
    </row>
    <row r="114" spans="24:65" x14ac:dyDescent="0.25">
      <c r="X114" s="2" t="e">
        <f>IF(AND(G79&gt;=$X$11,G79&lt;=$X$11+5),0,IF($C$9&gt;$AG$51,ROUND(S78*#REF!/(DATEVALUE(CONCATENATE("01/01/",YEAR(H79)+1))-DATEVALUE(CONCATENATE("01/01/",YEAR(H79))))*(H79-H78),2),0))</f>
        <v>#REF!</v>
      </c>
      <c r="Y114" s="34">
        <f t="shared" si="85"/>
        <v>0</v>
      </c>
      <c r="Z114" s="57">
        <f>Z83+365</f>
        <v>60280</v>
      </c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2" t="e">
        <f>IF(AND(Z71&gt;=$X$11,Z71&lt;=$X$11+5),0,IF($C$9&gt;$AG$51,ROUND(AJ74*#REF!/(DATEVALUE(CONCATENATE("01/01/",YEAR(AA71)+1))-DATEVALUE(CONCATENATE("01/01/",YEAR(AA71))))*(AA71-AA70),2),0))</f>
        <v>#REF!</v>
      </c>
      <c r="AN114" s="34">
        <f t="shared" ref="AN114:AN147" si="87">AU75</f>
        <v>0</v>
      </c>
      <c r="AO114" s="57">
        <f t="shared" si="86"/>
        <v>69770</v>
      </c>
      <c r="AP114" s="130"/>
      <c r="BI114" s="108">
        <f t="shared" si="77"/>
        <v>0</v>
      </c>
      <c r="BJ114" s="108">
        <f t="shared" si="72"/>
        <v>0</v>
      </c>
      <c r="BK114" s="22">
        <f t="shared" si="73"/>
        <v>0</v>
      </c>
      <c r="BL114" s="108">
        <f t="shared" si="53"/>
        <v>0</v>
      </c>
      <c r="BM114" s="2" t="e">
        <f>IF(AND(G69&gt;=$X$11,G69&lt;=$X$11+5),0,IF($C$9&gt;$AG$51,ROUND(BH68*IF(#REF!="",0,#REF!)/(DATEVALUE(CONCATENATE("01/01/",YEAR(AR69)+1))-DATEVALUE(CONCATENATE("01/01/",YEAR(AR69))))*(AR69-AR68),2),0))</f>
        <v>#REF!</v>
      </c>
    </row>
    <row r="115" spans="24:65" x14ac:dyDescent="0.25">
      <c r="X115" s="2" t="e">
        <f>IF(AND(G80&gt;=$X$11,G80&lt;=$X$11+5),0,IF($C$9&gt;$AG$51,ROUND(S79*#REF!/(DATEVALUE(CONCATENATE("01/01/",YEAR(H80)+1))-DATEVALUE(CONCATENATE("01/01/",YEAR(H80))))*(H80-H79),2),0))</f>
        <v>#REF!</v>
      </c>
      <c r="Y115" s="34">
        <f t="shared" si="85"/>
        <v>0</v>
      </c>
      <c r="Z115" s="57">
        <f t="shared" si="84"/>
        <v>60645</v>
      </c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2" t="e">
        <f>IF(AND(Z72&gt;=$X$11,Z72&lt;=$X$11+5),0,IF($C$9&gt;$AG$51,ROUND(AJ75*#REF!/(DATEVALUE(CONCATENATE("01/01/",YEAR(AA72)+1))-DATEVALUE(CONCATENATE("01/01/",YEAR(AA72))))*(AA72-AA71),2),0))</f>
        <v>#REF!</v>
      </c>
      <c r="AN115" s="34">
        <f t="shared" si="87"/>
        <v>0</v>
      </c>
      <c r="AO115" s="57">
        <f t="shared" si="86"/>
        <v>70135</v>
      </c>
      <c r="AP115" s="130"/>
      <c r="BI115" s="31"/>
      <c r="BJ115" s="51"/>
      <c r="BK115" s="29" t="s">
        <v>67</v>
      </c>
      <c r="BL115" s="152" t="e">
        <f>XIRR(BL7:BL114,BK7:BK114)</f>
        <v>#VALUE!</v>
      </c>
      <c r="BM115" s="2" t="e">
        <f>IF(AND(G70&gt;=$X$11,G70&lt;=$X$11+5),0,IF($C$9&gt;$AG$51,ROUND(BH69*IF(#REF!="",0,#REF!)/(DATEVALUE(CONCATENATE("01/01/",YEAR(AR70)+1))-DATEVALUE(CONCATENATE("01/01/",YEAR(AR70))))*(AR70-AR69),2),0))</f>
        <v>#REF!</v>
      </c>
    </row>
    <row r="116" spans="24:65" x14ac:dyDescent="0.25">
      <c r="X116" s="2" t="e">
        <f>IF(AND(G81&gt;=$X$11,G81&lt;=$X$11+5),0,IF($C$9&gt;$AG$51,ROUND(S80*#REF!/(DATEVALUE(CONCATENATE("01/01/",YEAR(H81)+1))-DATEVALUE(CONCATENATE("01/01/",YEAR(H81))))*(H81-H80),2),0))</f>
        <v>#REF!</v>
      </c>
      <c r="Y116" s="34">
        <f t="shared" si="85"/>
        <v>0</v>
      </c>
      <c r="Z116" s="57">
        <f t="shared" si="84"/>
        <v>61010</v>
      </c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2" t="e">
        <f>IF(AND(Z73&gt;=$X$11,Z73&lt;=$X$11+5),0,IF($C$9&gt;$AG$51,ROUND(AJ76*#REF!/(DATEVALUE(CONCATENATE("01/01/",YEAR(AA73)+1))-DATEVALUE(CONCATENATE("01/01/",YEAR(AA73))))*(AA73-AA72),2),0))</f>
        <v>#REF!</v>
      </c>
      <c r="AN116" s="34">
        <f t="shared" si="87"/>
        <v>0</v>
      </c>
      <c r="AO116" s="57">
        <f t="shared" si="86"/>
        <v>70500</v>
      </c>
      <c r="AP116" s="130"/>
      <c r="BM116" s="2" t="e">
        <f>IF(AND(G71&gt;=$X$11,G71&lt;=$X$11+5),0,IF($C$9&gt;$AG$51,ROUND(BH70*IF(#REF!="",0,#REF!)/(DATEVALUE(CONCATENATE("01/01/",YEAR(AR71)+1))-DATEVALUE(CONCATENATE("01/01/",YEAR(AR71))))*(AR71-AR70),2),0))</f>
        <v>#REF!</v>
      </c>
    </row>
    <row r="117" spans="24:65" x14ac:dyDescent="0.25">
      <c r="X117" s="2" t="e">
        <f>IF(AND(G82&gt;=$X$11,G82&lt;=$X$11+5),0,IF($C$9&gt;$AG$51,ROUND(S81*#REF!/(DATEVALUE(CONCATENATE("01/01/",YEAR(H82)+1))-DATEVALUE(CONCATENATE("01/01/",YEAR(H82))))*(H82-H81),2),0))</f>
        <v>#REF!</v>
      </c>
      <c r="Y117" s="34">
        <f t="shared" si="85"/>
        <v>0</v>
      </c>
      <c r="Z117" s="57">
        <f t="shared" si="84"/>
        <v>61375</v>
      </c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2" t="e">
        <f>IF(AND(Z74&gt;=$X$11,Z74&lt;=$X$11+5),0,IF($C$9&gt;$AG$51,ROUND(AJ77*#REF!/(DATEVALUE(CONCATENATE("01/01/",YEAR(AA74)+1))-DATEVALUE(CONCATENATE("01/01/",YEAR(AA74))))*(AA74-AA73),2),0))</f>
        <v>#REF!</v>
      </c>
      <c r="AN117" s="34">
        <f t="shared" si="87"/>
        <v>0</v>
      </c>
      <c r="AO117" s="57">
        <f t="shared" si="86"/>
        <v>70865</v>
      </c>
      <c r="AP117" s="130"/>
      <c r="BM117" s="2" t="e">
        <f>IF(AND(G72&gt;=$X$11,G72&lt;=$X$11+5),0,IF($C$9&gt;$AG$51,ROUND(BH71*IF(#REF!="",0,#REF!)/(DATEVALUE(CONCATENATE("01/01/",YEAR(AR72)+1))-DATEVALUE(CONCATENATE("01/01/",YEAR(AR72))))*(AR72-AR71),2),0))</f>
        <v>#REF!</v>
      </c>
    </row>
    <row r="118" spans="24:65" x14ac:dyDescent="0.25">
      <c r="X118" s="2" t="e">
        <f>IF(AND(G83&gt;=$X$11,G83&lt;=$X$11+5),0,IF($C$9&gt;$AG$51,ROUND(S82*#REF!/(DATEVALUE(CONCATENATE("01/01/",YEAR(H83)+1))-DATEVALUE(CONCATENATE("01/01/",YEAR(H83))))*(H83-H82),2),0))</f>
        <v>#REF!</v>
      </c>
      <c r="Y118" s="34">
        <f t="shared" si="85"/>
        <v>0</v>
      </c>
      <c r="Z118" s="57">
        <f t="shared" si="84"/>
        <v>61740</v>
      </c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2" t="e">
        <f>IF(AND(Z75&gt;=$X$11,Z75&lt;=$X$11+5),0,IF($C$9&gt;$AG$51,ROUND(AJ78*#REF!/(DATEVALUE(CONCATENATE("01/01/",YEAR(AA75)+1))-DATEVALUE(CONCATENATE("01/01/",YEAR(AA75))))*(AA75-AA74),2),0))</f>
        <v>#VALUE!</v>
      </c>
      <c r="AN118" s="34">
        <f t="shared" si="87"/>
        <v>0</v>
      </c>
      <c r="AO118" s="57">
        <f>AO87+365</f>
        <v>60280</v>
      </c>
      <c r="AP118" s="130"/>
      <c r="BM118" s="2" t="e">
        <f>IF(AND(G73&gt;=$X$11,G73&lt;=$X$11+5),0,IF($C$9&gt;$AG$51,ROUND(BH72*IF(#REF!="",0,#REF!)/(DATEVALUE(CONCATENATE("01/01/",YEAR(AR73)+1))-DATEVALUE(CONCATENATE("01/01/",YEAR(AR73))))*(AR73-AR72),2),0))</f>
        <v>#REF!</v>
      </c>
    </row>
    <row r="119" spans="24:65" x14ac:dyDescent="0.25">
      <c r="X119" s="2" t="e">
        <f>IF(AND(G84&gt;=$X$11,G84&lt;=$X$11+5),0,IF($C$9&gt;$AG$51,ROUND(S83*#REF!/(DATEVALUE(CONCATENATE("01/01/",YEAR(H84)+1))-DATEVALUE(CONCATENATE("01/01/",YEAR(H84))))*(H84-H83),2),0))</f>
        <v>#REF!</v>
      </c>
      <c r="Y119" s="34">
        <f t="shared" si="85"/>
        <v>0</v>
      </c>
      <c r="Z119" s="57">
        <f t="shared" si="84"/>
        <v>62105</v>
      </c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2" t="e">
        <f>IF(AND(Z76&gt;=$X$11,Z76&lt;=$X$11+5),0,IF($C$9&gt;$AG$51,ROUND(AJ79*#REF!/(DATEVALUE(CONCATENATE("01/01/",YEAR(AA76)+1))-DATEVALUE(CONCATENATE("01/01/",YEAR(AA76))))*(AA76-AA75),2),0))</f>
        <v>#REF!</v>
      </c>
      <c r="AN119" s="34">
        <f t="shared" si="87"/>
        <v>0</v>
      </c>
      <c r="AO119" s="57">
        <f t="shared" si="86"/>
        <v>60645</v>
      </c>
      <c r="AP119" s="130"/>
      <c r="BM119" s="2" t="e">
        <f>IF(AND(G74&gt;=$X$11,G74&lt;=$X$11+5),0,IF($C$9&gt;$AG$51,ROUND(BH73*IF(#REF!="",0,#REF!)/(DATEVALUE(CONCATENATE("01/01/",YEAR(AR74)+1))-DATEVALUE(CONCATENATE("01/01/",YEAR(AR74))))*(AR74-AR73),2),0))</f>
        <v>#REF!</v>
      </c>
    </row>
    <row r="120" spans="24:65" x14ac:dyDescent="0.25">
      <c r="X120" s="2" t="e">
        <f>IF(AND(G85&gt;=$X$11,G85&lt;=$X$11+5),0,IF($C$9&gt;$AG$51,ROUND(S84*#REF!/(DATEVALUE(CONCATENATE("01/01/",YEAR(H85)+1))-DATEVALUE(CONCATENATE("01/01/",YEAR(H85))))*(H85-H84),2),0))</f>
        <v>#REF!</v>
      </c>
      <c r="Y120" s="34">
        <f t="shared" si="85"/>
        <v>0</v>
      </c>
      <c r="Z120" s="57">
        <f t="shared" si="84"/>
        <v>62470</v>
      </c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2" t="e">
        <f>IF(AND(Z77&gt;=$X$11,Z77&lt;=$X$11+5),0,IF($C$9&gt;$AG$51,ROUND(AJ80*#REF!/(DATEVALUE(CONCATENATE("01/01/",YEAR(AA77)+1))-DATEVALUE(CONCATENATE("01/01/",YEAR(AA77))))*(AA77-AA76),2),0))</f>
        <v>#REF!</v>
      </c>
      <c r="AN120" s="34">
        <f t="shared" si="87"/>
        <v>0</v>
      </c>
      <c r="AO120" s="57">
        <f t="shared" si="86"/>
        <v>61010</v>
      </c>
      <c r="AP120" s="130"/>
      <c r="BM120" s="2" t="e">
        <f>IF(AND(G75&gt;=$X$11,G75&lt;=$X$11+5),0,IF($C$9&gt;$AG$51,ROUND(BH74*IF(#REF!="",0,#REF!)/(DATEVALUE(CONCATENATE("01/01/",YEAR(AR75)+1))-DATEVALUE(CONCATENATE("01/01/",YEAR(AR75))))*(AR75-AR74),2),0))</f>
        <v>#REF!</v>
      </c>
    </row>
    <row r="121" spans="24:65" x14ac:dyDescent="0.25">
      <c r="X121" s="2" t="e">
        <f>IF(AND(G86&gt;=$X$11,G86&lt;=$X$11+5),0,IF($C$9&gt;$AG$51,ROUND(S85*#REF!/(DATEVALUE(CONCATENATE("01/01/",YEAR(H86)+1))-DATEVALUE(CONCATENATE("01/01/",YEAR(H86))))*(H86-H85),2),0))</f>
        <v>#REF!</v>
      </c>
      <c r="Y121" s="34">
        <f t="shared" si="85"/>
        <v>0</v>
      </c>
      <c r="Z121" s="57">
        <f t="shared" si="84"/>
        <v>62835</v>
      </c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2" t="e">
        <f>IF(AND(Z78&gt;=$X$11,Z78&lt;=$X$11+5),0,IF($C$9&gt;$AG$51,ROUND(AJ81*#REF!/(DATEVALUE(CONCATENATE("01/01/",YEAR(AA78)+1))-DATEVALUE(CONCATENATE("01/01/",YEAR(AA78))))*(AA78-AA77),2),0))</f>
        <v>#REF!</v>
      </c>
      <c r="AN121" s="34">
        <f t="shared" si="87"/>
        <v>0</v>
      </c>
      <c r="AO121" s="57">
        <f t="shared" si="86"/>
        <v>61375</v>
      </c>
      <c r="AP121" s="130"/>
      <c r="BM121" s="2" t="e">
        <f>IF(AND(G76&gt;=$X$11,G76&lt;=$X$11+5),0,IF($C$9&gt;$AG$51,ROUND(BH75*IF(#REF!="",0,#REF!)/(DATEVALUE(CONCATENATE("01/01/",YEAR(AR76)+1))-DATEVALUE(CONCATENATE("01/01/",YEAR(AR76))))*(AR76-AR75),2),0))</f>
        <v>#REF!</v>
      </c>
    </row>
    <row r="122" spans="24:65" x14ac:dyDescent="0.25">
      <c r="X122" s="2" t="e">
        <f>IF(AND(G87&gt;=$X$11,G87&lt;=$X$11+5),0,IF($C$9&gt;$AG$51,ROUND(S86*#REF!/(DATEVALUE(CONCATENATE("01/01/",YEAR(H87)+1))-DATEVALUE(CONCATENATE("01/01/",YEAR(H87))))*(H87-H86),2),0))</f>
        <v>#REF!</v>
      </c>
      <c r="Y122" s="34">
        <f t="shared" si="85"/>
        <v>0</v>
      </c>
      <c r="Z122" s="57">
        <f t="shared" si="84"/>
        <v>63200</v>
      </c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2" t="e">
        <f>IF(AND(Z79&gt;=$X$11,Z79&lt;=$X$11+5),0,IF($C$9&gt;$AG$51,ROUND(AJ82*#REF!/(DATEVALUE(CONCATENATE("01/01/",YEAR(AA79)+1))-DATEVALUE(CONCATENATE("01/01/",YEAR(AA79))))*(AA79-AA78),2),0))</f>
        <v>#REF!</v>
      </c>
      <c r="AN122" s="34">
        <f t="shared" si="87"/>
        <v>0</v>
      </c>
      <c r="AO122" s="57">
        <f t="shared" si="86"/>
        <v>61740</v>
      </c>
      <c r="AP122" s="130"/>
      <c r="BM122" s="2" t="e">
        <f>IF(AND(G77&gt;=$X$11,G77&lt;=$X$11+5),0,IF($C$9&gt;$AG$51,ROUND(BH76*IF(#REF!="",0,#REF!)/(DATEVALUE(CONCATENATE("01/01/",YEAR(AR77)+1))-DATEVALUE(CONCATENATE("01/01/",YEAR(AR77))))*(AR77-AR76),2),0))</f>
        <v>#REF!</v>
      </c>
    </row>
    <row r="123" spans="24:65" x14ac:dyDescent="0.25">
      <c r="X123" s="2" t="e">
        <f>IF(AND(G88&gt;=$X$11,G88&lt;=$X$11+5),0,IF($C$9&gt;$AG$51,ROUND(S87*#REF!/(DATEVALUE(CONCATENATE("01/01/",YEAR(H88)+1))-DATEVALUE(CONCATENATE("01/01/",YEAR(H88))))*(H88-H87),2),0))</f>
        <v>#REF!</v>
      </c>
      <c r="Y123" s="34">
        <f t="shared" si="85"/>
        <v>0</v>
      </c>
      <c r="Z123" s="57">
        <f t="shared" si="84"/>
        <v>63565</v>
      </c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2" t="e">
        <f>IF(AND(Z80&gt;=$X$11,Z80&lt;=$X$11+5),0,IF($C$9&gt;$AG$51,ROUND(AJ83*#REF!/(DATEVALUE(CONCATENATE("01/01/",YEAR(AA80)+1))-DATEVALUE(CONCATENATE("01/01/",YEAR(AA80))))*(AA80-AA79),2),0))</f>
        <v>#REF!</v>
      </c>
      <c r="AN123" s="34">
        <f t="shared" si="87"/>
        <v>0</v>
      </c>
      <c r="AO123" s="57">
        <f t="shared" si="86"/>
        <v>62105</v>
      </c>
      <c r="AP123" s="130"/>
      <c r="BM123" s="2" t="e">
        <f>IF(AND(G78&gt;=$X$11,G78&lt;=$X$11+5),0,IF($C$9&gt;$AG$51,ROUND(BH77*IF(#REF!="",0,#REF!)/(DATEVALUE(CONCATENATE("01/01/",YEAR(AR78)+1))-DATEVALUE(CONCATENATE("01/01/",YEAR(AR78))))*(AR78-AR77),2),0))</f>
        <v>#REF!</v>
      </c>
    </row>
    <row r="124" spans="24:65" x14ac:dyDescent="0.25">
      <c r="X124" s="2" t="e">
        <f>IF(AND(G89&gt;=$X$11,G89&lt;=$X$11+5),0,IF($C$9&gt;$AG$51,ROUND(S88*#REF!/(DATEVALUE(CONCATENATE("01/01/",YEAR(H89)+1))-DATEVALUE(CONCATENATE("01/01/",YEAR(H89))))*(H89-H88),2),0))</f>
        <v>#REF!</v>
      </c>
      <c r="Y124" s="34">
        <f t="shared" si="85"/>
        <v>0</v>
      </c>
      <c r="Z124" s="57">
        <f t="shared" si="84"/>
        <v>63930</v>
      </c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2" t="e">
        <f>IF(AND(Z81&gt;=$X$11,Z81&lt;=$X$11+5),0,IF($C$9&gt;$AG$51,ROUND(AJ84*#REF!/(DATEVALUE(CONCATENATE("01/01/",YEAR(AA81)+1))-DATEVALUE(CONCATENATE("01/01/",YEAR(AA81))))*(AA81-AA80),2),0))</f>
        <v>#REF!</v>
      </c>
      <c r="AN124" s="34">
        <f t="shared" si="87"/>
        <v>0</v>
      </c>
      <c r="AO124" s="57">
        <f t="shared" si="86"/>
        <v>62470</v>
      </c>
      <c r="AP124" s="130"/>
      <c r="BM124" s="2" t="e">
        <f>IF(AND(G79&gt;=$X$11,G79&lt;=$X$11+5),0,IF($C$9&gt;$AG$51,ROUND(BH78*IF(#REF!="",0,#REF!)/(DATEVALUE(CONCATENATE("01/01/",YEAR(AR79)+1))-DATEVALUE(CONCATENATE("01/01/",YEAR(AR79))))*(AR79-AR78),2),0))</f>
        <v>#REF!</v>
      </c>
    </row>
    <row r="125" spans="24:65" x14ac:dyDescent="0.25">
      <c r="X125" s="2" t="e">
        <f>IF(AND(G90&gt;=$X$11,G90&lt;=$X$11+5),0,IF($C$9&gt;$AG$51,ROUND(S89*#REF!/(DATEVALUE(CONCATENATE("01/01/",YEAR(H90)+1))-DATEVALUE(CONCATENATE("01/01/",YEAR(H90))))*(H90-H89),2),0))</f>
        <v>#REF!</v>
      </c>
      <c r="Y125" s="34">
        <f t="shared" si="85"/>
        <v>0</v>
      </c>
      <c r="Z125" s="57">
        <f t="shared" si="84"/>
        <v>64295</v>
      </c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2" t="e">
        <f>IF(AND(Z82&gt;=$X$11,Z82&lt;=$X$11+5),0,IF($C$9&gt;$AG$51,ROUND(#REF!*#REF!/(DATEVALUE(CONCATENATE("01/01/",YEAR(AA82)+1))-DATEVALUE(CONCATENATE("01/01/",YEAR(AA82))))*(AA82-AA81),2),0))</f>
        <v>#REF!</v>
      </c>
      <c r="AN125" s="34">
        <f t="shared" si="87"/>
        <v>0</v>
      </c>
      <c r="AO125" s="57">
        <f t="shared" si="86"/>
        <v>62835</v>
      </c>
      <c r="AP125" s="130"/>
      <c r="BM125" s="2" t="e">
        <f>IF(AND(G80&gt;=$X$11,G80&lt;=$X$11+5),0,IF($C$9&gt;$AG$51,ROUND(BH79*IF(#REF!="",0,#REF!)/(DATEVALUE(CONCATENATE("01/01/",YEAR(AR80)+1))-DATEVALUE(CONCATENATE("01/01/",YEAR(AR80))))*(AR80-AR79),2),0))</f>
        <v>#REF!</v>
      </c>
    </row>
    <row r="126" spans="24:65" x14ac:dyDescent="0.25">
      <c r="X126" s="2" t="e">
        <f>IF(AND(G91&gt;=$X$11,G91&lt;=$X$11+5),0,IF($C$9&gt;$AG$51,ROUND(S90*#REF!/(DATEVALUE(CONCATENATE("01/01/",YEAR(H91)+1))-DATEVALUE(CONCATENATE("01/01/",YEAR(H91))))*(H91-H90),2),0))</f>
        <v>#REF!</v>
      </c>
      <c r="Y126" s="34">
        <f t="shared" si="85"/>
        <v>0</v>
      </c>
      <c r="Z126" s="57">
        <f t="shared" si="84"/>
        <v>64660</v>
      </c>
      <c r="AD126" s="16"/>
      <c r="AE126" s="16"/>
      <c r="AF126" s="16"/>
      <c r="AG126" s="16"/>
      <c r="AH126" s="16"/>
      <c r="AI126" s="16"/>
      <c r="AJ126" s="16"/>
      <c r="AK126" s="16"/>
      <c r="AL126" s="16"/>
      <c r="AM126" s="2" t="e">
        <f>IF(AND(Z83&gt;=$X$11,Z83&lt;=$X$11+5),0,IF($C$9&gt;$AG$51,ROUND(#REF!*#REF!/(DATEVALUE(CONCATENATE("01/01/",YEAR(AA83)+1))-DATEVALUE(CONCATENATE("01/01/",YEAR(AA83))))*(AA83-AA82),2),0))</f>
        <v>#REF!</v>
      </c>
      <c r="AN126" s="34">
        <f t="shared" si="87"/>
        <v>0</v>
      </c>
      <c r="AO126" s="57">
        <f t="shared" si="86"/>
        <v>63200</v>
      </c>
      <c r="AP126" s="130"/>
      <c r="BM126" s="2" t="e">
        <f>IF(AND(G81&gt;=$X$11,G81&lt;=$X$11+5),0,IF($C$9&gt;$AG$51,ROUND(BH80*IF(#REF!="",0,#REF!)/(DATEVALUE(CONCATENATE("01/01/",YEAR(AR81)+1))-DATEVALUE(CONCATENATE("01/01/",YEAR(AR81))))*(AR81-AR80),2),0))</f>
        <v>#REF!</v>
      </c>
    </row>
    <row r="127" spans="24:65" x14ac:dyDescent="0.25">
      <c r="X127" s="2" t="e">
        <f>IF(AND(G92&gt;=$X$11,G92&lt;=$X$11+5),0,IF($C$9&gt;$AG$51,ROUND(S91*#REF!/(DATEVALUE(CONCATENATE("01/01/",YEAR(H92)+1))-DATEVALUE(CONCATENATE("01/01/",YEAR(H92))))*(H92-H91),2),0))</f>
        <v>#REF!</v>
      </c>
      <c r="Y127" s="34">
        <f t="shared" si="85"/>
        <v>0</v>
      </c>
      <c r="Z127" s="57">
        <f t="shared" si="84"/>
        <v>65025</v>
      </c>
      <c r="AD127" s="16"/>
      <c r="AE127" s="16"/>
      <c r="AF127" s="16"/>
      <c r="AG127" s="16"/>
      <c r="AH127" s="16"/>
      <c r="AI127" s="16"/>
      <c r="AJ127" s="16"/>
      <c r="AK127" s="16"/>
      <c r="AL127" s="16"/>
      <c r="AM127" s="2" t="e">
        <f>IF(AND(Z84&gt;=$X$11,Z84&lt;=$X$11+5),0,IF($C$9&gt;$AG$51,ROUND(#REF!*#REF!/(DATEVALUE(CONCATENATE("01/01/",YEAR(AA84)+1))-DATEVALUE(CONCATENATE("01/01/",YEAR(AA84))))*(AA84-AA83),2),0))</f>
        <v>#REF!</v>
      </c>
      <c r="AN127" s="34">
        <f t="shared" si="87"/>
        <v>0</v>
      </c>
      <c r="AO127" s="57">
        <f t="shared" si="86"/>
        <v>63565</v>
      </c>
      <c r="BM127" s="2" t="e">
        <f>IF(AND(G82&gt;=$X$11,G82&lt;=$X$11+5),0,IF($C$9&gt;$AG$51,ROUND(BH81*IF(#REF!="",0,#REF!)/(DATEVALUE(CONCATENATE("01/01/",YEAR(AR82)+1))-DATEVALUE(CONCATENATE("01/01/",YEAR(AR82))))*(AR82-AR81),2),0))</f>
        <v>#REF!</v>
      </c>
    </row>
    <row r="128" spans="24:65" x14ac:dyDescent="0.25">
      <c r="X128" s="2" t="e">
        <f>IF(AND(G93&gt;=$X$11,G93&lt;=$X$11+5),0,IF($C$9&gt;$AG$51,ROUND(S92*#REF!/(DATEVALUE(CONCATENATE("01/01/",YEAR(H93)+1))-DATEVALUE(CONCATENATE("01/01/",YEAR(H93))))*(H93-H92),2),0))</f>
        <v>#REF!</v>
      </c>
      <c r="Y128" s="34">
        <f t="shared" si="85"/>
        <v>0</v>
      </c>
      <c r="Z128" s="57">
        <f t="shared" si="84"/>
        <v>65390</v>
      </c>
      <c r="AD128" s="16"/>
      <c r="AE128" s="16"/>
      <c r="AF128" s="16"/>
      <c r="AG128" s="16"/>
      <c r="AH128" s="16"/>
      <c r="AI128" s="16"/>
      <c r="AJ128" s="16"/>
      <c r="AK128" s="16"/>
      <c r="AL128" s="60"/>
      <c r="AM128" s="2" t="e">
        <f>IF(AND(Z85&gt;=$X$11,Z85&lt;=$X$11+5),0,IF($C$9&gt;$AG$51,ROUND(#REF!*#REF!/(DATEVALUE(CONCATENATE("01/01/",YEAR(AA85)+1))-DATEVALUE(CONCATENATE("01/01/",YEAR(AA85))))*(AA85-AA84),2),0))</f>
        <v>#REF!</v>
      </c>
      <c r="AN128" s="34">
        <f t="shared" si="87"/>
        <v>0</v>
      </c>
      <c r="AO128" s="57">
        <f t="shared" si="86"/>
        <v>63930</v>
      </c>
      <c r="BM128" s="2" t="e">
        <f>IF(AND(G83&gt;=$X$11,G83&lt;=$X$11+5),0,IF($C$9&gt;$AG$51,ROUND(BH82*IF(#REF!="",0,#REF!)/(DATEVALUE(CONCATENATE("01/01/",YEAR(AR83)+1))-DATEVALUE(CONCATENATE("01/01/",YEAR(AR83))))*(AR83-AR82),2),0))</f>
        <v>#REF!</v>
      </c>
    </row>
    <row r="129" spans="24:65" x14ac:dyDescent="0.25">
      <c r="X129" s="2" t="e">
        <f>IF(AND(G94&gt;=$X$11,G94&lt;=$X$11+5),0,IF($C$9&gt;$AG$51,ROUND(S93*#REF!/(DATEVALUE(CONCATENATE("01/01/",YEAR(H94)+1))-DATEVALUE(CONCATENATE("01/01/",YEAR(H94))))*(H94-H93),2),0))</f>
        <v>#REF!</v>
      </c>
      <c r="Y129" s="34">
        <f t="shared" si="85"/>
        <v>0</v>
      </c>
      <c r="Z129" s="57">
        <f t="shared" si="84"/>
        <v>65755</v>
      </c>
      <c r="AD129" s="16"/>
      <c r="AE129" s="16"/>
      <c r="AF129" s="33"/>
      <c r="AG129" s="33"/>
      <c r="AH129" s="33"/>
      <c r="AI129" s="33"/>
      <c r="AJ129" s="16"/>
      <c r="AM129" s="2" t="e">
        <f>IF(AND(Z86&gt;=$X$11,Z86&lt;=$X$11+5),0,IF($C$9&gt;$AG$51,ROUND(#REF!*#REF!/(DATEVALUE(CONCATENATE("01/01/",YEAR(AA86)+1))-DATEVALUE(CONCATENATE("01/01/",YEAR(AA86))))*(AA86-AA85),2),0))</f>
        <v>#REF!</v>
      </c>
      <c r="AN129" s="34">
        <f t="shared" si="87"/>
        <v>0</v>
      </c>
      <c r="AO129" s="57">
        <f t="shared" si="86"/>
        <v>64295</v>
      </c>
      <c r="BM129" s="2" t="e">
        <f>IF(AND(G84&gt;=$X$11,G84&lt;=$X$11+5),0,IF($C$9&gt;$AG$51,ROUND(BH83*IF(#REF!="",0,#REF!)/(DATEVALUE(CONCATENATE("01/01/",YEAR(AR84)+1))-DATEVALUE(CONCATENATE("01/01/",YEAR(AR84))))*(AR84-AR83),2),0))</f>
        <v>#REF!</v>
      </c>
    </row>
    <row r="130" spans="24:65" x14ac:dyDescent="0.25">
      <c r="X130" s="2" t="e">
        <f>IF(AND(G95&gt;=$X$11,G95&lt;=$X$11+5),0,IF($C$9&gt;$AG$51,ROUND(S94*#REF!/(DATEVALUE(CONCATENATE("01/01/",YEAR(H95)+1))-DATEVALUE(CONCATENATE("01/01/",YEAR(H95))))*(H95-H94),2),0))</f>
        <v>#REF!</v>
      </c>
      <c r="Y130" s="34">
        <f t="shared" si="85"/>
        <v>0</v>
      </c>
      <c r="Z130" s="57">
        <f t="shared" si="84"/>
        <v>66120</v>
      </c>
      <c r="AM130" s="2" t="e">
        <f>IF(AND(Z87&gt;=$X$11,Z87&lt;=$X$11+5),0,IF($C$9&gt;$AG$51,ROUND(#REF!*#REF!/(DATEVALUE(CONCATENATE("01/01/",YEAR(AA87)+1))-DATEVALUE(CONCATENATE("01/01/",YEAR(AA87))))*(AA87-AA86),2),0))</f>
        <v>#REF!</v>
      </c>
      <c r="AN130" s="34">
        <f t="shared" si="87"/>
        <v>0</v>
      </c>
      <c r="AO130" s="57">
        <f t="shared" si="86"/>
        <v>64660</v>
      </c>
      <c r="BM130" s="2" t="e">
        <f>IF(AND(G85&gt;=$X$11,G85&lt;=$X$11+5),0,IF($C$9&gt;$AG$51,ROUND(BH84*IF(#REF!="",0,#REF!)/(DATEVALUE(CONCATENATE("01/01/",YEAR(AR85)+1))-DATEVALUE(CONCATENATE("01/01/",YEAR(AR85))))*(AR85-AR84),2),0))</f>
        <v>#REF!</v>
      </c>
    </row>
    <row r="131" spans="24:65" x14ac:dyDescent="0.25">
      <c r="X131" s="2" t="e">
        <f>IF(AND(G96&gt;=$X$11,G96&lt;=$X$11+5),0,IF($C$9&gt;$AG$51,ROUND(S95*#REF!/(DATEVALUE(CONCATENATE("01/01/",YEAR(H96)+1))-DATEVALUE(CONCATENATE("01/01/",YEAR(H96))))*(H96-H95),2),0))</f>
        <v>#REF!</v>
      </c>
      <c r="Y131" s="34">
        <f t="shared" si="85"/>
        <v>0</v>
      </c>
      <c r="Z131" s="57">
        <f t="shared" si="84"/>
        <v>66485</v>
      </c>
      <c r="AM131" s="2" t="e">
        <f>IF(AND(Z88&gt;=$X$11,Z88&lt;=$X$11+5),0,IF($C$9&gt;$AG$51,ROUND(#REF!*#REF!/(DATEVALUE(CONCATENATE("01/01/",YEAR(AA88)+1))-DATEVALUE(CONCATENATE("01/01/",YEAR(AA88))))*(AA88-AA87),2),0))</f>
        <v>#REF!</v>
      </c>
      <c r="AN131" s="34">
        <f t="shared" si="87"/>
        <v>0</v>
      </c>
      <c r="AO131" s="57">
        <f t="shared" si="86"/>
        <v>65025</v>
      </c>
      <c r="BM131" s="2" t="e">
        <f>IF(AND(G86&gt;=$X$11,G86&lt;=$X$11+5),0,IF($C$9&gt;$AG$51,ROUND(BH85*IF(#REF!="",0,#REF!)/(DATEVALUE(CONCATENATE("01/01/",YEAR(AR86)+1))-DATEVALUE(CONCATENATE("01/01/",YEAR(AR86))))*(AR86-AR85),2),0))</f>
        <v>#REF!</v>
      </c>
    </row>
    <row r="132" spans="24:65" x14ac:dyDescent="0.25">
      <c r="X132" s="2" t="e">
        <f>IF(AND(G97&gt;=$X$11,G97&lt;=$X$11+5),0,IF($C$9&gt;$AG$51,ROUND(S96*#REF!/(DATEVALUE(CONCATENATE("01/01/",YEAR(H97)+1))-DATEVALUE(CONCATENATE("01/01/",YEAR(H97))))*(H97-H96),2),0))</f>
        <v>#REF!</v>
      </c>
      <c r="Y132" s="34">
        <f t="shared" si="85"/>
        <v>0</v>
      </c>
      <c r="Z132" s="57">
        <f t="shared" si="84"/>
        <v>66850</v>
      </c>
      <c r="AM132" s="2" t="e">
        <f>IF(AND(Z89&gt;=$X$11,Z89&lt;=$X$11+5),0,IF($C$9&gt;$AG$51,ROUND(AJ92*#REF!/(DATEVALUE(CONCATENATE("01/01/",YEAR(AA89)+1))-DATEVALUE(CONCATENATE("01/01/",YEAR(AA89))))*(AA89-AA88),2),0))</f>
        <v>#REF!</v>
      </c>
      <c r="AN132" s="34">
        <f t="shared" si="87"/>
        <v>0</v>
      </c>
      <c r="AO132" s="57">
        <f t="shared" si="86"/>
        <v>65390</v>
      </c>
      <c r="BM132" s="2" t="e">
        <f>IF(AND(G87&gt;=$X$11,G87&lt;=$X$11+5),0,IF($C$9&gt;$AG$51,ROUND(BH86*IF(#REF!="",0,#REF!)/(DATEVALUE(CONCATENATE("01/01/",YEAR(AR87)+1))-DATEVALUE(CONCATENATE("01/01/",YEAR(AR87))))*(AR87-AR86),2),0))</f>
        <v>#REF!</v>
      </c>
    </row>
    <row r="133" spans="24:65" x14ac:dyDescent="0.25">
      <c r="X133" s="2" t="e">
        <f>IF(AND(G98&gt;=$X$11,G98&lt;=$X$11+5),0,IF($C$9&gt;$AG$51,ROUND(S97*#REF!/(DATEVALUE(CONCATENATE("01/01/",YEAR(H98)+1))-DATEVALUE(CONCATENATE("01/01/",YEAR(H98))))*(H98-H97),2),0))</f>
        <v>#REF!</v>
      </c>
      <c r="Y133" s="34">
        <f t="shared" si="85"/>
        <v>0</v>
      </c>
      <c r="Z133" s="57">
        <f t="shared" si="84"/>
        <v>67215</v>
      </c>
      <c r="AM133" s="2" t="e">
        <f>IF(AND(Z90&gt;=$X$11,Z90&lt;=$X$11+5),0,IF($C$9&gt;$AG$51,ROUND(AJ93*#REF!/(DATEVALUE(CONCATENATE("01/01/",YEAR(AA90)+1))-DATEVALUE(CONCATENATE("01/01/",YEAR(AA90))))*(AA90-AA89),2),0))</f>
        <v>#REF!</v>
      </c>
      <c r="AN133" s="34">
        <f t="shared" si="87"/>
        <v>0</v>
      </c>
      <c r="AO133" s="57">
        <f t="shared" si="86"/>
        <v>65755</v>
      </c>
      <c r="BM133" s="2" t="e">
        <f>IF(AND(G88&gt;=$X$11,G88&lt;=$X$11+5),0,IF($C$9&gt;$AG$51,ROUND(BH87*IF(#REF!="",0,#REF!)/(DATEVALUE(CONCATENATE("01/01/",YEAR(AR88)+1))-DATEVALUE(CONCATENATE("01/01/",YEAR(AR88))))*(AR88-AR87),2),0))</f>
        <v>#REF!</v>
      </c>
    </row>
    <row r="134" spans="24:65" x14ac:dyDescent="0.25">
      <c r="X134" s="2" t="e">
        <f>IF(AND(G99&gt;=$X$11,G99&lt;=$X$11+5),0,IF($C$9&gt;$AG$51,ROUND(S98*#REF!/(DATEVALUE(CONCATENATE("01/01/",YEAR(H99)+1))-DATEVALUE(CONCATENATE("01/01/",YEAR(H99))))*(H99-H98),2),0))</f>
        <v>#REF!</v>
      </c>
      <c r="Y134" s="34">
        <f t="shared" si="85"/>
        <v>0</v>
      </c>
      <c r="Z134" s="57">
        <f t="shared" si="84"/>
        <v>67580</v>
      </c>
      <c r="AM134" s="2" t="e">
        <f>IF(AND(Z91&gt;=$X$11,Z91&lt;=$X$11+5),0,IF($C$9&gt;$AG$51,ROUND(AJ94*#REF!/(DATEVALUE(CONCATENATE("01/01/",YEAR(AA91)+1))-DATEVALUE(CONCATENATE("01/01/",YEAR(AA91))))*(AA91-AA90),2),0))</f>
        <v>#REF!</v>
      </c>
      <c r="AN134" s="34">
        <f t="shared" si="87"/>
        <v>0</v>
      </c>
      <c r="AO134" s="57">
        <f t="shared" si="86"/>
        <v>66120</v>
      </c>
      <c r="BM134" s="2" t="e">
        <f>IF(AND(G89&gt;=$X$11,G89&lt;=$X$11+5),0,IF($C$9&gt;$AG$51,ROUND(BH88*IF(#REF!="",0,#REF!)/(DATEVALUE(CONCATENATE("01/01/",YEAR(AR89)+1))-DATEVALUE(CONCATENATE("01/01/",YEAR(AR89))))*(AR89-AR88),2),0))</f>
        <v>#REF!</v>
      </c>
    </row>
    <row r="135" spans="24:65" x14ac:dyDescent="0.25">
      <c r="X135" s="2" t="e">
        <f>IF(AND(G100&gt;=$X$11,G100&lt;=$X$11+5),0,IF($C$9&gt;$AG$51,ROUND(S99*#REF!/(DATEVALUE(CONCATENATE("01/01/",YEAR(H100)+1))-DATEVALUE(CONCATENATE("01/01/",YEAR(H100))))*(H100-H99),2),0))</f>
        <v>#REF!</v>
      </c>
      <c r="Y135" s="34">
        <f t="shared" si="85"/>
        <v>0</v>
      </c>
      <c r="Z135" s="57">
        <f t="shared" si="84"/>
        <v>67945</v>
      </c>
      <c r="AM135" s="2" t="e">
        <f>IF(AND(Z92&gt;=$X$11,Z92&lt;=$X$11+5),0,IF($C$9&gt;$AG$51,ROUND(AJ95*#REF!/(DATEVALUE(CONCATENATE("01/01/",YEAR(AA92)+1))-DATEVALUE(CONCATENATE("01/01/",YEAR(AA92))))*(AA92-AA91),2),0))</f>
        <v>#REF!</v>
      </c>
      <c r="AN135" s="34">
        <f t="shared" si="87"/>
        <v>0</v>
      </c>
      <c r="AO135" s="57">
        <f t="shared" si="86"/>
        <v>66485</v>
      </c>
      <c r="BM135" s="2" t="e">
        <f>IF(AND(G90&gt;=$X$11,G90&lt;=$X$11+5),0,IF($C$9&gt;$AG$51,ROUND(BH89*IF(#REF!="",0,#REF!)/(DATEVALUE(CONCATENATE("01/01/",YEAR(AR90)+1))-DATEVALUE(CONCATENATE("01/01/",YEAR(AR90))))*(AR90-AR89),2),0))</f>
        <v>#REF!</v>
      </c>
    </row>
    <row r="136" spans="24:65" x14ac:dyDescent="0.25">
      <c r="X136" s="2" t="e">
        <f>IF(AND(G101&gt;=$X$11,G101&lt;=$X$11+5),0,IF($C$9&gt;$AG$51,ROUND(S100*#REF!/(DATEVALUE(CONCATENATE("01/01/",YEAR(H101)+1))-DATEVALUE(CONCATENATE("01/01/",YEAR(H101))))*(H101-H100),2),0))</f>
        <v>#REF!</v>
      </c>
      <c r="Y136" s="34">
        <f t="shared" si="85"/>
        <v>0</v>
      </c>
      <c r="Z136" s="57">
        <f t="shared" si="84"/>
        <v>68310</v>
      </c>
      <c r="AM136" s="2" t="e">
        <f>IF(AND(Z93&gt;=$X$11,Z93&lt;=$X$11+5),0,IF($C$9&gt;$AG$51,ROUND(AJ96*#REF!/(DATEVALUE(CONCATENATE("01/01/",YEAR(AA93)+1))-DATEVALUE(CONCATENATE("01/01/",YEAR(AA93))))*(AA93-AA92),2),0))</f>
        <v>#REF!</v>
      </c>
      <c r="AN136" s="34">
        <f t="shared" si="87"/>
        <v>0</v>
      </c>
      <c r="AO136" s="57">
        <f t="shared" si="86"/>
        <v>66850</v>
      </c>
      <c r="BM136" s="2" t="e">
        <f>IF(AND(G91&gt;=$X$11,G91&lt;=$X$11+5),0,IF($C$9&gt;$AG$51,ROUND(BH90*IF(#REF!="",0,#REF!)/(DATEVALUE(CONCATENATE("01/01/",YEAR(AR91)+1))-DATEVALUE(CONCATENATE("01/01/",YEAR(AR91))))*(AR91-AR90),2),0))</f>
        <v>#REF!</v>
      </c>
    </row>
    <row r="137" spans="24:65" x14ac:dyDescent="0.25">
      <c r="X137" s="2" t="e">
        <f>IF(AND(G102&gt;=$X$11,G102&lt;=$X$11+5),0,IF($C$9&gt;$AG$51,ROUND(S101*#REF!/(DATEVALUE(CONCATENATE("01/01/",YEAR(H102)+1))-DATEVALUE(CONCATENATE("01/01/",YEAR(H102))))*(H102-H101),2),0))</f>
        <v>#REF!</v>
      </c>
      <c r="Y137" s="34">
        <f t="shared" si="85"/>
        <v>0</v>
      </c>
      <c r="Z137" s="57">
        <f t="shared" si="84"/>
        <v>68675</v>
      </c>
      <c r="AM137" s="2" t="e">
        <f>IF(AND(Z94&gt;=$X$11,Z94&lt;=$X$11+5),0,IF($C$9&gt;$AG$51,ROUND(AJ97*#REF!/(DATEVALUE(CONCATENATE("01/01/",YEAR(AA94)+1))-DATEVALUE(CONCATENATE("01/01/",YEAR(AA94))))*(AA94-AA93),2),0))</f>
        <v>#REF!</v>
      </c>
      <c r="AN137" s="34">
        <f t="shared" si="87"/>
        <v>0</v>
      </c>
      <c r="AO137" s="57">
        <f t="shared" si="86"/>
        <v>67215</v>
      </c>
      <c r="BM137" s="2" t="e">
        <f>IF(AND(G92&gt;=$X$11,G92&lt;=$X$11+5),0,IF($C$9&gt;$AG$51,ROUND(BH91*IF(#REF!="",0,#REF!)/(DATEVALUE(CONCATENATE("01/01/",YEAR(AR92)+1))-DATEVALUE(CONCATENATE("01/01/",YEAR(AR92))))*(AR92-AR91),2),0))</f>
        <v>#REF!</v>
      </c>
    </row>
    <row r="138" spans="24:65" x14ac:dyDescent="0.25">
      <c r="X138" s="2" t="e">
        <f>IF(AND(G103&gt;=$X$11,G103&lt;=$X$11+5),0,IF($C$9&gt;$AG$51,ROUND(S102*#REF!/(DATEVALUE(CONCATENATE("01/01/",YEAR(H103)+1))-DATEVALUE(CONCATENATE("01/01/",YEAR(H103))))*(H103-H102),2),0))</f>
        <v>#REF!</v>
      </c>
      <c r="Y138" s="34">
        <f t="shared" si="85"/>
        <v>0</v>
      </c>
      <c r="Z138" s="57">
        <f t="shared" si="84"/>
        <v>69040</v>
      </c>
      <c r="AM138" s="2" t="e">
        <f>IF(AND(Z95&gt;=$X$11,Z95&lt;=$X$11+5),0,IF($C$9&gt;$AG$51,ROUND(AJ98*#REF!/(DATEVALUE(CONCATENATE("01/01/",YEAR(AA95)+1))-DATEVALUE(CONCATENATE("01/01/",YEAR(AA95))))*(AA95-AA94),2),0))</f>
        <v>#REF!</v>
      </c>
      <c r="AN138" s="34">
        <f t="shared" si="87"/>
        <v>0</v>
      </c>
      <c r="AO138" s="57">
        <f t="shared" si="86"/>
        <v>67580</v>
      </c>
      <c r="BM138" s="2" t="e">
        <f>IF(AND(G93&gt;=$X$11,G93&lt;=$X$11+5),0,IF($C$9&gt;$AG$51,ROUND(BH92*IF(#REF!="",0,#REF!)/(DATEVALUE(CONCATENATE("01/01/",YEAR(AR93)+1))-DATEVALUE(CONCATENATE("01/01/",YEAR(AR93))))*(AR93-AR92),2),0))</f>
        <v>#REF!</v>
      </c>
    </row>
    <row r="139" spans="24:65" x14ac:dyDescent="0.25">
      <c r="X139" s="2" t="e">
        <f>IF(AND(G104&gt;=$X$11,G104&lt;=$X$11+5),0,IF($C$9&gt;$AG$51,ROUND(S103*#REF!/(DATEVALUE(CONCATENATE("01/01/",YEAR(H104)+1))-DATEVALUE(CONCATENATE("01/01/",YEAR(H104))))*(H104-H103),2),0))</f>
        <v>#REF!</v>
      </c>
      <c r="Y139" s="34">
        <f t="shared" si="85"/>
        <v>0</v>
      </c>
      <c r="Z139" s="57">
        <f t="shared" si="84"/>
        <v>69405</v>
      </c>
      <c r="AM139" s="2" t="e">
        <f>IF(AND(Z96&gt;=$X$11,Z96&lt;=$X$11+5),0,IF($C$9&gt;$AG$51,ROUND(AJ99*#REF!/(DATEVALUE(CONCATENATE("01/01/",YEAR(AA96)+1))-DATEVALUE(CONCATENATE("01/01/",YEAR(AA96))))*(AA96-AA95),2),0))</f>
        <v>#REF!</v>
      </c>
      <c r="AN139" s="34">
        <f t="shared" si="87"/>
        <v>0</v>
      </c>
      <c r="AO139" s="57">
        <f t="shared" si="86"/>
        <v>67945</v>
      </c>
      <c r="BM139" s="2" t="e">
        <f>IF(AND(G94&gt;=$X$11,G94&lt;=$X$11+5),0,IF($C$9&gt;$AG$51,ROUND(BH93*IF(#REF!="",0,#REF!)/(DATEVALUE(CONCATENATE("01/01/",YEAR(AR94)+1))-DATEVALUE(CONCATENATE("01/01/",YEAR(AR94))))*(AR94-AR93),2),0))</f>
        <v>#REF!</v>
      </c>
    </row>
    <row r="140" spans="24:65" x14ac:dyDescent="0.25">
      <c r="X140" s="2" t="e">
        <f>IF(AND(G105&gt;=$X$11,G105&lt;=$X$11+5),0,IF($C$9&gt;$AG$51,ROUND(S104*#REF!/(DATEVALUE(CONCATENATE("01/01/",YEAR(H105)+1))-DATEVALUE(CONCATENATE("01/01/",YEAR(H105))))*(H105-H104),2),0))</f>
        <v>#REF!</v>
      </c>
      <c r="Y140" s="34">
        <f t="shared" si="85"/>
        <v>0</v>
      </c>
      <c r="Z140" s="57">
        <f t="shared" si="84"/>
        <v>69770</v>
      </c>
      <c r="AM140" s="2" t="e">
        <f>IF(AND(Z97&gt;=$X$11,Z97&lt;=$X$11+5),0,IF($C$9&gt;$AG$51,ROUND(AJ100*#REF!/(DATEVALUE(CONCATENATE("01/01/",YEAR(AA97)+1))-DATEVALUE(CONCATENATE("01/01/",YEAR(AA97))))*(AA97-AA96),2),0))</f>
        <v>#REF!</v>
      </c>
      <c r="AN140" s="34">
        <f t="shared" si="87"/>
        <v>0</v>
      </c>
      <c r="AO140" s="57">
        <f t="shared" si="86"/>
        <v>68310</v>
      </c>
      <c r="BM140" s="2" t="e">
        <f>IF(AND(G95&gt;=$X$11,G95&lt;=$X$11+5),0,IF($C$9&gt;$AG$51,ROUND(BH94*IF(#REF!="",0,#REF!)/(DATEVALUE(CONCATENATE("01/01/",YEAR(AR95)+1))-DATEVALUE(CONCATENATE("01/01/",YEAR(AR95))))*(AR95-AR94),2),0))</f>
        <v>#REF!</v>
      </c>
    </row>
    <row r="141" spans="24:65" x14ac:dyDescent="0.25">
      <c r="X141" s="2" t="e">
        <f>IF(AND(G106&gt;=$X$11,G106&lt;=$X$11+5),0,IF($C$9&gt;$AG$51,ROUND(S105*#REF!/(DATEVALUE(CONCATENATE("01/01/",YEAR(H106)+1))-DATEVALUE(CONCATENATE("01/01/",YEAR(H106))))*(H106-H105),2),0))</f>
        <v>#REF!</v>
      </c>
      <c r="Y141" s="34">
        <f t="shared" si="85"/>
        <v>0</v>
      </c>
      <c r="Z141" s="57">
        <f t="shared" si="84"/>
        <v>70135</v>
      </c>
      <c r="AM141" s="2" t="e">
        <f>IF(AND(Z98&gt;=$X$11,Z98&lt;=$X$11+5),0,IF($C$9&gt;$AG$51,ROUND(AJ101*#REF!/(DATEVALUE(CONCATENATE("01/01/",YEAR(AA98)+1))-DATEVALUE(CONCATENATE("01/01/",YEAR(AA98))))*(AA98-AA97),2),0))</f>
        <v>#REF!</v>
      </c>
      <c r="AN141" s="34">
        <f t="shared" si="87"/>
        <v>0</v>
      </c>
      <c r="AO141" s="57">
        <f t="shared" si="86"/>
        <v>68675</v>
      </c>
      <c r="BM141" s="2" t="e">
        <f>IF(AND(G96&gt;=$X$11,G96&lt;=$X$11+5),0,IF($C$9&gt;$AG$51,ROUND(BH95*IF(#REF!="",0,#REF!)/(DATEVALUE(CONCATENATE("01/01/",YEAR(AR96)+1))-DATEVALUE(CONCATENATE("01/01/",YEAR(AR96))))*(AR96-AR95),2),0))</f>
        <v>#REF!</v>
      </c>
    </row>
    <row r="142" spans="24:65" x14ac:dyDescent="0.25">
      <c r="X142" s="2" t="e">
        <f>IF(AND(G107&gt;=$X$11,G107&lt;=$X$11+5),0,IF($C$9&gt;$AG$51,ROUND(S106*#REF!/(DATEVALUE(CONCATENATE("01/01/",YEAR(H107)+1))-DATEVALUE(CONCATENATE("01/01/",YEAR(H107))))*(H107-H106),2),0))</f>
        <v>#REF!</v>
      </c>
      <c r="Y142" s="34">
        <f t="shared" si="85"/>
        <v>0</v>
      </c>
      <c r="Z142" s="57">
        <f t="shared" si="84"/>
        <v>70500</v>
      </c>
      <c r="AM142" s="2" t="e">
        <f>IF(AND(Z99&gt;=$X$11,Z99&lt;=$X$11+5),0,IF($C$9&gt;$AG$51,ROUND(AJ102*#REF!/(DATEVALUE(CONCATENATE("01/01/",YEAR(AA99)+1))-DATEVALUE(CONCATENATE("01/01/",YEAR(AA99))))*(AA99-AA98),2),0))</f>
        <v>#REF!</v>
      </c>
      <c r="AN142" s="34">
        <f t="shared" si="87"/>
        <v>0</v>
      </c>
      <c r="AO142" s="57">
        <f t="shared" si="86"/>
        <v>69040</v>
      </c>
      <c r="BM142" s="2" t="e">
        <f>IF(AND(G97&gt;=$X$11,G97&lt;=$X$11+5),0,IF($C$9&gt;$AG$51,ROUND(BH96*IF(#REF!="",0,#REF!)/(DATEVALUE(CONCATENATE("01/01/",YEAR(AR97)+1))-DATEVALUE(CONCATENATE("01/01/",YEAR(AR97))))*(AR97-AR96),2),0))</f>
        <v>#REF!</v>
      </c>
    </row>
    <row r="143" spans="24:65" x14ac:dyDescent="0.25">
      <c r="X143" s="2" t="e">
        <f>IF(AND(G108&gt;=$X$11,G108&lt;=$X$11+5),0,IF($C$9&gt;$AG$51,ROUND(S107*#REF!/(DATEVALUE(CONCATENATE("01/01/",YEAR(H108)+1))-DATEVALUE(CONCATENATE("01/01/",YEAR(H108))))*(H108-H107),2),0))</f>
        <v>#REF!</v>
      </c>
      <c r="Y143" s="34">
        <f>IF(K108 &gt; 0, $K$9, 0)</f>
        <v>0</v>
      </c>
      <c r="Z143" s="57">
        <f t="shared" si="84"/>
        <v>70865</v>
      </c>
      <c r="AM143" s="2" t="e">
        <f>IF(AND(Z100&gt;=$X$11,Z100&lt;=$X$11+5),0,IF($C$9&gt;$AG$51,ROUND(AJ103*#REF!/(DATEVALUE(CONCATENATE("01/01/",YEAR(AA100)+1))-DATEVALUE(CONCATENATE("01/01/",YEAR(AA100))))*(AA100-AA99),2),0))</f>
        <v>#REF!</v>
      </c>
      <c r="AN143" s="34">
        <f t="shared" si="87"/>
        <v>0</v>
      </c>
      <c r="AO143" s="57">
        <f t="shared" si="86"/>
        <v>69405</v>
      </c>
      <c r="BM143" s="2" t="e">
        <f>IF(AND(G98&gt;=$X$11,G98&lt;=$X$11+5),0,IF($C$9&gt;$AG$51,ROUND(BH97*IF(#REF!="",0,#REF!)/(DATEVALUE(CONCATENATE("01/01/",YEAR(AR98)+1))-DATEVALUE(CONCATENATE("01/01/",YEAR(AR98))))*(AR98-AR97),2),0))</f>
        <v>#REF!</v>
      </c>
    </row>
    <row r="144" spans="24:65" x14ac:dyDescent="0.25">
      <c r="X144" s="35" t="e">
        <f>SUM(X44:X143)</f>
        <v>#REF!</v>
      </c>
      <c r="Y144" s="35">
        <f>SUM(Y44:Y143)</f>
        <v>469368</v>
      </c>
      <c r="Z144" s="154">
        <f>XIRR(Y42:Y143,Z42:Z143)*12</f>
        <v>0.19761124849319456</v>
      </c>
      <c r="AM144" s="2" t="e">
        <f>IF(AND(Z101&gt;=$X$11,Z101&lt;=$X$11+5),0,IF($C$9&gt;$AG$51,ROUND(AJ104*#REF!/(DATEVALUE(CONCATENATE("01/01/",YEAR(AA101)+1))-DATEVALUE(CONCATENATE("01/01/",YEAR(AA101))))*(AA101-AA100),2),0))</f>
        <v>#REF!</v>
      </c>
      <c r="AN144" s="34">
        <f t="shared" si="87"/>
        <v>0</v>
      </c>
      <c r="AO144" s="57">
        <f t="shared" si="86"/>
        <v>69770</v>
      </c>
      <c r="BM144" s="2" t="e">
        <f>IF(AND(G99&gt;=$X$11,G99&lt;=$X$11+5),0,IF($C$9&gt;$AG$51,ROUND(BH98*IF(#REF!="",0,#REF!)/(DATEVALUE(CONCATENATE("01/01/",YEAR(AR99)+1))-DATEVALUE(CONCATENATE("01/01/",YEAR(AR99))))*(AR99-AR98),2),0))</f>
        <v>#REF!</v>
      </c>
    </row>
    <row r="145" spans="25:65" x14ac:dyDescent="0.25">
      <c r="Y145" s="34"/>
      <c r="Z145" s="57"/>
      <c r="AM145" s="2" t="e">
        <f>IF(AND(Z102&gt;=$X$11,Z102&lt;=$X$11+5),0,IF($C$9&gt;$AG$51,ROUND(AJ105*#REF!/(DATEVALUE(CONCATENATE("01/01/",YEAR(AA102)+1))-DATEVALUE(CONCATENATE("01/01/",YEAR(AA102))))*(AA102-AA101),2),0))</f>
        <v>#REF!</v>
      </c>
      <c r="AN145" s="34">
        <f t="shared" si="87"/>
        <v>0</v>
      </c>
      <c r="AO145" s="57">
        <f t="shared" si="86"/>
        <v>70135</v>
      </c>
      <c r="BM145" s="2" t="e">
        <f>IF(AND(G100&gt;=$X$11,G100&lt;=$X$11+5),0,IF($C$9&gt;$AG$51,ROUND(BH99*IF(#REF!="",0,#REF!)/(DATEVALUE(CONCATENATE("01/01/",YEAR(AR100)+1))-DATEVALUE(CONCATENATE("01/01/",YEAR(AR100))))*(AR100-AR99),2),0))</f>
        <v>#REF!</v>
      </c>
    </row>
    <row r="146" spans="25:65" x14ac:dyDescent="0.25">
      <c r="Y146" s="34"/>
      <c r="Z146" s="57"/>
      <c r="AM146" s="2" t="e">
        <f>IF(AND(Z103&gt;=$X$11,Z103&lt;=$X$11+5),0,IF($C$9&gt;$AG$51,ROUND(AJ106*#REF!/(DATEVALUE(CONCATENATE("01/01/",YEAR(AA103)+1))-DATEVALUE(CONCATENATE("01/01/",YEAR(AA103))))*(AA103-AA102),2),0))</f>
        <v>#REF!</v>
      </c>
      <c r="AN146" s="34">
        <f t="shared" si="87"/>
        <v>0</v>
      </c>
      <c r="AO146" s="57">
        <f t="shared" si="86"/>
        <v>70500</v>
      </c>
      <c r="BM146" s="2" t="e">
        <f>IF(AND(G101&gt;=$X$11,G101&lt;=$X$11+5),0,IF($C$9&gt;$AG$51,ROUND(BH100*IF(#REF!="",0,#REF!)/(DATEVALUE(CONCATENATE("01/01/",YEAR(AR101)+1))-DATEVALUE(CONCATENATE("01/01/",YEAR(AR101))))*(AR101-AR100),2),0))</f>
        <v>#REF!</v>
      </c>
    </row>
    <row r="147" spans="25:65" x14ac:dyDescent="0.25">
      <c r="Y147" s="34"/>
      <c r="Z147" s="57"/>
      <c r="AM147" s="2" t="e">
        <f>IF(AND(Z104&gt;=$X$11,Z104&lt;=$X$11+5),0,IF($C$9&gt;$AG$51,ROUND(AJ107*#REF!/(DATEVALUE(CONCATENATE("01/01/",YEAR(AA104)+1))-DATEVALUE(CONCATENATE("01/01/",YEAR(AA104))))*(AA104-AA103),2),0))</f>
        <v>#REF!</v>
      </c>
      <c r="AN147" s="34">
        <f t="shared" si="87"/>
        <v>0</v>
      </c>
      <c r="AO147" s="57">
        <f t="shared" si="86"/>
        <v>70865</v>
      </c>
      <c r="BM147" s="2" t="e">
        <f>IF(AND(G102&gt;=$X$11,G102&lt;=$X$11+5),0,IF($C$9&gt;$AG$51,ROUND(BH101*IF(#REF!="",0,#REF!)/(DATEVALUE(CONCATENATE("01/01/",YEAR(AR102)+1))-DATEVALUE(CONCATENATE("01/01/",YEAR(AR102))))*(AR102-AR101),2),0))</f>
        <v>#REF!</v>
      </c>
    </row>
    <row r="148" spans="25:65" x14ac:dyDescent="0.25">
      <c r="Y148" s="34"/>
      <c r="Z148" s="57"/>
      <c r="AM148" s="35" t="e">
        <f>SUM(AM48:AM147)</f>
        <v>#REF!</v>
      </c>
      <c r="AN148" s="35">
        <f>SUM(AN48:AN147)</f>
        <v>453636</v>
      </c>
      <c r="AO148" s="154">
        <f>XIRR(AN46:AN147,AO46:AO147)*12</f>
        <v>0.28287531137466432</v>
      </c>
      <c r="BM148" s="2" t="e">
        <f>IF(AND(G103&gt;=$X$11,G103&lt;=$X$11+5),0,IF($C$9&gt;$AG$51,ROUND(BH102*IF(#REF!="",0,#REF!)/(DATEVALUE(CONCATENATE("01/01/",YEAR(AR103)+1))-DATEVALUE(CONCATENATE("01/01/",YEAR(AR103))))*(AR103-AR102),2),0))</f>
        <v>#REF!</v>
      </c>
    </row>
    <row r="149" spans="25:65" x14ac:dyDescent="0.25">
      <c r="BM149" s="2" t="e">
        <f>IF(AND(G104&gt;=$X$11,G104&lt;=$X$11+5),0,IF($C$9&gt;$AG$51,ROUND(BH103*IF(#REF!="",0,#REF!)/(DATEVALUE(CONCATENATE("01/01/",YEAR(AR104)+1))-DATEVALUE(CONCATENATE("01/01/",YEAR(AR104))))*(AR104-AR103),2),0))</f>
        <v>#REF!</v>
      </c>
    </row>
    <row r="150" spans="25:65" x14ac:dyDescent="0.25">
      <c r="BM150" s="2" t="e">
        <f>IF(AND(G105&gt;=$X$11,G105&lt;=$X$11+5),0,IF($C$9&gt;$AG$51,ROUND(BH104*IF(#REF!="",0,#REF!)/(DATEVALUE(CONCATENATE("01/01/",YEAR(AR105)+1))-DATEVALUE(CONCATENATE("01/01/",YEAR(AR105))))*(AR105-AR104),2),0))</f>
        <v>#REF!</v>
      </c>
    </row>
    <row r="151" spans="25:65" x14ac:dyDescent="0.25">
      <c r="BM151" s="2" t="e">
        <f>IF(AND(G106&gt;=$X$11,G106&lt;=$X$11+5),0,IF($C$9&gt;$AG$51,ROUND(BH105*IF(#REF!="",0,#REF!)/(DATEVALUE(CONCATENATE("01/01/",YEAR(AR106)+1))-DATEVALUE(CONCATENATE("01/01/",YEAR(AR106))))*(AR106-AR105),2),0))</f>
        <v>#REF!</v>
      </c>
    </row>
    <row r="152" spans="25:65" x14ac:dyDescent="0.25">
      <c r="BM152" s="2" t="e">
        <f>IF(AND(G107&gt;=$X$11,G107&lt;=$X$11+5),0,IF($C$9&gt;$AG$51,ROUND(BH106*IF(#REF!="",0,#REF!)/(DATEVALUE(CONCATENATE("01/01/",YEAR(AR107)+1))-DATEVALUE(CONCATENATE("01/01/",YEAR(AR107))))*(AR107-AR106),2),0))</f>
        <v>#REF!</v>
      </c>
    </row>
    <row r="153" spans="25:65" x14ac:dyDescent="0.25">
      <c r="BM153" s="2" t="e">
        <f>IF(AND(G108&gt;=$X$11,G108&lt;=$X$11+5),0,IF($C$9&gt;$AG$51,ROUND(BH107*IF(#REF!="",0,#REF!)/(DATEVALUE(CONCATENATE("01/01/",YEAR(AR108)+1))-DATEVALUE(CONCATENATE("01/01/",YEAR(AR108))))*(AR108-AR107),2),0))</f>
        <v>#REF!</v>
      </c>
    </row>
    <row r="154" spans="25:65" x14ac:dyDescent="0.25">
      <c r="BM154" s="35" t="e">
        <f>SUM(BM54:BM153)</f>
        <v>#REF!</v>
      </c>
    </row>
  </sheetData>
  <sheetProtection sheet="1" selectLockedCells="1"/>
  <dataConsolidate/>
  <mergeCells count="62">
    <mergeCell ref="AQ3:BI4"/>
    <mergeCell ref="BO3:BU3"/>
    <mergeCell ref="A5:E5"/>
    <mergeCell ref="K6:K7"/>
    <mergeCell ref="A7:B7"/>
    <mergeCell ref="BO7:BO8"/>
    <mergeCell ref="BP7:BP8"/>
    <mergeCell ref="BS7:BS8"/>
    <mergeCell ref="BT7:BT8"/>
    <mergeCell ref="AQ6:AQ7"/>
    <mergeCell ref="AR6:AR7"/>
    <mergeCell ref="A1:E2"/>
    <mergeCell ref="A3:E3"/>
    <mergeCell ref="G3:U4"/>
    <mergeCell ref="A6:B6"/>
    <mergeCell ref="C6:D6"/>
    <mergeCell ref="G6:G7"/>
    <mergeCell ref="H6:H7"/>
    <mergeCell ref="I6:I7"/>
    <mergeCell ref="L6:L7"/>
    <mergeCell ref="M6:M7"/>
    <mergeCell ref="S6:S7"/>
    <mergeCell ref="T6:T7"/>
    <mergeCell ref="A16:A18"/>
    <mergeCell ref="BU7:BU8"/>
    <mergeCell ref="A8:B8"/>
    <mergeCell ref="A9:B9"/>
    <mergeCell ref="C9:D9"/>
    <mergeCell ref="A10:B10"/>
    <mergeCell ref="BO10:BO11"/>
    <mergeCell ref="BP10:BP11"/>
    <mergeCell ref="A11:B11"/>
    <mergeCell ref="AS6:AS7"/>
    <mergeCell ref="AU6:AU7"/>
    <mergeCell ref="AV6:AV7"/>
    <mergeCell ref="AW6:AW7"/>
    <mergeCell ref="BH6:BH7"/>
    <mergeCell ref="BO6:BU6"/>
    <mergeCell ref="A12:B12"/>
    <mergeCell ref="A13:B13"/>
    <mergeCell ref="BO13:BO14"/>
    <mergeCell ref="BP13:BP14"/>
    <mergeCell ref="A14:A15"/>
    <mergeCell ref="A30:B30"/>
    <mergeCell ref="A20:E20"/>
    <mergeCell ref="A21:B21"/>
    <mergeCell ref="C21:E21"/>
    <mergeCell ref="A22:C22"/>
    <mergeCell ref="A23:B23"/>
    <mergeCell ref="A24:B24"/>
    <mergeCell ref="A25:B25"/>
    <mergeCell ref="A26:B26"/>
    <mergeCell ref="A27:B27"/>
    <mergeCell ref="A28:B28"/>
    <mergeCell ref="A29:B29"/>
    <mergeCell ref="AD85:AJ85"/>
    <mergeCell ref="A31:B31"/>
    <mergeCell ref="A32:E32"/>
    <mergeCell ref="A33:A34"/>
    <mergeCell ref="BO33:BO35"/>
    <mergeCell ref="A35:B35"/>
    <mergeCell ref="A36:B36"/>
  </mergeCells>
  <conditionalFormatting sqref="D17">
    <cfRule type="cellIs" dxfId="11" priority="1" operator="notEqual">
      <formula>""</formula>
    </cfRule>
  </conditionalFormatting>
  <dataValidations count="6">
    <dataValidation type="list" allowBlank="1" showInputMessage="1" showErrorMessage="1" sqref="C16" xr:uid="{00000000-0002-0000-0500-000000000000}">
      <formula1>$AD$30:$AE$30</formula1>
    </dataValidation>
    <dataValidation type="list" allowBlank="1" showInputMessage="1" showErrorMessage="1" sqref="C10:D10" xr:uid="{00000000-0002-0000-0500-000001000000}">
      <formula1>$G$44:$G$92</formula1>
    </dataValidation>
    <dataValidation type="list" allowBlank="1" showInputMessage="1" showErrorMessage="1" sqref="C14" xr:uid="{00000000-0002-0000-0500-000002000000}">
      <formula1>$Z$28:$AA$28</formula1>
    </dataValidation>
    <dataValidation allowBlank="1" showInputMessage="1" showErrorMessage="1" error="Сумма не соответствует диапазону для продукта" sqref="C7:D7" xr:uid="{00000000-0002-0000-0500-000003000000}"/>
    <dataValidation type="list" allowBlank="1" showInputMessage="1" showErrorMessage="1" sqref="C8" xr:uid="{00000000-0002-0000-0500-000004000000}">
      <formula1>$CA$9:$CA$11</formula1>
    </dataValidation>
    <dataValidation type="list" allowBlank="1" showInputMessage="1" showErrorMessage="1" sqref="C11" xr:uid="{00000000-0002-0000-0500-000005000000}">
      <formula1>$CA$12:$CA$17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1" fitToWidth="2" orientation="portrait" r:id="rId1"/>
  <colBreaks count="1" manualBreakCount="1">
    <brk id="5" max="108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K185"/>
  <sheetViews>
    <sheetView view="pageBreakPreview" topLeftCell="A18" zoomScale="85" zoomScaleNormal="90" zoomScaleSheetLayoutView="85" workbookViewId="0">
      <selection activeCell="G43" sqref="G43"/>
    </sheetView>
  </sheetViews>
  <sheetFormatPr defaultColWidth="8.88671875" defaultRowHeight="13.2" x14ac:dyDescent="0.25"/>
  <cols>
    <col min="1" max="1" width="24.6640625" style="2" customWidth="1"/>
    <col min="2" max="2" width="32.44140625" style="2" customWidth="1"/>
    <col min="3" max="3" width="34" style="1" customWidth="1"/>
    <col min="4" max="4" width="31.44140625" style="1" customWidth="1"/>
    <col min="5" max="5" width="7.109375" style="1" customWidth="1"/>
    <col min="6" max="6" width="10.6640625" style="1" customWidth="1"/>
    <col min="7" max="7" width="15.5546875" style="1" customWidth="1"/>
    <col min="8" max="8" width="15.5546875" style="2" customWidth="1"/>
    <col min="9" max="10" width="15.5546875" style="2" hidden="1" customWidth="1"/>
    <col min="11" max="11" width="15.5546875" style="1" customWidth="1"/>
    <col min="12" max="16" width="15" style="3" hidden="1" customWidth="1"/>
    <col min="17" max="17" width="14" style="2" customWidth="1"/>
    <col min="18" max="18" width="11.109375" style="2" customWidth="1"/>
    <col min="19" max="19" width="11.44140625" style="44" customWidth="1"/>
    <col min="20" max="20" width="17.6640625" style="2" customWidth="1"/>
    <col min="21" max="21" width="18.33203125" style="2" customWidth="1"/>
    <col min="22" max="22" width="13.109375" style="2" customWidth="1"/>
    <col min="23" max="23" width="20" style="2" customWidth="1"/>
    <col min="24" max="24" width="19.88671875" style="2" customWidth="1"/>
    <col min="25" max="25" width="17.5546875" style="2" customWidth="1"/>
    <col min="26" max="26" width="33.88671875" style="2" customWidth="1"/>
    <col min="27" max="27" width="19" style="2" customWidth="1"/>
    <col min="28" max="28" width="32.44140625" style="3" customWidth="1"/>
    <col min="29" max="29" width="31.109375" style="3" customWidth="1"/>
    <col min="30" max="30" width="14.44140625" style="3" customWidth="1"/>
    <col min="31" max="31" width="17" style="3" customWidth="1"/>
    <col min="32" max="32" width="13.44140625" style="2" customWidth="1"/>
    <col min="33" max="33" width="14.44140625" style="2" customWidth="1"/>
    <col min="34" max="34" width="14.44140625" style="57" customWidth="1"/>
    <col min="35" max="38" width="14.44140625" style="2" customWidth="1"/>
    <col min="39" max="39" width="6.33203125" style="2" customWidth="1"/>
    <col min="40" max="40" width="11.5546875" style="2" customWidth="1"/>
    <col min="41" max="41" width="14.44140625" style="2" customWidth="1"/>
    <col min="42" max="42" width="13.109375" style="2" customWidth="1"/>
    <col min="43" max="43" width="13.88671875" style="2" customWidth="1"/>
    <col min="44" max="44" width="12" style="2" hidden="1" customWidth="1"/>
    <col min="45" max="46" width="13.6640625" style="2" hidden="1" customWidth="1"/>
    <col min="47" max="48" width="8.88671875" style="2" hidden="1" customWidth="1"/>
    <col min="49" max="49" width="14" style="2" customWidth="1"/>
    <col min="50" max="51" width="8.88671875" style="2" hidden="1" customWidth="1"/>
    <col min="52" max="52" width="9.88671875" style="1" hidden="1" customWidth="1"/>
    <col min="53" max="53" width="11.44140625" style="2" hidden="1" customWidth="1"/>
    <col min="54" max="54" width="10.33203125" style="2" hidden="1" customWidth="1"/>
    <col min="55" max="55" width="12.44140625" style="2" hidden="1" customWidth="1"/>
    <col min="56" max="56" width="24.109375" style="2" customWidth="1"/>
    <col min="57" max="57" width="34.33203125" style="2" bestFit="1" customWidth="1"/>
    <col min="58" max="58" width="41.5546875" style="2" customWidth="1"/>
    <col min="59" max="59" width="4.5546875" style="2" customWidth="1"/>
    <col min="60" max="60" width="18" style="2" customWidth="1"/>
    <col min="61" max="61" width="13.44140625" style="2" customWidth="1"/>
    <col min="62" max="62" width="7.88671875" style="2" customWidth="1"/>
    <col min="63" max="63" width="8.88671875" style="2" customWidth="1"/>
    <col min="64" max="64" width="11.33203125" style="2" bestFit="1" customWidth="1"/>
    <col min="65" max="65" width="12.6640625" style="2" customWidth="1"/>
    <col min="66" max="16384" width="8.88671875" style="2"/>
  </cols>
  <sheetData>
    <row r="1" spans="1:68" ht="12.75" customHeight="1" x14ac:dyDescent="0.2">
      <c r="A1" s="933" t="s">
        <v>41</v>
      </c>
      <c r="B1" s="933"/>
      <c r="C1" s="933"/>
      <c r="D1" s="933"/>
      <c r="E1" s="2"/>
      <c r="F1" s="2"/>
      <c r="G1" s="2"/>
      <c r="K1" s="2"/>
      <c r="L1" s="2"/>
      <c r="M1" s="2"/>
      <c r="N1" s="2"/>
      <c r="O1" s="2"/>
      <c r="P1" s="2"/>
      <c r="S1" s="2"/>
      <c r="AB1" s="2"/>
      <c r="AC1" s="2"/>
      <c r="AD1" s="2"/>
      <c r="AE1" s="2"/>
      <c r="AH1" s="62" t="s">
        <v>52</v>
      </c>
      <c r="AI1" s="86" t="str">
        <f>IF($C$18=$AD$3,$AD$4,IF($C$18=$AE$3,$AE$4,IF($C$18=$AF$3,$AF$4,IF($C$18=$AG$3,$AG$4,IF($C$18=$AH$3,$AH$4,IF($C$18=$AI$3,$AI$4,""))))))</f>
        <v/>
      </c>
      <c r="AK1" s="65"/>
      <c r="AZ1" s="2"/>
    </row>
    <row r="2" spans="1:68" ht="16.5" customHeight="1" x14ac:dyDescent="0.2">
      <c r="A2" s="933"/>
      <c r="B2" s="933"/>
      <c r="C2" s="933"/>
      <c r="D2" s="933"/>
      <c r="E2" s="2"/>
      <c r="F2" s="607">
        <f>AB81</f>
        <v>291000</v>
      </c>
      <c r="G2" s="607">
        <f>AD81</f>
        <v>291000</v>
      </c>
      <c r="H2" s="57">
        <f>DATE(YEAR($F$8),MONTH($F$8),1)</f>
        <v>45292</v>
      </c>
      <c r="I2" s="57"/>
      <c r="J2" s="57"/>
      <c r="K2" s="2"/>
      <c r="L2" s="2"/>
      <c r="M2" s="2"/>
      <c r="N2" s="2"/>
      <c r="O2" s="2"/>
      <c r="P2" s="2"/>
      <c r="S2" s="2"/>
      <c r="AB2" s="2"/>
      <c r="AC2" s="2"/>
      <c r="AD2" s="2"/>
      <c r="AE2" s="2"/>
      <c r="AZ2" s="2"/>
    </row>
    <row r="3" spans="1:68" ht="17.25" customHeight="1" thickBot="1" x14ac:dyDescent="0.35">
      <c r="A3" s="934" t="s">
        <v>412</v>
      </c>
      <c r="B3" s="934"/>
      <c r="C3" s="934"/>
      <c r="D3" s="934"/>
      <c r="E3" s="928" t="str">
        <f>"График платежей - Максимум + ГС "</f>
        <v xml:space="preserve">График платежей - Максимум + ГС </v>
      </c>
      <c r="F3" s="928"/>
      <c r="G3" s="928"/>
      <c r="H3" s="928"/>
      <c r="I3" s="928"/>
      <c r="J3" s="928"/>
      <c r="K3" s="928"/>
      <c r="L3" s="928"/>
      <c r="M3" s="928"/>
      <c r="N3" s="928"/>
      <c r="O3" s="928"/>
      <c r="P3" s="928"/>
      <c r="Q3" s="928"/>
      <c r="R3" s="928"/>
      <c r="S3" s="146"/>
      <c r="T3" s="63" t="s">
        <v>33</v>
      </c>
      <c r="U3" s="63" t="s">
        <v>71</v>
      </c>
      <c r="V3" s="63" t="s">
        <v>72</v>
      </c>
      <c r="W3" s="63" t="s">
        <v>73</v>
      </c>
      <c r="X3" s="63" t="s">
        <v>74</v>
      </c>
      <c r="Y3" s="63" t="s">
        <v>129</v>
      </c>
      <c r="Z3" s="63" t="s">
        <v>71</v>
      </c>
      <c r="AA3" s="63"/>
      <c r="AB3" s="63"/>
      <c r="AC3" s="63"/>
      <c r="AD3" s="87"/>
      <c r="AE3" s="87"/>
      <c r="AF3" s="87"/>
      <c r="AG3" s="87"/>
      <c r="AH3" s="87"/>
      <c r="AI3" s="87"/>
      <c r="AJ3" s="63"/>
      <c r="AK3" s="63"/>
      <c r="AL3" s="63"/>
      <c r="AM3" s="902" t="str">
        <f>"График платежей - Оптимум"</f>
        <v>График платежей - Оптимум</v>
      </c>
      <c r="AN3" s="902"/>
      <c r="AO3" s="902"/>
      <c r="AP3" s="902"/>
      <c r="AQ3" s="902"/>
      <c r="AR3" s="902"/>
      <c r="AS3" s="902"/>
      <c r="AT3" s="902"/>
      <c r="AU3" s="902"/>
      <c r="AV3" s="902"/>
      <c r="AW3" s="902"/>
      <c r="AX3" s="902"/>
      <c r="AY3" s="102"/>
      <c r="AZ3" s="102"/>
      <c r="BA3" s="102"/>
      <c r="BD3" s="826" t="s">
        <v>94</v>
      </c>
      <c r="BE3" s="826"/>
      <c r="BF3" s="826"/>
      <c r="BG3" s="826"/>
      <c r="BH3" s="826"/>
      <c r="BI3" s="826"/>
      <c r="BJ3" s="826"/>
      <c r="BL3" s="729"/>
      <c r="BM3" s="729"/>
      <c r="BN3" s="729"/>
      <c r="BO3" s="729"/>
      <c r="BP3" s="729"/>
    </row>
    <row r="4" spans="1:68" ht="13.5" hidden="1" customHeight="1" thickBot="1" x14ac:dyDescent="0.25">
      <c r="A4" s="311"/>
      <c r="B4" s="311"/>
      <c r="C4" s="311"/>
      <c r="D4" s="311"/>
      <c r="E4" s="928"/>
      <c r="F4" s="928"/>
      <c r="G4" s="928"/>
      <c r="H4" s="928"/>
      <c r="I4" s="928"/>
      <c r="J4" s="928"/>
      <c r="K4" s="928"/>
      <c r="L4" s="928"/>
      <c r="M4" s="928"/>
      <c r="N4" s="928"/>
      <c r="O4" s="928"/>
      <c r="P4" s="928"/>
      <c r="Q4" s="928"/>
      <c r="R4" s="928"/>
      <c r="S4" s="146"/>
      <c r="T4" s="147">
        <v>0.11899999999999999</v>
      </c>
      <c r="U4" s="147">
        <v>9.9000000000000005E-2</v>
      </c>
      <c r="V4" s="147">
        <v>9.9000000000000005E-2</v>
      </c>
      <c r="W4" s="147">
        <v>9.9000000000000005E-2</v>
      </c>
      <c r="X4" s="147">
        <v>9.9000000000000005E-2</v>
      </c>
      <c r="Y4" s="147"/>
      <c r="Z4" s="63" t="s">
        <v>72</v>
      </c>
      <c r="AA4" s="147">
        <f>IF(OR(C$8="Гарантия стандарт",C$8="Гарантия пакет"),$Y$4,$T$4)</f>
        <v>0.11899999999999999</v>
      </c>
      <c r="AB4" s="147">
        <f t="shared" ref="AB4:AB12" si="0">IF(OR($D$8="Гарантия стандарт",$D$8="Гарантия пакет"),Y4,T4)</f>
        <v>0.11899999999999999</v>
      </c>
      <c r="AC4" s="147"/>
      <c r="AD4" s="148"/>
      <c r="AE4" s="148"/>
      <c r="AF4" s="148"/>
      <c r="AG4" s="148"/>
      <c r="AH4" s="148"/>
      <c r="AI4" s="148"/>
      <c r="AJ4" s="147"/>
      <c r="AK4" s="147"/>
      <c r="AL4" s="147"/>
      <c r="AM4" s="902"/>
      <c r="AN4" s="902"/>
      <c r="AO4" s="902"/>
      <c r="AP4" s="902"/>
      <c r="AQ4" s="902"/>
      <c r="AR4" s="902"/>
      <c r="AS4" s="902"/>
      <c r="AT4" s="902"/>
      <c r="AU4" s="902"/>
      <c r="AV4" s="902"/>
      <c r="AW4" s="902"/>
      <c r="AX4" s="902"/>
      <c r="AY4" s="102"/>
      <c r="AZ4" s="102"/>
      <c r="BA4" s="102"/>
      <c r="BB4" s="57"/>
      <c r="BL4" s="729"/>
      <c r="BM4" s="729"/>
      <c r="BN4" s="729"/>
      <c r="BO4" s="729"/>
      <c r="BP4" s="729"/>
    </row>
    <row r="5" spans="1:68" ht="12" hidden="1" customHeight="1" thickBot="1" x14ac:dyDescent="0.25">
      <c r="A5" s="931"/>
      <c r="B5" s="931"/>
      <c r="C5" s="940"/>
      <c r="D5" s="940"/>
      <c r="E5" s="688"/>
      <c r="F5" s="688"/>
      <c r="G5" s="688"/>
      <c r="H5" s="688"/>
      <c r="I5" s="688"/>
      <c r="J5" s="688"/>
      <c r="K5" s="688"/>
      <c r="L5" s="688"/>
      <c r="M5" s="688"/>
      <c r="N5" s="688"/>
      <c r="O5" s="688"/>
      <c r="P5" s="688"/>
      <c r="Q5" s="688"/>
      <c r="R5" s="688"/>
      <c r="S5" s="49"/>
      <c r="T5" s="15">
        <v>0.129</v>
      </c>
      <c r="U5" s="15">
        <f>$T5-2%</f>
        <v>0.109</v>
      </c>
      <c r="V5" s="15">
        <f t="shared" ref="V5:X11" si="1">$T5-2%</f>
        <v>0.109</v>
      </c>
      <c r="W5" s="15">
        <f t="shared" si="1"/>
        <v>0.109</v>
      </c>
      <c r="X5" s="15">
        <f t="shared" si="1"/>
        <v>0.109</v>
      </c>
      <c r="Y5" s="15">
        <v>5.8999999999999997E-2</v>
      </c>
      <c r="Z5" s="63" t="s">
        <v>73</v>
      </c>
      <c r="AA5" s="147">
        <f>IF(OR($C$8="Гарантия стандарт",$C$8="Гарантия пакет"),Y5,T5)</f>
        <v>0.129</v>
      </c>
      <c r="AB5" s="147">
        <f t="shared" si="0"/>
        <v>0.129</v>
      </c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2"/>
      <c r="AZ5" s="688"/>
      <c r="BA5" s="102"/>
      <c r="BB5" s="57"/>
      <c r="BL5" s="729"/>
      <c r="BM5" s="729"/>
      <c r="BN5" s="729"/>
      <c r="BO5" s="729"/>
      <c r="BP5" s="729"/>
    </row>
    <row r="6" spans="1:68" ht="16.5" customHeight="1" thickBot="1" x14ac:dyDescent="0.3">
      <c r="A6" s="922" t="s">
        <v>413</v>
      </c>
      <c r="B6" s="923"/>
      <c r="C6" s="608" t="s">
        <v>414</v>
      </c>
      <c r="D6" s="608" t="s">
        <v>415</v>
      </c>
      <c r="E6" s="688"/>
      <c r="F6" s="688"/>
      <c r="G6" s="688"/>
      <c r="H6" s="688"/>
      <c r="I6" s="688"/>
      <c r="J6" s="688"/>
      <c r="K6" s="688"/>
      <c r="L6" s="688"/>
      <c r="M6" s="688"/>
      <c r="N6" s="688"/>
      <c r="O6" s="688"/>
      <c r="P6" s="688"/>
      <c r="Q6" s="688"/>
      <c r="R6" s="688"/>
      <c r="S6" s="49"/>
      <c r="T6" s="15">
        <v>0.129</v>
      </c>
      <c r="U6" s="15">
        <f>$T6-2%</f>
        <v>0.109</v>
      </c>
      <c r="V6" s="15">
        <f t="shared" si="1"/>
        <v>0.109</v>
      </c>
      <c r="W6" s="15">
        <f t="shared" si="1"/>
        <v>0.109</v>
      </c>
      <c r="X6" s="15">
        <f t="shared" si="1"/>
        <v>0.109</v>
      </c>
      <c r="Y6" s="15"/>
      <c r="Z6" s="63" t="s">
        <v>74</v>
      </c>
      <c r="AA6" s="147">
        <f t="shared" ref="AA6:AA11" si="2">IF(OR($C$8="Гарантия стандарт",$C$8="Гарантия пакет"),Y6,T6)</f>
        <v>0.129</v>
      </c>
      <c r="AB6" s="147">
        <f t="shared" si="0"/>
        <v>0.129</v>
      </c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2"/>
      <c r="AZ6" s="688"/>
      <c r="BA6" s="102"/>
      <c r="BB6" s="57"/>
      <c r="BD6" s="827" t="s">
        <v>95</v>
      </c>
      <c r="BE6" s="827"/>
      <c r="BF6" s="827"/>
      <c r="BG6" s="827"/>
      <c r="BH6" s="827"/>
      <c r="BI6" s="827"/>
      <c r="BJ6" s="827"/>
      <c r="BL6" s="729"/>
      <c r="BM6" s="942"/>
      <c r="BN6" s="942"/>
      <c r="BO6" s="942"/>
      <c r="BP6" s="729"/>
    </row>
    <row r="7" spans="1:68" ht="37.5" customHeight="1" x14ac:dyDescent="0.6">
      <c r="A7" s="909" t="s">
        <v>417</v>
      </c>
      <c r="B7" s="911"/>
      <c r="C7" s="609">
        <f>'Автомобильный (с залогом ТС)'!C7</f>
        <v>300000</v>
      </c>
      <c r="D7" s="610">
        <f>C7</f>
        <v>300000</v>
      </c>
      <c r="E7" s="611" t="s">
        <v>3</v>
      </c>
      <c r="F7" s="612" t="s">
        <v>4</v>
      </c>
      <c r="G7" s="612" t="s">
        <v>5</v>
      </c>
      <c r="H7" s="613" t="s">
        <v>12</v>
      </c>
      <c r="I7" s="613"/>
      <c r="J7" s="613"/>
      <c r="K7" s="613" t="s">
        <v>26</v>
      </c>
      <c r="L7" s="613" t="s">
        <v>36</v>
      </c>
      <c r="M7" s="613" t="s">
        <v>39</v>
      </c>
      <c r="N7" s="613" t="s">
        <v>38</v>
      </c>
      <c r="O7" s="613" t="s">
        <v>37</v>
      </c>
      <c r="P7" s="613" t="s">
        <v>40</v>
      </c>
      <c r="Q7" s="612" t="s">
        <v>6</v>
      </c>
      <c r="R7" s="149" t="s">
        <v>32</v>
      </c>
      <c r="S7" s="150" t="s">
        <v>31</v>
      </c>
      <c r="T7" s="15">
        <v>0.13900000000000001</v>
      </c>
      <c r="U7" s="101">
        <f>$T7-2%</f>
        <v>0.11900000000000001</v>
      </c>
      <c r="V7" s="101">
        <f t="shared" si="1"/>
        <v>0.11900000000000001</v>
      </c>
      <c r="W7" s="101">
        <f t="shared" si="1"/>
        <v>0.11900000000000001</v>
      </c>
      <c r="X7" s="101">
        <f t="shared" si="1"/>
        <v>0.11900000000000001</v>
      </c>
      <c r="Y7" s="101">
        <v>7.9000000000000001E-2</v>
      </c>
      <c r="Z7" s="101"/>
      <c r="AA7" s="147">
        <f t="shared" si="2"/>
        <v>0.13900000000000001</v>
      </c>
      <c r="AB7" s="147">
        <f t="shared" si="0"/>
        <v>0.13900000000000001</v>
      </c>
      <c r="AC7" s="101"/>
      <c r="AD7" s="101"/>
      <c r="AE7" s="101"/>
      <c r="AF7" s="101"/>
      <c r="AG7" s="101"/>
      <c r="AH7" s="101"/>
      <c r="AI7" s="101"/>
      <c r="AJ7" s="101"/>
      <c r="AK7" s="101"/>
      <c r="AL7" s="151">
        <f>SUM(AL9:AL109)</f>
        <v>36</v>
      </c>
      <c r="AM7" s="160" t="s">
        <v>3</v>
      </c>
      <c r="AN7" s="161" t="s">
        <v>4</v>
      </c>
      <c r="AO7" s="161" t="s">
        <v>5</v>
      </c>
      <c r="AP7" s="162" t="s">
        <v>12</v>
      </c>
      <c r="AQ7" s="162" t="s">
        <v>26</v>
      </c>
      <c r="AR7" s="162" t="s">
        <v>36</v>
      </c>
      <c r="AS7" s="162" t="s">
        <v>39</v>
      </c>
      <c r="AT7" s="162" t="s">
        <v>38</v>
      </c>
      <c r="AU7" s="162" t="s">
        <v>37</v>
      </c>
      <c r="AV7" s="162" t="s">
        <v>40</v>
      </c>
      <c r="AW7" s="161" t="s">
        <v>6</v>
      </c>
      <c r="AX7" s="163" t="s">
        <v>32</v>
      </c>
      <c r="AY7" s="104" t="s">
        <v>31</v>
      </c>
      <c r="AZ7" s="153">
        <f>AZ8</f>
        <v>45315</v>
      </c>
      <c r="BA7" s="108">
        <f>G8</f>
        <v>-303499</v>
      </c>
      <c r="BB7" s="61"/>
      <c r="BD7" s="830" t="s">
        <v>84</v>
      </c>
      <c r="BE7" s="828" t="s">
        <v>85</v>
      </c>
      <c r="BF7" s="127" t="s">
        <v>86</v>
      </c>
      <c r="BG7" s="124" t="s">
        <v>88</v>
      </c>
      <c r="BH7" s="834" t="s">
        <v>9</v>
      </c>
      <c r="BI7" s="836" t="s">
        <v>89</v>
      </c>
      <c r="BJ7" s="832">
        <v>1</v>
      </c>
      <c r="BL7" s="729"/>
      <c r="BM7" s="730"/>
      <c r="BN7" s="730"/>
      <c r="BO7" s="730"/>
      <c r="BP7" s="729"/>
    </row>
    <row r="8" spans="1:68" ht="16.5" customHeight="1" thickBot="1" x14ac:dyDescent="0.65">
      <c r="A8" s="909" t="s">
        <v>421</v>
      </c>
      <c r="B8" s="911"/>
      <c r="C8" s="614" t="s">
        <v>35</v>
      </c>
      <c r="D8" s="615" t="s">
        <v>35</v>
      </c>
      <c r="E8" s="21"/>
      <c r="F8" s="22">
        <f>C9</f>
        <v>45315</v>
      </c>
      <c r="G8" s="23">
        <f>-C28</f>
        <v>-303499</v>
      </c>
      <c r="H8" s="24"/>
      <c r="I8" s="24"/>
      <c r="J8" s="24"/>
      <c r="K8" s="25"/>
      <c r="L8" s="25"/>
      <c r="M8" s="25"/>
      <c r="N8" s="25"/>
      <c r="O8" s="25"/>
      <c r="P8" s="25"/>
      <c r="Q8" s="56">
        <f>C28</f>
        <v>303499</v>
      </c>
      <c r="R8" s="25"/>
      <c r="S8" s="36"/>
      <c r="T8" s="15">
        <v>0.14899999999999999</v>
      </c>
      <c r="U8" s="15">
        <v>0.109</v>
      </c>
      <c r="V8" s="15">
        <v>4.4999999999999998E-2</v>
      </c>
      <c r="W8" s="15">
        <f t="shared" si="1"/>
        <v>0.129</v>
      </c>
      <c r="X8" s="15">
        <f t="shared" si="1"/>
        <v>0.129</v>
      </c>
      <c r="Y8" s="15">
        <v>8.8999999999999996E-2</v>
      </c>
      <c r="Z8" s="15"/>
      <c r="AA8" s="147">
        <f t="shared" si="2"/>
        <v>0.14899999999999999</v>
      </c>
      <c r="AB8" s="147">
        <f t="shared" si="0"/>
        <v>0.14899999999999999</v>
      </c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64"/>
      <c r="AN8" s="165">
        <f>C9</f>
        <v>45315</v>
      </c>
      <c r="AO8" s="23">
        <f>-D28</f>
        <v>-303499</v>
      </c>
      <c r="AP8" s="105"/>
      <c r="AQ8" s="106"/>
      <c r="AR8" s="106"/>
      <c r="AS8" s="106"/>
      <c r="AT8" s="106"/>
      <c r="AU8" s="106"/>
      <c r="AV8" s="106"/>
      <c r="AW8" s="107">
        <f>D28</f>
        <v>303499</v>
      </c>
      <c r="AX8" s="106"/>
      <c r="AY8" s="108"/>
      <c r="AZ8" s="22">
        <f t="shared" ref="AZ8:BA39" si="3">F8</f>
        <v>45315</v>
      </c>
      <c r="BA8" s="104">
        <f>$C$32</f>
        <v>0</v>
      </c>
      <c r="BC8" s="118" t="e">
        <f t="shared" ref="BC8:BC20" si="4">AW7+AR8+AP8</f>
        <v>#VALUE!</v>
      </c>
      <c r="BD8" s="831"/>
      <c r="BE8" s="829"/>
      <c r="BF8" s="691" t="s">
        <v>87</v>
      </c>
      <c r="BG8" s="126" t="s">
        <v>88</v>
      </c>
      <c r="BH8" s="835"/>
      <c r="BI8" s="837"/>
      <c r="BJ8" s="833"/>
      <c r="BL8" s="729"/>
      <c r="BM8" s="731"/>
      <c r="BN8" s="731"/>
      <c r="BO8" s="731"/>
      <c r="BP8" s="729"/>
    </row>
    <row r="9" spans="1:68" ht="16.5" customHeight="1" thickBot="1" x14ac:dyDescent="0.3">
      <c r="A9" s="909" t="s">
        <v>25</v>
      </c>
      <c r="B9" s="911"/>
      <c r="C9" s="616">
        <f>'Автомобильный (с залогом ТС)'!C9</f>
        <v>45315</v>
      </c>
      <c r="D9" s="617">
        <f>C9</f>
        <v>45315</v>
      </c>
      <c r="E9" s="114">
        <f>1</f>
        <v>1</v>
      </c>
      <c r="F9" s="111">
        <f>IF(DAY($AA$55)=29,DATE(YEAR($F$8),MONTH($F$8)+E9,26),IF(DAY($AA$55)=30,DATE(YEAR($F$8),MONTH($F$8)+E9,27),IF(DAY($AA$55)=31,DATE(YEAR($F$8),MONTH($F$8)+E9,28),DATE(YEAR($F$8),MONTH($F$8)+E9,DAY($F$8)))))</f>
        <v>45346</v>
      </c>
      <c r="G9" s="24">
        <f t="shared" ref="G9:G72" si="5">IF(AND(E9&gt;=$T$14,E9&lt;=$T$14+5),$T$15,IF(AND(Q8+L9+H9&gt;G8,G8&lt;&gt;0),$C$29,IF(Q8=0,0,Q8+L9+H9+H10)))+IF(AND(E9=$C$10,$C$22&lt;&gt;"Нет"),MIN((I9-I9/$C$19*$C$23),Q8+H9-G8),0)</f>
        <v>12601</v>
      </c>
      <c r="H9" s="24">
        <f t="shared" ref="H9:H72" si="6">IF(AND(E9&gt;=$T$14,E9&lt;=$T$14+5),0,IF($C$9&gt;$AC$52,ROUND(Q8*$C$19*((F9-DATE(YEAR(F9),MONTH(F9),1)+1)/(DATE(YEAR(F9)+1,1,1)-DATE(YEAR(F9),1,1))+(EOMONTH(F8,0)-F8)/(DATE(YEAR(F8)+1,1,1)-DATE(YEAR(F8),1,1))),2),0))</f>
        <v>7172.03</v>
      </c>
      <c r="I9" s="24">
        <f>H9</f>
        <v>7172.03</v>
      </c>
      <c r="J9" s="24"/>
      <c r="K9" s="24">
        <f t="shared" ref="K9:K72" si="7">IF(S9=0,0,IF(S9=1,Q8,IF(Q8+L9+H9&gt;G8,G9-H9-L9,Q8)))</f>
        <v>5428.97</v>
      </c>
      <c r="L9" s="24">
        <f>IF(N9&gt;$C$29,$C$29-H9,IF(S9=0,0,P9)+AF52)</f>
        <v>0</v>
      </c>
      <c r="M9" s="24">
        <f>O8-L8</f>
        <v>0</v>
      </c>
      <c r="N9" s="24">
        <f>H9+O9</f>
        <v>7172.03</v>
      </c>
      <c r="O9" s="24">
        <f>IF(S9=0,0,0)</f>
        <v>0</v>
      </c>
      <c r="P9" s="24">
        <f>IF(S9=0,0,0)</f>
        <v>0</v>
      </c>
      <c r="Q9" s="24">
        <f t="shared" ref="Q9:Q72" si="8">IF(OR(S9=1,Q8=0),0,Q8-K9)</f>
        <v>298070.03000000003</v>
      </c>
      <c r="R9" s="36">
        <f>C10</f>
        <v>36</v>
      </c>
      <c r="S9" s="36">
        <f>R9</f>
        <v>36</v>
      </c>
      <c r="T9" s="15">
        <v>0.159</v>
      </c>
      <c r="U9" s="15">
        <v>0.14899999999999999</v>
      </c>
      <c r="V9" s="15">
        <v>8.8999999999999996E-2</v>
      </c>
      <c r="W9" s="15">
        <f t="shared" si="1"/>
        <v>0.13900000000000001</v>
      </c>
      <c r="X9" s="15">
        <f t="shared" si="1"/>
        <v>0.13900000000000001</v>
      </c>
      <c r="Y9" s="15">
        <v>9.9000000000000005E-2</v>
      </c>
      <c r="Z9" s="132"/>
      <c r="AA9" s="147">
        <f t="shared" si="2"/>
        <v>0.159</v>
      </c>
      <c r="AB9" s="147">
        <f t="shared" si="0"/>
        <v>0.159</v>
      </c>
      <c r="AC9" s="15"/>
      <c r="AD9" s="15"/>
      <c r="AE9" s="15"/>
      <c r="AF9" s="15"/>
      <c r="AG9" s="15"/>
      <c r="AH9" s="15"/>
      <c r="AI9" s="15"/>
      <c r="AJ9" s="15"/>
      <c r="AK9" s="15"/>
      <c r="AL9" s="130">
        <f>IF(OR(AO9="",AO9=0),0,1)</f>
        <v>1</v>
      </c>
      <c r="AM9" s="109">
        <f>1</f>
        <v>1</v>
      </c>
      <c r="AN9" s="110">
        <f t="shared" ref="AN9:AN72" si="9">IF((OR(DAY($AA$55)=29,DAY($AA$55)=30,DAY($AA$55)=31)),(EDATE($C$9-3,AM9)),(IF((OR(DAY($AA$55)=1,DAY($AA$55)=2,DAY($AA$55)=3)),(EDATE($C$9,AM9)+3),EDATE($C$9,AM9))))</f>
        <v>45346</v>
      </c>
      <c r="AO9" s="105">
        <f>IF(AND(E9&gt;=$T$14,E9&lt;=$T$14+5),$T$15,IF(AND(AW8+AR9+AP9&gt;AO8,AO8&lt;&gt;0),$D$29,IF(AW8=0,0,AW8+AR9+AP9+AP10)))</f>
        <v>12601</v>
      </c>
      <c r="AP9" s="105">
        <f t="shared" ref="AP9:AP72" si="10">IF(AND(E9&gt;=$T$14,E9&lt;=$T$14+5),0,IF($C$9&gt;$AC$52,ROUND(AW8*$D$19*((AN9-DATE(YEAR(AN9),MONTH(AN9),1)+1)/(DATE(YEAR(AN9)+1,1,1)-DATE(YEAR(AN9),1,1))+(EOMONTH(AN8,0)-AN8)/(DATE(YEAR(AN8)+1,1,1)-DATE(YEAR(AN8),1,1))),2),0))</f>
        <v>7172.03</v>
      </c>
      <c r="AQ9" s="105">
        <f t="shared" ref="AQ9:AQ46" si="11">IF(AY9=0,0,IF(AY9=1,AW8,IF(AW8+AR9+AP9&gt;AO8,AO9-AP9-AR9,AW8)))</f>
        <v>5428.97</v>
      </c>
      <c r="AR9" s="105">
        <f>IF(AT9&gt;$D$29,$D$29-AP9,IF(AY9=0,0,AV9)+BN58)</f>
        <v>0</v>
      </c>
      <c r="AS9" s="105"/>
      <c r="AT9" s="105">
        <f>AP9+AU9</f>
        <v>7172.03</v>
      </c>
      <c r="AU9" s="105">
        <f>IF(AY9=0,0,0)</f>
        <v>0</v>
      </c>
      <c r="AV9" s="105">
        <f>IF(AY9=0,0,0)</f>
        <v>0</v>
      </c>
      <c r="AW9" s="105">
        <f t="shared" ref="AW9:AW46" si="12">IF(OR(AY9=1,AW8=0),0,AW8-AQ9)</f>
        <v>298070.03000000003</v>
      </c>
      <c r="AX9" s="108">
        <f>C10</f>
        <v>36</v>
      </c>
      <c r="AY9" s="108">
        <f t="shared" ref="AY9:AY72" si="13">IF(ISERR(CEILING(FLOOR(NPER($D$19/12,-$AC$56,AW8),0.1),1))=TRUE,0,CEILING(FLOOR(NPER($D$19/12,-$AC$56,AW8),0.1),1))</f>
        <v>36</v>
      </c>
      <c r="AZ9" s="22">
        <f t="shared" si="3"/>
        <v>45346</v>
      </c>
      <c r="BA9" s="108">
        <f t="shared" si="3"/>
        <v>12601</v>
      </c>
      <c r="BC9" s="118">
        <f t="shared" si="4"/>
        <v>310671.03000000003</v>
      </c>
      <c r="BL9" s="729"/>
      <c r="BM9" s="731"/>
      <c r="BN9" s="731"/>
      <c r="BO9" s="731"/>
      <c r="BP9" s="729"/>
    </row>
    <row r="10" spans="1:68" ht="16.5" customHeight="1" x14ac:dyDescent="0.25">
      <c r="A10" s="929" t="s">
        <v>1</v>
      </c>
      <c r="B10" s="930"/>
      <c r="C10" s="618">
        <f>'Автомобильный (с залогом ТС)'!C10</f>
        <v>36</v>
      </c>
      <c r="D10" s="619">
        <f>C10</f>
        <v>36</v>
      </c>
      <c r="E10" s="114">
        <f>E9+1</f>
        <v>2</v>
      </c>
      <c r="F10" s="111">
        <f t="shared" ref="F10:F73" si="14">IF(DAY($AA$55)=29,DATE(YEAR($F$8),MONTH($F$8)+E10,26),IF(DAY($AA$55)=30,DATE(YEAR($F$8),MONTH($F$8)+E10,27),IF(DAY($AA$55)=31,DATE(YEAR($F$8),MONTH($F$8)+E10,28),DATE(YEAR($F$8),MONTH($F$8)+E10,DAY($F$8)))))</f>
        <v>45375</v>
      </c>
      <c r="G10" s="24">
        <f t="shared" si="5"/>
        <v>12601</v>
      </c>
      <c r="H10" s="24">
        <f t="shared" si="6"/>
        <v>6589.3</v>
      </c>
      <c r="I10" s="24">
        <f>H10+I9</f>
        <v>13761.33</v>
      </c>
      <c r="J10" s="24">
        <f t="shared" ref="J10:J67" si="15">IF(E10=$C$10,MIN((I10-I10/$C$19*$C$23),Q9+H10-G9),0)</f>
        <v>0</v>
      </c>
      <c r="K10" s="24">
        <f t="shared" si="7"/>
        <v>6011.7</v>
      </c>
      <c r="L10" s="24">
        <f t="shared" ref="L10:L73" si="16">IF(N10&gt;$C$29,$C$29-H10,IF(S10=0,0,O10))</f>
        <v>0</v>
      </c>
      <c r="M10" s="24">
        <f>O9-L9</f>
        <v>0</v>
      </c>
      <c r="N10" s="24">
        <f t="shared" ref="N10:N86" si="17">H10+O10</f>
        <v>6589.3</v>
      </c>
      <c r="O10" s="24">
        <f t="shared" ref="O10:O73" si="18">IF(S10=0,0,0)</f>
        <v>0</v>
      </c>
      <c r="P10" s="24">
        <f t="shared" ref="P10:P73" si="19">IF(S10=0,0,0)</f>
        <v>0</v>
      </c>
      <c r="Q10" s="24">
        <f t="shared" si="8"/>
        <v>292058.33</v>
      </c>
      <c r="R10" s="36">
        <f>IF((R9-1)&lt;0,0,R9-1)</f>
        <v>35</v>
      </c>
      <c r="S10" s="36">
        <f t="shared" ref="S10:S73" si="20">R10</f>
        <v>35</v>
      </c>
      <c r="T10" s="15">
        <v>0.19900000000000001</v>
      </c>
      <c r="U10" s="15">
        <v>0.14899999999999999</v>
      </c>
      <c r="V10" s="15">
        <v>8.8999999999999996E-2</v>
      </c>
      <c r="W10" s="15">
        <f t="shared" si="1"/>
        <v>0.17900000000000002</v>
      </c>
      <c r="X10" s="15">
        <f t="shared" si="1"/>
        <v>0.17900000000000002</v>
      </c>
      <c r="Y10" s="15"/>
      <c r="Z10" s="15"/>
      <c r="AA10" s="147">
        <f t="shared" si="2"/>
        <v>0.19900000000000001</v>
      </c>
      <c r="AB10" s="147">
        <f t="shared" si="0"/>
        <v>0.19900000000000001</v>
      </c>
      <c r="AC10" s="15"/>
      <c r="AD10" s="15"/>
      <c r="AE10" s="15"/>
      <c r="AF10" s="15"/>
      <c r="AG10" s="15"/>
      <c r="AH10" s="15"/>
      <c r="AI10" s="15"/>
      <c r="AJ10" s="15"/>
      <c r="AK10" s="15"/>
      <c r="AL10" s="130">
        <f t="shared" ref="AL10:AL74" si="21">IF(OR(AO10="",AO10=0),0,1)</f>
        <v>1</v>
      </c>
      <c r="AM10" s="109">
        <f>AM9+1</f>
        <v>2</v>
      </c>
      <c r="AN10" s="110">
        <f t="shared" si="9"/>
        <v>45375</v>
      </c>
      <c r="AO10" s="105">
        <f>IF(AND(E10&gt;=$T$14,E10&lt;=$T$14+5),$T$15,IF(AND(AW9+AR10+AP10&gt;AO9,AO9&lt;&gt;0),$D$29,IF(AW9=0,0,AW9+AR10+AP10+AP11)))</f>
        <v>12601</v>
      </c>
      <c r="AP10" s="105">
        <f t="shared" si="10"/>
        <v>6589.3</v>
      </c>
      <c r="AQ10" s="105">
        <f t="shared" si="11"/>
        <v>6011.7</v>
      </c>
      <c r="AR10" s="105">
        <f>IF(AT10&gt;$D$29,$D$29-AP10,IF(AY10=0,0,AV10)+BN59)</f>
        <v>0</v>
      </c>
      <c r="AS10" s="105">
        <f t="shared" ref="AS10:AS46" si="22">AU9-AR9</f>
        <v>0</v>
      </c>
      <c r="AT10" s="105">
        <f t="shared" ref="AT10:AT46" si="23">AP10+AU10</f>
        <v>6589.3</v>
      </c>
      <c r="AU10" s="105">
        <f t="shared" ref="AU10:AU46" si="24">IF(AY10=0,0,0)</f>
        <v>0</v>
      </c>
      <c r="AV10" s="105">
        <f t="shared" ref="AV10:AV46" si="25">IF(AY10=0,0,0)</f>
        <v>0</v>
      </c>
      <c r="AW10" s="105">
        <f t="shared" si="12"/>
        <v>292058.33</v>
      </c>
      <c r="AX10" s="108">
        <f>IF((AX9-1)&lt;0,0,AX9-1)</f>
        <v>35</v>
      </c>
      <c r="AY10" s="108">
        <f t="shared" si="13"/>
        <v>35</v>
      </c>
      <c r="AZ10" s="22">
        <f t="shared" si="3"/>
        <v>45375</v>
      </c>
      <c r="BA10" s="108">
        <f t="shared" si="3"/>
        <v>12601</v>
      </c>
      <c r="BC10" s="118">
        <f t="shared" si="4"/>
        <v>304659.33</v>
      </c>
      <c r="BD10" s="830" t="s">
        <v>90</v>
      </c>
      <c r="BE10" s="828" t="s">
        <v>85</v>
      </c>
      <c r="BF10" s="129" t="s">
        <v>84</v>
      </c>
      <c r="BL10" s="729"/>
      <c r="BM10" s="732"/>
      <c r="BN10" s="732"/>
      <c r="BO10" s="732"/>
      <c r="BP10" s="729"/>
    </row>
    <row r="11" spans="1:68" ht="16.5" customHeight="1" thickBot="1" x14ac:dyDescent="0.3">
      <c r="A11" s="935" t="s">
        <v>427</v>
      </c>
      <c r="B11" s="621" t="s">
        <v>102</v>
      </c>
      <c r="C11" s="622" t="str">
        <f>'Автомобильный (с залогом ТС)'!C14</f>
        <v>Да</v>
      </c>
      <c r="D11" s="619" t="str">
        <f>C11</f>
        <v>Да</v>
      </c>
      <c r="E11" s="114">
        <f>E10+1</f>
        <v>3</v>
      </c>
      <c r="F11" s="111">
        <f t="shared" si="14"/>
        <v>45406</v>
      </c>
      <c r="G11" s="24">
        <f t="shared" si="5"/>
        <v>12601</v>
      </c>
      <c r="H11" s="24">
        <f t="shared" si="6"/>
        <v>6901.67</v>
      </c>
      <c r="I11" s="24">
        <f t="shared" ref="I11:I74" si="26">H11+I10</f>
        <v>20663</v>
      </c>
      <c r="J11" s="24">
        <f t="shared" si="15"/>
        <v>0</v>
      </c>
      <c r="K11" s="24">
        <f t="shared" si="7"/>
        <v>5699.33</v>
      </c>
      <c r="L11" s="24">
        <f t="shared" si="16"/>
        <v>0</v>
      </c>
      <c r="M11" s="24">
        <f>O10-L10</f>
        <v>0</v>
      </c>
      <c r="N11" s="24">
        <f t="shared" si="17"/>
        <v>6901.67</v>
      </c>
      <c r="O11" s="24">
        <f t="shared" si="18"/>
        <v>0</v>
      </c>
      <c r="P11" s="24">
        <f t="shared" si="19"/>
        <v>0</v>
      </c>
      <c r="Q11" s="24">
        <f t="shared" si="8"/>
        <v>286359</v>
      </c>
      <c r="R11" s="36">
        <f>IF((R10-1)&lt;0,0,R10-1)</f>
        <v>34</v>
      </c>
      <c r="S11" s="36">
        <f t="shared" si="20"/>
        <v>34</v>
      </c>
      <c r="T11" s="15">
        <v>0.219</v>
      </c>
      <c r="U11" s="15">
        <v>0.19900000000000001</v>
      </c>
      <c r="V11" s="15">
        <v>0.13900000000000001</v>
      </c>
      <c r="W11" s="15">
        <f t="shared" si="1"/>
        <v>0.19900000000000001</v>
      </c>
      <c r="X11" s="15">
        <f t="shared" si="1"/>
        <v>0.19900000000000001</v>
      </c>
      <c r="Y11" s="15">
        <v>0.11899999999999999</v>
      </c>
      <c r="Z11" s="15"/>
      <c r="AA11" s="147">
        <f t="shared" si="2"/>
        <v>0.219</v>
      </c>
      <c r="AB11" s="147">
        <f t="shared" si="0"/>
        <v>0.219</v>
      </c>
      <c r="AC11" s="15"/>
      <c r="AD11" s="15"/>
      <c r="AE11" s="15"/>
      <c r="AF11" s="15"/>
      <c r="AG11" s="15"/>
      <c r="AH11" s="15"/>
      <c r="AI11" s="15"/>
      <c r="AJ11" s="3"/>
      <c r="AK11" s="3"/>
      <c r="AL11" s="130">
        <f t="shared" si="21"/>
        <v>1</v>
      </c>
      <c r="AM11" s="109">
        <f>AM10+1</f>
        <v>3</v>
      </c>
      <c r="AN11" s="110">
        <f t="shared" si="9"/>
        <v>45406</v>
      </c>
      <c r="AO11" s="105">
        <f>IF(AX10=1,AR11+AP11+AQ11,IF(AW10+AR11+AP11&gt;AO10,$D$29,IF(AW10=0,0,AW10+AR11+AP11+AP42)))</f>
        <v>12601</v>
      </c>
      <c r="AP11" s="105">
        <f t="shared" si="10"/>
        <v>6901.67</v>
      </c>
      <c r="AQ11" s="105">
        <f t="shared" si="11"/>
        <v>5699.33</v>
      </c>
      <c r="AR11" s="105">
        <f t="shared" ref="AR11:AR19" si="27">IF(AT11&gt;$D$29,$D$29-AP11,IF(AY11=0,0,AV11)+BN60)</f>
        <v>0</v>
      </c>
      <c r="AS11" s="105">
        <f t="shared" si="22"/>
        <v>0</v>
      </c>
      <c r="AT11" s="105">
        <f t="shared" si="23"/>
        <v>6901.67</v>
      </c>
      <c r="AU11" s="105">
        <f t="shared" si="24"/>
        <v>0</v>
      </c>
      <c r="AV11" s="105">
        <f t="shared" si="25"/>
        <v>0</v>
      </c>
      <c r="AW11" s="105">
        <f t="shared" si="12"/>
        <v>286359</v>
      </c>
      <c r="AX11" s="108">
        <f>IF((AX10-1)&lt;0,0,AX10-1)</f>
        <v>34</v>
      </c>
      <c r="AY11" s="108">
        <f t="shared" si="13"/>
        <v>34</v>
      </c>
      <c r="AZ11" s="22">
        <f t="shared" si="3"/>
        <v>45406</v>
      </c>
      <c r="BA11" s="108">
        <f t="shared" si="3"/>
        <v>12601</v>
      </c>
      <c r="BC11" s="118">
        <f t="shared" si="4"/>
        <v>298960</v>
      </c>
      <c r="BD11" s="831"/>
      <c r="BE11" s="829"/>
      <c r="BF11" s="690" t="s">
        <v>91</v>
      </c>
      <c r="BL11" s="729"/>
      <c r="BM11" s="942"/>
      <c r="BN11" s="942"/>
      <c r="BO11" s="942"/>
      <c r="BP11" s="729"/>
    </row>
    <row r="12" spans="1:68" ht="16.5" customHeight="1" thickBot="1" x14ac:dyDescent="0.3">
      <c r="A12" s="936"/>
      <c r="B12" s="621" t="s">
        <v>105</v>
      </c>
      <c r="C12" s="623">
        <f>IF(C11="нет",0,$T$41)</f>
        <v>3499</v>
      </c>
      <c r="D12" s="623">
        <f>IF(D11="нет",0,$T$41)</f>
        <v>3499</v>
      </c>
      <c r="E12" s="114">
        <f t="shared" ref="E12:E75" si="28">E11+1</f>
        <v>4</v>
      </c>
      <c r="F12" s="111">
        <f t="shared" si="14"/>
        <v>45436</v>
      </c>
      <c r="G12" s="24">
        <f t="shared" si="5"/>
        <v>12601</v>
      </c>
      <c r="H12" s="24">
        <f t="shared" si="6"/>
        <v>6548.7</v>
      </c>
      <c r="I12" s="24">
        <f t="shared" si="26"/>
        <v>27211.7</v>
      </c>
      <c r="J12" s="24">
        <f t="shared" si="15"/>
        <v>0</v>
      </c>
      <c r="K12" s="24">
        <f t="shared" si="7"/>
        <v>6052.3</v>
      </c>
      <c r="L12" s="24">
        <f t="shared" si="16"/>
        <v>0</v>
      </c>
      <c r="M12" s="24">
        <f t="shared" ref="M12:M86" si="29">O11-L11</f>
        <v>0</v>
      </c>
      <c r="N12" s="24">
        <f t="shared" si="17"/>
        <v>6548.7</v>
      </c>
      <c r="O12" s="24">
        <f t="shared" si="18"/>
        <v>0</v>
      </c>
      <c r="P12" s="24">
        <f t="shared" si="19"/>
        <v>0</v>
      </c>
      <c r="Q12" s="24">
        <f t="shared" si="8"/>
        <v>280306.7</v>
      </c>
      <c r="R12" s="36">
        <f t="shared" ref="R12:R75" si="30">IF((R11-1)&lt;0,0,R11-1)</f>
        <v>33</v>
      </c>
      <c r="S12" s="36">
        <f t="shared" si="20"/>
        <v>33</v>
      </c>
      <c r="T12" s="15">
        <v>0.27900000000000003</v>
      </c>
      <c r="U12" s="15">
        <v>0.22900000000000001</v>
      </c>
      <c r="V12" s="15">
        <v>0.16900000000000001</v>
      </c>
      <c r="W12" s="15">
        <v>0.29899999999999999</v>
      </c>
      <c r="X12" s="15">
        <v>0.29899999999999999</v>
      </c>
      <c r="Y12" s="15"/>
      <c r="Z12" s="15"/>
      <c r="AA12" s="147">
        <f>IF(OR($C$8="Гарантия стандарт",$C$8="Гарантия пакет"),Y12,T12)</f>
        <v>0.27900000000000003</v>
      </c>
      <c r="AB12" s="147">
        <f t="shared" si="0"/>
        <v>0.27900000000000003</v>
      </c>
      <c r="AC12" s="15"/>
      <c r="AD12" s="15"/>
      <c r="AE12" s="15"/>
      <c r="AF12" s="15"/>
      <c r="AG12" s="15"/>
      <c r="AH12" s="15"/>
      <c r="AI12" s="15"/>
      <c r="AK12" s="57"/>
      <c r="AL12" s="130">
        <f t="shared" si="21"/>
        <v>1</v>
      </c>
      <c r="AM12" s="109">
        <f t="shared" ref="AM12:AM75" si="31">AM11+1</f>
        <v>4</v>
      </c>
      <c r="AN12" s="110">
        <f t="shared" si="9"/>
        <v>45436</v>
      </c>
      <c r="AO12" s="105">
        <f>IF(AX11=1,AR12+AP12+AQ12,IF(AW11+AR12+AP12&gt;AO11,$D$29,IF(AW11=0,0,AW11+AR12+AP12+AP43)))</f>
        <v>12601</v>
      </c>
      <c r="AP12" s="105">
        <f t="shared" si="10"/>
        <v>6548.7</v>
      </c>
      <c r="AQ12" s="105">
        <f t="shared" si="11"/>
        <v>6052.3</v>
      </c>
      <c r="AR12" s="105">
        <f t="shared" si="27"/>
        <v>0</v>
      </c>
      <c r="AS12" s="105">
        <f t="shared" si="22"/>
        <v>0</v>
      </c>
      <c r="AT12" s="105">
        <f t="shared" si="23"/>
        <v>6548.7</v>
      </c>
      <c r="AU12" s="105">
        <f t="shared" si="24"/>
        <v>0</v>
      </c>
      <c r="AV12" s="105">
        <f t="shared" si="25"/>
        <v>0</v>
      </c>
      <c r="AW12" s="105">
        <f t="shared" si="12"/>
        <v>280306.7</v>
      </c>
      <c r="AX12" s="108">
        <f t="shared" ref="AX12:AX75" si="32">IF((AX11-1)&lt;0,0,AX11-1)</f>
        <v>33</v>
      </c>
      <c r="AY12" s="108">
        <f t="shared" si="13"/>
        <v>33</v>
      </c>
      <c r="AZ12" s="22">
        <f t="shared" si="3"/>
        <v>45436</v>
      </c>
      <c r="BA12" s="108">
        <f t="shared" si="3"/>
        <v>12601</v>
      </c>
      <c r="BC12" s="118">
        <f t="shared" si="4"/>
        <v>292907.7</v>
      </c>
      <c r="BL12" s="729"/>
      <c r="BM12" s="730"/>
      <c r="BN12" s="730"/>
      <c r="BO12" s="730"/>
      <c r="BP12" s="729"/>
    </row>
    <row r="13" spans="1:68" ht="16.5" customHeight="1" x14ac:dyDescent="0.25">
      <c r="A13" s="937" t="str">
        <f>IF($C$8="Нет","2. У вас не будет Льготного периода","2. Посмотрите, как изменится график при активации Льготного периода")</f>
        <v>2. У вас не будет Льготного периода</v>
      </c>
      <c r="B13" s="938"/>
      <c r="C13" s="938"/>
      <c r="D13" s="938"/>
      <c r="E13" s="114">
        <f>E12+1</f>
        <v>5</v>
      </c>
      <c r="F13" s="111">
        <f t="shared" si="14"/>
        <v>45467</v>
      </c>
      <c r="G13" s="24">
        <f t="shared" si="5"/>
        <v>12601</v>
      </c>
      <c r="H13" s="24">
        <f t="shared" si="6"/>
        <v>6623.97</v>
      </c>
      <c r="I13" s="24">
        <f t="shared" si="26"/>
        <v>33835.67</v>
      </c>
      <c r="J13" s="24">
        <f t="shared" si="15"/>
        <v>0</v>
      </c>
      <c r="K13" s="24">
        <f t="shared" si="7"/>
        <v>5977.03</v>
      </c>
      <c r="L13" s="24">
        <f t="shared" si="16"/>
        <v>0</v>
      </c>
      <c r="M13" s="24">
        <f t="shared" si="29"/>
        <v>0</v>
      </c>
      <c r="N13" s="24">
        <f t="shared" si="17"/>
        <v>6623.97</v>
      </c>
      <c r="O13" s="24">
        <f t="shared" si="18"/>
        <v>0</v>
      </c>
      <c r="P13" s="24">
        <f t="shared" si="19"/>
        <v>0</v>
      </c>
      <c r="Q13" s="24">
        <f t="shared" si="8"/>
        <v>274329.67</v>
      </c>
      <c r="R13" s="36">
        <f>IF((R12-1)&lt;0,0,R12-1)</f>
        <v>32</v>
      </c>
      <c r="S13" s="36">
        <f t="shared" si="20"/>
        <v>32</v>
      </c>
      <c r="T13" s="15"/>
      <c r="U13" s="15">
        <f>IF($C$17=29.9%,U12,IF($C$17=24.9%,U11,IF($C$17=19.9%,U10,U9)))</f>
        <v>0.14899999999999999</v>
      </c>
      <c r="V13" s="15">
        <f>IF($C$17=29.9%,V12,IF($C$17=24.9%,V11,IF($C$17=19.9%,V10,V9)))</f>
        <v>8.8999999999999996E-2</v>
      </c>
      <c r="W13" s="15"/>
      <c r="X13" s="15"/>
      <c r="Y13" s="15"/>
      <c r="Z13" s="15"/>
      <c r="AA13" s="62">
        <f>INDEX(AA4:AA12,MATCH(C17,$T$4:$T$12,0))</f>
        <v>0.27900000000000003</v>
      </c>
      <c r="AB13" s="62">
        <f>INDEX(AB4:AB12,MATCH(D17,$T$4:$T$12,0))</f>
        <v>0.27900000000000003</v>
      </c>
      <c r="AC13" s="15"/>
      <c r="AD13" s="15"/>
      <c r="AE13" s="15"/>
      <c r="AF13" s="15"/>
      <c r="AG13" s="15"/>
      <c r="AH13" s="15"/>
      <c r="AI13" s="15"/>
      <c r="AL13" s="130">
        <f t="shared" si="21"/>
        <v>1</v>
      </c>
      <c r="AM13" s="166">
        <f>AM12+1</f>
        <v>5</v>
      </c>
      <c r="AN13" s="167">
        <f t="shared" si="9"/>
        <v>45467</v>
      </c>
      <c r="AO13" s="105">
        <f>IF(AX12=1,AR13+AP13+AQ13,IF(AW12+AR13+AP13&gt;AO12,$D$29,IF(AW12=0,0,AW12+AR13+AP13+AP44)))</f>
        <v>12601</v>
      </c>
      <c r="AP13" s="105">
        <f t="shared" si="10"/>
        <v>6623.97</v>
      </c>
      <c r="AQ13" s="105">
        <f t="shared" si="11"/>
        <v>5977.03</v>
      </c>
      <c r="AR13" s="105">
        <f t="shared" si="27"/>
        <v>0</v>
      </c>
      <c r="AS13" s="105">
        <f t="shared" si="22"/>
        <v>0</v>
      </c>
      <c r="AT13" s="105">
        <f t="shared" si="23"/>
        <v>6623.97</v>
      </c>
      <c r="AU13" s="105">
        <f t="shared" si="24"/>
        <v>0</v>
      </c>
      <c r="AV13" s="105">
        <f t="shared" si="25"/>
        <v>0</v>
      </c>
      <c r="AW13" s="105">
        <f t="shared" si="12"/>
        <v>274329.67</v>
      </c>
      <c r="AX13" s="108">
        <f>IF((AX12-1)&lt;0,0,AX12-1)</f>
        <v>32</v>
      </c>
      <c r="AY13" s="108">
        <f t="shared" si="13"/>
        <v>32</v>
      </c>
      <c r="AZ13" s="22">
        <f t="shared" si="3"/>
        <v>45467</v>
      </c>
      <c r="BA13" s="108">
        <f t="shared" si="3"/>
        <v>12601</v>
      </c>
      <c r="BC13" s="118">
        <f t="shared" si="4"/>
        <v>286930.67</v>
      </c>
      <c r="BD13" s="830" t="s">
        <v>92</v>
      </c>
      <c r="BE13" s="828" t="s">
        <v>85</v>
      </c>
      <c r="BF13" s="129" t="s">
        <v>90</v>
      </c>
      <c r="BL13" s="729"/>
      <c r="BM13" s="731"/>
      <c r="BN13" s="731"/>
      <c r="BO13" s="731"/>
      <c r="BP13" s="729"/>
    </row>
    <row r="14" spans="1:68" ht="19.5" customHeight="1" thickBot="1" x14ac:dyDescent="0.3">
      <c r="A14" s="624"/>
      <c r="B14" s="624"/>
      <c r="C14" s="614" t="s">
        <v>430</v>
      </c>
      <c r="D14" s="614"/>
      <c r="E14" s="114">
        <f>E13+1</f>
        <v>6</v>
      </c>
      <c r="F14" s="111">
        <f t="shared" si="14"/>
        <v>45497</v>
      </c>
      <c r="G14" s="24">
        <f t="shared" si="5"/>
        <v>12601</v>
      </c>
      <c r="H14" s="24">
        <f t="shared" si="6"/>
        <v>6273.6</v>
      </c>
      <c r="I14" s="24">
        <f t="shared" si="26"/>
        <v>40109.269999999997</v>
      </c>
      <c r="J14" s="24">
        <f t="shared" si="15"/>
        <v>0</v>
      </c>
      <c r="K14" s="24">
        <f t="shared" si="7"/>
        <v>6327.4</v>
      </c>
      <c r="L14" s="24">
        <f t="shared" si="16"/>
        <v>0</v>
      </c>
      <c r="M14" s="24">
        <f>O13-L13</f>
        <v>0</v>
      </c>
      <c r="N14" s="24">
        <f t="shared" si="17"/>
        <v>6273.6</v>
      </c>
      <c r="O14" s="24">
        <f t="shared" si="18"/>
        <v>0</v>
      </c>
      <c r="P14" s="24">
        <f t="shared" si="19"/>
        <v>0</v>
      </c>
      <c r="Q14" s="24">
        <f t="shared" si="8"/>
        <v>268002.26999999996</v>
      </c>
      <c r="R14" s="36">
        <f>IF((R13-1)&lt;0,0,R13-1)</f>
        <v>31</v>
      </c>
      <c r="S14" s="36">
        <f t="shared" si="20"/>
        <v>31</v>
      </c>
      <c r="T14" s="130">
        <f>IF(OR($C$8="Нет",$D$14&lt;1),100000,D14)</f>
        <v>100000</v>
      </c>
      <c r="U14" s="15"/>
      <c r="V14" s="15"/>
      <c r="W14" s="15"/>
      <c r="X14" s="15"/>
      <c r="Y14" s="15"/>
      <c r="Z14" s="15"/>
      <c r="AA14" s="15">
        <f>IF(OR(C$8="Гарантия стандарт",C$8="Гарантия пакет"),AA13,C19)</f>
        <v>0.27900000000000003</v>
      </c>
      <c r="AB14" s="15">
        <f>D19</f>
        <v>0.27900000000000003</v>
      </c>
      <c r="AC14" s="15"/>
      <c r="AD14" s="15"/>
      <c r="AE14" s="15"/>
      <c r="AF14" s="15"/>
      <c r="AG14" s="15"/>
      <c r="AH14" s="15"/>
      <c r="AI14" s="15"/>
      <c r="AK14" s="57"/>
      <c r="AL14" s="130">
        <f t="shared" si="21"/>
        <v>1</v>
      </c>
      <c r="AM14" s="109">
        <f>AM13+1</f>
        <v>6</v>
      </c>
      <c r="AN14" s="110">
        <f t="shared" si="9"/>
        <v>45497</v>
      </c>
      <c r="AO14" s="105">
        <f>IF(AX13=1,AR14+AP14+AQ14,IF(AW13+AR14+AP14&gt;AO13,$D$29,IF(AW13=0,0,AW13+AR14+AP14+AP45)))</f>
        <v>12601</v>
      </c>
      <c r="AP14" s="105">
        <f t="shared" si="10"/>
        <v>6273.6</v>
      </c>
      <c r="AQ14" s="105">
        <f t="shared" si="11"/>
        <v>6327.4</v>
      </c>
      <c r="AR14" s="105">
        <f t="shared" si="27"/>
        <v>0</v>
      </c>
      <c r="AS14" s="105">
        <f t="shared" si="22"/>
        <v>0</v>
      </c>
      <c r="AT14" s="105">
        <f t="shared" si="23"/>
        <v>6273.6</v>
      </c>
      <c r="AU14" s="105">
        <f t="shared" si="24"/>
        <v>0</v>
      </c>
      <c r="AV14" s="105">
        <f t="shared" si="25"/>
        <v>0</v>
      </c>
      <c r="AW14" s="105">
        <f t="shared" si="12"/>
        <v>268002.26999999996</v>
      </c>
      <c r="AX14" s="108">
        <f>IF((AX13-1)&lt;0,0,AX13-1)</f>
        <v>31</v>
      </c>
      <c r="AY14" s="108">
        <f t="shared" si="13"/>
        <v>31</v>
      </c>
      <c r="AZ14" s="22">
        <f t="shared" si="3"/>
        <v>45497</v>
      </c>
      <c r="BA14" s="108">
        <f t="shared" si="3"/>
        <v>12601</v>
      </c>
      <c r="BC14" s="118">
        <f t="shared" si="4"/>
        <v>280603.26999999996</v>
      </c>
      <c r="BD14" s="831"/>
      <c r="BE14" s="829"/>
      <c r="BF14" s="690" t="s">
        <v>93</v>
      </c>
      <c r="BL14" s="729"/>
      <c r="BM14" s="731"/>
      <c r="BN14" s="731"/>
      <c r="BO14" s="731"/>
      <c r="BP14" s="729"/>
    </row>
    <row r="15" spans="1:68" ht="33" customHeight="1" thickBot="1" x14ac:dyDescent="0.3">
      <c r="A15" s="937" t="str">
        <f>IF(AND($C$8=$D$8,$C$22=$D$22),"3. Рассчитайте выгоду от перехода на иной тарифный план в течение срока действия кредитного договора","3. Проведите прямое сравнение 2 (двух) вариантов получения кредита")</f>
        <v>3. Рассчитайте выгоду от перехода на иной тарифный план в течение срока действия кредитного договора</v>
      </c>
      <c r="B15" s="938"/>
      <c r="C15" s="939"/>
      <c r="D15" s="939"/>
      <c r="E15" s="114">
        <f t="shared" si="28"/>
        <v>7</v>
      </c>
      <c r="F15" s="111">
        <f t="shared" si="14"/>
        <v>45528</v>
      </c>
      <c r="G15" s="24">
        <f t="shared" si="5"/>
        <v>12601</v>
      </c>
      <c r="H15" s="24">
        <f t="shared" si="6"/>
        <v>6333.2</v>
      </c>
      <c r="I15" s="24">
        <f t="shared" si="26"/>
        <v>46442.469999999994</v>
      </c>
      <c r="J15" s="24">
        <f t="shared" si="15"/>
        <v>0</v>
      </c>
      <c r="K15" s="24">
        <f t="shared" si="7"/>
        <v>6267.8</v>
      </c>
      <c r="L15" s="24">
        <f t="shared" si="16"/>
        <v>0</v>
      </c>
      <c r="M15" s="24">
        <f t="shared" si="29"/>
        <v>0</v>
      </c>
      <c r="N15" s="24">
        <f t="shared" si="17"/>
        <v>6333.2</v>
      </c>
      <c r="O15" s="24">
        <f t="shared" si="18"/>
        <v>0</v>
      </c>
      <c r="P15" s="24">
        <f t="shared" si="19"/>
        <v>0</v>
      </c>
      <c r="Q15" s="24">
        <f t="shared" si="8"/>
        <v>261734.46999999997</v>
      </c>
      <c r="R15" s="36">
        <f t="shared" si="30"/>
        <v>30</v>
      </c>
      <c r="S15" s="36">
        <f t="shared" si="20"/>
        <v>30</v>
      </c>
      <c r="T15" s="54">
        <f>ROUND(Q8*0.5%,-2)</f>
        <v>1500</v>
      </c>
      <c r="U15" s="54">
        <f>ROUND(Q8*0.5%,0)</f>
        <v>1517</v>
      </c>
      <c r="V15" s="15"/>
      <c r="W15" s="585">
        <v>219120</v>
      </c>
      <c r="X15" s="15"/>
      <c r="Y15" s="15"/>
      <c r="Z15" s="15"/>
      <c r="AA15" s="15" t="str">
        <f>IF(OR(C8="Гарантия стандарт",C8="Гарантия плюс",C8="Гарантия пакет"),AA13,"")</f>
        <v/>
      </c>
      <c r="AB15" s="15" t="str">
        <f>IF(OR(D8="Гарантия стандарт",D8="Гарантия плюс",D8="Гарантия пакет"),AB13,"")</f>
        <v/>
      </c>
      <c r="AC15" s="15"/>
      <c r="AD15" s="15"/>
      <c r="AE15" s="15"/>
      <c r="AF15" s="15"/>
      <c r="AG15" s="15"/>
      <c r="AH15" s="15"/>
      <c r="AI15" s="15"/>
      <c r="AL15" s="130">
        <f t="shared" si="21"/>
        <v>1</v>
      </c>
      <c r="AM15" s="109">
        <f t="shared" si="31"/>
        <v>7</v>
      </c>
      <c r="AN15" s="110">
        <f t="shared" si="9"/>
        <v>45528</v>
      </c>
      <c r="AO15" s="105">
        <f>IF(AX14=1,AR15+AP15+AQ15,IF(AW14+AR15+AP15&gt;AO14,$D$29,IF(AW14=0,0,AW14+AR15+AP15+AP46)))</f>
        <v>12601</v>
      </c>
      <c r="AP15" s="105">
        <f t="shared" si="10"/>
        <v>6333.2</v>
      </c>
      <c r="AQ15" s="105">
        <f t="shared" si="11"/>
        <v>6267.8</v>
      </c>
      <c r="AR15" s="105">
        <f t="shared" si="27"/>
        <v>0</v>
      </c>
      <c r="AS15" s="105">
        <f t="shared" si="22"/>
        <v>0</v>
      </c>
      <c r="AT15" s="105">
        <f t="shared" si="23"/>
        <v>6333.2</v>
      </c>
      <c r="AU15" s="105">
        <f t="shared" si="24"/>
        <v>0</v>
      </c>
      <c r="AV15" s="105">
        <f t="shared" si="25"/>
        <v>0</v>
      </c>
      <c r="AW15" s="105">
        <f t="shared" si="12"/>
        <v>261734.46999999997</v>
      </c>
      <c r="AX15" s="108">
        <f t="shared" si="32"/>
        <v>30</v>
      </c>
      <c r="AY15" s="108">
        <f t="shared" si="13"/>
        <v>30</v>
      </c>
      <c r="AZ15" s="22">
        <f t="shared" si="3"/>
        <v>45528</v>
      </c>
      <c r="BA15" s="108">
        <f t="shared" si="3"/>
        <v>12601</v>
      </c>
      <c r="BC15" s="118">
        <f t="shared" si="4"/>
        <v>274335.46999999997</v>
      </c>
      <c r="BM15" s="620"/>
      <c r="BN15" s="620"/>
      <c r="BO15" s="620"/>
    </row>
    <row r="16" spans="1:68" ht="16.5" customHeight="1" thickBot="1" x14ac:dyDescent="0.3">
      <c r="A16" s="625"/>
      <c r="B16" s="626"/>
      <c r="C16" s="627" t="s">
        <v>81</v>
      </c>
      <c r="D16" s="628"/>
      <c r="E16" s="114">
        <f t="shared" si="28"/>
        <v>8</v>
      </c>
      <c r="F16" s="111">
        <f t="shared" si="14"/>
        <v>45559</v>
      </c>
      <c r="G16" s="24">
        <f t="shared" si="5"/>
        <v>12601</v>
      </c>
      <c r="H16" s="24">
        <f t="shared" si="6"/>
        <v>6185.09</v>
      </c>
      <c r="I16" s="24">
        <f t="shared" si="26"/>
        <v>52627.56</v>
      </c>
      <c r="J16" s="24">
        <f t="shared" si="15"/>
        <v>0</v>
      </c>
      <c r="K16" s="24">
        <f t="shared" si="7"/>
        <v>6415.91</v>
      </c>
      <c r="L16" s="24">
        <f t="shared" si="16"/>
        <v>0</v>
      </c>
      <c r="M16" s="24">
        <f t="shared" si="29"/>
        <v>0</v>
      </c>
      <c r="N16" s="24">
        <f t="shared" si="17"/>
        <v>6185.09</v>
      </c>
      <c r="O16" s="24">
        <f t="shared" si="18"/>
        <v>0</v>
      </c>
      <c r="P16" s="24">
        <f t="shared" si="19"/>
        <v>0</v>
      </c>
      <c r="Q16" s="24">
        <f t="shared" si="8"/>
        <v>255318.55999999997</v>
      </c>
      <c r="R16" s="36">
        <f t="shared" si="30"/>
        <v>29</v>
      </c>
      <c r="S16" s="36">
        <f t="shared" si="20"/>
        <v>29</v>
      </c>
      <c r="T16" s="15">
        <v>0.04</v>
      </c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L16" s="130">
        <f t="shared" si="21"/>
        <v>1</v>
      </c>
      <c r="AM16" s="109">
        <f t="shared" si="31"/>
        <v>8</v>
      </c>
      <c r="AN16" s="110">
        <f t="shared" si="9"/>
        <v>45559</v>
      </c>
      <c r="AO16" s="105">
        <f t="shared" ref="AO16:AO36" si="33">IF(AX15=1,AR16+AP16+AQ16,IF(AW15+AR16+AP16&gt;AO15,$D$29,IF(AW15=0,0,AW15+AR16+AP16+AP48)))</f>
        <v>12601</v>
      </c>
      <c r="AP16" s="105">
        <f t="shared" si="10"/>
        <v>6185.09</v>
      </c>
      <c r="AQ16" s="105">
        <f t="shared" si="11"/>
        <v>6415.91</v>
      </c>
      <c r="AR16" s="105">
        <f t="shared" si="27"/>
        <v>0</v>
      </c>
      <c r="AS16" s="105">
        <f t="shared" si="22"/>
        <v>0</v>
      </c>
      <c r="AT16" s="105">
        <f t="shared" si="23"/>
        <v>6185.09</v>
      </c>
      <c r="AU16" s="105">
        <f t="shared" si="24"/>
        <v>0</v>
      </c>
      <c r="AV16" s="105">
        <f t="shared" si="25"/>
        <v>0</v>
      </c>
      <c r="AW16" s="105">
        <f t="shared" si="12"/>
        <v>255318.55999999997</v>
      </c>
      <c r="AX16" s="108">
        <f t="shared" si="32"/>
        <v>29</v>
      </c>
      <c r="AY16" s="108">
        <f t="shared" si="13"/>
        <v>29</v>
      </c>
      <c r="AZ16" s="22">
        <f t="shared" si="3"/>
        <v>45559</v>
      </c>
      <c r="BA16" s="108">
        <f t="shared" si="3"/>
        <v>12601</v>
      </c>
      <c r="BC16" s="118">
        <f t="shared" si="4"/>
        <v>267919.56</v>
      </c>
      <c r="BD16" s="575" t="s">
        <v>368</v>
      </c>
      <c r="BE16" s="571" t="s">
        <v>369</v>
      </c>
      <c r="BF16" s="576" t="s">
        <v>370</v>
      </c>
      <c r="BM16" s="924" t="s">
        <v>480</v>
      </c>
      <c r="BN16" s="925"/>
      <c r="BO16" s="926"/>
    </row>
    <row r="17" spans="1:383" ht="16.5" customHeight="1" thickBot="1" x14ac:dyDescent="0.3">
      <c r="A17" s="920" t="s">
        <v>433</v>
      </c>
      <c r="B17" s="921"/>
      <c r="C17" s="629">
        <f>'Автомобильный (с залогом ТС)'!C11</f>
        <v>0.27900000000000003</v>
      </c>
      <c r="D17" s="630">
        <f>C17</f>
        <v>0.27900000000000003</v>
      </c>
      <c r="E17" s="114">
        <f t="shared" si="28"/>
        <v>9</v>
      </c>
      <c r="F17" s="111">
        <f t="shared" si="14"/>
        <v>45589</v>
      </c>
      <c r="G17" s="24">
        <f t="shared" si="5"/>
        <v>12601</v>
      </c>
      <c r="H17" s="24">
        <f t="shared" si="6"/>
        <v>5838.84</v>
      </c>
      <c r="I17" s="24">
        <f t="shared" si="26"/>
        <v>58466.399999999994</v>
      </c>
      <c r="J17" s="24">
        <f t="shared" si="15"/>
        <v>0</v>
      </c>
      <c r="K17" s="24">
        <f t="shared" si="7"/>
        <v>6762.16</v>
      </c>
      <c r="L17" s="24">
        <f t="shared" si="16"/>
        <v>0</v>
      </c>
      <c r="M17" s="24">
        <f t="shared" si="29"/>
        <v>0</v>
      </c>
      <c r="N17" s="24">
        <f t="shared" si="17"/>
        <v>5838.84</v>
      </c>
      <c r="O17" s="24">
        <f t="shared" si="18"/>
        <v>0</v>
      </c>
      <c r="P17" s="24">
        <f t="shared" si="19"/>
        <v>0</v>
      </c>
      <c r="Q17" s="24">
        <f t="shared" si="8"/>
        <v>248556.39999999997</v>
      </c>
      <c r="R17" s="36">
        <f t="shared" si="30"/>
        <v>28</v>
      </c>
      <c r="S17" s="36">
        <f t="shared" si="20"/>
        <v>28</v>
      </c>
      <c r="T17" s="64">
        <f>Z81/100</f>
        <v>7.0000000000000007E-2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L17" s="130">
        <f t="shared" si="21"/>
        <v>1</v>
      </c>
      <c r="AM17" s="109">
        <f t="shared" si="31"/>
        <v>9</v>
      </c>
      <c r="AN17" s="110">
        <f t="shared" si="9"/>
        <v>45589</v>
      </c>
      <c r="AO17" s="105">
        <f t="shared" si="33"/>
        <v>12601</v>
      </c>
      <c r="AP17" s="105">
        <f t="shared" si="10"/>
        <v>5838.84</v>
      </c>
      <c r="AQ17" s="105">
        <f t="shared" si="11"/>
        <v>6762.16</v>
      </c>
      <c r="AR17" s="105">
        <f t="shared" si="27"/>
        <v>0</v>
      </c>
      <c r="AS17" s="105">
        <f t="shared" si="22"/>
        <v>0</v>
      </c>
      <c r="AT17" s="105">
        <f t="shared" si="23"/>
        <v>5838.84</v>
      </c>
      <c r="AU17" s="105">
        <f t="shared" si="24"/>
        <v>0</v>
      </c>
      <c r="AV17" s="105">
        <f t="shared" si="25"/>
        <v>0</v>
      </c>
      <c r="AW17" s="105">
        <f t="shared" si="12"/>
        <v>248556.39999999997</v>
      </c>
      <c r="AX17" s="108">
        <f t="shared" si="32"/>
        <v>28</v>
      </c>
      <c r="AY17" s="108">
        <f t="shared" si="13"/>
        <v>28</v>
      </c>
      <c r="AZ17" s="22">
        <f t="shared" si="3"/>
        <v>45589</v>
      </c>
      <c r="BA17" s="108">
        <f t="shared" si="3"/>
        <v>12601</v>
      </c>
      <c r="BC17" s="118">
        <f t="shared" si="4"/>
        <v>261157.39999999997</v>
      </c>
      <c r="BD17" s="583" t="s">
        <v>434</v>
      </c>
      <c r="BE17" s="572" t="s">
        <v>371</v>
      </c>
      <c r="BF17" s="573">
        <v>1.2E-2</v>
      </c>
      <c r="BM17" s="685" t="s">
        <v>418</v>
      </c>
      <c r="BN17" s="686" t="s">
        <v>419</v>
      </c>
      <c r="BO17" s="686" t="s">
        <v>435</v>
      </c>
    </row>
    <row r="18" spans="1:383" ht="16.5" customHeight="1" thickBot="1" x14ac:dyDescent="0.3">
      <c r="A18" s="912" t="s">
        <v>436</v>
      </c>
      <c r="B18" s="913"/>
      <c r="C18" s="631" t="s">
        <v>33</v>
      </c>
      <c r="D18" s="632" t="str">
        <f>C18</f>
        <v>Базовый</v>
      </c>
      <c r="E18" s="114">
        <f t="shared" si="28"/>
        <v>10</v>
      </c>
      <c r="F18" s="111">
        <f t="shared" si="14"/>
        <v>45620</v>
      </c>
      <c r="G18" s="24">
        <f t="shared" si="5"/>
        <v>12601</v>
      </c>
      <c r="H18" s="24">
        <f t="shared" si="6"/>
        <v>5873.67</v>
      </c>
      <c r="I18" s="24">
        <f t="shared" si="26"/>
        <v>64340.069999999992</v>
      </c>
      <c r="J18" s="24">
        <f t="shared" si="15"/>
        <v>0</v>
      </c>
      <c r="K18" s="24">
        <f t="shared" si="7"/>
        <v>6727.33</v>
      </c>
      <c r="L18" s="24">
        <f t="shared" si="16"/>
        <v>0</v>
      </c>
      <c r="M18" s="24">
        <f t="shared" si="29"/>
        <v>0</v>
      </c>
      <c r="N18" s="24">
        <f t="shared" si="17"/>
        <v>5873.67</v>
      </c>
      <c r="O18" s="24">
        <f t="shared" si="18"/>
        <v>0</v>
      </c>
      <c r="P18" s="24">
        <f t="shared" si="19"/>
        <v>0</v>
      </c>
      <c r="Q18" s="24">
        <f t="shared" si="8"/>
        <v>241829.06999999998</v>
      </c>
      <c r="R18" s="36">
        <f t="shared" si="30"/>
        <v>27</v>
      </c>
      <c r="S18" s="36">
        <f t="shared" si="20"/>
        <v>27</v>
      </c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L18" s="130">
        <f t="shared" si="21"/>
        <v>1</v>
      </c>
      <c r="AM18" s="109">
        <f t="shared" si="31"/>
        <v>10</v>
      </c>
      <c r="AN18" s="110">
        <f t="shared" si="9"/>
        <v>45620</v>
      </c>
      <c r="AO18" s="105">
        <f t="shared" si="33"/>
        <v>12601</v>
      </c>
      <c r="AP18" s="105">
        <f t="shared" si="10"/>
        <v>5873.67</v>
      </c>
      <c r="AQ18" s="105">
        <f t="shared" si="11"/>
        <v>6727.33</v>
      </c>
      <c r="AR18" s="105">
        <f t="shared" si="27"/>
        <v>0</v>
      </c>
      <c r="AS18" s="105">
        <f t="shared" si="22"/>
        <v>0</v>
      </c>
      <c r="AT18" s="105">
        <f t="shared" si="23"/>
        <v>5873.67</v>
      </c>
      <c r="AU18" s="105">
        <f t="shared" si="24"/>
        <v>0</v>
      </c>
      <c r="AV18" s="105">
        <f t="shared" si="25"/>
        <v>0</v>
      </c>
      <c r="AW18" s="105">
        <f t="shared" si="12"/>
        <v>241829.06999999998</v>
      </c>
      <c r="AX18" s="108">
        <f t="shared" si="32"/>
        <v>27</v>
      </c>
      <c r="AY18" s="108">
        <f t="shared" si="13"/>
        <v>27</v>
      </c>
      <c r="AZ18" s="22">
        <f t="shared" si="3"/>
        <v>45620</v>
      </c>
      <c r="BA18" s="108">
        <f t="shared" si="3"/>
        <v>12601</v>
      </c>
      <c r="BC18" s="118">
        <f t="shared" si="4"/>
        <v>254430.06999999998</v>
      </c>
      <c r="BD18" s="574" t="s">
        <v>114</v>
      </c>
      <c r="BE18" s="572" t="s">
        <v>372</v>
      </c>
      <c r="BF18" s="573">
        <v>1.2E-2</v>
      </c>
      <c r="BM18" s="683" t="s">
        <v>360</v>
      </c>
      <c r="BN18" s="687" t="s">
        <v>429</v>
      </c>
      <c r="BO18" s="687" t="s">
        <v>431</v>
      </c>
    </row>
    <row r="19" spans="1:383" ht="12.75" customHeight="1" thickBot="1" x14ac:dyDescent="0.3">
      <c r="A19" s="914" t="s">
        <v>437</v>
      </c>
      <c r="B19" s="915"/>
      <c r="C19" s="630">
        <f>IF(OR(C8="Оптимум+",C8="Уверенность"),C17-6%,IF(C8="Оптимум",C17-4%,C17))</f>
        <v>0.27900000000000003</v>
      </c>
      <c r="D19" s="630">
        <f>IF(D8="Максимум",D17-6%,IF(D8="Оптимум",D17-4%,D17))</f>
        <v>0.27900000000000003</v>
      </c>
      <c r="E19" s="114">
        <f>E18+1</f>
        <v>11</v>
      </c>
      <c r="F19" s="111">
        <f t="shared" si="14"/>
        <v>45650</v>
      </c>
      <c r="G19" s="24">
        <f t="shared" si="5"/>
        <v>12601</v>
      </c>
      <c r="H19" s="24">
        <f t="shared" si="6"/>
        <v>5530.35</v>
      </c>
      <c r="I19" s="24">
        <f t="shared" si="26"/>
        <v>69870.42</v>
      </c>
      <c r="J19" s="24">
        <f t="shared" si="15"/>
        <v>0</v>
      </c>
      <c r="K19" s="24">
        <f t="shared" si="7"/>
        <v>7070.65</v>
      </c>
      <c r="L19" s="24">
        <f t="shared" si="16"/>
        <v>0</v>
      </c>
      <c r="M19" s="24">
        <f>O18-L18</f>
        <v>0</v>
      </c>
      <c r="N19" s="24">
        <f t="shared" si="17"/>
        <v>5530.35</v>
      </c>
      <c r="O19" s="24">
        <f t="shared" si="18"/>
        <v>0</v>
      </c>
      <c r="P19" s="24">
        <f t="shared" si="19"/>
        <v>0</v>
      </c>
      <c r="Q19" s="24">
        <f t="shared" si="8"/>
        <v>234758.41999999998</v>
      </c>
      <c r="R19" s="36">
        <f>IF((R18-1)&lt;0,0,R18-1)</f>
        <v>26</v>
      </c>
      <c r="S19" s="36">
        <f t="shared" si="20"/>
        <v>26</v>
      </c>
      <c r="T19" s="84">
        <v>9.9000000000000005E-2</v>
      </c>
      <c r="U19" s="84">
        <v>7.9000000000000001E-2</v>
      </c>
      <c r="V19" s="84">
        <v>7.9000000000000001E-2</v>
      </c>
      <c r="W19" s="84">
        <v>7.9000000000000001E-2</v>
      </c>
      <c r="X19" s="84">
        <v>7.9000000000000001E-2</v>
      </c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L19" s="130">
        <f t="shared" si="21"/>
        <v>1</v>
      </c>
      <c r="AM19" s="109">
        <f>AM18+1</f>
        <v>11</v>
      </c>
      <c r="AN19" s="110">
        <f t="shared" si="9"/>
        <v>45650</v>
      </c>
      <c r="AO19" s="105">
        <f t="shared" si="33"/>
        <v>12601</v>
      </c>
      <c r="AP19" s="105">
        <f t="shared" si="10"/>
        <v>5530.35</v>
      </c>
      <c r="AQ19" s="105">
        <f t="shared" si="11"/>
        <v>7070.65</v>
      </c>
      <c r="AR19" s="105">
        <f t="shared" si="27"/>
        <v>0</v>
      </c>
      <c r="AS19" s="105">
        <f t="shared" si="22"/>
        <v>0</v>
      </c>
      <c r="AT19" s="105">
        <f t="shared" si="23"/>
        <v>5530.35</v>
      </c>
      <c r="AU19" s="105">
        <f t="shared" si="24"/>
        <v>0</v>
      </c>
      <c r="AV19" s="105">
        <f t="shared" si="25"/>
        <v>0</v>
      </c>
      <c r="AW19" s="105">
        <f t="shared" si="12"/>
        <v>234758.41999999998</v>
      </c>
      <c r="AX19" s="108">
        <f t="shared" si="32"/>
        <v>26</v>
      </c>
      <c r="AY19" s="108">
        <f t="shared" si="13"/>
        <v>26</v>
      </c>
      <c r="AZ19" s="22">
        <f t="shared" si="3"/>
        <v>45650</v>
      </c>
      <c r="BA19" s="108">
        <f t="shared" si="3"/>
        <v>12601</v>
      </c>
      <c r="BC19" s="118">
        <f t="shared" si="4"/>
        <v>247359.41999999998</v>
      </c>
      <c r="BD19" s="574" t="s">
        <v>360</v>
      </c>
      <c r="BE19" s="572" t="s">
        <v>372</v>
      </c>
      <c r="BF19" s="573">
        <v>1.14E-2</v>
      </c>
      <c r="BM19" s="683" t="s">
        <v>424</v>
      </c>
      <c r="BN19" s="684" t="s">
        <v>425</v>
      </c>
      <c r="BO19" s="687" t="s">
        <v>479</v>
      </c>
    </row>
    <row r="20" spans="1:383" ht="21.75" customHeight="1" thickBot="1" x14ac:dyDescent="0.3">
      <c r="A20" s="916" t="s">
        <v>421</v>
      </c>
      <c r="B20" s="917"/>
      <c r="C20" s="630" t="str">
        <f>C8</f>
        <v>Нет</v>
      </c>
      <c r="D20" s="630" t="str">
        <f>D8</f>
        <v>Нет</v>
      </c>
      <c r="E20" s="114">
        <f>E19+1</f>
        <v>12</v>
      </c>
      <c r="F20" s="111">
        <f t="shared" si="14"/>
        <v>45681</v>
      </c>
      <c r="G20" s="24">
        <f t="shared" si="5"/>
        <v>12601</v>
      </c>
      <c r="H20" s="24">
        <f t="shared" si="6"/>
        <v>5559.38</v>
      </c>
      <c r="I20" s="24">
        <f t="shared" si="26"/>
        <v>75429.8</v>
      </c>
      <c r="J20" s="24">
        <f t="shared" si="15"/>
        <v>0</v>
      </c>
      <c r="K20" s="24">
        <f t="shared" si="7"/>
        <v>7041.62</v>
      </c>
      <c r="L20" s="24">
        <f t="shared" si="16"/>
        <v>0</v>
      </c>
      <c r="M20" s="24">
        <f>O19-L19</f>
        <v>0</v>
      </c>
      <c r="N20" s="24">
        <f t="shared" si="17"/>
        <v>5559.38</v>
      </c>
      <c r="O20" s="24">
        <f t="shared" si="18"/>
        <v>0</v>
      </c>
      <c r="P20" s="24">
        <f t="shared" si="19"/>
        <v>0</v>
      </c>
      <c r="Q20" s="24">
        <f t="shared" si="8"/>
        <v>227716.8</v>
      </c>
      <c r="R20" s="36">
        <f>IF((R19-1)&lt;0,0,R19-1)</f>
        <v>25</v>
      </c>
      <c r="S20" s="36">
        <f t="shared" si="20"/>
        <v>25</v>
      </c>
      <c r="T20" s="112">
        <v>0</v>
      </c>
      <c r="U20" s="112">
        <v>7.9000000000000001E-2</v>
      </c>
      <c r="V20" s="112">
        <v>7.9000000000000001E-2</v>
      </c>
      <c r="W20" s="112">
        <v>7.9000000000000001E-2</v>
      </c>
      <c r="X20" s="112">
        <v>7.9000000000000001E-2</v>
      </c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3"/>
      <c r="AK20" s="113"/>
      <c r="AL20" s="130">
        <f t="shared" si="21"/>
        <v>1</v>
      </c>
      <c r="AM20" s="166">
        <f>AM19+1</f>
        <v>12</v>
      </c>
      <c r="AN20" s="167">
        <f t="shared" si="9"/>
        <v>45681</v>
      </c>
      <c r="AO20" s="105">
        <f t="shared" si="33"/>
        <v>12601</v>
      </c>
      <c r="AP20" s="105">
        <f t="shared" si="10"/>
        <v>5559.38</v>
      </c>
      <c r="AQ20" s="105">
        <f t="shared" si="11"/>
        <v>7041.62</v>
      </c>
      <c r="AR20" s="105">
        <f>IF(AT20&gt;$D$29,$D$29-AP20,IF(AY20=0,0,AV20)+BN69)</f>
        <v>0</v>
      </c>
      <c r="AS20" s="105">
        <f t="shared" si="22"/>
        <v>0</v>
      </c>
      <c r="AT20" s="105">
        <f t="shared" si="23"/>
        <v>5559.38</v>
      </c>
      <c r="AU20" s="105">
        <f t="shared" si="24"/>
        <v>0</v>
      </c>
      <c r="AV20" s="105">
        <f t="shared" si="25"/>
        <v>0</v>
      </c>
      <c r="AW20" s="105">
        <f t="shared" si="12"/>
        <v>227716.8</v>
      </c>
      <c r="AX20" s="108">
        <f t="shared" si="32"/>
        <v>25</v>
      </c>
      <c r="AY20" s="108">
        <f t="shared" si="13"/>
        <v>25</v>
      </c>
      <c r="AZ20" s="22">
        <f t="shared" si="3"/>
        <v>45681</v>
      </c>
      <c r="BA20" s="108">
        <f t="shared" si="3"/>
        <v>12601</v>
      </c>
      <c r="BC20" s="118">
        <f t="shared" si="4"/>
        <v>240317.8</v>
      </c>
      <c r="BF20" s="62"/>
      <c r="BM20" s="620"/>
      <c r="BN20" s="620"/>
      <c r="BO20" s="620"/>
    </row>
    <row r="21" spans="1:383" ht="16.5" customHeight="1" thickBot="1" x14ac:dyDescent="0.3">
      <c r="A21" s="914" t="s">
        <v>438</v>
      </c>
      <c r="B21" s="918"/>
      <c r="C21" s="633" t="str">
        <f>IF($AA$15 &gt; 0,$AA$15,"Эта ставка с Гарантией не оформляется")</f>
        <v/>
      </c>
      <c r="D21" s="633" t="str">
        <f>IF(AB$15 &gt; 0,AB$15,"Эта ставка с Гарантией не оформляется")</f>
        <v/>
      </c>
      <c r="E21" s="114">
        <f t="shared" si="28"/>
        <v>13</v>
      </c>
      <c r="F21" s="111">
        <f t="shared" si="14"/>
        <v>45712</v>
      </c>
      <c r="G21" s="24">
        <f t="shared" si="5"/>
        <v>12601</v>
      </c>
      <c r="H21" s="24">
        <f t="shared" si="6"/>
        <v>5395.95</v>
      </c>
      <c r="I21" s="24">
        <f t="shared" si="26"/>
        <v>80825.75</v>
      </c>
      <c r="J21" s="24">
        <f t="shared" si="15"/>
        <v>0</v>
      </c>
      <c r="K21" s="24">
        <f t="shared" si="7"/>
        <v>7205.05</v>
      </c>
      <c r="L21" s="24">
        <f t="shared" si="16"/>
        <v>0</v>
      </c>
      <c r="M21" s="24">
        <f t="shared" si="29"/>
        <v>0</v>
      </c>
      <c r="N21" s="24">
        <f t="shared" si="17"/>
        <v>5395.95</v>
      </c>
      <c r="O21" s="24">
        <f t="shared" si="18"/>
        <v>0</v>
      </c>
      <c r="P21" s="24">
        <f t="shared" si="19"/>
        <v>0</v>
      </c>
      <c r="Q21" s="24">
        <f t="shared" si="8"/>
        <v>220511.75</v>
      </c>
      <c r="R21" s="36">
        <f t="shared" si="30"/>
        <v>24</v>
      </c>
      <c r="S21" s="36">
        <f t="shared" si="20"/>
        <v>24</v>
      </c>
      <c r="T21" s="101">
        <v>8.8999999999999996E-2</v>
      </c>
      <c r="U21" s="101">
        <v>8.8999999999999996E-2</v>
      </c>
      <c r="V21" s="101">
        <v>8.8999999999999996E-2</v>
      </c>
      <c r="W21" s="101">
        <v>8.8999999999999996E-2</v>
      </c>
      <c r="X21" s="101">
        <v>8.8999999999999996E-2</v>
      </c>
      <c r="Y21" s="84">
        <v>0.129</v>
      </c>
      <c r="Z21" s="84">
        <v>0.129</v>
      </c>
      <c r="AA21" s="84">
        <v>0.129</v>
      </c>
      <c r="AB21" s="84">
        <v>0.129</v>
      </c>
      <c r="AC21" s="84">
        <v>0.129</v>
      </c>
      <c r="AD21" s="84">
        <v>0.129</v>
      </c>
      <c r="AE21" s="84">
        <v>0.129</v>
      </c>
      <c r="AF21" s="84">
        <v>0.129</v>
      </c>
      <c r="AG21" s="84">
        <v>0.129</v>
      </c>
      <c r="AH21" s="84">
        <v>0.129</v>
      </c>
      <c r="AI21" s="84">
        <v>0.129</v>
      </c>
      <c r="AJ21" s="3"/>
      <c r="AK21" s="3"/>
      <c r="AL21" s="130">
        <f t="shared" si="21"/>
        <v>1</v>
      </c>
      <c r="AM21" s="109">
        <f t="shared" si="31"/>
        <v>13</v>
      </c>
      <c r="AN21" s="110">
        <f t="shared" si="9"/>
        <v>45712</v>
      </c>
      <c r="AO21" s="105">
        <f t="shared" si="33"/>
        <v>12601</v>
      </c>
      <c r="AP21" s="105">
        <f t="shared" si="10"/>
        <v>5395.95</v>
      </c>
      <c r="AQ21" s="105">
        <f t="shared" si="11"/>
        <v>7205.05</v>
      </c>
      <c r="AR21" s="105">
        <f>IF(AT21&gt;$D$29,$D$29-AP21,IF(AY21=0,0,AV21)+BN70)</f>
        <v>0</v>
      </c>
      <c r="AS21" s="105">
        <f t="shared" si="22"/>
        <v>0</v>
      </c>
      <c r="AT21" s="105">
        <f t="shared" si="23"/>
        <v>5395.95</v>
      </c>
      <c r="AU21" s="105">
        <f t="shared" si="24"/>
        <v>0</v>
      </c>
      <c r="AV21" s="105">
        <f t="shared" si="25"/>
        <v>0</v>
      </c>
      <c r="AW21" s="105">
        <f t="shared" si="12"/>
        <v>220511.75</v>
      </c>
      <c r="AX21" s="108">
        <f t="shared" si="32"/>
        <v>24</v>
      </c>
      <c r="AY21" s="108">
        <f t="shared" si="13"/>
        <v>24</v>
      </c>
      <c r="AZ21" s="22">
        <f t="shared" si="3"/>
        <v>45712</v>
      </c>
      <c r="BA21" s="108">
        <f t="shared" si="3"/>
        <v>12601</v>
      </c>
      <c r="BD21" s="2" t="s">
        <v>377</v>
      </c>
      <c r="BK21" s="116"/>
      <c r="BM21" s="924" t="s">
        <v>439</v>
      </c>
      <c r="BN21" s="925"/>
      <c r="BO21" s="926"/>
    </row>
    <row r="22" spans="1:383" ht="16.5" customHeight="1" thickBot="1" x14ac:dyDescent="0.3">
      <c r="A22" s="919" t="s">
        <v>76</v>
      </c>
      <c r="B22" s="634" t="s">
        <v>102</v>
      </c>
      <c r="C22" s="622" t="s">
        <v>35</v>
      </c>
      <c r="D22" s="635" t="s">
        <v>35</v>
      </c>
      <c r="E22" s="114">
        <f t="shared" si="28"/>
        <v>14</v>
      </c>
      <c r="F22" s="111">
        <f t="shared" si="14"/>
        <v>45740</v>
      </c>
      <c r="G22" s="24">
        <f t="shared" si="5"/>
        <v>12601</v>
      </c>
      <c r="H22" s="24">
        <f t="shared" si="6"/>
        <v>4719.5600000000004</v>
      </c>
      <c r="I22" s="24">
        <f t="shared" si="26"/>
        <v>85545.31</v>
      </c>
      <c r="J22" s="24">
        <f t="shared" si="15"/>
        <v>0</v>
      </c>
      <c r="K22" s="24">
        <f t="shared" si="7"/>
        <v>7881.44</v>
      </c>
      <c r="L22" s="24">
        <f t="shared" si="16"/>
        <v>0</v>
      </c>
      <c r="M22" s="24">
        <f t="shared" si="29"/>
        <v>0</v>
      </c>
      <c r="N22" s="24">
        <f t="shared" si="17"/>
        <v>4719.5600000000004</v>
      </c>
      <c r="O22" s="24">
        <f t="shared" si="18"/>
        <v>0</v>
      </c>
      <c r="P22" s="24">
        <f t="shared" si="19"/>
        <v>0</v>
      </c>
      <c r="Q22" s="24">
        <f t="shared" si="8"/>
        <v>212630.31</v>
      </c>
      <c r="R22" s="36">
        <f t="shared" si="30"/>
        <v>23</v>
      </c>
      <c r="S22" s="36">
        <f t="shared" si="20"/>
        <v>23</v>
      </c>
      <c r="T22" s="101">
        <f>IF(C17=T4,T23,IF(C17=T5,T23,IF(C17=T6,T24,IF(C17=T7,T24,IF(C17=T8,T25,IF(C17=T9,T26,IF(C17=T10,T26,IF(C17=T11,T26,IF(C17=T12,T27,IF(C17=T13,T26,IF(C17=T14,T27,IF(C17=T15,T27,IF(C17=T16,T27,IF(C17=T17,T27,T23))))))))))))))</f>
        <v>6.9000000000000006E-2</v>
      </c>
      <c r="U22" s="101" t="str">
        <f>IF($D$17=U4,U23,IF($D$17=U5,U23,IF($D$17=U6,U23,IF($D$17=U7,U23,IF($D$17=U8,U24,IF($D$17=U9,U24,IF($D$17=U10,U25,IF($D$17=U11,U26,IF($D$17=U12,U26,"")))))))))</f>
        <v/>
      </c>
      <c r="V22" s="101" t="str">
        <f>IF($D$17=V4,V23,IF($D$17=V5,V23,IF($D$17=V6,V23,IF($D$17=V7,V23,IF($D$17=V8,V24,IF($D$17=V9,V24,IF($D$17=V10,V25,IF($D$17=V11,V26,IF($D$17=V12,V26,"")))))))))</f>
        <v/>
      </c>
      <c r="W22" s="101" t="str">
        <f>IF($D$17=W4,W23,IF($D$17=W5,W23,IF($D$17=W6,W23,IF($D$17=W7,W23,IF($D$17=W8,W24,IF($D$17=W9,W24,IF($D$17=W10,W25,IF($D$17=W11,W26,IF($D$17=W12,W26,"")))))))))</f>
        <v/>
      </c>
      <c r="X22" s="101" t="str">
        <f>IF($D$17=X4,X23,IF($D$17=X5,X23,IF($D$17=X6,X23,IF($D$17=X7,X23,IF($D$17=X8,X24,IF($D$17=X9,X24,IF($D$17=X10,X25,IF($D$17=X11,X26,IF($D$17=X12,X26,"")))))))))</f>
        <v/>
      </c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L22" s="130">
        <f t="shared" si="21"/>
        <v>1</v>
      </c>
      <c r="AM22" s="109">
        <f t="shared" si="31"/>
        <v>14</v>
      </c>
      <c r="AN22" s="110">
        <f t="shared" si="9"/>
        <v>45740</v>
      </c>
      <c r="AO22" s="105">
        <f t="shared" si="33"/>
        <v>12601</v>
      </c>
      <c r="AP22" s="105">
        <f t="shared" si="10"/>
        <v>4719.5600000000004</v>
      </c>
      <c r="AQ22" s="105">
        <f t="shared" si="11"/>
        <v>7881.44</v>
      </c>
      <c r="AR22" s="105">
        <f t="shared" ref="AR22:AR85" si="34">IF(AT22&gt;$D$29,$D$29-AP22,IF(AY22=0,0,AV22)+BN71)</f>
        <v>0</v>
      </c>
      <c r="AS22" s="105">
        <f t="shared" si="22"/>
        <v>0</v>
      </c>
      <c r="AT22" s="105">
        <f t="shared" si="23"/>
        <v>4719.5600000000004</v>
      </c>
      <c r="AU22" s="105">
        <f t="shared" si="24"/>
        <v>0</v>
      </c>
      <c r="AV22" s="105">
        <f t="shared" si="25"/>
        <v>0</v>
      </c>
      <c r="AW22" s="105">
        <f t="shared" si="12"/>
        <v>212630.31</v>
      </c>
      <c r="AX22" s="108">
        <f t="shared" si="32"/>
        <v>23</v>
      </c>
      <c r="AY22" s="108">
        <f t="shared" si="13"/>
        <v>23</v>
      </c>
      <c r="AZ22" s="22">
        <f t="shared" si="3"/>
        <v>45740</v>
      </c>
      <c r="BA22" s="108">
        <f t="shared" si="3"/>
        <v>12601</v>
      </c>
      <c r="BD22" s="2" t="s">
        <v>434</v>
      </c>
      <c r="BE22" s="2">
        <f>IF(AND(C10&lt;=47,C17=20.9%),8,IF(C10&lt;=47,8,IF(C17=20.9%,12,12)))</f>
        <v>8</v>
      </c>
      <c r="BH22" s="2" t="s">
        <v>360</v>
      </c>
      <c r="BI22" s="2">
        <f>IF(AND(C10&lt;=47,C17=20.9%),7,IF(AND(C10&lt;=47,C17=16.9%),7,IF(C17=20.9%,10,10)))</f>
        <v>10</v>
      </c>
      <c r="BM22" s="685" t="s">
        <v>418</v>
      </c>
      <c r="BN22" s="686" t="s">
        <v>419</v>
      </c>
      <c r="BO22" s="686" t="s">
        <v>435</v>
      </c>
    </row>
    <row r="23" spans="1:383" ht="14.4" thickBot="1" x14ac:dyDescent="0.3">
      <c r="A23" s="919"/>
      <c r="B23" s="634" t="s">
        <v>440</v>
      </c>
      <c r="C23" s="636" t="str">
        <f>IF(C22="Нет",$X$60,C19-3%)</f>
        <v>Услуга не подключается</v>
      </c>
      <c r="D23" s="636" t="str">
        <f>IF(D22="Нет",$X$60,IF(D8="Максимум",$V$13,$U$13))</f>
        <v>Услуга не подключается</v>
      </c>
      <c r="E23" s="114">
        <f t="shared" si="28"/>
        <v>15</v>
      </c>
      <c r="F23" s="111">
        <f t="shared" si="14"/>
        <v>45771</v>
      </c>
      <c r="G23" s="24">
        <f t="shared" si="5"/>
        <v>12601</v>
      </c>
      <c r="H23" s="24">
        <f t="shared" si="6"/>
        <v>5038.46</v>
      </c>
      <c r="I23" s="24">
        <f t="shared" si="26"/>
        <v>90583.77</v>
      </c>
      <c r="J23" s="24">
        <f t="shared" si="15"/>
        <v>0</v>
      </c>
      <c r="K23" s="24">
        <f t="shared" si="7"/>
        <v>7562.54</v>
      </c>
      <c r="L23" s="24">
        <f t="shared" si="16"/>
        <v>0</v>
      </c>
      <c r="M23" s="24">
        <f t="shared" si="29"/>
        <v>0</v>
      </c>
      <c r="N23" s="24">
        <f t="shared" si="17"/>
        <v>5038.46</v>
      </c>
      <c r="O23" s="24">
        <f t="shared" si="18"/>
        <v>0</v>
      </c>
      <c r="P23" s="24">
        <f t="shared" si="19"/>
        <v>0</v>
      </c>
      <c r="Q23" s="24">
        <f t="shared" si="8"/>
        <v>205067.77</v>
      </c>
      <c r="R23" s="36">
        <f t="shared" si="30"/>
        <v>22</v>
      </c>
      <c r="S23" s="36">
        <f t="shared" si="20"/>
        <v>22</v>
      </c>
      <c r="T23" s="84">
        <v>8.9999999999999993E-3</v>
      </c>
      <c r="U23" s="84">
        <v>8.9999999999999993E-3</v>
      </c>
      <c r="V23" s="84">
        <v>8.9999999999999993E-3</v>
      </c>
      <c r="W23" s="84">
        <v>8.9999999999999993E-3</v>
      </c>
      <c r="X23" s="84">
        <v>8.9999999999999993E-3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L23" s="130">
        <f t="shared" si="21"/>
        <v>1</v>
      </c>
      <c r="AM23" s="109">
        <f t="shared" si="31"/>
        <v>15</v>
      </c>
      <c r="AN23" s="110">
        <f t="shared" si="9"/>
        <v>45771</v>
      </c>
      <c r="AO23" s="105">
        <f t="shared" si="33"/>
        <v>12601</v>
      </c>
      <c r="AP23" s="105">
        <f t="shared" si="10"/>
        <v>5038.46</v>
      </c>
      <c r="AQ23" s="105">
        <f t="shared" si="11"/>
        <v>7562.54</v>
      </c>
      <c r="AR23" s="105">
        <f t="shared" si="34"/>
        <v>0</v>
      </c>
      <c r="AS23" s="105">
        <f t="shared" si="22"/>
        <v>0</v>
      </c>
      <c r="AT23" s="105">
        <f t="shared" si="23"/>
        <v>5038.46</v>
      </c>
      <c r="AU23" s="105">
        <f t="shared" si="24"/>
        <v>0</v>
      </c>
      <c r="AV23" s="105">
        <f t="shared" si="25"/>
        <v>0</v>
      </c>
      <c r="AW23" s="105">
        <f t="shared" si="12"/>
        <v>205067.77</v>
      </c>
      <c r="AX23" s="108">
        <f t="shared" si="32"/>
        <v>22</v>
      </c>
      <c r="AY23" s="108">
        <f t="shared" si="13"/>
        <v>22</v>
      </c>
      <c r="AZ23" s="22">
        <f t="shared" si="3"/>
        <v>45771</v>
      </c>
      <c r="BA23" s="108">
        <f t="shared" si="3"/>
        <v>12601</v>
      </c>
      <c r="BD23" s="16" t="s">
        <v>373</v>
      </c>
      <c r="BE23" s="637">
        <f>(C7+C12+C25)/(1-BF17*BE22)</f>
        <v>335728.98230088496</v>
      </c>
      <c r="BF23" s="16"/>
      <c r="BG23" s="16"/>
      <c r="BH23" s="16" t="s">
        <v>373</v>
      </c>
      <c r="BI23" s="143">
        <f>(C7+C12)/(1-BF19*BI22)</f>
        <v>342549.66139954852</v>
      </c>
      <c r="BM23" s="683" t="s">
        <v>360</v>
      </c>
      <c r="BN23" s="687" t="s">
        <v>429</v>
      </c>
      <c r="BO23" s="687" t="s">
        <v>431</v>
      </c>
    </row>
    <row r="24" spans="1:383" ht="16.5" customHeight="1" thickBot="1" x14ac:dyDescent="0.3">
      <c r="A24" s="919"/>
      <c r="B24" s="634" t="s">
        <v>441</v>
      </c>
      <c r="C24" s="638">
        <v>0.04</v>
      </c>
      <c r="D24" s="638"/>
      <c r="E24" s="114">
        <f t="shared" si="28"/>
        <v>16</v>
      </c>
      <c r="F24" s="111">
        <f t="shared" si="14"/>
        <v>45801</v>
      </c>
      <c r="G24" s="24">
        <f t="shared" si="5"/>
        <v>12601</v>
      </c>
      <c r="H24" s="24">
        <f t="shared" si="6"/>
        <v>4702.51</v>
      </c>
      <c r="I24" s="24">
        <f t="shared" si="26"/>
        <v>95286.28</v>
      </c>
      <c r="J24" s="24">
        <f t="shared" si="15"/>
        <v>0</v>
      </c>
      <c r="K24" s="24">
        <f t="shared" si="7"/>
        <v>7898.49</v>
      </c>
      <c r="L24" s="24">
        <f t="shared" si="16"/>
        <v>0</v>
      </c>
      <c r="M24" s="24">
        <f t="shared" si="29"/>
        <v>0</v>
      </c>
      <c r="N24" s="24">
        <f t="shared" si="17"/>
        <v>4702.51</v>
      </c>
      <c r="O24" s="24">
        <f t="shared" si="18"/>
        <v>0</v>
      </c>
      <c r="P24" s="24">
        <f t="shared" si="19"/>
        <v>0</v>
      </c>
      <c r="Q24" s="24">
        <f t="shared" si="8"/>
        <v>197169.28</v>
      </c>
      <c r="R24" s="36">
        <f t="shared" si="30"/>
        <v>21</v>
      </c>
      <c r="S24" s="36">
        <f t="shared" si="20"/>
        <v>21</v>
      </c>
      <c r="T24" s="84">
        <v>1.9E-2</v>
      </c>
      <c r="U24" s="84">
        <v>1.9E-2</v>
      </c>
      <c r="V24" s="84">
        <v>1.9E-2</v>
      </c>
      <c r="W24" s="84">
        <v>1.9E-2</v>
      </c>
      <c r="X24" s="84">
        <v>1.9E-2</v>
      </c>
      <c r="Y24" s="15">
        <v>4.9000000000000002E-2</v>
      </c>
      <c r="Z24" s="15">
        <v>4.9000000000000002E-2</v>
      </c>
      <c r="AA24" s="15">
        <v>4.9000000000000002E-2</v>
      </c>
      <c r="AB24" s="15">
        <v>4.9000000000000002E-2</v>
      </c>
      <c r="AC24" s="80">
        <v>6.9000000000000006E-2</v>
      </c>
      <c r="AD24" s="80">
        <v>6.9000000000000006E-2</v>
      </c>
      <c r="AE24" s="80">
        <v>6.9000000000000006E-2</v>
      </c>
      <c r="AF24" s="80">
        <v>6.9000000000000006E-2</v>
      </c>
      <c r="AG24" s="80">
        <v>6.9000000000000006E-2</v>
      </c>
      <c r="AH24" s="80">
        <v>6.9000000000000006E-2</v>
      </c>
      <c r="AI24" s="80">
        <v>6.9000000000000006E-2</v>
      </c>
      <c r="AL24" s="130">
        <f t="shared" si="21"/>
        <v>1</v>
      </c>
      <c r="AM24" s="109">
        <f t="shared" si="31"/>
        <v>16</v>
      </c>
      <c r="AN24" s="110">
        <f t="shared" si="9"/>
        <v>45801</v>
      </c>
      <c r="AO24" s="105">
        <f t="shared" si="33"/>
        <v>12601</v>
      </c>
      <c r="AP24" s="105">
        <f t="shared" si="10"/>
        <v>4702.51</v>
      </c>
      <c r="AQ24" s="105">
        <f t="shared" si="11"/>
        <v>7898.49</v>
      </c>
      <c r="AR24" s="105">
        <f t="shared" si="34"/>
        <v>0</v>
      </c>
      <c r="AS24" s="105">
        <f t="shared" si="22"/>
        <v>0</v>
      </c>
      <c r="AT24" s="105">
        <f t="shared" si="23"/>
        <v>4702.51</v>
      </c>
      <c r="AU24" s="105">
        <f t="shared" si="24"/>
        <v>0</v>
      </c>
      <c r="AV24" s="105">
        <f t="shared" si="25"/>
        <v>0</v>
      </c>
      <c r="AW24" s="105">
        <f t="shared" si="12"/>
        <v>197169.28</v>
      </c>
      <c r="AX24" s="108">
        <f t="shared" si="32"/>
        <v>21</v>
      </c>
      <c r="AY24" s="108">
        <f t="shared" si="13"/>
        <v>21</v>
      </c>
      <c r="AZ24" s="22">
        <f t="shared" si="3"/>
        <v>45801</v>
      </c>
      <c r="BA24" s="108">
        <f t="shared" si="3"/>
        <v>12601</v>
      </c>
      <c r="BD24" s="16" t="s">
        <v>374</v>
      </c>
      <c r="BE24" s="143">
        <f>BE23*BF17*BE22</f>
        <v>32229.982300884956</v>
      </c>
      <c r="BF24" s="16"/>
      <c r="BG24" s="16"/>
      <c r="BH24" s="16" t="s">
        <v>374</v>
      </c>
      <c r="BI24" s="143">
        <f>BI23*BF19*BI22</f>
        <v>39050.661399548539</v>
      </c>
      <c r="BM24" s="683" t="s">
        <v>424</v>
      </c>
      <c r="BN24" s="684" t="s">
        <v>425</v>
      </c>
      <c r="BO24" s="687" t="s">
        <v>479</v>
      </c>
    </row>
    <row r="25" spans="1:383" ht="16.5" customHeight="1" x14ac:dyDescent="0.25">
      <c r="A25" s="919"/>
      <c r="B25" s="634" t="s">
        <v>442</v>
      </c>
      <c r="C25" s="639">
        <f>IF(C23&lt;&gt;X60,IF(C22="Нет",0,ROUND($C$7*C24,2)),0)</f>
        <v>0</v>
      </c>
      <c r="D25" s="639"/>
      <c r="E25" s="114">
        <f t="shared" si="28"/>
        <v>17</v>
      </c>
      <c r="F25" s="111">
        <f t="shared" si="14"/>
        <v>45832</v>
      </c>
      <c r="G25" s="24">
        <f t="shared" si="5"/>
        <v>12601</v>
      </c>
      <c r="H25" s="24">
        <f t="shared" si="6"/>
        <v>4672.1000000000004</v>
      </c>
      <c r="I25" s="24">
        <f t="shared" si="26"/>
        <v>99958.38</v>
      </c>
      <c r="J25" s="24">
        <f t="shared" si="15"/>
        <v>0</v>
      </c>
      <c r="K25" s="24">
        <f t="shared" si="7"/>
        <v>7928.9</v>
      </c>
      <c r="L25" s="24">
        <f t="shared" si="16"/>
        <v>0</v>
      </c>
      <c r="M25" s="24">
        <f t="shared" si="29"/>
        <v>0</v>
      </c>
      <c r="N25" s="24">
        <f t="shared" si="17"/>
        <v>4672.1000000000004</v>
      </c>
      <c r="O25" s="24">
        <f t="shared" si="18"/>
        <v>0</v>
      </c>
      <c r="P25" s="24">
        <f t="shared" si="19"/>
        <v>0</v>
      </c>
      <c r="Q25" s="24">
        <f t="shared" si="8"/>
        <v>189240.38</v>
      </c>
      <c r="R25" s="36">
        <f t="shared" si="30"/>
        <v>20</v>
      </c>
      <c r="S25" s="36">
        <f t="shared" si="20"/>
        <v>20</v>
      </c>
      <c r="T25" s="122">
        <v>2.9000000000000001E-2</v>
      </c>
      <c r="U25" s="122">
        <v>2.9000000000000001E-2</v>
      </c>
      <c r="V25" s="122">
        <v>2.9000000000000001E-2</v>
      </c>
      <c r="W25" s="122">
        <v>2.9000000000000001E-2</v>
      </c>
      <c r="X25" s="122">
        <v>2.9000000000000001E-2</v>
      </c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6"/>
      <c r="AK25" s="116"/>
      <c r="AL25" s="130">
        <f t="shared" si="21"/>
        <v>1</v>
      </c>
      <c r="AM25" s="168">
        <f t="shared" si="31"/>
        <v>17</v>
      </c>
      <c r="AN25" s="167">
        <f t="shared" si="9"/>
        <v>45832</v>
      </c>
      <c r="AO25" s="105">
        <f t="shared" si="33"/>
        <v>12601</v>
      </c>
      <c r="AP25" s="105">
        <f t="shared" si="10"/>
        <v>4672.1000000000004</v>
      </c>
      <c r="AQ25" s="105">
        <f t="shared" si="11"/>
        <v>7928.9</v>
      </c>
      <c r="AR25" s="105">
        <f t="shared" si="34"/>
        <v>0</v>
      </c>
      <c r="AS25" s="105">
        <f t="shared" si="22"/>
        <v>0</v>
      </c>
      <c r="AT25" s="105">
        <f t="shared" si="23"/>
        <v>4672.1000000000004</v>
      </c>
      <c r="AU25" s="105">
        <f t="shared" si="24"/>
        <v>0</v>
      </c>
      <c r="AV25" s="105">
        <f t="shared" si="25"/>
        <v>0</v>
      </c>
      <c r="AW25" s="105">
        <f t="shared" si="12"/>
        <v>189240.38</v>
      </c>
      <c r="AX25" s="108">
        <f t="shared" si="32"/>
        <v>20</v>
      </c>
      <c r="AY25" s="108">
        <f t="shared" si="13"/>
        <v>20</v>
      </c>
      <c r="AZ25" s="22">
        <f t="shared" si="3"/>
        <v>45832</v>
      </c>
      <c r="BA25" s="108">
        <f t="shared" si="3"/>
        <v>12601</v>
      </c>
      <c r="BD25" s="16"/>
      <c r="BE25" s="16"/>
      <c r="BF25" s="16"/>
      <c r="BG25" s="16"/>
      <c r="BH25" s="16"/>
      <c r="BI25" s="16"/>
      <c r="BJ25" s="16"/>
      <c r="BK25" s="16"/>
      <c r="BL25" s="16"/>
    </row>
    <row r="26" spans="1:383" ht="16.5" customHeight="1" x14ac:dyDescent="0.25">
      <c r="A26" s="919"/>
      <c r="B26" s="634" t="s">
        <v>443</v>
      </c>
      <c r="C26" s="639">
        <f>IF(AND($C$23&lt;&gt;X60,C22="Да"),H160-H160/C19*C23,0)</f>
        <v>0</v>
      </c>
      <c r="D26" s="640"/>
      <c r="E26" s="114">
        <f t="shared" si="28"/>
        <v>18</v>
      </c>
      <c r="F26" s="111">
        <f t="shared" si="14"/>
        <v>45862</v>
      </c>
      <c r="G26" s="24">
        <f t="shared" si="5"/>
        <v>12601</v>
      </c>
      <c r="H26" s="24">
        <f t="shared" si="6"/>
        <v>4339.57</v>
      </c>
      <c r="I26" s="24">
        <f t="shared" si="26"/>
        <v>104297.95000000001</v>
      </c>
      <c r="J26" s="24">
        <f t="shared" si="15"/>
        <v>0</v>
      </c>
      <c r="K26" s="24">
        <f t="shared" si="7"/>
        <v>8261.43</v>
      </c>
      <c r="L26" s="24">
        <f t="shared" si="16"/>
        <v>0</v>
      </c>
      <c r="M26" s="24">
        <f t="shared" si="29"/>
        <v>0</v>
      </c>
      <c r="N26" s="24">
        <f t="shared" si="17"/>
        <v>4339.57</v>
      </c>
      <c r="O26" s="24">
        <f t="shared" si="18"/>
        <v>0</v>
      </c>
      <c r="P26" s="24">
        <f t="shared" si="19"/>
        <v>0</v>
      </c>
      <c r="Q26" s="24">
        <f t="shared" si="8"/>
        <v>180978.95</v>
      </c>
      <c r="R26" s="36">
        <f t="shared" si="30"/>
        <v>19</v>
      </c>
      <c r="S26" s="36">
        <f t="shared" si="20"/>
        <v>19</v>
      </c>
      <c r="T26" s="84">
        <v>4.9000000000000002E-2</v>
      </c>
      <c r="U26" s="84">
        <v>4.9000000000000002E-2</v>
      </c>
      <c r="V26" s="84">
        <v>4.9000000000000002E-2</v>
      </c>
      <c r="W26" s="84">
        <v>4.9000000000000002E-2</v>
      </c>
      <c r="X26" s="84">
        <v>4.9000000000000002E-2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L26" s="130">
        <f t="shared" si="21"/>
        <v>1</v>
      </c>
      <c r="AM26" s="109">
        <f t="shared" si="31"/>
        <v>18</v>
      </c>
      <c r="AN26" s="110">
        <f t="shared" si="9"/>
        <v>45862</v>
      </c>
      <c r="AO26" s="105">
        <f t="shared" si="33"/>
        <v>12601</v>
      </c>
      <c r="AP26" s="105">
        <f t="shared" si="10"/>
        <v>4339.57</v>
      </c>
      <c r="AQ26" s="105">
        <f t="shared" si="11"/>
        <v>8261.43</v>
      </c>
      <c r="AR26" s="105">
        <f t="shared" si="34"/>
        <v>0</v>
      </c>
      <c r="AS26" s="105">
        <f t="shared" si="22"/>
        <v>0</v>
      </c>
      <c r="AT26" s="105">
        <f t="shared" si="23"/>
        <v>4339.57</v>
      </c>
      <c r="AU26" s="105">
        <f t="shared" si="24"/>
        <v>0</v>
      </c>
      <c r="AV26" s="105">
        <f t="shared" si="25"/>
        <v>0</v>
      </c>
      <c r="AW26" s="105">
        <f t="shared" si="12"/>
        <v>180978.95</v>
      </c>
      <c r="AX26" s="108">
        <f t="shared" si="32"/>
        <v>19</v>
      </c>
      <c r="AY26" s="108">
        <f t="shared" si="13"/>
        <v>19</v>
      </c>
      <c r="AZ26" s="22">
        <f t="shared" si="3"/>
        <v>45862</v>
      </c>
      <c r="BA26" s="108">
        <f t="shared" si="3"/>
        <v>12601</v>
      </c>
      <c r="BB26" s="97"/>
      <c r="BC26" s="97"/>
      <c r="BD26" s="16"/>
      <c r="BE26" s="16"/>
      <c r="BF26" s="16"/>
      <c r="BG26" s="16"/>
      <c r="BH26" s="16"/>
      <c r="BI26" s="16"/>
      <c r="BJ26" s="16"/>
      <c r="BK26" s="16"/>
      <c r="BL26" s="16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97"/>
      <c r="DW26" s="97"/>
      <c r="DX26" s="97"/>
      <c r="DY26" s="97"/>
      <c r="DZ26" s="97"/>
      <c r="EA26" s="97"/>
      <c r="EB26" s="97"/>
      <c r="EC26" s="97"/>
      <c r="ED26" s="97"/>
      <c r="EE26" s="97"/>
      <c r="EF26" s="97"/>
      <c r="EG26" s="97"/>
      <c r="EH26" s="97"/>
      <c r="EI26" s="97"/>
      <c r="EJ26" s="97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97"/>
      <c r="FC26" s="97"/>
      <c r="FD26" s="97"/>
      <c r="FE26" s="97"/>
      <c r="FF26" s="97"/>
      <c r="FG26" s="97"/>
      <c r="FH26" s="97"/>
      <c r="FI26" s="97"/>
      <c r="FJ26" s="97"/>
      <c r="FK26" s="97"/>
      <c r="FL26" s="97"/>
      <c r="FM26" s="97"/>
      <c r="FN26" s="97"/>
      <c r="FO26" s="97"/>
      <c r="FP26" s="97"/>
      <c r="FQ26" s="97"/>
      <c r="FR26" s="97"/>
      <c r="FS26" s="97"/>
      <c r="FT26" s="97"/>
      <c r="FU26" s="97"/>
      <c r="FV26" s="97"/>
      <c r="FW26" s="97"/>
      <c r="FX26" s="97"/>
      <c r="FY26" s="97"/>
      <c r="FZ26" s="97"/>
      <c r="GA26" s="97"/>
      <c r="GB26" s="97"/>
      <c r="GC26" s="97"/>
      <c r="GD26" s="97"/>
      <c r="GE26" s="97"/>
      <c r="GF26" s="97"/>
      <c r="GG26" s="97"/>
      <c r="GH26" s="97"/>
      <c r="GI26" s="97"/>
      <c r="GJ26" s="97"/>
      <c r="GK26" s="97"/>
      <c r="GL26" s="97"/>
      <c r="GM26" s="97"/>
      <c r="GN26" s="97"/>
      <c r="GO26" s="97"/>
      <c r="GP26" s="97"/>
      <c r="GQ26" s="97"/>
      <c r="GR26" s="97"/>
      <c r="GS26" s="97"/>
      <c r="GT26" s="97"/>
      <c r="GU26" s="97"/>
      <c r="GV26" s="97"/>
      <c r="GW26" s="97"/>
      <c r="GX26" s="97"/>
      <c r="GY26" s="97"/>
      <c r="GZ26" s="97"/>
      <c r="HA26" s="97"/>
      <c r="HB26" s="97"/>
      <c r="HC26" s="97"/>
      <c r="HD26" s="97"/>
      <c r="HE26" s="97"/>
      <c r="HF26" s="97"/>
      <c r="HG26" s="97"/>
      <c r="HH26" s="97"/>
      <c r="HI26" s="97"/>
      <c r="HJ26" s="97"/>
      <c r="HK26" s="97"/>
      <c r="HL26" s="97"/>
      <c r="HM26" s="97"/>
      <c r="HN26" s="97"/>
      <c r="HO26" s="97"/>
      <c r="HP26" s="97"/>
      <c r="HQ26" s="97"/>
      <c r="HR26" s="97"/>
      <c r="HS26" s="97"/>
      <c r="HT26" s="97"/>
      <c r="HU26" s="97"/>
      <c r="HV26" s="97"/>
      <c r="HW26" s="97"/>
      <c r="HX26" s="97"/>
      <c r="HY26" s="97"/>
      <c r="HZ26" s="97"/>
      <c r="IA26" s="97"/>
      <c r="IB26" s="97"/>
      <c r="IC26" s="97"/>
      <c r="ID26" s="97"/>
      <c r="IE26" s="97"/>
      <c r="IF26" s="97"/>
      <c r="IG26" s="97"/>
      <c r="IH26" s="97"/>
      <c r="II26" s="97"/>
      <c r="IJ26" s="97"/>
      <c r="IK26" s="97"/>
      <c r="IL26" s="97"/>
      <c r="IM26" s="97"/>
      <c r="IN26" s="97"/>
      <c r="IO26" s="97"/>
      <c r="IP26" s="97"/>
      <c r="IQ26" s="97"/>
      <c r="IR26" s="97"/>
      <c r="IS26" s="97"/>
      <c r="IT26" s="97"/>
      <c r="IU26" s="97"/>
      <c r="IV26" s="97"/>
      <c r="IW26" s="97"/>
      <c r="IX26" s="97"/>
      <c r="IY26" s="97"/>
      <c r="IZ26" s="97"/>
      <c r="JA26" s="97"/>
      <c r="JB26" s="97"/>
      <c r="JC26" s="97"/>
      <c r="JD26" s="97"/>
      <c r="JE26" s="97"/>
      <c r="JF26" s="97"/>
      <c r="JG26" s="97"/>
      <c r="JH26" s="97"/>
      <c r="JI26" s="97"/>
      <c r="JJ26" s="97"/>
      <c r="JK26" s="97"/>
      <c r="JL26" s="97"/>
      <c r="JM26" s="97"/>
      <c r="JN26" s="97"/>
      <c r="JO26" s="97"/>
      <c r="JP26" s="97"/>
      <c r="JQ26" s="97"/>
      <c r="JR26" s="97"/>
      <c r="JS26" s="97"/>
      <c r="JT26" s="97"/>
      <c r="JU26" s="97"/>
      <c r="JV26" s="97"/>
      <c r="JW26" s="97"/>
      <c r="JX26" s="97"/>
      <c r="JY26" s="97"/>
      <c r="JZ26" s="97"/>
      <c r="KA26" s="97"/>
      <c r="KB26" s="97"/>
      <c r="KC26" s="97"/>
      <c r="KD26" s="97"/>
      <c r="KE26" s="97"/>
      <c r="KF26" s="97"/>
      <c r="KG26" s="97"/>
      <c r="KH26" s="97"/>
      <c r="KI26" s="97"/>
      <c r="KJ26" s="97"/>
      <c r="KK26" s="97"/>
      <c r="KL26" s="97"/>
      <c r="KM26" s="97"/>
      <c r="KN26" s="97"/>
      <c r="KO26" s="97"/>
      <c r="KP26" s="97"/>
      <c r="KQ26" s="97"/>
      <c r="KR26" s="97"/>
      <c r="KS26" s="97"/>
      <c r="KT26" s="97"/>
      <c r="KU26" s="97"/>
      <c r="KV26" s="97"/>
      <c r="KW26" s="97"/>
      <c r="KX26" s="97"/>
      <c r="KY26" s="97"/>
      <c r="KZ26" s="97"/>
      <c r="LA26" s="97"/>
      <c r="LB26" s="97"/>
      <c r="LC26" s="97"/>
      <c r="LD26" s="97"/>
      <c r="LE26" s="97"/>
      <c r="LF26" s="97"/>
      <c r="LG26" s="97"/>
      <c r="LH26" s="97"/>
      <c r="LI26" s="97"/>
      <c r="LJ26" s="97"/>
      <c r="LK26" s="97"/>
      <c r="LL26" s="97"/>
      <c r="LM26" s="97"/>
      <c r="LN26" s="97"/>
      <c r="LO26" s="97"/>
      <c r="LP26" s="97"/>
      <c r="LQ26" s="97"/>
      <c r="LR26" s="97"/>
      <c r="LS26" s="97"/>
      <c r="LT26" s="97"/>
      <c r="LU26" s="97"/>
      <c r="LV26" s="97"/>
      <c r="LW26" s="97"/>
      <c r="LX26" s="97"/>
      <c r="LY26" s="97"/>
      <c r="LZ26" s="97"/>
      <c r="MA26" s="97"/>
      <c r="MB26" s="97"/>
      <c r="MC26" s="97"/>
      <c r="MD26" s="97"/>
      <c r="ME26" s="97"/>
      <c r="MF26" s="97"/>
      <c r="MG26" s="97"/>
      <c r="MH26" s="97"/>
      <c r="MI26" s="97"/>
      <c r="MJ26" s="97"/>
      <c r="MK26" s="97"/>
      <c r="ML26" s="97"/>
      <c r="MM26" s="97"/>
      <c r="MN26" s="97"/>
      <c r="MO26" s="97"/>
      <c r="MP26" s="97"/>
      <c r="MQ26" s="97"/>
      <c r="MR26" s="97"/>
      <c r="MS26" s="97"/>
      <c r="MT26" s="97"/>
      <c r="MU26" s="97"/>
      <c r="MV26" s="97"/>
      <c r="MW26" s="97"/>
      <c r="MX26" s="97"/>
      <c r="MY26" s="97"/>
      <c r="MZ26" s="97"/>
      <c r="NA26" s="97"/>
      <c r="NB26" s="97"/>
      <c r="NC26" s="97"/>
      <c r="ND26" s="97"/>
      <c r="NE26" s="97"/>
      <c r="NF26" s="97"/>
      <c r="NG26" s="97"/>
      <c r="NH26" s="97"/>
      <c r="NI26" s="97"/>
      <c r="NJ26" s="97"/>
      <c r="NK26" s="97"/>
      <c r="NL26" s="97"/>
      <c r="NM26" s="97"/>
      <c r="NN26" s="97"/>
      <c r="NO26" s="97"/>
      <c r="NP26" s="97"/>
      <c r="NQ26" s="97"/>
      <c r="NR26" s="97"/>
      <c r="NS26" s="97"/>
    </row>
    <row r="27" spans="1:383" ht="22.5" customHeight="1" x14ac:dyDescent="0.25">
      <c r="A27" s="919"/>
      <c r="B27" s="641" t="s">
        <v>444</v>
      </c>
      <c r="C27" s="642" t="e">
        <f>IF(AND($C$23&lt;&gt;X60,J160&gt;0),C26-J160,C26)</f>
        <v>#VALUE!</v>
      </c>
      <c r="D27" s="643"/>
      <c r="E27" s="114">
        <f t="shared" si="28"/>
        <v>19</v>
      </c>
      <c r="F27" s="111">
        <f t="shared" si="14"/>
        <v>45893</v>
      </c>
      <c r="G27" s="24">
        <f t="shared" si="5"/>
        <v>12601</v>
      </c>
      <c r="H27" s="24">
        <f t="shared" si="6"/>
        <v>4288.46</v>
      </c>
      <c r="I27" s="24">
        <f t="shared" si="26"/>
        <v>108586.41000000002</v>
      </c>
      <c r="J27" s="24">
        <f t="shared" si="15"/>
        <v>0</v>
      </c>
      <c r="K27" s="24">
        <f t="shared" si="7"/>
        <v>8312.5400000000009</v>
      </c>
      <c r="L27" s="24">
        <f t="shared" si="16"/>
        <v>0</v>
      </c>
      <c r="M27" s="24">
        <f t="shared" si="29"/>
        <v>0</v>
      </c>
      <c r="N27" s="24">
        <f t="shared" si="17"/>
        <v>4288.46</v>
      </c>
      <c r="O27" s="24">
        <f t="shared" si="18"/>
        <v>0</v>
      </c>
      <c r="P27" s="24">
        <f t="shared" si="19"/>
        <v>0</v>
      </c>
      <c r="Q27" s="24">
        <f t="shared" si="8"/>
        <v>172666.41</v>
      </c>
      <c r="R27" s="36">
        <f t="shared" si="30"/>
        <v>18</v>
      </c>
      <c r="S27" s="36">
        <f t="shared" si="20"/>
        <v>18</v>
      </c>
      <c r="T27" s="84">
        <v>6.9000000000000006E-2</v>
      </c>
      <c r="U27" s="84">
        <v>6.9000000000000006E-2</v>
      </c>
      <c r="V27" s="84">
        <v>6.9000000000000006E-2</v>
      </c>
      <c r="W27" s="84">
        <v>6.9000000000000006E-2</v>
      </c>
      <c r="X27" s="84">
        <v>6.9000000000000006E-2</v>
      </c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L27" s="130">
        <f t="shared" si="21"/>
        <v>1</v>
      </c>
      <c r="AM27" s="109">
        <f t="shared" si="31"/>
        <v>19</v>
      </c>
      <c r="AN27" s="110">
        <f t="shared" si="9"/>
        <v>45893</v>
      </c>
      <c r="AO27" s="105">
        <f t="shared" si="33"/>
        <v>12601</v>
      </c>
      <c r="AP27" s="105">
        <f t="shared" si="10"/>
        <v>4288.46</v>
      </c>
      <c r="AQ27" s="105">
        <f t="shared" si="11"/>
        <v>8312.5400000000009</v>
      </c>
      <c r="AR27" s="105">
        <f t="shared" si="34"/>
        <v>0</v>
      </c>
      <c r="AS27" s="105">
        <f t="shared" si="22"/>
        <v>0</v>
      </c>
      <c r="AT27" s="105">
        <f t="shared" si="23"/>
        <v>4288.46</v>
      </c>
      <c r="AU27" s="105">
        <f t="shared" si="24"/>
        <v>0</v>
      </c>
      <c r="AV27" s="105">
        <f t="shared" si="25"/>
        <v>0</v>
      </c>
      <c r="AW27" s="105">
        <f t="shared" si="12"/>
        <v>172666.41</v>
      </c>
      <c r="AX27" s="108">
        <f t="shared" si="32"/>
        <v>18</v>
      </c>
      <c r="AY27" s="108">
        <f t="shared" si="13"/>
        <v>18</v>
      </c>
      <c r="AZ27" s="22">
        <f t="shared" si="3"/>
        <v>45893</v>
      </c>
      <c r="BA27" s="108">
        <f t="shared" si="3"/>
        <v>12601</v>
      </c>
      <c r="BF27" s="16"/>
      <c r="BG27" s="16"/>
      <c r="BJ27" s="16"/>
    </row>
    <row r="28" spans="1:383" ht="22.5" customHeight="1" x14ac:dyDescent="0.25">
      <c r="A28" s="907" t="str">
        <f>IF(AND($C$8&lt;&gt;"Нет",$D$8&lt;&gt;"Нет",$C$11&lt;&gt;"Нет"),"Сумма кредита с учетом страховой премии и 
комиссии за пакет услуг Всё под контролем, руб.",IF(AND($C$8&lt;&gt;"Нет",$D$8&lt;&gt;"Нет",$C$11&lt;&gt;"Да"),"Сумма кредита с учетом страховой премии, руб.",IF(AND($D$8&lt;&gt;"Нет",$C$11&lt;&gt;"Нет"),"Сумма кредита с учетом комиссии за пакет услуг Всё под контролем, руб.","Сумма кредита, руб.")))</f>
        <v>Сумма кредита, руб.</v>
      </c>
      <c r="B28" s="908"/>
      <c r="C28" s="644">
        <f>C7+C32+IF(C22="Да",C25,0)+IF(C11="Да",C12,0)</f>
        <v>303499</v>
      </c>
      <c r="D28" s="644">
        <f>D7+D32+IF(D22="Да",D25,0)+IF(D11="Да",D12,0)</f>
        <v>303499</v>
      </c>
      <c r="E28" s="114">
        <f t="shared" si="28"/>
        <v>20</v>
      </c>
      <c r="F28" s="111">
        <f t="shared" si="14"/>
        <v>45924</v>
      </c>
      <c r="G28" s="24">
        <f t="shared" si="5"/>
        <v>12601</v>
      </c>
      <c r="H28" s="24">
        <f t="shared" si="6"/>
        <v>4091.48</v>
      </c>
      <c r="I28" s="24">
        <f t="shared" si="26"/>
        <v>112677.89000000001</v>
      </c>
      <c r="J28" s="24">
        <f t="shared" si="15"/>
        <v>0</v>
      </c>
      <c r="K28" s="24">
        <f t="shared" si="7"/>
        <v>8509.52</v>
      </c>
      <c r="L28" s="24">
        <f t="shared" si="16"/>
        <v>0</v>
      </c>
      <c r="M28" s="24">
        <f t="shared" si="29"/>
        <v>0</v>
      </c>
      <c r="N28" s="24">
        <f t="shared" si="17"/>
        <v>4091.48</v>
      </c>
      <c r="O28" s="24">
        <f t="shared" si="18"/>
        <v>0</v>
      </c>
      <c r="P28" s="24">
        <f t="shared" si="19"/>
        <v>0</v>
      </c>
      <c r="Q28" s="24">
        <f t="shared" si="8"/>
        <v>164156.89000000001</v>
      </c>
      <c r="R28" s="36">
        <f t="shared" si="30"/>
        <v>17</v>
      </c>
      <c r="S28" s="36">
        <f t="shared" si="20"/>
        <v>17</v>
      </c>
      <c r="T28" s="2">
        <v>1</v>
      </c>
      <c r="U28" s="2">
        <v>1</v>
      </c>
      <c r="V28" s="3">
        <v>1</v>
      </c>
      <c r="W28" s="2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81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L28" s="130">
        <f t="shared" si="21"/>
        <v>1</v>
      </c>
      <c r="AM28" s="109">
        <f t="shared" si="31"/>
        <v>20</v>
      </c>
      <c r="AN28" s="110">
        <f t="shared" si="9"/>
        <v>45924</v>
      </c>
      <c r="AO28" s="105">
        <f t="shared" si="33"/>
        <v>12601</v>
      </c>
      <c r="AP28" s="105">
        <f t="shared" si="10"/>
        <v>4091.48</v>
      </c>
      <c r="AQ28" s="105">
        <f t="shared" si="11"/>
        <v>8509.52</v>
      </c>
      <c r="AR28" s="105">
        <f t="shared" si="34"/>
        <v>0</v>
      </c>
      <c r="AS28" s="105">
        <f t="shared" si="22"/>
        <v>0</v>
      </c>
      <c r="AT28" s="105">
        <f t="shared" si="23"/>
        <v>4091.48</v>
      </c>
      <c r="AU28" s="105">
        <f t="shared" si="24"/>
        <v>0</v>
      </c>
      <c r="AV28" s="105">
        <f t="shared" si="25"/>
        <v>0</v>
      </c>
      <c r="AW28" s="105">
        <f t="shared" si="12"/>
        <v>164156.89000000001</v>
      </c>
      <c r="AX28" s="108">
        <f t="shared" si="32"/>
        <v>17</v>
      </c>
      <c r="AY28" s="108">
        <f t="shared" si="13"/>
        <v>17</v>
      </c>
      <c r="AZ28" s="22">
        <f t="shared" si="3"/>
        <v>45924</v>
      </c>
      <c r="BA28" s="108">
        <f t="shared" si="3"/>
        <v>12601</v>
      </c>
      <c r="BD28" s="16"/>
      <c r="BE28" s="143"/>
      <c r="BF28" s="16"/>
      <c r="BG28" s="16"/>
      <c r="BH28" s="16"/>
      <c r="BI28" s="143"/>
      <c r="BJ28" s="16"/>
      <c r="BK28" s="16"/>
      <c r="BL28" s="143"/>
    </row>
    <row r="29" spans="1:383" ht="26.25" customHeight="1" x14ac:dyDescent="0.25">
      <c r="A29" s="907" t="str">
        <f>IF(AND($C$8&lt;&gt;"Нет",$D$8&lt;&gt;"Нет",$C$11&lt;&gt;"Нет"),"Платеж с учетом страховой премии и 
комиссии за пакет услуг Всё под контролем, руб.",IF(AND($C$8&lt;&gt;"Нет",$D$8&lt;&gt;"Нет",$C$11&lt;&gt;"Да"),"Платеж с учетом страховой премии, руб.",IF(AND($D$8&lt;&gt;"Нет",$C$11&lt;&gt;"Нет"),"Платеж с учетом  комиссии за пакет услуг Всё под контролем, руб.","Платеж, руб.")))</f>
        <v>Платеж, руб.</v>
      </c>
      <c r="B29" s="908"/>
      <c r="C29" s="645">
        <f>ROUNDUP(AB55/$AE$47,0)*$AE$47</f>
        <v>12601</v>
      </c>
      <c r="D29" s="646">
        <f>ROUNDUP(AD$55/$AE$47,0)*$AE$47</f>
        <v>12601</v>
      </c>
      <c r="E29" s="114">
        <f t="shared" si="28"/>
        <v>21</v>
      </c>
      <c r="F29" s="111">
        <f t="shared" si="14"/>
        <v>45954</v>
      </c>
      <c r="G29" s="24">
        <f t="shared" si="5"/>
        <v>12601</v>
      </c>
      <c r="H29" s="24">
        <f t="shared" si="6"/>
        <v>3764.36</v>
      </c>
      <c r="I29" s="24">
        <f t="shared" si="26"/>
        <v>116442.25000000001</v>
      </c>
      <c r="J29" s="24">
        <f t="shared" si="15"/>
        <v>0</v>
      </c>
      <c r="K29" s="24">
        <f t="shared" si="7"/>
        <v>8836.64</v>
      </c>
      <c r="L29" s="24">
        <f t="shared" si="16"/>
        <v>0</v>
      </c>
      <c r="M29" s="24">
        <f t="shared" si="29"/>
        <v>0</v>
      </c>
      <c r="N29" s="24">
        <f t="shared" si="17"/>
        <v>3764.36</v>
      </c>
      <c r="O29" s="24">
        <f t="shared" si="18"/>
        <v>0</v>
      </c>
      <c r="P29" s="24">
        <f t="shared" si="19"/>
        <v>0</v>
      </c>
      <c r="Q29" s="24">
        <f t="shared" si="8"/>
        <v>155320.25</v>
      </c>
      <c r="R29" s="36">
        <f t="shared" si="30"/>
        <v>16</v>
      </c>
      <c r="S29" s="36">
        <f t="shared" si="20"/>
        <v>16</v>
      </c>
      <c r="AB29" s="82"/>
      <c r="AC29" s="2"/>
      <c r="AD29" s="2"/>
      <c r="AE29" s="2"/>
      <c r="AF29" s="3"/>
      <c r="AG29" s="3"/>
      <c r="AH29" s="3"/>
      <c r="AI29" s="3"/>
      <c r="AL29" s="130">
        <f t="shared" si="21"/>
        <v>1</v>
      </c>
      <c r="AM29" s="109">
        <f t="shared" si="31"/>
        <v>21</v>
      </c>
      <c r="AN29" s="110">
        <f t="shared" si="9"/>
        <v>45954</v>
      </c>
      <c r="AO29" s="105">
        <f t="shared" si="33"/>
        <v>12601</v>
      </c>
      <c r="AP29" s="105">
        <f t="shared" si="10"/>
        <v>3764.36</v>
      </c>
      <c r="AQ29" s="105">
        <f t="shared" si="11"/>
        <v>8836.64</v>
      </c>
      <c r="AR29" s="105">
        <f t="shared" si="34"/>
        <v>0</v>
      </c>
      <c r="AS29" s="105">
        <f t="shared" si="22"/>
        <v>0</v>
      </c>
      <c r="AT29" s="105">
        <f t="shared" si="23"/>
        <v>3764.36</v>
      </c>
      <c r="AU29" s="105">
        <f t="shared" si="24"/>
        <v>0</v>
      </c>
      <c r="AV29" s="105">
        <f t="shared" si="25"/>
        <v>0</v>
      </c>
      <c r="AW29" s="105">
        <f t="shared" si="12"/>
        <v>155320.25</v>
      </c>
      <c r="AX29" s="108">
        <f t="shared" si="32"/>
        <v>16</v>
      </c>
      <c r="AY29" s="108">
        <f t="shared" si="13"/>
        <v>16</v>
      </c>
      <c r="AZ29" s="22">
        <f t="shared" si="3"/>
        <v>45954</v>
      </c>
      <c r="BA29" s="108">
        <f t="shared" si="3"/>
        <v>12601</v>
      </c>
      <c r="BD29" s="16"/>
      <c r="BE29" s="143"/>
      <c r="BF29" s="16"/>
      <c r="BG29" s="16"/>
      <c r="BH29" s="16"/>
      <c r="BI29" s="143"/>
      <c r="BJ29" s="16"/>
      <c r="BK29" s="16"/>
      <c r="BL29" s="143"/>
    </row>
    <row r="30" spans="1:383" ht="25.5" customHeight="1" x14ac:dyDescent="0.25">
      <c r="A30" s="909" t="s">
        <v>445</v>
      </c>
      <c r="B30" s="910"/>
      <c r="C30" s="647">
        <f>IF(OR(C8="Оптимум+",C8="Уверенность"),BE22,IF(C8="нет",0,IF(C8="Оптимум",BI22,0)))</f>
        <v>0</v>
      </c>
      <c r="D30" s="648">
        <f>IF(OR(D7="Максимум"),BE22,IF(D7="нет",0,IF(D7="Оптимум",BI22,0)))</f>
        <v>0</v>
      </c>
      <c r="E30" s="114">
        <f t="shared" si="28"/>
        <v>22</v>
      </c>
      <c r="F30" s="111">
        <f t="shared" si="14"/>
        <v>45985</v>
      </c>
      <c r="G30" s="24">
        <f t="shared" si="5"/>
        <v>12601</v>
      </c>
      <c r="H30" s="24">
        <f t="shared" si="6"/>
        <v>3680.45</v>
      </c>
      <c r="I30" s="24">
        <f t="shared" si="26"/>
        <v>120122.70000000001</v>
      </c>
      <c r="J30" s="24">
        <f t="shared" si="15"/>
        <v>0</v>
      </c>
      <c r="K30" s="24">
        <f t="shared" si="7"/>
        <v>8920.5499999999993</v>
      </c>
      <c r="L30" s="24">
        <f t="shared" si="16"/>
        <v>0</v>
      </c>
      <c r="M30" s="24">
        <f t="shared" si="29"/>
        <v>0</v>
      </c>
      <c r="N30" s="24">
        <f t="shared" si="17"/>
        <v>3680.45</v>
      </c>
      <c r="O30" s="24">
        <f t="shared" si="18"/>
        <v>0</v>
      </c>
      <c r="P30" s="24">
        <f t="shared" si="19"/>
        <v>0</v>
      </c>
      <c r="Q30" s="24">
        <f t="shared" si="8"/>
        <v>146399.70000000001</v>
      </c>
      <c r="R30" s="36">
        <f t="shared" si="30"/>
        <v>15</v>
      </c>
      <c r="S30" s="36">
        <f t="shared" si="20"/>
        <v>15</v>
      </c>
      <c r="T30" s="2">
        <v>0</v>
      </c>
      <c r="U30" s="2">
        <v>1</v>
      </c>
      <c r="V30" s="2">
        <v>2</v>
      </c>
      <c r="W30" s="2">
        <v>3</v>
      </c>
      <c r="X30" s="2">
        <v>4</v>
      </c>
      <c r="Y30" s="13"/>
      <c r="Z30" s="13" t="s">
        <v>47</v>
      </c>
      <c r="AA30" s="2" t="s">
        <v>35</v>
      </c>
      <c r="AB30" s="82" t="s">
        <v>35</v>
      </c>
      <c r="AC30" s="2" t="s">
        <v>35</v>
      </c>
      <c r="AD30" s="2" t="s">
        <v>35</v>
      </c>
      <c r="AE30" s="2" t="s">
        <v>35</v>
      </c>
      <c r="AH30" s="2"/>
      <c r="AL30" s="130">
        <f t="shared" si="21"/>
        <v>1</v>
      </c>
      <c r="AM30" s="109">
        <f t="shared" si="31"/>
        <v>22</v>
      </c>
      <c r="AN30" s="110">
        <f t="shared" si="9"/>
        <v>45985</v>
      </c>
      <c r="AO30" s="105">
        <f t="shared" si="33"/>
        <v>12601</v>
      </c>
      <c r="AP30" s="105">
        <f t="shared" si="10"/>
        <v>3680.45</v>
      </c>
      <c r="AQ30" s="105">
        <f t="shared" si="11"/>
        <v>8920.5499999999993</v>
      </c>
      <c r="AR30" s="105">
        <f t="shared" si="34"/>
        <v>0</v>
      </c>
      <c r="AS30" s="105">
        <f t="shared" si="22"/>
        <v>0</v>
      </c>
      <c r="AT30" s="105">
        <f t="shared" si="23"/>
        <v>3680.45</v>
      </c>
      <c r="AU30" s="105">
        <f t="shared" si="24"/>
        <v>0</v>
      </c>
      <c r="AV30" s="105">
        <f t="shared" si="25"/>
        <v>0</v>
      </c>
      <c r="AW30" s="105">
        <f t="shared" si="12"/>
        <v>146399.70000000001</v>
      </c>
      <c r="AX30" s="108">
        <f t="shared" si="32"/>
        <v>15</v>
      </c>
      <c r="AY30" s="108">
        <f t="shared" si="13"/>
        <v>15</v>
      </c>
      <c r="AZ30" s="22">
        <f t="shared" si="3"/>
        <v>45985</v>
      </c>
      <c r="BA30" s="108">
        <f t="shared" si="3"/>
        <v>12601</v>
      </c>
    </row>
    <row r="31" spans="1:383" ht="21" customHeight="1" x14ac:dyDescent="0.25">
      <c r="A31" s="909" t="s">
        <v>100</v>
      </c>
      <c r="B31" s="911"/>
      <c r="C31" s="649">
        <f>IF(OR(C8="Оптимум+",C8="Уверенность"),$BF$17,IF(C8="нет",0,IF(C8="Оптимум",$BF$19,0)))</f>
        <v>0</v>
      </c>
      <c r="D31" s="649">
        <f>IF(OR(D8="Максимум"),$BF$17,IF(D8="нет",0,IF(D8="Оптимум",$BF$19,0)))</f>
        <v>0</v>
      </c>
      <c r="E31" s="114">
        <f t="shared" si="28"/>
        <v>23</v>
      </c>
      <c r="F31" s="111">
        <f t="shared" si="14"/>
        <v>46015</v>
      </c>
      <c r="G31" s="24">
        <f t="shared" si="5"/>
        <v>12601</v>
      </c>
      <c r="H31" s="24">
        <f t="shared" si="6"/>
        <v>3357.17</v>
      </c>
      <c r="I31" s="24">
        <f t="shared" si="26"/>
        <v>123479.87000000001</v>
      </c>
      <c r="J31" s="24">
        <f t="shared" si="15"/>
        <v>0</v>
      </c>
      <c r="K31" s="24">
        <f t="shared" si="7"/>
        <v>9243.83</v>
      </c>
      <c r="L31" s="24">
        <f t="shared" si="16"/>
        <v>0</v>
      </c>
      <c r="M31" s="24">
        <f t="shared" si="29"/>
        <v>0</v>
      </c>
      <c r="N31" s="24">
        <f t="shared" si="17"/>
        <v>3357.17</v>
      </c>
      <c r="O31" s="24">
        <f t="shared" si="18"/>
        <v>0</v>
      </c>
      <c r="P31" s="24">
        <f t="shared" si="19"/>
        <v>0</v>
      </c>
      <c r="Q31" s="24">
        <f t="shared" si="8"/>
        <v>137155.87000000002</v>
      </c>
      <c r="R31" s="36">
        <f t="shared" si="30"/>
        <v>14</v>
      </c>
      <c r="S31" s="36">
        <f t="shared" si="20"/>
        <v>14</v>
      </c>
      <c r="Y31" s="13" t="s">
        <v>79</v>
      </c>
      <c r="Z31" s="15">
        <v>0.03</v>
      </c>
      <c r="AA31" s="15">
        <v>0</v>
      </c>
      <c r="AB31" s="2">
        <v>0</v>
      </c>
      <c r="AC31" s="2">
        <v>0</v>
      </c>
      <c r="AD31" s="2">
        <v>0</v>
      </c>
      <c r="AE31" s="2"/>
      <c r="AH31" s="2"/>
      <c r="AK31" s="57"/>
      <c r="AL31" s="130">
        <f t="shared" si="21"/>
        <v>1</v>
      </c>
      <c r="AM31" s="109">
        <f t="shared" si="31"/>
        <v>23</v>
      </c>
      <c r="AN31" s="110">
        <f t="shared" si="9"/>
        <v>46015</v>
      </c>
      <c r="AO31" s="105">
        <f t="shared" si="33"/>
        <v>12601</v>
      </c>
      <c r="AP31" s="105">
        <f t="shared" si="10"/>
        <v>3357.17</v>
      </c>
      <c r="AQ31" s="105">
        <f t="shared" si="11"/>
        <v>9243.83</v>
      </c>
      <c r="AR31" s="105">
        <f t="shared" si="34"/>
        <v>0</v>
      </c>
      <c r="AS31" s="105">
        <f t="shared" si="22"/>
        <v>0</v>
      </c>
      <c r="AT31" s="105">
        <f t="shared" si="23"/>
        <v>3357.17</v>
      </c>
      <c r="AU31" s="105">
        <f t="shared" si="24"/>
        <v>0</v>
      </c>
      <c r="AV31" s="105">
        <f t="shared" si="25"/>
        <v>0</v>
      </c>
      <c r="AW31" s="105">
        <f t="shared" si="12"/>
        <v>137155.87000000002</v>
      </c>
      <c r="AX31" s="108">
        <f t="shared" si="32"/>
        <v>14</v>
      </c>
      <c r="AY31" s="108">
        <f t="shared" si="13"/>
        <v>14</v>
      </c>
      <c r="AZ31" s="22">
        <f t="shared" si="3"/>
        <v>46015</v>
      </c>
      <c r="BA31" s="108">
        <f t="shared" si="3"/>
        <v>12601</v>
      </c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116"/>
      <c r="FX31" s="116"/>
      <c r="FY31" s="116"/>
      <c r="FZ31" s="116"/>
      <c r="GA31" s="116"/>
      <c r="GB31" s="116"/>
      <c r="GC31" s="116"/>
      <c r="GD31" s="116"/>
      <c r="GE31" s="116"/>
      <c r="GF31" s="116"/>
      <c r="GG31" s="116"/>
      <c r="GH31" s="116"/>
      <c r="GI31" s="116"/>
      <c r="GJ31" s="116"/>
      <c r="GK31" s="116"/>
      <c r="GL31" s="116"/>
      <c r="GM31" s="116"/>
      <c r="GN31" s="116"/>
      <c r="GO31" s="116"/>
      <c r="GP31" s="116"/>
      <c r="GQ31" s="116"/>
      <c r="GR31" s="116"/>
      <c r="GS31" s="116"/>
      <c r="GT31" s="116"/>
      <c r="GU31" s="116"/>
      <c r="GV31" s="116"/>
      <c r="GW31" s="116"/>
      <c r="GX31" s="116"/>
      <c r="GY31" s="116"/>
      <c r="GZ31" s="116"/>
      <c r="HA31" s="116"/>
      <c r="HB31" s="116"/>
      <c r="HC31" s="116"/>
      <c r="HD31" s="116"/>
      <c r="HE31" s="116"/>
      <c r="HF31" s="116"/>
      <c r="HG31" s="116"/>
      <c r="HH31" s="116"/>
      <c r="HI31" s="116"/>
      <c r="HJ31" s="116"/>
      <c r="HK31" s="116"/>
      <c r="HL31" s="116"/>
      <c r="HM31" s="116"/>
      <c r="HN31" s="116"/>
      <c r="HO31" s="116"/>
      <c r="HP31" s="116"/>
      <c r="HQ31" s="116"/>
      <c r="HR31" s="116"/>
      <c r="HS31" s="116"/>
      <c r="HT31" s="116"/>
      <c r="HU31" s="116"/>
      <c r="HV31" s="116"/>
      <c r="HW31" s="116"/>
      <c r="HX31" s="116"/>
      <c r="HY31" s="116"/>
      <c r="HZ31" s="116"/>
      <c r="IA31" s="116"/>
      <c r="IB31" s="116"/>
      <c r="IC31" s="116"/>
      <c r="ID31" s="116"/>
      <c r="IE31" s="116"/>
      <c r="IF31" s="116"/>
      <c r="IG31" s="116"/>
      <c r="IH31" s="116"/>
      <c r="II31" s="116"/>
      <c r="IJ31" s="116"/>
      <c r="IK31" s="116"/>
      <c r="IL31" s="116"/>
      <c r="IM31" s="116"/>
      <c r="IN31" s="116"/>
      <c r="IO31" s="116"/>
      <c r="IP31" s="116"/>
      <c r="IQ31" s="116"/>
      <c r="IR31" s="116"/>
      <c r="IS31" s="116"/>
      <c r="IT31" s="116"/>
      <c r="IU31" s="116"/>
      <c r="IV31" s="116"/>
      <c r="IW31" s="116"/>
      <c r="IX31" s="116"/>
      <c r="IY31" s="116"/>
      <c r="IZ31" s="116"/>
      <c r="JA31" s="116"/>
      <c r="JB31" s="116"/>
      <c r="JC31" s="116"/>
      <c r="JD31" s="116"/>
      <c r="JE31" s="116"/>
      <c r="JF31" s="116"/>
      <c r="JG31" s="116"/>
      <c r="JH31" s="116"/>
      <c r="JI31" s="116"/>
      <c r="JJ31" s="116"/>
      <c r="JK31" s="116"/>
      <c r="JL31" s="116"/>
      <c r="JM31" s="116"/>
      <c r="JN31" s="116"/>
      <c r="JO31" s="116"/>
      <c r="JP31" s="116"/>
      <c r="JQ31" s="116"/>
      <c r="JR31" s="116"/>
      <c r="JS31" s="116"/>
      <c r="JT31" s="116"/>
      <c r="JU31" s="116"/>
      <c r="JV31" s="116"/>
      <c r="JW31" s="116"/>
      <c r="JX31" s="116"/>
      <c r="JY31" s="116"/>
      <c r="JZ31" s="116"/>
      <c r="KA31" s="116"/>
      <c r="KB31" s="116"/>
      <c r="KC31" s="116"/>
      <c r="KD31" s="116"/>
      <c r="KE31" s="116"/>
      <c r="KF31" s="116"/>
      <c r="KG31" s="116"/>
      <c r="KH31" s="116"/>
      <c r="KI31" s="116"/>
      <c r="KJ31" s="116"/>
      <c r="KK31" s="116"/>
      <c r="KL31" s="116"/>
      <c r="KM31" s="116"/>
      <c r="KN31" s="116"/>
      <c r="KO31" s="116"/>
      <c r="KP31" s="116"/>
      <c r="KQ31" s="116"/>
      <c r="KR31" s="116"/>
      <c r="KS31" s="116"/>
      <c r="KT31" s="116"/>
      <c r="KU31" s="116"/>
      <c r="KV31" s="116"/>
      <c r="KW31" s="116"/>
      <c r="KX31" s="116"/>
      <c r="KY31" s="116"/>
      <c r="KZ31" s="116"/>
      <c r="LA31" s="116"/>
      <c r="LB31" s="116"/>
      <c r="LC31" s="116"/>
      <c r="LD31" s="116"/>
      <c r="LE31" s="116"/>
      <c r="LF31" s="116"/>
      <c r="LG31" s="116"/>
      <c r="LH31" s="116"/>
      <c r="LI31" s="116"/>
      <c r="LJ31" s="116"/>
      <c r="LK31" s="116"/>
      <c r="LL31" s="116"/>
      <c r="LM31" s="116"/>
      <c r="LN31" s="116"/>
      <c r="LO31" s="116"/>
      <c r="LP31" s="116"/>
      <c r="LQ31" s="116"/>
      <c r="LR31" s="116"/>
      <c r="LS31" s="116"/>
      <c r="LT31" s="116"/>
      <c r="LU31" s="116"/>
      <c r="LV31" s="116"/>
      <c r="LW31" s="116"/>
      <c r="LX31" s="116"/>
      <c r="LY31" s="116"/>
      <c r="LZ31" s="116"/>
      <c r="MA31" s="116"/>
      <c r="MB31" s="116"/>
      <c r="MC31" s="116"/>
      <c r="MD31" s="116"/>
      <c r="ME31" s="116"/>
      <c r="MF31" s="116"/>
      <c r="MG31" s="116"/>
      <c r="MH31" s="116"/>
      <c r="MI31" s="116"/>
      <c r="MJ31" s="116"/>
      <c r="MK31" s="116"/>
      <c r="ML31" s="116"/>
      <c r="MM31" s="116"/>
      <c r="MN31" s="116"/>
      <c r="MO31" s="116"/>
      <c r="MP31" s="116"/>
      <c r="MQ31" s="116"/>
      <c r="MR31" s="116"/>
      <c r="MS31" s="116"/>
      <c r="MT31" s="116"/>
      <c r="MU31" s="116"/>
      <c r="MV31" s="116"/>
      <c r="MW31" s="116"/>
      <c r="MX31" s="116"/>
      <c r="MY31" s="116"/>
      <c r="MZ31" s="116"/>
      <c r="NA31" s="116"/>
      <c r="NB31" s="116"/>
      <c r="NC31" s="116"/>
      <c r="ND31" s="116"/>
      <c r="NE31" s="116"/>
      <c r="NF31" s="116"/>
      <c r="NG31" s="116"/>
    </row>
    <row r="32" spans="1:383" ht="18.75" customHeight="1" x14ac:dyDescent="0.25">
      <c r="A32" s="909" t="s">
        <v>446</v>
      </c>
      <c r="B32" s="911"/>
      <c r="C32" s="650">
        <f>IF(OR(C8="Оптимум+",C8="Уверенность"),$BE$24,IF(C8="нет",0,IF(C8="Оптимум",$BI$24,0)))</f>
        <v>0</v>
      </c>
      <c r="D32" s="650">
        <f>IF(OR(D8="Максимум"),$BE$24,IF(D8="нет",0,IF(D8="Оптимум",$BI$24,0)))</f>
        <v>0</v>
      </c>
      <c r="E32" s="114">
        <f t="shared" si="28"/>
        <v>24</v>
      </c>
      <c r="F32" s="111">
        <f t="shared" si="14"/>
        <v>46046</v>
      </c>
      <c r="G32" s="24">
        <f t="shared" si="5"/>
        <v>12601</v>
      </c>
      <c r="H32" s="24">
        <f t="shared" si="6"/>
        <v>3250.03</v>
      </c>
      <c r="I32" s="24">
        <f t="shared" si="26"/>
        <v>126729.90000000001</v>
      </c>
      <c r="J32" s="24">
        <f t="shared" si="15"/>
        <v>0</v>
      </c>
      <c r="K32" s="24">
        <f t="shared" si="7"/>
        <v>9350.9699999999993</v>
      </c>
      <c r="L32" s="24">
        <f t="shared" si="16"/>
        <v>0</v>
      </c>
      <c r="M32" s="24">
        <f t="shared" si="29"/>
        <v>0</v>
      </c>
      <c r="N32" s="24">
        <f t="shared" si="17"/>
        <v>3250.03</v>
      </c>
      <c r="O32" s="24">
        <f t="shared" si="18"/>
        <v>0</v>
      </c>
      <c r="P32" s="24">
        <f t="shared" si="19"/>
        <v>0</v>
      </c>
      <c r="Q32" s="24">
        <f t="shared" si="8"/>
        <v>127804.90000000002</v>
      </c>
      <c r="R32" s="36">
        <f t="shared" si="30"/>
        <v>13</v>
      </c>
      <c r="S32" s="36">
        <f t="shared" si="20"/>
        <v>13</v>
      </c>
      <c r="T32" s="16"/>
      <c r="U32" s="16"/>
      <c r="V32" s="57"/>
      <c r="Y32" s="13" t="s">
        <v>80</v>
      </c>
      <c r="Z32" s="15">
        <f>IF(D18=T3,T22,IF(D18=V3,V22,IF(D18=W3,W22,IF(D18=X3,X22,IF(D18=U3,U22,)))))</f>
        <v>6.9000000000000006E-2</v>
      </c>
      <c r="AA32" s="15">
        <v>0</v>
      </c>
      <c r="AB32" s="15"/>
      <c r="AC32" s="2"/>
      <c r="AD32" s="2"/>
      <c r="AE32" s="2"/>
      <c r="AH32" s="2"/>
      <c r="AK32" s="16"/>
      <c r="AL32" s="130">
        <f t="shared" si="21"/>
        <v>1</v>
      </c>
      <c r="AM32" s="109">
        <f t="shared" si="31"/>
        <v>24</v>
      </c>
      <c r="AN32" s="110">
        <f t="shared" si="9"/>
        <v>46046</v>
      </c>
      <c r="AO32" s="105">
        <f t="shared" si="33"/>
        <v>12601</v>
      </c>
      <c r="AP32" s="105">
        <f t="shared" si="10"/>
        <v>3250.03</v>
      </c>
      <c r="AQ32" s="105">
        <f t="shared" si="11"/>
        <v>9350.9699999999993</v>
      </c>
      <c r="AR32" s="105">
        <f t="shared" si="34"/>
        <v>0</v>
      </c>
      <c r="AS32" s="105">
        <f t="shared" si="22"/>
        <v>0</v>
      </c>
      <c r="AT32" s="105">
        <f t="shared" si="23"/>
        <v>3250.03</v>
      </c>
      <c r="AU32" s="105">
        <f t="shared" si="24"/>
        <v>0</v>
      </c>
      <c r="AV32" s="105">
        <f t="shared" si="25"/>
        <v>0</v>
      </c>
      <c r="AW32" s="105">
        <f t="shared" si="12"/>
        <v>127804.90000000002</v>
      </c>
      <c r="AX32" s="108">
        <f t="shared" si="32"/>
        <v>13</v>
      </c>
      <c r="AY32" s="108">
        <f t="shared" si="13"/>
        <v>13</v>
      </c>
      <c r="AZ32" s="22">
        <f t="shared" si="3"/>
        <v>46046</v>
      </c>
      <c r="BA32" s="108">
        <f t="shared" si="3"/>
        <v>12601</v>
      </c>
    </row>
    <row r="33" spans="1:1207" ht="19.5" customHeight="1" x14ac:dyDescent="0.25">
      <c r="A33" s="2" t="s">
        <v>447</v>
      </c>
      <c r="B33" s="622" t="s">
        <v>35</v>
      </c>
      <c r="C33" s="2"/>
      <c r="D33" s="2"/>
      <c r="E33" s="114">
        <f t="shared" si="28"/>
        <v>25</v>
      </c>
      <c r="F33" s="111">
        <f t="shared" si="14"/>
        <v>46077</v>
      </c>
      <c r="G33" s="24">
        <f t="shared" si="5"/>
        <v>12601</v>
      </c>
      <c r="H33" s="24">
        <f t="shared" si="6"/>
        <v>3028.45</v>
      </c>
      <c r="I33" s="24">
        <f t="shared" si="26"/>
        <v>129758.35</v>
      </c>
      <c r="J33" s="24">
        <f t="shared" si="15"/>
        <v>0</v>
      </c>
      <c r="K33" s="24">
        <f t="shared" si="7"/>
        <v>9572.5499999999993</v>
      </c>
      <c r="L33" s="24">
        <f t="shared" si="16"/>
        <v>0</v>
      </c>
      <c r="M33" s="24">
        <f t="shared" si="29"/>
        <v>0</v>
      </c>
      <c r="N33" s="24">
        <f t="shared" si="17"/>
        <v>3028.45</v>
      </c>
      <c r="O33" s="24">
        <f t="shared" si="18"/>
        <v>0</v>
      </c>
      <c r="P33" s="24">
        <f t="shared" si="19"/>
        <v>0</v>
      </c>
      <c r="Q33" s="24">
        <f t="shared" si="8"/>
        <v>118232.35000000002</v>
      </c>
      <c r="R33" s="36">
        <f t="shared" si="30"/>
        <v>12</v>
      </c>
      <c r="S33" s="36">
        <f t="shared" si="20"/>
        <v>12</v>
      </c>
      <c r="T33" s="138" t="s">
        <v>104</v>
      </c>
      <c r="U33" s="139"/>
      <c r="V33" s="139" t="s">
        <v>20</v>
      </c>
      <c r="W33" s="139" t="s">
        <v>29</v>
      </c>
      <c r="X33" s="139"/>
      <c r="AB33" s="15"/>
      <c r="AJ33" s="16"/>
      <c r="AK33" s="16"/>
      <c r="AL33" s="130">
        <f t="shared" si="21"/>
        <v>1</v>
      </c>
      <c r="AM33" s="109">
        <f t="shared" si="31"/>
        <v>25</v>
      </c>
      <c r="AN33" s="110">
        <f t="shared" si="9"/>
        <v>46077</v>
      </c>
      <c r="AO33" s="105">
        <f t="shared" si="33"/>
        <v>12601</v>
      </c>
      <c r="AP33" s="105">
        <f t="shared" si="10"/>
        <v>3028.45</v>
      </c>
      <c r="AQ33" s="105">
        <f t="shared" si="11"/>
        <v>9572.5499999999993</v>
      </c>
      <c r="AR33" s="105">
        <f t="shared" si="34"/>
        <v>0</v>
      </c>
      <c r="AS33" s="105">
        <f t="shared" si="22"/>
        <v>0</v>
      </c>
      <c r="AT33" s="105">
        <f t="shared" si="23"/>
        <v>3028.45</v>
      </c>
      <c r="AU33" s="105">
        <f t="shared" si="24"/>
        <v>0</v>
      </c>
      <c r="AV33" s="105">
        <f t="shared" si="25"/>
        <v>0</v>
      </c>
      <c r="AW33" s="105">
        <f t="shared" si="12"/>
        <v>118232.35000000002</v>
      </c>
      <c r="AX33" s="108">
        <f t="shared" si="32"/>
        <v>12</v>
      </c>
      <c r="AY33" s="108">
        <f t="shared" si="13"/>
        <v>12</v>
      </c>
      <c r="AZ33" s="22">
        <f t="shared" si="3"/>
        <v>46077</v>
      </c>
      <c r="BA33" s="108">
        <f t="shared" si="3"/>
        <v>12601</v>
      </c>
      <c r="BD33" s="853" t="str">
        <f>IF(AL7&lt;C10,CONCATENATE("← Срок с учетом перехода на иной тарифный план равен ",AL7," мес."),"")</f>
        <v/>
      </c>
      <c r="BF33" s="131"/>
    </row>
    <row r="34" spans="1:1207" ht="15.75" customHeight="1" x14ac:dyDescent="0.3">
      <c r="A34" s="2" t="s">
        <v>448</v>
      </c>
      <c r="B34" s="622" t="s">
        <v>47</v>
      </c>
      <c r="C34" s="16"/>
      <c r="D34" s="16"/>
      <c r="E34" s="114">
        <f t="shared" si="28"/>
        <v>26</v>
      </c>
      <c r="F34" s="111">
        <f t="shared" si="14"/>
        <v>46105</v>
      </c>
      <c r="G34" s="24">
        <f t="shared" si="5"/>
        <v>12601</v>
      </c>
      <c r="H34" s="24">
        <f t="shared" si="6"/>
        <v>2530.5</v>
      </c>
      <c r="I34" s="24">
        <f t="shared" si="26"/>
        <v>132288.85</v>
      </c>
      <c r="J34" s="24">
        <f t="shared" si="15"/>
        <v>0</v>
      </c>
      <c r="K34" s="24">
        <f t="shared" si="7"/>
        <v>10070.5</v>
      </c>
      <c r="L34" s="24">
        <f t="shared" si="16"/>
        <v>0</v>
      </c>
      <c r="M34" s="24">
        <f t="shared" si="29"/>
        <v>0</v>
      </c>
      <c r="N34" s="24">
        <f t="shared" si="17"/>
        <v>2530.5</v>
      </c>
      <c r="O34" s="24">
        <f t="shared" si="18"/>
        <v>0</v>
      </c>
      <c r="P34" s="24">
        <f t="shared" si="19"/>
        <v>0</v>
      </c>
      <c r="Q34" s="24">
        <f t="shared" si="8"/>
        <v>108161.85000000002</v>
      </c>
      <c r="R34" s="36">
        <f t="shared" si="30"/>
        <v>11</v>
      </c>
      <c r="S34" s="36">
        <f t="shared" si="20"/>
        <v>11</v>
      </c>
      <c r="T34" s="140" t="s">
        <v>106</v>
      </c>
      <c r="U34" s="140" t="s">
        <v>107</v>
      </c>
      <c r="V34" s="140" t="s">
        <v>108</v>
      </c>
      <c r="W34" s="140" t="s">
        <v>109</v>
      </c>
      <c r="X34" s="140" t="s">
        <v>110</v>
      </c>
      <c r="Y34" s="140" t="s">
        <v>449</v>
      </c>
      <c r="Z34" s="140" t="s">
        <v>450</v>
      </c>
      <c r="AB34" s="2"/>
      <c r="AJ34" s="16"/>
      <c r="AK34" s="16"/>
      <c r="AL34" s="130">
        <f t="shared" si="21"/>
        <v>1</v>
      </c>
      <c r="AM34" s="109">
        <f t="shared" si="31"/>
        <v>26</v>
      </c>
      <c r="AN34" s="110">
        <f t="shared" si="9"/>
        <v>46105</v>
      </c>
      <c r="AO34" s="105">
        <f t="shared" si="33"/>
        <v>12601</v>
      </c>
      <c r="AP34" s="105">
        <f t="shared" si="10"/>
        <v>2530.5</v>
      </c>
      <c r="AQ34" s="105">
        <f t="shared" si="11"/>
        <v>10070.5</v>
      </c>
      <c r="AR34" s="105">
        <f t="shared" si="34"/>
        <v>0</v>
      </c>
      <c r="AS34" s="105">
        <f t="shared" si="22"/>
        <v>0</v>
      </c>
      <c r="AT34" s="105">
        <f t="shared" si="23"/>
        <v>2530.5</v>
      </c>
      <c r="AU34" s="105">
        <f t="shared" si="24"/>
        <v>0</v>
      </c>
      <c r="AV34" s="105">
        <f t="shared" si="25"/>
        <v>0</v>
      </c>
      <c r="AW34" s="105">
        <f t="shared" si="12"/>
        <v>108161.85000000002</v>
      </c>
      <c r="AX34" s="108">
        <f t="shared" si="32"/>
        <v>11</v>
      </c>
      <c r="AY34" s="108">
        <f t="shared" si="13"/>
        <v>11</v>
      </c>
      <c r="AZ34" s="22">
        <f t="shared" si="3"/>
        <v>46105</v>
      </c>
      <c r="BA34" s="108">
        <f t="shared" si="3"/>
        <v>12601</v>
      </c>
      <c r="BD34" s="853"/>
    </row>
    <row r="35" spans="1:1207" ht="25.5" customHeight="1" x14ac:dyDescent="0.3">
      <c r="A35" s="2" t="s">
        <v>451</v>
      </c>
      <c r="B35" s="622" t="s">
        <v>47</v>
      </c>
      <c r="C35" s="16"/>
      <c r="D35" s="16"/>
      <c r="E35" s="114">
        <f t="shared" si="28"/>
        <v>27</v>
      </c>
      <c r="F35" s="111">
        <f t="shared" si="14"/>
        <v>46136</v>
      </c>
      <c r="G35" s="24">
        <f t="shared" si="5"/>
        <v>12601</v>
      </c>
      <c r="H35" s="24">
        <f t="shared" si="6"/>
        <v>2562.9899999999998</v>
      </c>
      <c r="I35" s="24">
        <f t="shared" si="26"/>
        <v>134851.84</v>
      </c>
      <c r="J35" s="24">
        <f t="shared" si="15"/>
        <v>0</v>
      </c>
      <c r="K35" s="24">
        <f t="shared" si="7"/>
        <v>10038.01</v>
      </c>
      <c r="L35" s="24">
        <f t="shared" si="16"/>
        <v>0</v>
      </c>
      <c r="M35" s="24">
        <f t="shared" si="29"/>
        <v>0</v>
      </c>
      <c r="N35" s="24">
        <f t="shared" si="17"/>
        <v>2562.9899999999998</v>
      </c>
      <c r="O35" s="24">
        <f t="shared" si="18"/>
        <v>0</v>
      </c>
      <c r="P35" s="24">
        <f t="shared" si="19"/>
        <v>0</v>
      </c>
      <c r="Q35" s="24">
        <f t="shared" si="8"/>
        <v>98123.840000000026</v>
      </c>
      <c r="R35" s="36">
        <f t="shared" si="30"/>
        <v>10</v>
      </c>
      <c r="S35" s="36">
        <f t="shared" si="20"/>
        <v>10</v>
      </c>
      <c r="T35" s="2">
        <f>IF(C11="Да",IF($C$10&gt;=79,$Z37,IF($C$10&gt;=67,$Y37,IF($C$10&gt;=55,$X37,IF($C$10&gt;=43,$W37,IF($C$10&gt;=31,$V37,IF($C$10&gt;=19,$U37,$T37)))))),"")</f>
        <v>2499</v>
      </c>
      <c r="U35" s="2">
        <f>IF(D11="Да",IF($C$10&gt;=55,$X$37,IF($C$10&gt;=43,$W$37,IF($C$10&gt;=31,$V$37,IF($C$10&gt;=19,$U$37,$T$37)))),"")</f>
        <v>2499</v>
      </c>
      <c r="V35" s="142">
        <v>36</v>
      </c>
      <c r="W35" s="141">
        <v>37</v>
      </c>
      <c r="X35" s="141">
        <v>49</v>
      </c>
      <c r="Y35" s="141">
        <v>61</v>
      </c>
      <c r="Z35" s="141">
        <v>73</v>
      </c>
      <c r="AB35" s="15"/>
      <c r="AJ35" s="16"/>
      <c r="AK35" s="16"/>
      <c r="AL35" s="130">
        <f t="shared" si="21"/>
        <v>1</v>
      </c>
      <c r="AM35" s="109">
        <f t="shared" si="31"/>
        <v>27</v>
      </c>
      <c r="AN35" s="110">
        <f t="shared" si="9"/>
        <v>46136</v>
      </c>
      <c r="AO35" s="105">
        <f t="shared" si="33"/>
        <v>12601</v>
      </c>
      <c r="AP35" s="105">
        <f t="shared" si="10"/>
        <v>2562.9899999999998</v>
      </c>
      <c r="AQ35" s="105">
        <f t="shared" si="11"/>
        <v>10038.01</v>
      </c>
      <c r="AR35" s="105">
        <f t="shared" si="34"/>
        <v>0</v>
      </c>
      <c r="AS35" s="105">
        <f t="shared" si="22"/>
        <v>0</v>
      </c>
      <c r="AT35" s="105">
        <f t="shared" si="23"/>
        <v>2562.9899999999998</v>
      </c>
      <c r="AU35" s="105">
        <f t="shared" si="24"/>
        <v>0</v>
      </c>
      <c r="AV35" s="105">
        <f t="shared" si="25"/>
        <v>0</v>
      </c>
      <c r="AW35" s="105">
        <f t="shared" si="12"/>
        <v>98123.840000000026</v>
      </c>
      <c r="AX35" s="108">
        <f t="shared" si="32"/>
        <v>10</v>
      </c>
      <c r="AY35" s="108">
        <f t="shared" si="13"/>
        <v>10</v>
      </c>
      <c r="AZ35" s="22">
        <f t="shared" si="3"/>
        <v>46136</v>
      </c>
      <c r="BA35" s="108">
        <f t="shared" si="3"/>
        <v>12601</v>
      </c>
      <c r="BD35" s="853"/>
    </row>
    <row r="36" spans="1:1207" ht="16.5" customHeight="1" x14ac:dyDescent="0.25">
      <c r="B36" s="16"/>
      <c r="C36" s="15"/>
      <c r="D36" s="15"/>
      <c r="E36" s="114">
        <f t="shared" si="28"/>
        <v>28</v>
      </c>
      <c r="F36" s="111">
        <f t="shared" si="14"/>
        <v>46166</v>
      </c>
      <c r="G36" s="24">
        <f t="shared" si="5"/>
        <v>12601</v>
      </c>
      <c r="H36" s="24">
        <f t="shared" si="6"/>
        <v>2250.13</v>
      </c>
      <c r="I36" s="24">
        <f t="shared" si="26"/>
        <v>137101.97</v>
      </c>
      <c r="J36" s="24">
        <f t="shared" si="15"/>
        <v>0</v>
      </c>
      <c r="K36" s="24">
        <f t="shared" si="7"/>
        <v>10350.869999999999</v>
      </c>
      <c r="L36" s="24">
        <f t="shared" si="16"/>
        <v>0</v>
      </c>
      <c r="M36" s="24">
        <f t="shared" si="29"/>
        <v>0</v>
      </c>
      <c r="N36" s="24">
        <f t="shared" si="17"/>
        <v>2250.13</v>
      </c>
      <c r="O36" s="24">
        <f t="shared" si="18"/>
        <v>0</v>
      </c>
      <c r="P36" s="24">
        <f t="shared" si="19"/>
        <v>0</v>
      </c>
      <c r="Q36" s="24">
        <f t="shared" si="8"/>
        <v>87772.97000000003</v>
      </c>
      <c r="R36" s="36">
        <f t="shared" si="30"/>
        <v>9</v>
      </c>
      <c r="S36" s="36">
        <f t="shared" si="20"/>
        <v>9</v>
      </c>
      <c r="T36" s="2">
        <f>IF(C11="Да",IF($C$10&gt;=79,$Z38,IF($C$10&gt;=67,$Y38,IF($C$10&gt;=55,$X38,IF($C$10&gt;=43,$W38,IF($C$10&gt;=31,$V38,IF($C$10&gt;=19,$U38,$T38)))))),"")</f>
        <v>3499</v>
      </c>
      <c r="U36" s="2">
        <f>IF(D11="Да",IF($C$10&gt;=55,$X$38,IF($C$10&gt;=43,$W$38,IF($C$10&gt;=31,$V$38,IF($C$10&gt;=19,$U$38,$T$38)))),"")</f>
        <v>3499</v>
      </c>
      <c r="V36" s="142">
        <v>36</v>
      </c>
      <c r="W36" s="142">
        <v>48</v>
      </c>
      <c r="X36" s="142">
        <v>60</v>
      </c>
      <c r="Y36" s="142">
        <v>72</v>
      </c>
      <c r="Z36" s="142">
        <v>84</v>
      </c>
      <c r="AB36" s="15"/>
      <c r="AJ36" s="16"/>
      <c r="AK36" s="16"/>
      <c r="AL36" s="130">
        <f t="shared" si="21"/>
        <v>1</v>
      </c>
      <c r="AM36" s="109">
        <f t="shared" si="31"/>
        <v>28</v>
      </c>
      <c r="AN36" s="110">
        <f t="shared" si="9"/>
        <v>46166</v>
      </c>
      <c r="AO36" s="105">
        <f t="shared" si="33"/>
        <v>12601</v>
      </c>
      <c r="AP36" s="105">
        <f t="shared" si="10"/>
        <v>2250.13</v>
      </c>
      <c r="AQ36" s="105">
        <f t="shared" si="11"/>
        <v>10350.869999999999</v>
      </c>
      <c r="AR36" s="105">
        <f t="shared" si="34"/>
        <v>0</v>
      </c>
      <c r="AS36" s="105">
        <f t="shared" si="22"/>
        <v>0</v>
      </c>
      <c r="AT36" s="105">
        <f t="shared" si="23"/>
        <v>2250.13</v>
      </c>
      <c r="AU36" s="105">
        <f t="shared" si="24"/>
        <v>0</v>
      </c>
      <c r="AV36" s="105">
        <f t="shared" si="25"/>
        <v>0</v>
      </c>
      <c r="AW36" s="105">
        <f t="shared" si="12"/>
        <v>87772.97000000003</v>
      </c>
      <c r="AX36" s="108">
        <f t="shared" si="32"/>
        <v>9</v>
      </c>
      <c r="AY36" s="108">
        <f t="shared" si="13"/>
        <v>9</v>
      </c>
      <c r="AZ36" s="22">
        <f t="shared" si="3"/>
        <v>46166</v>
      </c>
      <c r="BA36" s="108">
        <f t="shared" si="3"/>
        <v>12601</v>
      </c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  <c r="AMK36" s="16"/>
      <c r="AML36" s="16"/>
      <c r="AMM36" s="16"/>
      <c r="AMN36" s="16"/>
      <c r="AMO36" s="16"/>
      <c r="AMP36" s="16"/>
      <c r="AMQ36" s="16"/>
      <c r="AMR36" s="16"/>
      <c r="AMS36" s="16"/>
      <c r="AMT36" s="16"/>
      <c r="AMU36" s="16"/>
      <c r="AMV36" s="16"/>
      <c r="AMW36" s="16"/>
      <c r="AMX36" s="16"/>
      <c r="AMY36" s="16"/>
      <c r="AMZ36" s="16"/>
      <c r="ANA36" s="16"/>
      <c r="ANB36" s="16"/>
      <c r="ANC36" s="16"/>
      <c r="AND36" s="16"/>
      <c r="ANE36" s="16"/>
      <c r="ANF36" s="16"/>
      <c r="ANG36" s="16"/>
      <c r="ANH36" s="16"/>
      <c r="ANI36" s="16"/>
      <c r="ANJ36" s="16"/>
      <c r="ANK36" s="16"/>
      <c r="ANL36" s="16"/>
      <c r="ANM36" s="16"/>
      <c r="ANN36" s="16"/>
      <c r="ANO36" s="16"/>
      <c r="ANP36" s="16"/>
      <c r="ANQ36" s="16"/>
      <c r="ANR36" s="16"/>
      <c r="ANS36" s="16"/>
      <c r="ANT36" s="16"/>
      <c r="ANU36" s="16"/>
      <c r="ANV36" s="16"/>
      <c r="ANW36" s="16"/>
      <c r="ANX36" s="16"/>
      <c r="ANY36" s="16"/>
      <c r="ANZ36" s="16"/>
      <c r="AOA36" s="16"/>
      <c r="AOB36" s="16"/>
      <c r="AOC36" s="16"/>
      <c r="AOD36" s="16"/>
      <c r="AOE36" s="16"/>
      <c r="AOF36" s="16"/>
      <c r="AOG36" s="16"/>
      <c r="AOH36" s="16"/>
      <c r="AOI36" s="16"/>
      <c r="AOJ36" s="16"/>
      <c r="AOK36" s="16"/>
      <c r="AOL36" s="16"/>
      <c r="AOM36" s="16"/>
      <c r="AON36" s="16"/>
      <c r="AOO36" s="16"/>
      <c r="AOP36" s="16"/>
      <c r="AOQ36" s="16"/>
      <c r="AOR36" s="16"/>
      <c r="AOS36" s="16"/>
      <c r="AOT36" s="16"/>
      <c r="AOU36" s="16"/>
      <c r="AOV36" s="16"/>
      <c r="AOW36" s="16"/>
      <c r="AOX36" s="16"/>
      <c r="AOY36" s="16"/>
      <c r="AOZ36" s="16"/>
      <c r="APA36" s="16"/>
      <c r="APB36" s="16"/>
      <c r="APC36" s="16"/>
      <c r="APD36" s="16"/>
      <c r="APE36" s="16"/>
      <c r="APF36" s="16"/>
      <c r="APG36" s="16"/>
      <c r="APH36" s="16"/>
      <c r="API36" s="16"/>
      <c r="APJ36" s="16"/>
      <c r="APK36" s="16"/>
      <c r="APL36" s="16"/>
      <c r="APM36" s="16"/>
      <c r="APN36" s="16"/>
      <c r="APO36" s="16"/>
      <c r="APP36" s="16"/>
      <c r="APQ36" s="16"/>
      <c r="APR36" s="16"/>
      <c r="APS36" s="16"/>
      <c r="APT36" s="16"/>
      <c r="APU36" s="16"/>
      <c r="APV36" s="16"/>
      <c r="APW36" s="16"/>
      <c r="APX36" s="16"/>
      <c r="APY36" s="16"/>
      <c r="APZ36" s="16"/>
      <c r="AQA36" s="16"/>
      <c r="AQB36" s="16"/>
      <c r="AQC36" s="16"/>
      <c r="AQD36" s="16"/>
      <c r="AQE36" s="16"/>
      <c r="AQF36" s="16"/>
      <c r="AQG36" s="16"/>
      <c r="AQH36" s="16"/>
      <c r="AQI36" s="16"/>
      <c r="AQJ36" s="16"/>
      <c r="AQK36" s="16"/>
      <c r="AQL36" s="16"/>
      <c r="AQM36" s="16"/>
      <c r="AQN36" s="16"/>
      <c r="AQO36" s="16"/>
      <c r="AQP36" s="16"/>
      <c r="AQQ36" s="16"/>
      <c r="AQR36" s="16"/>
      <c r="AQS36" s="16"/>
      <c r="AQT36" s="16"/>
      <c r="AQU36" s="16"/>
      <c r="AQV36" s="16"/>
      <c r="AQW36" s="16"/>
      <c r="AQX36" s="16"/>
      <c r="AQY36" s="16"/>
      <c r="AQZ36" s="16"/>
      <c r="ARA36" s="16"/>
      <c r="ARB36" s="16"/>
      <c r="ARC36" s="16"/>
      <c r="ARD36" s="16"/>
      <c r="ARE36" s="16"/>
      <c r="ARF36" s="16"/>
      <c r="ARG36" s="16"/>
      <c r="ARH36" s="16"/>
      <c r="ARI36" s="16"/>
      <c r="ARJ36" s="16"/>
      <c r="ARK36" s="16"/>
      <c r="ARL36" s="16"/>
      <c r="ARM36" s="16"/>
      <c r="ARN36" s="16"/>
      <c r="ARO36" s="16"/>
      <c r="ARP36" s="16"/>
      <c r="ARQ36" s="16"/>
      <c r="ARR36" s="16"/>
      <c r="ARS36" s="16"/>
      <c r="ART36" s="16"/>
      <c r="ARU36" s="16"/>
      <c r="ARV36" s="16"/>
      <c r="ARW36" s="16"/>
      <c r="ARX36" s="16"/>
      <c r="ARY36" s="16"/>
      <c r="ARZ36" s="16"/>
      <c r="ASA36" s="16"/>
      <c r="ASB36" s="16"/>
      <c r="ASC36" s="16"/>
      <c r="ASD36" s="16"/>
      <c r="ASE36" s="16"/>
      <c r="ASF36" s="16"/>
      <c r="ASG36" s="16"/>
      <c r="ASH36" s="16"/>
      <c r="ASI36" s="16"/>
      <c r="ASJ36" s="16"/>
      <c r="ASK36" s="16"/>
      <c r="ASL36" s="16"/>
      <c r="ASM36" s="16"/>
      <c r="ASN36" s="16"/>
      <c r="ASO36" s="16"/>
      <c r="ASP36" s="16"/>
      <c r="ASQ36" s="16"/>
      <c r="ASR36" s="16"/>
      <c r="ASS36" s="16"/>
      <c r="AST36" s="16"/>
      <c r="ASU36" s="16"/>
      <c r="ASV36" s="16"/>
      <c r="ASW36" s="16"/>
      <c r="ASX36" s="16"/>
      <c r="ASY36" s="16"/>
      <c r="ASZ36" s="16"/>
      <c r="ATA36" s="16"/>
      <c r="ATB36" s="16"/>
      <c r="ATC36" s="16"/>
      <c r="ATD36" s="16"/>
      <c r="ATE36" s="16"/>
      <c r="ATF36" s="16"/>
      <c r="ATG36" s="16"/>
      <c r="ATH36" s="16"/>
      <c r="ATI36" s="16"/>
      <c r="ATJ36" s="16"/>
      <c r="ATK36" s="16"/>
    </row>
    <row r="37" spans="1:1207" s="16" customFormat="1" ht="16.5" customHeight="1" x14ac:dyDescent="0.25">
      <c r="A37" s="2"/>
      <c r="B37" s="2"/>
      <c r="C37" s="15"/>
      <c r="D37" s="15"/>
      <c r="E37" s="114">
        <f t="shared" si="28"/>
        <v>29</v>
      </c>
      <c r="F37" s="111">
        <f t="shared" si="14"/>
        <v>46197</v>
      </c>
      <c r="G37" s="24">
        <f t="shared" si="5"/>
        <v>12601</v>
      </c>
      <c r="H37" s="24">
        <f t="shared" si="6"/>
        <v>2079.86</v>
      </c>
      <c r="I37" s="24">
        <f t="shared" si="26"/>
        <v>139181.82999999999</v>
      </c>
      <c r="J37" s="24">
        <f t="shared" si="15"/>
        <v>0</v>
      </c>
      <c r="K37" s="24">
        <f t="shared" si="7"/>
        <v>10521.14</v>
      </c>
      <c r="L37" s="24">
        <f t="shared" si="16"/>
        <v>0</v>
      </c>
      <c r="M37" s="24">
        <f t="shared" si="29"/>
        <v>0</v>
      </c>
      <c r="N37" s="24">
        <f t="shared" si="17"/>
        <v>2079.86</v>
      </c>
      <c r="O37" s="24">
        <f t="shared" si="18"/>
        <v>0</v>
      </c>
      <c r="P37" s="24">
        <f t="shared" si="19"/>
        <v>0</v>
      </c>
      <c r="Q37" s="24">
        <f t="shared" si="8"/>
        <v>77251.830000000031</v>
      </c>
      <c r="R37" s="36">
        <f t="shared" si="30"/>
        <v>8</v>
      </c>
      <c r="S37" s="36">
        <f t="shared" si="20"/>
        <v>8</v>
      </c>
      <c r="T37" s="142">
        <v>0</v>
      </c>
      <c r="U37" s="142">
        <v>199000</v>
      </c>
      <c r="V37" s="142">
        <v>2499</v>
      </c>
      <c r="W37" s="142">
        <v>3499</v>
      </c>
      <c r="X37" s="142">
        <v>5499</v>
      </c>
      <c r="Y37" s="142"/>
      <c r="Z37" s="142"/>
      <c r="AA37" s="2"/>
      <c r="AB37" s="15"/>
      <c r="AC37" s="3"/>
      <c r="AD37" s="3"/>
      <c r="AE37" s="3"/>
      <c r="AF37" s="2"/>
      <c r="AG37" s="2"/>
      <c r="AH37" s="57"/>
      <c r="AI37" s="2"/>
      <c r="AL37" s="130">
        <f t="shared" si="21"/>
        <v>1</v>
      </c>
      <c r="AM37" s="109">
        <f t="shared" si="31"/>
        <v>29</v>
      </c>
      <c r="AN37" s="110">
        <f t="shared" si="9"/>
        <v>46197</v>
      </c>
      <c r="AO37" s="105">
        <f>IF(AX36=1,AR37+AP37+AQ37,IF(AW36+AR37+AP37&gt;AO36,$D$29,IF(AW36=0,0,AW36+AR37+AP37+AP69)))</f>
        <v>12601</v>
      </c>
      <c r="AP37" s="105">
        <f t="shared" si="10"/>
        <v>2079.86</v>
      </c>
      <c r="AQ37" s="105">
        <f t="shared" si="11"/>
        <v>10521.14</v>
      </c>
      <c r="AR37" s="105">
        <f t="shared" si="34"/>
        <v>0</v>
      </c>
      <c r="AS37" s="105">
        <f t="shared" si="22"/>
        <v>0</v>
      </c>
      <c r="AT37" s="105">
        <f t="shared" si="23"/>
        <v>2079.86</v>
      </c>
      <c r="AU37" s="105">
        <f t="shared" si="24"/>
        <v>0</v>
      </c>
      <c r="AV37" s="105">
        <f t="shared" si="25"/>
        <v>0</v>
      </c>
      <c r="AW37" s="105">
        <f t="shared" si="12"/>
        <v>77251.830000000031</v>
      </c>
      <c r="AX37" s="108">
        <f t="shared" si="32"/>
        <v>8</v>
      </c>
      <c r="AY37" s="108">
        <f t="shared" si="13"/>
        <v>8</v>
      </c>
      <c r="AZ37" s="22">
        <f t="shared" si="3"/>
        <v>46197</v>
      </c>
      <c r="BA37" s="108">
        <f t="shared" si="3"/>
        <v>12601</v>
      </c>
    </row>
    <row r="38" spans="1:1207" s="16" customFormat="1" ht="16.5" customHeight="1" x14ac:dyDescent="0.25">
      <c r="A38" s="2"/>
      <c r="B38" s="2"/>
      <c r="C38" s="2"/>
      <c r="D38" s="2"/>
      <c r="E38" s="114">
        <f t="shared" si="28"/>
        <v>30</v>
      </c>
      <c r="F38" s="111">
        <f t="shared" si="14"/>
        <v>46227</v>
      </c>
      <c r="G38" s="24">
        <f t="shared" si="5"/>
        <v>12601</v>
      </c>
      <c r="H38" s="24">
        <f t="shared" si="6"/>
        <v>1771.5</v>
      </c>
      <c r="I38" s="24">
        <f t="shared" si="26"/>
        <v>140953.32999999999</v>
      </c>
      <c r="J38" s="24">
        <f t="shared" si="15"/>
        <v>0</v>
      </c>
      <c r="K38" s="24">
        <f t="shared" si="7"/>
        <v>10829.5</v>
      </c>
      <c r="L38" s="24">
        <f t="shared" si="16"/>
        <v>0</v>
      </c>
      <c r="M38" s="24">
        <f t="shared" si="29"/>
        <v>0</v>
      </c>
      <c r="N38" s="24">
        <f t="shared" si="17"/>
        <v>1771.5</v>
      </c>
      <c r="O38" s="24">
        <f t="shared" si="18"/>
        <v>0</v>
      </c>
      <c r="P38" s="24">
        <f t="shared" si="19"/>
        <v>0</v>
      </c>
      <c r="Q38" s="24">
        <f t="shared" si="8"/>
        <v>66422.330000000031</v>
      </c>
      <c r="R38" s="36">
        <f t="shared" si="30"/>
        <v>7</v>
      </c>
      <c r="S38" s="36">
        <f t="shared" si="20"/>
        <v>7</v>
      </c>
      <c r="T38" s="142">
        <v>199001</v>
      </c>
      <c r="U38" s="158">
        <v>500000</v>
      </c>
      <c r="V38" s="142">
        <v>3499</v>
      </c>
      <c r="W38" s="158">
        <v>4999</v>
      </c>
      <c r="X38" s="158">
        <v>6999</v>
      </c>
      <c r="Y38" s="158"/>
      <c r="Z38" s="158"/>
      <c r="AA38" s="2"/>
      <c r="AB38" s="3"/>
      <c r="AC38" s="3"/>
      <c r="AD38" s="3"/>
      <c r="AE38" s="3"/>
      <c r="AF38" s="2"/>
      <c r="AG38" s="2"/>
      <c r="AH38" s="57"/>
      <c r="AI38" s="2"/>
      <c r="AK38" s="63"/>
      <c r="AL38" s="130">
        <f t="shared" si="21"/>
        <v>1</v>
      </c>
      <c r="AM38" s="109">
        <f t="shared" si="31"/>
        <v>30</v>
      </c>
      <c r="AN38" s="110">
        <f t="shared" si="9"/>
        <v>46227</v>
      </c>
      <c r="AO38" s="105">
        <f>IF(AX37=1,AR38+AP38+AQ38,IF(AW37+AR38+AP38&gt;AO37,$D$29,IF(AW37=0,0,AW37+AR38+AP38+AP70)))</f>
        <v>12601</v>
      </c>
      <c r="AP38" s="105">
        <f t="shared" si="10"/>
        <v>1771.5</v>
      </c>
      <c r="AQ38" s="105">
        <f t="shared" si="11"/>
        <v>10829.5</v>
      </c>
      <c r="AR38" s="105">
        <f t="shared" si="34"/>
        <v>0</v>
      </c>
      <c r="AS38" s="105">
        <f t="shared" si="22"/>
        <v>0</v>
      </c>
      <c r="AT38" s="105">
        <f t="shared" si="23"/>
        <v>1771.5</v>
      </c>
      <c r="AU38" s="105">
        <f t="shared" si="24"/>
        <v>0</v>
      </c>
      <c r="AV38" s="105">
        <f t="shared" si="25"/>
        <v>0</v>
      </c>
      <c r="AW38" s="105">
        <f t="shared" si="12"/>
        <v>66422.330000000031</v>
      </c>
      <c r="AX38" s="108">
        <f t="shared" si="32"/>
        <v>7</v>
      </c>
      <c r="AY38" s="108">
        <f t="shared" si="13"/>
        <v>7</v>
      </c>
      <c r="AZ38" s="22">
        <f t="shared" si="3"/>
        <v>46227</v>
      </c>
      <c r="BA38" s="108">
        <f t="shared" si="3"/>
        <v>12601</v>
      </c>
    </row>
    <row r="39" spans="1:1207" s="16" customFormat="1" x14ac:dyDescent="0.25">
      <c r="A39" s="2"/>
      <c r="B39" s="2"/>
      <c r="C39" s="2"/>
      <c r="D39" s="2"/>
      <c r="E39" s="114">
        <f t="shared" si="28"/>
        <v>31</v>
      </c>
      <c r="F39" s="111">
        <f t="shared" si="14"/>
        <v>46258</v>
      </c>
      <c r="G39" s="24">
        <f t="shared" si="5"/>
        <v>12601</v>
      </c>
      <c r="H39" s="24">
        <f t="shared" si="6"/>
        <v>1573.94</v>
      </c>
      <c r="I39" s="24">
        <f t="shared" si="26"/>
        <v>142527.26999999999</v>
      </c>
      <c r="J39" s="24">
        <f t="shared" si="15"/>
        <v>0</v>
      </c>
      <c r="K39" s="24">
        <f t="shared" si="7"/>
        <v>11027.06</v>
      </c>
      <c r="L39" s="24">
        <f t="shared" si="16"/>
        <v>0</v>
      </c>
      <c r="M39" s="24">
        <f t="shared" si="29"/>
        <v>0</v>
      </c>
      <c r="N39" s="24">
        <f t="shared" si="17"/>
        <v>1573.94</v>
      </c>
      <c r="O39" s="24">
        <f t="shared" si="18"/>
        <v>0</v>
      </c>
      <c r="P39" s="24">
        <f t="shared" si="19"/>
        <v>0</v>
      </c>
      <c r="Q39" s="24">
        <f t="shared" si="8"/>
        <v>55395.270000000033</v>
      </c>
      <c r="R39" s="36">
        <f t="shared" si="30"/>
        <v>6</v>
      </c>
      <c r="S39" s="36">
        <f t="shared" si="20"/>
        <v>6</v>
      </c>
      <c r="T39" s="158">
        <v>500001</v>
      </c>
      <c r="U39" s="142">
        <v>1000000</v>
      </c>
      <c r="V39" s="158">
        <v>4999</v>
      </c>
      <c r="W39" s="142">
        <v>6499</v>
      </c>
      <c r="X39" s="142">
        <v>8499</v>
      </c>
      <c r="Y39" s="142">
        <v>9499</v>
      </c>
      <c r="Z39" s="142">
        <v>10999</v>
      </c>
      <c r="AA39" s="2"/>
      <c r="AB39" s="3"/>
      <c r="AC39" s="3"/>
      <c r="AD39" s="3"/>
      <c r="AE39" s="3"/>
      <c r="AF39" s="2"/>
      <c r="AG39" s="2"/>
      <c r="AH39" s="57"/>
      <c r="AI39" s="2"/>
      <c r="AJ39" s="63"/>
      <c r="AK39" s="15"/>
      <c r="AL39" s="130">
        <f t="shared" si="21"/>
        <v>1</v>
      </c>
      <c r="AM39" s="109">
        <f t="shared" si="31"/>
        <v>31</v>
      </c>
      <c r="AN39" s="110">
        <f t="shared" si="9"/>
        <v>46258</v>
      </c>
      <c r="AO39" s="105">
        <f t="shared" ref="AO39:AO102" si="35">IF(AX38=1,AR39+AP39+AQ39,IF(AW38+AR39+AP39&gt;AO38,$D$29,IF(AW38=0,0,AW38+AR39+AP39+AP71)))</f>
        <v>12601</v>
      </c>
      <c r="AP39" s="105">
        <f t="shared" si="10"/>
        <v>1573.94</v>
      </c>
      <c r="AQ39" s="105">
        <f t="shared" si="11"/>
        <v>11027.06</v>
      </c>
      <c r="AR39" s="105">
        <f t="shared" si="34"/>
        <v>0</v>
      </c>
      <c r="AS39" s="105">
        <f t="shared" si="22"/>
        <v>0</v>
      </c>
      <c r="AT39" s="105">
        <f t="shared" si="23"/>
        <v>1573.94</v>
      </c>
      <c r="AU39" s="105">
        <f t="shared" si="24"/>
        <v>0</v>
      </c>
      <c r="AV39" s="105">
        <f t="shared" si="25"/>
        <v>0</v>
      </c>
      <c r="AW39" s="105">
        <f t="shared" si="12"/>
        <v>55395.270000000033</v>
      </c>
      <c r="AX39" s="108">
        <f t="shared" si="32"/>
        <v>6</v>
      </c>
      <c r="AY39" s="108">
        <f t="shared" si="13"/>
        <v>6</v>
      </c>
      <c r="AZ39" s="22">
        <f t="shared" si="3"/>
        <v>46258</v>
      </c>
      <c r="BA39" s="108">
        <f t="shared" si="3"/>
        <v>12601</v>
      </c>
    </row>
    <row r="40" spans="1:1207" s="16" customFormat="1" x14ac:dyDescent="0.25">
      <c r="A40" s="2"/>
      <c r="B40" s="2"/>
      <c r="C40" s="2"/>
      <c r="D40" s="2"/>
      <c r="E40" s="114">
        <f t="shared" si="28"/>
        <v>32</v>
      </c>
      <c r="F40" s="111">
        <f t="shared" si="14"/>
        <v>46289</v>
      </c>
      <c r="G40" s="24">
        <f t="shared" si="5"/>
        <v>12601</v>
      </c>
      <c r="H40" s="24">
        <f t="shared" si="6"/>
        <v>1312.64</v>
      </c>
      <c r="I40" s="24">
        <f t="shared" si="26"/>
        <v>143839.91</v>
      </c>
      <c r="J40" s="24">
        <f t="shared" si="15"/>
        <v>0</v>
      </c>
      <c r="K40" s="24">
        <f t="shared" si="7"/>
        <v>11288.36</v>
      </c>
      <c r="L40" s="24">
        <f t="shared" si="16"/>
        <v>0</v>
      </c>
      <c r="M40" s="24">
        <f t="shared" si="29"/>
        <v>0</v>
      </c>
      <c r="N40" s="24">
        <f t="shared" si="17"/>
        <v>1312.64</v>
      </c>
      <c r="O40" s="24">
        <f t="shared" si="18"/>
        <v>0</v>
      </c>
      <c r="P40" s="24">
        <f t="shared" si="19"/>
        <v>0</v>
      </c>
      <c r="Q40" s="24">
        <f t="shared" si="8"/>
        <v>44106.910000000033</v>
      </c>
      <c r="R40" s="36">
        <f t="shared" si="30"/>
        <v>5</v>
      </c>
      <c r="S40" s="36">
        <f t="shared" si="20"/>
        <v>5</v>
      </c>
      <c r="T40" s="142">
        <v>1000001</v>
      </c>
      <c r="U40" s="158">
        <v>5000000</v>
      </c>
      <c r="V40" s="142">
        <v>6499</v>
      </c>
      <c r="W40" s="142">
        <v>8499</v>
      </c>
      <c r="X40" s="158">
        <v>9999</v>
      </c>
      <c r="Y40" s="158">
        <v>10999</v>
      </c>
      <c r="Z40" s="158">
        <v>11999</v>
      </c>
      <c r="AA40" s="2"/>
      <c r="AB40" s="3"/>
      <c r="AC40" s="3"/>
      <c r="AD40" s="3"/>
      <c r="AE40" s="3"/>
      <c r="AF40" s="2"/>
      <c r="AG40" s="2"/>
      <c r="AH40" s="57"/>
      <c r="AI40" s="2"/>
      <c r="AJ40" s="15"/>
      <c r="AK40" s="15"/>
      <c r="AL40" s="130">
        <f t="shared" si="21"/>
        <v>1</v>
      </c>
      <c r="AM40" s="109">
        <f t="shared" si="31"/>
        <v>32</v>
      </c>
      <c r="AN40" s="110">
        <f t="shared" si="9"/>
        <v>46289</v>
      </c>
      <c r="AO40" s="105">
        <f t="shared" si="35"/>
        <v>12601</v>
      </c>
      <c r="AP40" s="105">
        <f t="shared" si="10"/>
        <v>1312.64</v>
      </c>
      <c r="AQ40" s="105">
        <f t="shared" si="11"/>
        <v>11288.36</v>
      </c>
      <c r="AR40" s="105">
        <f t="shared" si="34"/>
        <v>0</v>
      </c>
      <c r="AS40" s="105">
        <f t="shared" si="22"/>
        <v>0</v>
      </c>
      <c r="AT40" s="105">
        <f t="shared" si="23"/>
        <v>1312.64</v>
      </c>
      <c r="AU40" s="105">
        <f t="shared" si="24"/>
        <v>0</v>
      </c>
      <c r="AV40" s="105">
        <f t="shared" si="25"/>
        <v>0</v>
      </c>
      <c r="AW40" s="105">
        <f t="shared" si="12"/>
        <v>44106.910000000033</v>
      </c>
      <c r="AX40" s="108">
        <f t="shared" si="32"/>
        <v>5</v>
      </c>
      <c r="AY40" s="108">
        <f t="shared" si="13"/>
        <v>5</v>
      </c>
      <c r="AZ40" s="22">
        <f t="shared" ref="AZ40:BA71" si="36">F40</f>
        <v>46289</v>
      </c>
      <c r="BA40" s="108">
        <f t="shared" si="36"/>
        <v>12601</v>
      </c>
    </row>
    <row r="41" spans="1:1207" s="16" customFormat="1" ht="28.5" customHeight="1" x14ac:dyDescent="0.25">
      <c r="A41" s="2"/>
      <c r="B41" s="2"/>
      <c r="C41" s="2"/>
      <c r="D41" s="2"/>
      <c r="E41" s="114">
        <f t="shared" si="28"/>
        <v>33</v>
      </c>
      <c r="F41" s="111">
        <f t="shared" si="14"/>
        <v>46319</v>
      </c>
      <c r="G41" s="24">
        <f t="shared" si="5"/>
        <v>12601</v>
      </c>
      <c r="H41" s="24">
        <f t="shared" si="6"/>
        <v>1011.44</v>
      </c>
      <c r="I41" s="24">
        <f t="shared" si="26"/>
        <v>144851.35</v>
      </c>
      <c r="J41" s="24">
        <f t="shared" si="15"/>
        <v>0</v>
      </c>
      <c r="K41" s="24">
        <f t="shared" si="7"/>
        <v>11589.56</v>
      </c>
      <c r="L41" s="24">
        <f t="shared" si="16"/>
        <v>0</v>
      </c>
      <c r="M41" s="24">
        <f t="shared" si="29"/>
        <v>0</v>
      </c>
      <c r="N41" s="24">
        <f t="shared" si="17"/>
        <v>1011.44</v>
      </c>
      <c r="O41" s="24">
        <f t="shared" si="18"/>
        <v>0</v>
      </c>
      <c r="P41" s="24">
        <f t="shared" si="19"/>
        <v>0</v>
      </c>
      <c r="Q41" s="24">
        <f t="shared" si="8"/>
        <v>32517.350000000035</v>
      </c>
      <c r="R41" s="36">
        <f t="shared" si="30"/>
        <v>4</v>
      </c>
      <c r="S41" s="36">
        <f t="shared" si="20"/>
        <v>4</v>
      </c>
      <c r="T41" s="2">
        <f>IF(C11="Да",IF($C$10&gt;=Z35,Z41,IF($C$10&gt;=Y35,Y41,IF($C$10&gt;=X35,X41,IF($C$10&gt;=W35,W41,IF($C$10&gt;=W35,W41,V41))))),"")</f>
        <v>3499</v>
      </c>
      <c r="U41" s="2"/>
      <c r="V41" s="2">
        <f>IF($C$7&lt;=$U$37,V37,IF($C$7&lt;=$U$38,V38,IF($C$7&lt;=$U$39,V39,V40)))</f>
        <v>3499</v>
      </c>
      <c r="W41" s="2">
        <f>IF($C$7&lt;=$U$37,W37,IF($C$7&lt;=$U$38,W38,IF($C$7&lt;=$U$39,W39,W40)))</f>
        <v>4999</v>
      </c>
      <c r="X41" s="2">
        <f>IF($C$7&lt;=$U$37,X37,IF($C$7&lt;=$U$38,X38,IF($C$7&lt;=$U$39,X39,X40)))</f>
        <v>6999</v>
      </c>
      <c r="Y41" s="2">
        <f>IF($C$7&lt;=$U$37,Y37,IF($C$7&lt;=$U$38,Y38,IF($C$7&lt;=$U$39,Y39,Y40)))</f>
        <v>0</v>
      </c>
      <c r="Z41" s="2">
        <f>IF($C$7&lt;$U$37,Z37,IF($C$7&lt;$U$38,Z38,IF($C$7&lt;$U$39,Z39,Z40)))</f>
        <v>0</v>
      </c>
      <c r="AA41" s="2"/>
      <c r="AB41" s="3"/>
      <c r="AC41" s="3"/>
      <c r="AD41" s="3"/>
      <c r="AE41" s="3"/>
      <c r="AF41" s="2"/>
      <c r="AG41" s="2"/>
      <c r="AH41" s="57"/>
      <c r="AI41" s="2"/>
      <c r="AJ41" s="15"/>
      <c r="AK41" s="15"/>
      <c r="AL41" s="130">
        <f t="shared" si="21"/>
        <v>1</v>
      </c>
      <c r="AM41" s="109">
        <f t="shared" si="31"/>
        <v>33</v>
      </c>
      <c r="AN41" s="110">
        <f t="shared" si="9"/>
        <v>46319</v>
      </c>
      <c r="AO41" s="105">
        <f t="shared" si="35"/>
        <v>12601</v>
      </c>
      <c r="AP41" s="105">
        <f t="shared" si="10"/>
        <v>1011.44</v>
      </c>
      <c r="AQ41" s="105">
        <f t="shared" si="11"/>
        <v>11589.56</v>
      </c>
      <c r="AR41" s="105">
        <f t="shared" si="34"/>
        <v>0</v>
      </c>
      <c r="AS41" s="105">
        <f t="shared" si="22"/>
        <v>0</v>
      </c>
      <c r="AT41" s="105">
        <f t="shared" si="23"/>
        <v>1011.44</v>
      </c>
      <c r="AU41" s="105">
        <f t="shared" si="24"/>
        <v>0</v>
      </c>
      <c r="AV41" s="105">
        <f t="shared" si="25"/>
        <v>0</v>
      </c>
      <c r="AW41" s="105">
        <f t="shared" si="12"/>
        <v>32517.350000000035</v>
      </c>
      <c r="AX41" s="108">
        <f t="shared" si="32"/>
        <v>4</v>
      </c>
      <c r="AY41" s="108">
        <f t="shared" si="13"/>
        <v>4</v>
      </c>
      <c r="AZ41" s="22">
        <f t="shared" si="36"/>
        <v>46319</v>
      </c>
      <c r="BA41" s="108">
        <f t="shared" si="36"/>
        <v>12601</v>
      </c>
    </row>
    <row r="42" spans="1:1207" s="16" customFormat="1" ht="12" x14ac:dyDescent="0.25">
      <c r="A42" s="2"/>
      <c r="B42" s="2"/>
      <c r="C42" s="130"/>
      <c r="D42" s="2"/>
      <c r="E42" s="114">
        <f t="shared" si="28"/>
        <v>34</v>
      </c>
      <c r="F42" s="111">
        <f t="shared" si="14"/>
        <v>46350</v>
      </c>
      <c r="G42" s="24">
        <f t="shared" si="5"/>
        <v>12601</v>
      </c>
      <c r="H42" s="24">
        <f t="shared" si="6"/>
        <v>770.53</v>
      </c>
      <c r="I42" s="24">
        <f t="shared" si="26"/>
        <v>145621.88</v>
      </c>
      <c r="J42" s="24">
        <f t="shared" si="15"/>
        <v>0</v>
      </c>
      <c r="K42" s="24">
        <f t="shared" si="7"/>
        <v>11830.47</v>
      </c>
      <c r="L42" s="24">
        <f t="shared" si="16"/>
        <v>0</v>
      </c>
      <c r="M42" s="24">
        <f t="shared" si="29"/>
        <v>0</v>
      </c>
      <c r="N42" s="24">
        <f t="shared" si="17"/>
        <v>770.53</v>
      </c>
      <c r="O42" s="24">
        <f t="shared" si="18"/>
        <v>0</v>
      </c>
      <c r="P42" s="24">
        <f t="shared" si="19"/>
        <v>0</v>
      </c>
      <c r="Q42" s="24">
        <f t="shared" si="8"/>
        <v>20686.880000000034</v>
      </c>
      <c r="R42" s="36">
        <f t="shared" si="30"/>
        <v>3</v>
      </c>
      <c r="S42" s="36">
        <f t="shared" si="20"/>
        <v>3</v>
      </c>
      <c r="T42" s="2"/>
      <c r="U42" s="2"/>
      <c r="V42" s="2"/>
      <c r="W42" s="2"/>
      <c r="X42" s="2"/>
      <c r="Y42" s="2"/>
      <c r="Z42" s="13"/>
      <c r="AA42" s="2"/>
      <c r="AB42" s="2"/>
      <c r="AC42" s="2"/>
      <c r="AD42" s="2"/>
      <c r="AE42" s="2"/>
      <c r="AF42" s="2"/>
      <c r="AG42" s="2"/>
      <c r="AH42" s="57"/>
      <c r="AI42" s="2"/>
      <c r="AJ42" s="15"/>
      <c r="AK42" s="15"/>
      <c r="AL42" s="130">
        <f t="shared" si="21"/>
        <v>1</v>
      </c>
      <c r="AM42" s="109">
        <f t="shared" si="31"/>
        <v>34</v>
      </c>
      <c r="AN42" s="110">
        <f t="shared" si="9"/>
        <v>46350</v>
      </c>
      <c r="AO42" s="105">
        <f t="shared" si="35"/>
        <v>12601</v>
      </c>
      <c r="AP42" s="105">
        <f t="shared" si="10"/>
        <v>770.53</v>
      </c>
      <c r="AQ42" s="105">
        <f t="shared" si="11"/>
        <v>11830.47</v>
      </c>
      <c r="AR42" s="105">
        <f t="shared" si="34"/>
        <v>0</v>
      </c>
      <c r="AS42" s="105">
        <f t="shared" si="22"/>
        <v>0</v>
      </c>
      <c r="AT42" s="105">
        <f t="shared" si="23"/>
        <v>770.53</v>
      </c>
      <c r="AU42" s="105">
        <f t="shared" si="24"/>
        <v>0</v>
      </c>
      <c r="AV42" s="105">
        <f t="shared" si="25"/>
        <v>0</v>
      </c>
      <c r="AW42" s="105">
        <f t="shared" si="12"/>
        <v>20686.880000000034</v>
      </c>
      <c r="AX42" s="108">
        <f t="shared" si="32"/>
        <v>3</v>
      </c>
      <c r="AY42" s="108">
        <f t="shared" si="13"/>
        <v>3</v>
      </c>
      <c r="AZ42" s="22">
        <f t="shared" si="36"/>
        <v>46350</v>
      </c>
      <c r="BA42" s="108">
        <f t="shared" si="36"/>
        <v>12601</v>
      </c>
    </row>
    <row r="43" spans="1:1207" s="16" customFormat="1" ht="12" x14ac:dyDescent="0.25">
      <c r="A43" s="2"/>
      <c r="B43" s="2"/>
      <c r="C43" s="2"/>
      <c r="D43" s="2"/>
      <c r="E43" s="114">
        <f t="shared" si="28"/>
        <v>35</v>
      </c>
      <c r="F43" s="111">
        <f t="shared" si="14"/>
        <v>46380</v>
      </c>
      <c r="G43" s="24">
        <f t="shared" si="5"/>
        <v>12601</v>
      </c>
      <c r="H43" s="24">
        <f t="shared" si="6"/>
        <v>474.38</v>
      </c>
      <c r="I43" s="24">
        <f t="shared" si="26"/>
        <v>146096.26</v>
      </c>
      <c r="J43" s="24">
        <f t="shared" si="15"/>
        <v>0</v>
      </c>
      <c r="K43" s="24">
        <f t="shared" si="7"/>
        <v>12126.62</v>
      </c>
      <c r="L43" s="24">
        <f t="shared" si="16"/>
        <v>0</v>
      </c>
      <c r="M43" s="24">
        <f t="shared" si="29"/>
        <v>0</v>
      </c>
      <c r="N43" s="24">
        <f t="shared" si="17"/>
        <v>474.38</v>
      </c>
      <c r="O43" s="24">
        <f t="shared" si="18"/>
        <v>0</v>
      </c>
      <c r="P43" s="24">
        <f t="shared" si="19"/>
        <v>0</v>
      </c>
      <c r="Q43" s="24">
        <f t="shared" si="8"/>
        <v>8560.260000000033</v>
      </c>
      <c r="R43" s="36">
        <f t="shared" si="30"/>
        <v>2</v>
      </c>
      <c r="S43" s="36">
        <f t="shared" si="20"/>
        <v>2</v>
      </c>
      <c r="T43" s="2"/>
      <c r="U43" s="2"/>
      <c r="V43" s="2"/>
      <c r="W43" s="2"/>
      <c r="X43" s="2"/>
      <c r="Y43" s="2"/>
      <c r="Z43" s="13"/>
      <c r="AA43" s="2"/>
      <c r="AB43" s="2"/>
      <c r="AC43" s="2"/>
      <c r="AD43" s="2"/>
      <c r="AE43" s="2"/>
      <c r="AF43" s="2"/>
      <c r="AG43" s="2"/>
      <c r="AH43" s="57"/>
      <c r="AI43" s="2"/>
      <c r="AJ43" s="15"/>
      <c r="AK43" s="15"/>
      <c r="AL43" s="130">
        <f t="shared" si="21"/>
        <v>1</v>
      </c>
      <c r="AM43" s="109">
        <f t="shared" si="31"/>
        <v>35</v>
      </c>
      <c r="AN43" s="110">
        <f t="shared" si="9"/>
        <v>46380</v>
      </c>
      <c r="AO43" s="105">
        <f t="shared" si="35"/>
        <v>12601</v>
      </c>
      <c r="AP43" s="105">
        <f t="shared" si="10"/>
        <v>474.38</v>
      </c>
      <c r="AQ43" s="105">
        <f t="shared" si="11"/>
        <v>12126.62</v>
      </c>
      <c r="AR43" s="105">
        <f t="shared" si="34"/>
        <v>0</v>
      </c>
      <c r="AS43" s="105">
        <f t="shared" si="22"/>
        <v>0</v>
      </c>
      <c r="AT43" s="105">
        <f t="shared" si="23"/>
        <v>474.38</v>
      </c>
      <c r="AU43" s="105">
        <f t="shared" si="24"/>
        <v>0</v>
      </c>
      <c r="AV43" s="105">
        <f t="shared" si="25"/>
        <v>0</v>
      </c>
      <c r="AW43" s="105">
        <f t="shared" si="12"/>
        <v>8560.260000000033</v>
      </c>
      <c r="AX43" s="108">
        <f t="shared" si="32"/>
        <v>2</v>
      </c>
      <c r="AY43" s="108">
        <f t="shared" si="13"/>
        <v>2</v>
      </c>
      <c r="AZ43" s="22">
        <f t="shared" si="36"/>
        <v>46380</v>
      </c>
      <c r="BA43" s="108">
        <f t="shared" si="36"/>
        <v>12601</v>
      </c>
    </row>
    <row r="44" spans="1:1207" s="16" customFormat="1" x14ac:dyDescent="0.25">
      <c r="A44" s="2"/>
      <c r="B44" s="2"/>
      <c r="C44" s="13"/>
      <c r="D44" s="13"/>
      <c r="E44" s="114">
        <f t="shared" si="28"/>
        <v>36</v>
      </c>
      <c r="F44" s="111">
        <f t="shared" si="14"/>
        <v>46411</v>
      </c>
      <c r="G44" s="24">
        <f t="shared" si="5"/>
        <v>8763.1000000000331</v>
      </c>
      <c r="H44" s="24">
        <f t="shared" si="6"/>
        <v>202.84</v>
      </c>
      <c r="I44" s="24">
        <f t="shared" si="26"/>
        <v>146299.1</v>
      </c>
      <c r="J44" s="24" t="e">
        <f t="shared" si="15"/>
        <v>#VALUE!</v>
      </c>
      <c r="K44" s="24">
        <f t="shared" si="7"/>
        <v>8560.260000000033</v>
      </c>
      <c r="L44" s="24">
        <f t="shared" si="16"/>
        <v>0</v>
      </c>
      <c r="M44" s="24">
        <f t="shared" si="29"/>
        <v>0</v>
      </c>
      <c r="N44" s="24">
        <f t="shared" si="17"/>
        <v>202.84</v>
      </c>
      <c r="O44" s="24">
        <f t="shared" si="18"/>
        <v>0</v>
      </c>
      <c r="P44" s="24">
        <f t="shared" si="19"/>
        <v>0</v>
      </c>
      <c r="Q44" s="24">
        <f t="shared" si="8"/>
        <v>0</v>
      </c>
      <c r="R44" s="36">
        <f t="shared" si="30"/>
        <v>1</v>
      </c>
      <c r="S44" s="36">
        <f t="shared" si="20"/>
        <v>1</v>
      </c>
      <c r="T44" s="2"/>
      <c r="U44" s="2"/>
      <c r="V44" s="2"/>
      <c r="W44" s="2"/>
      <c r="X44" s="2"/>
      <c r="Y44" s="2"/>
      <c r="Z44" s="2"/>
      <c r="AA44" s="2"/>
      <c r="AB44" s="3"/>
      <c r="AC44" s="3"/>
      <c r="AD44" s="3"/>
      <c r="AE44" s="3"/>
      <c r="AF44" s="2"/>
      <c r="AG44" s="2"/>
      <c r="AH44" s="57"/>
      <c r="AI44" s="2"/>
      <c r="AJ44" s="15"/>
      <c r="AK44" s="3"/>
      <c r="AL44" s="130">
        <f t="shared" si="21"/>
        <v>1</v>
      </c>
      <c r="AM44" s="109">
        <f t="shared" si="31"/>
        <v>36</v>
      </c>
      <c r="AN44" s="110">
        <f t="shared" si="9"/>
        <v>46411</v>
      </c>
      <c r="AO44" s="105">
        <f t="shared" si="35"/>
        <v>8763.1000000000331</v>
      </c>
      <c r="AP44" s="105">
        <f t="shared" si="10"/>
        <v>202.84</v>
      </c>
      <c r="AQ44" s="105">
        <f t="shared" si="11"/>
        <v>8560.260000000033</v>
      </c>
      <c r="AR44" s="105">
        <f t="shared" si="34"/>
        <v>0</v>
      </c>
      <c r="AS44" s="105">
        <f t="shared" si="22"/>
        <v>0</v>
      </c>
      <c r="AT44" s="105">
        <f t="shared" si="23"/>
        <v>202.84</v>
      </c>
      <c r="AU44" s="105">
        <f t="shared" si="24"/>
        <v>0</v>
      </c>
      <c r="AV44" s="105">
        <f t="shared" si="25"/>
        <v>0</v>
      </c>
      <c r="AW44" s="105">
        <f t="shared" si="12"/>
        <v>0</v>
      </c>
      <c r="AX44" s="108">
        <f t="shared" si="32"/>
        <v>1</v>
      </c>
      <c r="AY44" s="108">
        <f t="shared" si="13"/>
        <v>1</v>
      </c>
      <c r="AZ44" s="22">
        <f t="shared" si="36"/>
        <v>46411</v>
      </c>
      <c r="BA44" s="108">
        <f t="shared" si="36"/>
        <v>8763.1000000000331</v>
      </c>
    </row>
    <row r="45" spans="1:1207" s="16" customFormat="1" x14ac:dyDescent="0.25">
      <c r="A45" s="2"/>
      <c r="B45" s="46"/>
      <c r="C45" s="13"/>
      <c r="D45" s="13"/>
      <c r="E45" s="114">
        <f t="shared" si="28"/>
        <v>37</v>
      </c>
      <c r="F45" s="111">
        <f t="shared" si="14"/>
        <v>46442</v>
      </c>
      <c r="G45" s="24">
        <f t="shared" si="5"/>
        <v>0</v>
      </c>
      <c r="H45" s="24">
        <f t="shared" si="6"/>
        <v>0</v>
      </c>
      <c r="I45" s="24">
        <f t="shared" si="26"/>
        <v>146299.1</v>
      </c>
      <c r="J45" s="24">
        <f t="shared" si="15"/>
        <v>0</v>
      </c>
      <c r="K45" s="24">
        <f t="shared" si="7"/>
        <v>0</v>
      </c>
      <c r="L45" s="24">
        <f t="shared" si="16"/>
        <v>0</v>
      </c>
      <c r="M45" s="24">
        <f t="shared" si="29"/>
        <v>0</v>
      </c>
      <c r="N45" s="24">
        <f t="shared" si="17"/>
        <v>0</v>
      </c>
      <c r="O45" s="24">
        <f t="shared" si="18"/>
        <v>0</v>
      </c>
      <c r="P45" s="24">
        <f t="shared" si="19"/>
        <v>0</v>
      </c>
      <c r="Q45" s="24">
        <f t="shared" si="8"/>
        <v>0</v>
      </c>
      <c r="R45" s="36">
        <f t="shared" si="30"/>
        <v>0</v>
      </c>
      <c r="S45" s="36">
        <f t="shared" si="20"/>
        <v>0</v>
      </c>
      <c r="T45" s="2"/>
      <c r="U45" s="2"/>
      <c r="V45" s="2"/>
      <c r="W45" s="2"/>
      <c r="X45" s="2"/>
      <c r="Y45" s="2"/>
      <c r="Z45" s="2"/>
      <c r="AA45" s="2"/>
      <c r="AB45" s="3"/>
      <c r="AC45" s="3"/>
      <c r="AD45" s="3"/>
      <c r="AE45" s="3"/>
      <c r="AF45" s="2"/>
      <c r="AG45" s="2"/>
      <c r="AH45" s="57"/>
      <c r="AI45" s="2"/>
      <c r="AJ45" s="3"/>
      <c r="AL45" s="130">
        <f t="shared" si="21"/>
        <v>0</v>
      </c>
      <c r="AM45" s="109">
        <f t="shared" si="31"/>
        <v>37</v>
      </c>
      <c r="AN45" s="110">
        <f t="shared" si="9"/>
        <v>46442</v>
      </c>
      <c r="AO45" s="105">
        <f t="shared" si="35"/>
        <v>0</v>
      </c>
      <c r="AP45" s="105">
        <f t="shared" si="10"/>
        <v>0</v>
      </c>
      <c r="AQ45" s="105">
        <f t="shared" si="11"/>
        <v>0</v>
      </c>
      <c r="AR45" s="105">
        <f t="shared" si="34"/>
        <v>0</v>
      </c>
      <c r="AS45" s="105">
        <f t="shared" si="22"/>
        <v>0</v>
      </c>
      <c r="AT45" s="105">
        <f t="shared" si="23"/>
        <v>0</v>
      </c>
      <c r="AU45" s="105">
        <f t="shared" si="24"/>
        <v>0</v>
      </c>
      <c r="AV45" s="105">
        <f t="shared" si="25"/>
        <v>0</v>
      </c>
      <c r="AW45" s="105">
        <f t="shared" si="12"/>
        <v>0</v>
      </c>
      <c r="AX45" s="108">
        <f t="shared" si="32"/>
        <v>0</v>
      </c>
      <c r="AY45" s="108">
        <f t="shared" si="13"/>
        <v>0</v>
      </c>
      <c r="AZ45" s="22">
        <f t="shared" si="36"/>
        <v>46442</v>
      </c>
      <c r="BA45" s="108">
        <f t="shared" si="36"/>
        <v>0</v>
      </c>
    </row>
    <row r="46" spans="1:1207" s="16" customFormat="1" x14ac:dyDescent="0.25">
      <c r="A46" s="2"/>
      <c r="B46" s="607"/>
      <c r="C46" s="13"/>
      <c r="D46" s="13"/>
      <c r="E46" s="114">
        <f t="shared" si="28"/>
        <v>38</v>
      </c>
      <c r="F46" s="111">
        <f t="shared" si="14"/>
        <v>46470</v>
      </c>
      <c r="G46" s="24">
        <f t="shared" si="5"/>
        <v>0</v>
      </c>
      <c r="H46" s="24">
        <f t="shared" si="6"/>
        <v>0</v>
      </c>
      <c r="I46" s="24">
        <f t="shared" si="26"/>
        <v>146299.1</v>
      </c>
      <c r="J46" s="24">
        <f t="shared" si="15"/>
        <v>0</v>
      </c>
      <c r="K46" s="24">
        <f t="shared" si="7"/>
        <v>0</v>
      </c>
      <c r="L46" s="24">
        <f t="shared" si="16"/>
        <v>0</v>
      </c>
      <c r="M46" s="24">
        <f t="shared" si="29"/>
        <v>0</v>
      </c>
      <c r="N46" s="24">
        <f t="shared" si="17"/>
        <v>0</v>
      </c>
      <c r="O46" s="24">
        <f t="shared" si="18"/>
        <v>0</v>
      </c>
      <c r="P46" s="24">
        <f t="shared" si="19"/>
        <v>0</v>
      </c>
      <c r="Q46" s="24">
        <f t="shared" si="8"/>
        <v>0</v>
      </c>
      <c r="R46" s="36">
        <f t="shared" si="30"/>
        <v>0</v>
      </c>
      <c r="S46" s="36">
        <f t="shared" si="20"/>
        <v>0</v>
      </c>
      <c r="T46" s="62">
        <f>IF(C23&lt;&gt;X60, C23,AA14)</f>
        <v>0.27900000000000003</v>
      </c>
      <c r="U46" s="2">
        <f>IF(OR($C$26=0,B34="Нет"),0,-$C$26)</f>
        <v>0</v>
      </c>
      <c r="V46" s="57">
        <f>V49+365*$C$10</f>
        <v>58455</v>
      </c>
      <c r="W46" s="2"/>
      <c r="X46" s="2"/>
      <c r="Y46" s="2"/>
      <c r="Z46" s="2"/>
      <c r="AA46" s="2"/>
      <c r="AB46" s="3"/>
      <c r="AC46" s="3"/>
      <c r="AD46" s="3"/>
      <c r="AE46" s="3"/>
      <c r="AF46" s="2"/>
      <c r="AG46" s="2"/>
      <c r="AH46" s="57"/>
      <c r="AI46" s="62">
        <f>IF(D23&lt;&gt;X60, D23,$AB$14)</f>
        <v>0.27900000000000003</v>
      </c>
      <c r="AJ46" s="2">
        <f>IF($D$26=0,0,-$D$26)</f>
        <v>0</v>
      </c>
      <c r="AK46" s="57">
        <f>AK49+365*$C$10</f>
        <v>58455</v>
      </c>
      <c r="AL46" s="130">
        <f t="shared" si="21"/>
        <v>0</v>
      </c>
      <c r="AM46" s="109">
        <f t="shared" si="31"/>
        <v>38</v>
      </c>
      <c r="AN46" s="110">
        <f t="shared" si="9"/>
        <v>46470</v>
      </c>
      <c r="AO46" s="105">
        <f t="shared" si="35"/>
        <v>0</v>
      </c>
      <c r="AP46" s="105">
        <f t="shared" si="10"/>
        <v>0</v>
      </c>
      <c r="AQ46" s="105">
        <f t="shared" si="11"/>
        <v>0</v>
      </c>
      <c r="AR46" s="105">
        <f t="shared" si="34"/>
        <v>0</v>
      </c>
      <c r="AS46" s="105">
        <f t="shared" si="22"/>
        <v>0</v>
      </c>
      <c r="AT46" s="105">
        <f t="shared" si="23"/>
        <v>0</v>
      </c>
      <c r="AU46" s="105">
        <f t="shared" si="24"/>
        <v>0</v>
      </c>
      <c r="AV46" s="105">
        <f t="shared" si="25"/>
        <v>0</v>
      </c>
      <c r="AW46" s="105">
        <f t="shared" si="12"/>
        <v>0</v>
      </c>
      <c r="AX46" s="108">
        <f t="shared" si="32"/>
        <v>0</v>
      </c>
      <c r="AY46" s="108">
        <f t="shared" si="13"/>
        <v>0</v>
      </c>
      <c r="AZ46" s="22">
        <f t="shared" si="36"/>
        <v>46470</v>
      </c>
      <c r="BA46" s="108">
        <f t="shared" si="36"/>
        <v>0</v>
      </c>
    </row>
    <row r="47" spans="1:1207" s="16" customFormat="1" x14ac:dyDescent="0.25">
      <c r="A47" s="2"/>
      <c r="B47" s="2"/>
      <c r="C47" s="2"/>
      <c r="D47" s="2"/>
      <c r="E47" s="114">
        <f t="shared" si="28"/>
        <v>39</v>
      </c>
      <c r="F47" s="111">
        <f t="shared" si="14"/>
        <v>46501</v>
      </c>
      <c r="G47" s="24">
        <f t="shared" si="5"/>
        <v>0</v>
      </c>
      <c r="H47" s="24">
        <f t="shared" si="6"/>
        <v>0</v>
      </c>
      <c r="I47" s="24">
        <f t="shared" si="26"/>
        <v>146299.1</v>
      </c>
      <c r="J47" s="24">
        <f t="shared" si="15"/>
        <v>0</v>
      </c>
      <c r="K47" s="24">
        <f t="shared" si="7"/>
        <v>0</v>
      </c>
      <c r="L47" s="24">
        <f t="shared" si="16"/>
        <v>0</v>
      </c>
      <c r="M47" s="24">
        <f>O46-L46</f>
        <v>0</v>
      </c>
      <c r="N47" s="24">
        <f>H47+O47</f>
        <v>0</v>
      </c>
      <c r="O47" s="24">
        <f>IF(S47=0,0,0)</f>
        <v>0</v>
      </c>
      <c r="P47" s="24">
        <f>IF(S47=0,0,0)</f>
        <v>0</v>
      </c>
      <c r="Q47" s="24">
        <f t="shared" si="8"/>
        <v>0</v>
      </c>
      <c r="R47" s="36">
        <f t="shared" si="30"/>
        <v>0</v>
      </c>
      <c r="S47" s="36">
        <f t="shared" si="20"/>
        <v>0</v>
      </c>
      <c r="T47" s="62">
        <f>IF(C24&lt;&gt;X61, C24,AA15)</f>
        <v>0.04</v>
      </c>
      <c r="U47" s="2"/>
      <c r="V47" s="57">
        <f>V50+365*$C$10</f>
        <v>58820</v>
      </c>
      <c r="W47" s="2"/>
      <c r="X47" s="2"/>
      <c r="Y47" s="2"/>
      <c r="Z47" s="2"/>
      <c r="AA47" s="2"/>
      <c r="AB47" s="3"/>
      <c r="AC47" s="3"/>
      <c r="AD47" s="3"/>
      <c r="AE47" s="3">
        <v>1</v>
      </c>
      <c r="AF47" s="2"/>
      <c r="AG47" s="2"/>
      <c r="AH47" s="57"/>
      <c r="AI47" s="62">
        <f>IF(D24&lt;&gt;X61, D24,$AB$14)</f>
        <v>0</v>
      </c>
      <c r="AJ47" s="2">
        <f>IF($D$26=0,0,-$D$26)</f>
        <v>0</v>
      </c>
      <c r="AK47" s="57">
        <f>AK50+365*$C$10</f>
        <v>58820</v>
      </c>
      <c r="AL47" s="130">
        <f>IF(OR(AO47="",AO47=0),0,1)</f>
        <v>0</v>
      </c>
      <c r="AM47" s="109">
        <f t="shared" si="31"/>
        <v>39</v>
      </c>
      <c r="AN47" s="110">
        <f t="shared" si="9"/>
        <v>46501</v>
      </c>
      <c r="AO47" s="105">
        <f t="shared" si="35"/>
        <v>0</v>
      </c>
      <c r="AP47" s="105">
        <f t="shared" si="10"/>
        <v>0</v>
      </c>
      <c r="AQ47" s="105">
        <f>IF(AY47=0,0,IF(AY47=1,AW46,IF(AW46+AR47+AP47&gt;AO46,AO47-AP47-AR47,AW46)))</f>
        <v>0</v>
      </c>
      <c r="AR47" s="105">
        <f t="shared" si="34"/>
        <v>0</v>
      </c>
      <c r="AS47" s="105">
        <f>AU46-AR46</f>
        <v>0</v>
      </c>
      <c r="AT47" s="105">
        <f>AP47+AU47</f>
        <v>0</v>
      </c>
      <c r="AU47" s="105">
        <f>IF(AY47=0,0,0)</f>
        <v>0</v>
      </c>
      <c r="AV47" s="105">
        <f>IF(AY47=0,0,0)</f>
        <v>0</v>
      </c>
      <c r="AW47" s="105">
        <f>IF(OR(AY47=1,AW46=0),0,AW46-AQ47)</f>
        <v>0</v>
      </c>
      <c r="AX47" s="108">
        <f t="shared" si="32"/>
        <v>0</v>
      </c>
      <c r="AY47" s="108">
        <f t="shared" si="13"/>
        <v>0</v>
      </c>
      <c r="AZ47" s="22">
        <f t="shared" si="36"/>
        <v>46501</v>
      </c>
      <c r="BA47" s="108">
        <f t="shared" si="36"/>
        <v>0</v>
      </c>
    </row>
    <row r="48" spans="1:1207" s="16" customFormat="1" ht="12" customHeight="1" x14ac:dyDescent="0.25">
      <c r="A48" s="2"/>
      <c r="B48" s="2"/>
      <c r="C48" s="2"/>
      <c r="D48" s="13"/>
      <c r="E48" s="114">
        <f t="shared" si="28"/>
        <v>40</v>
      </c>
      <c r="F48" s="111">
        <f t="shared" si="14"/>
        <v>46531</v>
      </c>
      <c r="G48" s="24">
        <f t="shared" si="5"/>
        <v>0</v>
      </c>
      <c r="H48" s="24">
        <f t="shared" si="6"/>
        <v>0</v>
      </c>
      <c r="I48" s="24">
        <f t="shared" si="26"/>
        <v>146299.1</v>
      </c>
      <c r="J48" s="24">
        <f t="shared" si="15"/>
        <v>0</v>
      </c>
      <c r="K48" s="24">
        <f t="shared" si="7"/>
        <v>0</v>
      </c>
      <c r="L48" s="24">
        <f t="shared" si="16"/>
        <v>0</v>
      </c>
      <c r="M48" s="24">
        <f t="shared" ref="M48:M63" si="37">O47-L47</f>
        <v>0</v>
      </c>
      <c r="N48" s="24">
        <f t="shared" ref="N48:N63" si="38">H48+O48</f>
        <v>0</v>
      </c>
      <c r="O48" s="24">
        <f t="shared" ref="O48:O63" si="39">IF(S48=0,0,0)</f>
        <v>0</v>
      </c>
      <c r="P48" s="24">
        <f t="shared" ref="P48:P63" si="40">IF(S48=0,0,0)</f>
        <v>0</v>
      </c>
      <c r="Q48" s="24">
        <f t="shared" si="8"/>
        <v>0</v>
      </c>
      <c r="R48" s="36">
        <f t="shared" si="30"/>
        <v>0</v>
      </c>
      <c r="S48" s="36">
        <f t="shared" si="20"/>
        <v>0</v>
      </c>
      <c r="T48" s="2"/>
      <c r="U48" s="18">
        <f>G8</f>
        <v>-303499</v>
      </c>
      <c r="V48" s="57">
        <f>F8</f>
        <v>45315</v>
      </c>
      <c r="W48" s="2"/>
      <c r="X48" s="2"/>
      <c r="Y48" s="37"/>
      <c r="Z48" s="38">
        <v>0</v>
      </c>
      <c r="AA48" s="1" t="s">
        <v>20</v>
      </c>
      <c r="AB48" s="6" t="s">
        <v>15</v>
      </c>
      <c r="AC48" s="6"/>
      <c r="AD48" s="6">
        <v>10</v>
      </c>
      <c r="AE48" s="27">
        <v>41274</v>
      </c>
      <c r="AF48" s="2">
        <v>6</v>
      </c>
      <c r="AG48" s="2"/>
      <c r="AH48" s="2"/>
      <c r="AI48" s="2"/>
      <c r="AJ48" s="18">
        <f>AO8</f>
        <v>-303499</v>
      </c>
      <c r="AK48" s="57">
        <f>AN8</f>
        <v>45315</v>
      </c>
      <c r="AL48" s="130">
        <f t="shared" si="21"/>
        <v>0</v>
      </c>
      <c r="AM48" s="109">
        <f t="shared" si="31"/>
        <v>40</v>
      </c>
      <c r="AN48" s="110">
        <f t="shared" si="9"/>
        <v>46531</v>
      </c>
      <c r="AO48" s="105">
        <f t="shared" si="35"/>
        <v>0</v>
      </c>
      <c r="AP48" s="105">
        <f t="shared" si="10"/>
        <v>0</v>
      </c>
      <c r="AQ48" s="105">
        <f t="shared" ref="AQ48:AQ111" si="41">IF(AY48=0,0,IF(AY48=1,AW47,IF(AW47+AR48+AP48&gt;AO47,AO48-AP48-AR48,AW47)))</f>
        <v>0</v>
      </c>
      <c r="AR48" s="105">
        <f t="shared" si="34"/>
        <v>0</v>
      </c>
      <c r="AS48" s="105">
        <f t="shared" ref="AS48:AS111" si="42">AU47-AR47</f>
        <v>0</v>
      </c>
      <c r="AT48" s="105">
        <f t="shared" ref="AT48:AT111" si="43">AP48+AU48</f>
        <v>0</v>
      </c>
      <c r="AU48" s="105">
        <f t="shared" ref="AU48:AU111" si="44">IF(AY48=0,0,0)</f>
        <v>0</v>
      </c>
      <c r="AV48" s="105">
        <f t="shared" ref="AV48:AV111" si="45">IF(AY48=0,0,0)</f>
        <v>0</v>
      </c>
      <c r="AW48" s="105">
        <f t="shared" ref="AW48:AW111" si="46">IF(OR(AY48=1,AW47=0),0,AW47-AQ48)</f>
        <v>0</v>
      </c>
      <c r="AX48" s="108">
        <f t="shared" si="32"/>
        <v>0</v>
      </c>
      <c r="AY48" s="108">
        <f t="shared" si="13"/>
        <v>0</v>
      </c>
      <c r="AZ48" s="22">
        <f t="shared" si="36"/>
        <v>46531</v>
      </c>
      <c r="BA48" s="108">
        <f t="shared" si="36"/>
        <v>0</v>
      </c>
    </row>
    <row r="49" spans="1:54" s="16" customFormat="1" ht="12" customHeight="1" x14ac:dyDescent="0.25">
      <c r="A49" s="2"/>
      <c r="B49" s="2"/>
      <c r="C49" s="2"/>
      <c r="D49" s="2"/>
      <c r="E49" s="114">
        <f t="shared" si="28"/>
        <v>41</v>
      </c>
      <c r="F49" s="111">
        <f t="shared" si="14"/>
        <v>46562</v>
      </c>
      <c r="G49" s="24">
        <f t="shared" si="5"/>
        <v>0</v>
      </c>
      <c r="H49" s="24">
        <f t="shared" si="6"/>
        <v>0</v>
      </c>
      <c r="I49" s="24">
        <f t="shared" si="26"/>
        <v>146299.1</v>
      </c>
      <c r="J49" s="24">
        <f t="shared" si="15"/>
        <v>0</v>
      </c>
      <c r="K49" s="24">
        <f t="shared" si="7"/>
        <v>0</v>
      </c>
      <c r="L49" s="24">
        <f t="shared" si="16"/>
        <v>0</v>
      </c>
      <c r="M49" s="24">
        <f t="shared" si="37"/>
        <v>0</v>
      </c>
      <c r="N49" s="24">
        <f t="shared" si="38"/>
        <v>0</v>
      </c>
      <c r="O49" s="24">
        <f t="shared" si="39"/>
        <v>0</v>
      </c>
      <c r="P49" s="24">
        <f t="shared" si="40"/>
        <v>0</v>
      </c>
      <c r="Q49" s="24">
        <f t="shared" si="8"/>
        <v>0</v>
      </c>
      <c r="R49" s="36">
        <f t="shared" si="30"/>
        <v>0</v>
      </c>
      <c r="S49" s="36">
        <f t="shared" si="20"/>
        <v>0</v>
      </c>
      <c r="U49" s="34">
        <f>IF(B35="Да",C32,0)+IF(AND(C22="Да",B34="Да"),C25,0)</f>
        <v>0</v>
      </c>
      <c r="V49" s="57">
        <f>F8</f>
        <v>45315</v>
      </c>
      <c r="X49" s="5" t="s">
        <v>11</v>
      </c>
      <c r="Y49" s="37"/>
      <c r="Z49" s="39">
        <f>C7*(1-Z48)</f>
        <v>300000</v>
      </c>
      <c r="AA49" s="9" t="s">
        <v>29</v>
      </c>
      <c r="AB49" s="2" t="s">
        <v>17</v>
      </c>
      <c r="AC49" s="2"/>
      <c r="AD49" s="2">
        <v>7.4000000000000003E-3</v>
      </c>
      <c r="AE49" s="59">
        <v>41750</v>
      </c>
      <c r="AF49" s="2">
        <v>72</v>
      </c>
      <c r="AG49" s="2"/>
      <c r="AH49" s="2"/>
      <c r="AJ49" s="34">
        <f>D32+IF(D11="Да",D12,0)+IF(D22="Да",D25,0)</f>
        <v>3499</v>
      </c>
      <c r="AK49" s="57">
        <f>AN8</f>
        <v>45315</v>
      </c>
      <c r="AL49" s="130">
        <f t="shared" si="21"/>
        <v>0</v>
      </c>
      <c r="AM49" s="109">
        <f t="shared" si="31"/>
        <v>41</v>
      </c>
      <c r="AN49" s="110">
        <f t="shared" si="9"/>
        <v>46562</v>
      </c>
      <c r="AO49" s="105">
        <f t="shared" si="35"/>
        <v>0</v>
      </c>
      <c r="AP49" s="105">
        <f t="shared" si="10"/>
        <v>0</v>
      </c>
      <c r="AQ49" s="105">
        <f t="shared" si="41"/>
        <v>0</v>
      </c>
      <c r="AR49" s="105">
        <f t="shared" si="34"/>
        <v>0</v>
      </c>
      <c r="AS49" s="105">
        <f t="shared" si="42"/>
        <v>0</v>
      </c>
      <c r="AT49" s="105">
        <f t="shared" si="43"/>
        <v>0</v>
      </c>
      <c r="AU49" s="105">
        <f t="shared" si="44"/>
        <v>0</v>
      </c>
      <c r="AV49" s="105">
        <f t="shared" si="45"/>
        <v>0</v>
      </c>
      <c r="AW49" s="105">
        <f t="shared" si="46"/>
        <v>0</v>
      </c>
      <c r="AX49" s="108">
        <f t="shared" si="32"/>
        <v>0</v>
      </c>
      <c r="AY49" s="108">
        <f t="shared" si="13"/>
        <v>0</v>
      </c>
      <c r="AZ49" s="22">
        <f t="shared" si="36"/>
        <v>46562</v>
      </c>
      <c r="BA49" s="108">
        <f t="shared" si="36"/>
        <v>0</v>
      </c>
    </row>
    <row r="50" spans="1:54" s="16" customFormat="1" ht="12" customHeight="1" x14ac:dyDescent="0.25">
      <c r="A50" s="2"/>
      <c r="B50" s="2"/>
      <c r="C50" s="2"/>
      <c r="D50" s="2"/>
      <c r="E50" s="114">
        <f t="shared" si="28"/>
        <v>42</v>
      </c>
      <c r="F50" s="111">
        <f t="shared" si="14"/>
        <v>46592</v>
      </c>
      <c r="G50" s="24">
        <f t="shared" si="5"/>
        <v>0</v>
      </c>
      <c r="H50" s="24">
        <f t="shared" si="6"/>
        <v>0</v>
      </c>
      <c r="I50" s="24">
        <f t="shared" si="26"/>
        <v>146299.1</v>
      </c>
      <c r="J50" s="24">
        <f t="shared" si="15"/>
        <v>0</v>
      </c>
      <c r="K50" s="24">
        <f t="shared" si="7"/>
        <v>0</v>
      </c>
      <c r="L50" s="24">
        <f t="shared" si="16"/>
        <v>0</v>
      </c>
      <c r="M50" s="24">
        <f t="shared" si="37"/>
        <v>0</v>
      </c>
      <c r="N50" s="24">
        <f t="shared" si="38"/>
        <v>0</v>
      </c>
      <c r="O50" s="24">
        <f t="shared" si="39"/>
        <v>0</v>
      </c>
      <c r="P50" s="24">
        <f t="shared" si="40"/>
        <v>0</v>
      </c>
      <c r="Q50" s="24">
        <f t="shared" si="8"/>
        <v>0</v>
      </c>
      <c r="R50" s="36">
        <f t="shared" si="30"/>
        <v>0</v>
      </c>
      <c r="S50" s="36">
        <f t="shared" si="20"/>
        <v>0</v>
      </c>
      <c r="T50" s="2">
        <f t="shared" ref="T50:T113" si="47">IF(AND(E9&gt;=$T$14,E9&lt;=$T$14+5),0,IF($C$9&gt;$AC$52,ROUND(Q8*$T$46/(DATEVALUE(CONCATENATE("01/01/",YEAR(F9)+1))-DATEVALUE(CONCATENATE("01/01/",YEAR(F9))))*(F9-F8),2),0))</f>
        <v>7172.03</v>
      </c>
      <c r="U50" s="34">
        <f t="shared" ref="U50:U108" si="48">IF(U49&lt;0,0,IF(T50=0,IF(T49=0,0,$U$46),G9)-IF(AND(T50&gt;0,T51=0),$C$26,0))</f>
        <v>12601</v>
      </c>
      <c r="V50" s="57">
        <f>V49+365</f>
        <v>45680</v>
      </c>
      <c r="W50" s="16">
        <v>1</v>
      </c>
      <c r="X50" s="8" t="s">
        <v>10</v>
      </c>
      <c r="Y50" s="37"/>
      <c r="Z50" s="41">
        <f>ROUNDUP(C7*AA50,0)</f>
        <v>0</v>
      </c>
      <c r="AA50" s="12">
        <v>0</v>
      </c>
      <c r="AB50" s="1">
        <v>15000</v>
      </c>
      <c r="AC50" s="53">
        <v>41365</v>
      </c>
      <c r="AD50" s="1">
        <v>500</v>
      </c>
      <c r="AE50" s="2">
        <f>ROUNDUP(($AA$56)/AD48,0)*AD48</f>
        <v>12560</v>
      </c>
      <c r="AF50" s="2"/>
      <c r="AG50" s="2"/>
      <c r="AH50" s="2"/>
      <c r="AI50" s="2">
        <f t="shared" ref="AI50:AI87" si="49">IF(AND(AM9&gt;=$T$14,AM9&lt;=$T$14+5),0,IF($C$9&gt;$AC$52,ROUND(AW8*$AI$46/(DATEVALUE(CONCATENATE("01/01/",YEAR(AN9)+1))-DATEVALUE(CONCATENATE("01/01/",YEAR(AN9))))*(AN9-AN8),2),0))</f>
        <v>7172.03</v>
      </c>
      <c r="AJ50" s="34">
        <f t="shared" ref="AJ50:AJ69" si="50">IF(AI50=0,IF(AI49=0,0,$AJ$46),AO9)</f>
        <v>12601</v>
      </c>
      <c r="AK50" s="57">
        <f>AK49+365</f>
        <v>45680</v>
      </c>
      <c r="AL50" s="130">
        <f t="shared" si="21"/>
        <v>0</v>
      </c>
      <c r="AM50" s="109">
        <f t="shared" si="31"/>
        <v>42</v>
      </c>
      <c r="AN50" s="110">
        <f t="shared" si="9"/>
        <v>46592</v>
      </c>
      <c r="AO50" s="105">
        <f t="shared" si="35"/>
        <v>0</v>
      </c>
      <c r="AP50" s="105">
        <f t="shared" si="10"/>
        <v>0</v>
      </c>
      <c r="AQ50" s="105">
        <f t="shared" si="41"/>
        <v>0</v>
      </c>
      <c r="AR50" s="105">
        <f t="shared" si="34"/>
        <v>0</v>
      </c>
      <c r="AS50" s="105">
        <f t="shared" si="42"/>
        <v>0</v>
      </c>
      <c r="AT50" s="105">
        <f t="shared" si="43"/>
        <v>0</v>
      </c>
      <c r="AU50" s="105">
        <f t="shared" si="44"/>
        <v>0</v>
      </c>
      <c r="AV50" s="105">
        <f t="shared" si="45"/>
        <v>0</v>
      </c>
      <c r="AW50" s="105">
        <f t="shared" si="46"/>
        <v>0</v>
      </c>
      <c r="AX50" s="108">
        <f t="shared" si="32"/>
        <v>0</v>
      </c>
      <c r="AY50" s="108">
        <f t="shared" si="13"/>
        <v>0</v>
      </c>
      <c r="AZ50" s="22">
        <f t="shared" si="36"/>
        <v>46592</v>
      </c>
      <c r="BA50" s="108">
        <f t="shared" si="36"/>
        <v>0</v>
      </c>
    </row>
    <row r="51" spans="1:54" s="16" customFormat="1" ht="12.75" customHeight="1" thickBot="1" x14ac:dyDescent="0.3">
      <c r="A51" s="2"/>
      <c r="B51" s="2"/>
      <c r="C51" s="2"/>
      <c r="D51" s="2"/>
      <c r="E51" s="114">
        <f t="shared" si="28"/>
        <v>43</v>
      </c>
      <c r="F51" s="111">
        <f t="shared" si="14"/>
        <v>46623</v>
      </c>
      <c r="G51" s="24">
        <f t="shared" si="5"/>
        <v>0</v>
      </c>
      <c r="H51" s="24">
        <f t="shared" si="6"/>
        <v>0</v>
      </c>
      <c r="I51" s="24">
        <f t="shared" si="26"/>
        <v>146299.1</v>
      </c>
      <c r="J51" s="24">
        <f t="shared" si="15"/>
        <v>0</v>
      </c>
      <c r="K51" s="24">
        <f t="shared" si="7"/>
        <v>0</v>
      </c>
      <c r="L51" s="24">
        <f t="shared" si="16"/>
        <v>0</v>
      </c>
      <c r="M51" s="24">
        <f t="shared" si="37"/>
        <v>0</v>
      </c>
      <c r="N51" s="24">
        <f t="shared" si="38"/>
        <v>0</v>
      </c>
      <c r="O51" s="24">
        <f t="shared" si="39"/>
        <v>0</v>
      </c>
      <c r="P51" s="24">
        <f t="shared" si="40"/>
        <v>0</v>
      </c>
      <c r="Q51" s="24">
        <f t="shared" si="8"/>
        <v>0</v>
      </c>
      <c r="R51" s="36">
        <f t="shared" si="30"/>
        <v>0</v>
      </c>
      <c r="S51" s="36">
        <f t="shared" si="20"/>
        <v>0</v>
      </c>
      <c r="T51" s="2">
        <f t="shared" si="47"/>
        <v>6589.3</v>
      </c>
      <c r="U51" s="34">
        <f t="shared" si="48"/>
        <v>12601</v>
      </c>
      <c r="V51" s="57">
        <f t="shared" ref="V51:V114" si="51">IF(T51=0,V50,V50+365)</f>
        <v>46045</v>
      </c>
      <c r="W51" s="16">
        <f>W50+1</f>
        <v>2</v>
      </c>
      <c r="X51" s="8" t="s">
        <v>8</v>
      </c>
      <c r="Y51" s="40"/>
      <c r="Z51" s="42">
        <v>24</v>
      </c>
      <c r="AA51" s="14"/>
      <c r="AB51" s="1">
        <f>IF(C9&lt;AC50,300000,1000000)</f>
        <v>1000000</v>
      </c>
      <c r="AC51" s="53">
        <v>41501</v>
      </c>
      <c r="AD51" s="53">
        <v>41882</v>
      </c>
      <c r="AE51" s="2" t="e">
        <f>IF(C9&gt;AD51,XIRR(U49:U159,V49:V159)*12,XIRR(U49:U158,F8:F87))</f>
        <v>#NUM!</v>
      </c>
      <c r="AF51" s="2"/>
      <c r="AG51" s="2"/>
      <c r="AH51" s="2"/>
      <c r="AI51" s="2">
        <f t="shared" si="49"/>
        <v>6589.3</v>
      </c>
      <c r="AJ51" s="34">
        <f t="shared" si="50"/>
        <v>12601</v>
      </c>
      <c r="AK51" s="57">
        <f t="shared" ref="AK51:AK108" si="52">IF(AI51=0,AK50,AK50+365)</f>
        <v>46045</v>
      </c>
      <c r="AL51" s="130">
        <f t="shared" si="21"/>
        <v>0</v>
      </c>
      <c r="AM51" s="109">
        <f t="shared" si="31"/>
        <v>43</v>
      </c>
      <c r="AN51" s="110">
        <f t="shared" si="9"/>
        <v>46623</v>
      </c>
      <c r="AO51" s="105">
        <f t="shared" si="35"/>
        <v>0</v>
      </c>
      <c r="AP51" s="105">
        <f t="shared" si="10"/>
        <v>0</v>
      </c>
      <c r="AQ51" s="105">
        <f t="shared" si="41"/>
        <v>0</v>
      </c>
      <c r="AR51" s="105">
        <f t="shared" si="34"/>
        <v>0</v>
      </c>
      <c r="AS51" s="105">
        <f t="shared" si="42"/>
        <v>0</v>
      </c>
      <c r="AT51" s="105">
        <f t="shared" si="43"/>
        <v>0</v>
      </c>
      <c r="AU51" s="105">
        <f t="shared" si="44"/>
        <v>0</v>
      </c>
      <c r="AV51" s="105">
        <f t="shared" si="45"/>
        <v>0</v>
      </c>
      <c r="AW51" s="105">
        <f t="shared" si="46"/>
        <v>0</v>
      </c>
      <c r="AX51" s="108">
        <f t="shared" si="32"/>
        <v>0</v>
      </c>
      <c r="AY51" s="108">
        <f t="shared" si="13"/>
        <v>0</v>
      </c>
      <c r="AZ51" s="22">
        <f t="shared" si="36"/>
        <v>46623</v>
      </c>
      <c r="BA51" s="108">
        <f t="shared" si="36"/>
        <v>0</v>
      </c>
    </row>
    <row r="52" spans="1:54" s="16" customFormat="1" ht="12.75" customHeight="1" x14ac:dyDescent="0.25">
      <c r="A52" s="2"/>
      <c r="B52" s="2"/>
      <c r="C52" s="2"/>
      <c r="D52" s="2"/>
      <c r="E52" s="114">
        <f t="shared" si="28"/>
        <v>44</v>
      </c>
      <c r="F52" s="111">
        <f t="shared" si="14"/>
        <v>46654</v>
      </c>
      <c r="G52" s="24">
        <f t="shared" si="5"/>
        <v>0</v>
      </c>
      <c r="H52" s="24">
        <f t="shared" si="6"/>
        <v>0</v>
      </c>
      <c r="I52" s="24">
        <f t="shared" si="26"/>
        <v>146299.1</v>
      </c>
      <c r="J52" s="24">
        <f t="shared" si="15"/>
        <v>0</v>
      </c>
      <c r="K52" s="24">
        <f t="shared" si="7"/>
        <v>0</v>
      </c>
      <c r="L52" s="24">
        <f t="shared" si="16"/>
        <v>0</v>
      </c>
      <c r="M52" s="24">
        <f t="shared" si="37"/>
        <v>0</v>
      </c>
      <c r="N52" s="24">
        <f t="shared" si="38"/>
        <v>0</v>
      </c>
      <c r="O52" s="24">
        <f t="shared" si="39"/>
        <v>0</v>
      </c>
      <c r="P52" s="24">
        <f t="shared" si="40"/>
        <v>0</v>
      </c>
      <c r="Q52" s="24">
        <f t="shared" si="8"/>
        <v>0</v>
      </c>
      <c r="R52" s="36">
        <f t="shared" si="30"/>
        <v>0</v>
      </c>
      <c r="S52" s="36">
        <f t="shared" si="20"/>
        <v>0</v>
      </c>
      <c r="T52" s="2">
        <f t="shared" si="47"/>
        <v>6901.67</v>
      </c>
      <c r="U52" s="34">
        <f t="shared" si="48"/>
        <v>12601</v>
      </c>
      <c r="V52" s="57">
        <f t="shared" si="51"/>
        <v>46410</v>
      </c>
      <c r="W52" s="16">
        <f t="shared" ref="W52:W115" si="53">W51+1</f>
        <v>3</v>
      </c>
      <c r="X52" s="5" t="s">
        <v>1</v>
      </c>
      <c r="Y52" s="17" t="e">
        <f>Z52/C7</f>
        <v>#REF!</v>
      </c>
      <c r="Z52" s="42" t="e">
        <f>(#REF!-C7)</f>
        <v>#REF!</v>
      </c>
      <c r="AA52" s="58"/>
      <c r="AB52" s="53">
        <v>41632</v>
      </c>
      <c r="AC52" s="53">
        <v>41820</v>
      </c>
      <c r="AD52" s="53">
        <v>41857</v>
      </c>
      <c r="AE52" s="46">
        <v>41991</v>
      </c>
      <c r="AF52" s="18">
        <v>0</v>
      </c>
      <c r="AG52" s="3"/>
      <c r="AH52" s="3"/>
      <c r="AI52" s="2">
        <f t="shared" si="49"/>
        <v>6901.67</v>
      </c>
      <c r="AJ52" s="34">
        <f t="shared" si="50"/>
        <v>12601</v>
      </c>
      <c r="AK52" s="57">
        <f t="shared" si="52"/>
        <v>46410</v>
      </c>
      <c r="AL52" s="130">
        <f t="shared" si="21"/>
        <v>0</v>
      </c>
      <c r="AM52" s="109">
        <f t="shared" si="31"/>
        <v>44</v>
      </c>
      <c r="AN52" s="110">
        <f t="shared" si="9"/>
        <v>46654</v>
      </c>
      <c r="AO52" s="105">
        <f t="shared" si="35"/>
        <v>0</v>
      </c>
      <c r="AP52" s="105">
        <f t="shared" si="10"/>
        <v>0</v>
      </c>
      <c r="AQ52" s="105">
        <f t="shared" si="41"/>
        <v>0</v>
      </c>
      <c r="AR52" s="105">
        <f t="shared" si="34"/>
        <v>0</v>
      </c>
      <c r="AS52" s="105">
        <f t="shared" si="42"/>
        <v>0</v>
      </c>
      <c r="AT52" s="105">
        <f t="shared" si="43"/>
        <v>0</v>
      </c>
      <c r="AU52" s="105">
        <f t="shared" si="44"/>
        <v>0</v>
      </c>
      <c r="AV52" s="105">
        <f t="shared" si="45"/>
        <v>0</v>
      </c>
      <c r="AW52" s="105">
        <f t="shared" si="46"/>
        <v>0</v>
      </c>
      <c r="AX52" s="108">
        <f t="shared" si="32"/>
        <v>0</v>
      </c>
      <c r="AY52" s="108">
        <f t="shared" si="13"/>
        <v>0</v>
      </c>
      <c r="AZ52" s="22">
        <f t="shared" si="36"/>
        <v>46654</v>
      </c>
      <c r="BA52" s="108">
        <f t="shared" si="36"/>
        <v>0</v>
      </c>
    </row>
    <row r="53" spans="1:54" s="16" customFormat="1" ht="12.75" customHeight="1" x14ac:dyDescent="0.25">
      <c r="A53" s="2"/>
      <c r="B53" s="2"/>
      <c r="C53" s="2"/>
      <c r="D53" s="2"/>
      <c r="E53" s="114">
        <f t="shared" si="28"/>
        <v>45</v>
      </c>
      <c r="F53" s="111">
        <f t="shared" si="14"/>
        <v>46684</v>
      </c>
      <c r="G53" s="24">
        <f t="shared" si="5"/>
        <v>0</v>
      </c>
      <c r="H53" s="24">
        <f t="shared" si="6"/>
        <v>0</v>
      </c>
      <c r="I53" s="24">
        <f t="shared" si="26"/>
        <v>146299.1</v>
      </c>
      <c r="J53" s="24">
        <f t="shared" si="15"/>
        <v>0</v>
      </c>
      <c r="K53" s="24">
        <f t="shared" si="7"/>
        <v>0</v>
      </c>
      <c r="L53" s="24">
        <f t="shared" si="16"/>
        <v>0</v>
      </c>
      <c r="M53" s="24">
        <f t="shared" si="37"/>
        <v>0</v>
      </c>
      <c r="N53" s="24">
        <f t="shared" si="38"/>
        <v>0</v>
      </c>
      <c r="O53" s="24">
        <f t="shared" si="39"/>
        <v>0</v>
      </c>
      <c r="P53" s="24">
        <f t="shared" si="40"/>
        <v>0</v>
      </c>
      <c r="Q53" s="24">
        <f t="shared" si="8"/>
        <v>0</v>
      </c>
      <c r="R53" s="36">
        <f t="shared" si="30"/>
        <v>0</v>
      </c>
      <c r="S53" s="36">
        <f t="shared" si="20"/>
        <v>0</v>
      </c>
      <c r="T53" s="2">
        <f t="shared" si="47"/>
        <v>6548.7</v>
      </c>
      <c r="U53" s="34">
        <f t="shared" si="48"/>
        <v>12601</v>
      </c>
      <c r="V53" s="57">
        <f t="shared" si="51"/>
        <v>46775</v>
      </c>
      <c r="W53" s="16">
        <f t="shared" si="53"/>
        <v>4</v>
      </c>
      <c r="X53" s="5" t="s">
        <v>42</v>
      </c>
      <c r="Y53" s="17">
        <f>IF(C8=AA60,AA66,IF(C8=AB60,AB66,IF(C8=AD60,AD66,IF(C8=AE60,AE66,IF(C8=AC60,AC66,IF(C8=AF60,AF66,IF(C8=AG60,AG66,IF(C8=AH60,AH66,V28))))))))</f>
        <v>0</v>
      </c>
      <c r="Z53" s="42"/>
      <c r="AA53" s="58"/>
      <c r="AB53" s="53">
        <v>42124</v>
      </c>
      <c r="AC53" s="53"/>
      <c r="AD53" s="53"/>
      <c r="AE53" s="46"/>
      <c r="AF53" s="2"/>
      <c r="AG53" s="3"/>
      <c r="AH53" s="3"/>
      <c r="AI53" s="2">
        <f t="shared" si="49"/>
        <v>6548.7</v>
      </c>
      <c r="AJ53" s="34">
        <f t="shared" si="50"/>
        <v>12601</v>
      </c>
      <c r="AK53" s="57">
        <f t="shared" si="52"/>
        <v>46775</v>
      </c>
      <c r="AL53" s="130">
        <f t="shared" si="21"/>
        <v>0</v>
      </c>
      <c r="AM53" s="109">
        <f t="shared" si="31"/>
        <v>45</v>
      </c>
      <c r="AN53" s="110">
        <f t="shared" si="9"/>
        <v>46684</v>
      </c>
      <c r="AO53" s="105">
        <f t="shared" si="35"/>
        <v>0</v>
      </c>
      <c r="AP53" s="105">
        <f t="shared" si="10"/>
        <v>0</v>
      </c>
      <c r="AQ53" s="105">
        <f t="shared" si="41"/>
        <v>0</v>
      </c>
      <c r="AR53" s="105">
        <f t="shared" si="34"/>
        <v>0</v>
      </c>
      <c r="AS53" s="105">
        <f t="shared" si="42"/>
        <v>0</v>
      </c>
      <c r="AT53" s="105">
        <f t="shared" si="43"/>
        <v>0</v>
      </c>
      <c r="AU53" s="105">
        <f t="shared" si="44"/>
        <v>0</v>
      </c>
      <c r="AV53" s="105">
        <f t="shared" si="45"/>
        <v>0</v>
      </c>
      <c r="AW53" s="105">
        <f t="shared" si="46"/>
        <v>0</v>
      </c>
      <c r="AX53" s="108">
        <f t="shared" si="32"/>
        <v>0</v>
      </c>
      <c r="AY53" s="108">
        <f t="shared" si="13"/>
        <v>0</v>
      </c>
      <c r="AZ53" s="22">
        <f t="shared" si="36"/>
        <v>46684</v>
      </c>
      <c r="BA53" s="108">
        <f t="shared" si="36"/>
        <v>0</v>
      </c>
    </row>
    <row r="54" spans="1:54" s="16" customFormat="1" ht="12" customHeight="1" x14ac:dyDescent="0.25">
      <c r="A54" s="2"/>
      <c r="B54" s="2"/>
      <c r="C54" s="2"/>
      <c r="D54" s="2"/>
      <c r="E54" s="114">
        <f t="shared" si="28"/>
        <v>46</v>
      </c>
      <c r="F54" s="111">
        <f t="shared" si="14"/>
        <v>46715</v>
      </c>
      <c r="G54" s="24">
        <f t="shared" si="5"/>
        <v>0</v>
      </c>
      <c r="H54" s="24">
        <f t="shared" si="6"/>
        <v>0</v>
      </c>
      <c r="I54" s="24">
        <f t="shared" si="26"/>
        <v>146299.1</v>
      </c>
      <c r="J54" s="24">
        <f t="shared" si="15"/>
        <v>0</v>
      </c>
      <c r="K54" s="24">
        <f t="shared" si="7"/>
        <v>0</v>
      </c>
      <c r="L54" s="24">
        <f t="shared" si="16"/>
        <v>0</v>
      </c>
      <c r="M54" s="24">
        <f t="shared" si="37"/>
        <v>0</v>
      </c>
      <c r="N54" s="24">
        <f t="shared" si="38"/>
        <v>0</v>
      </c>
      <c r="O54" s="24">
        <f t="shared" si="39"/>
        <v>0</v>
      </c>
      <c r="P54" s="24">
        <f t="shared" si="40"/>
        <v>0</v>
      </c>
      <c r="Q54" s="24">
        <f t="shared" si="8"/>
        <v>0</v>
      </c>
      <c r="R54" s="36">
        <f t="shared" si="30"/>
        <v>0</v>
      </c>
      <c r="S54" s="36">
        <f t="shared" si="20"/>
        <v>0</v>
      </c>
      <c r="T54" s="2">
        <f t="shared" si="47"/>
        <v>6623.97</v>
      </c>
      <c r="U54" s="34">
        <f t="shared" si="48"/>
        <v>12601</v>
      </c>
      <c r="V54" s="57">
        <f t="shared" si="51"/>
        <v>47140</v>
      </c>
      <c r="W54" s="16">
        <f t="shared" si="53"/>
        <v>5</v>
      </c>
      <c r="X54" s="5"/>
      <c r="Y54" s="15">
        <f>IF(D8=AA60,AA66,IF(D8=AB60,AB66,IF(D8=AD60,AD66,IF(D8=AE60,AE66,IF(D8=AC60,AC66,IF(D8=AF60,AF66,IF(D8=AG60,AG66,V28)))))))</f>
        <v>0</v>
      </c>
      <c r="Z54" s="2"/>
      <c r="AA54" s="2"/>
      <c r="AB54" s="2"/>
      <c r="AC54" s="2"/>
      <c r="AD54" s="2"/>
      <c r="AE54" s="2"/>
      <c r="AF54" s="2"/>
      <c r="AG54" s="2"/>
      <c r="AH54" s="2"/>
      <c r="AI54" s="2">
        <f t="shared" si="49"/>
        <v>6623.97</v>
      </c>
      <c r="AJ54" s="34">
        <f t="shared" si="50"/>
        <v>12601</v>
      </c>
      <c r="AK54" s="57">
        <f t="shared" si="52"/>
        <v>47140</v>
      </c>
      <c r="AL54" s="130">
        <f t="shared" si="21"/>
        <v>0</v>
      </c>
      <c r="AM54" s="109">
        <f t="shared" si="31"/>
        <v>46</v>
      </c>
      <c r="AN54" s="110">
        <f t="shared" si="9"/>
        <v>46715</v>
      </c>
      <c r="AO54" s="105">
        <f t="shared" si="35"/>
        <v>0</v>
      </c>
      <c r="AP54" s="105">
        <f t="shared" si="10"/>
        <v>0</v>
      </c>
      <c r="AQ54" s="105">
        <f t="shared" si="41"/>
        <v>0</v>
      </c>
      <c r="AR54" s="105">
        <f t="shared" si="34"/>
        <v>0</v>
      </c>
      <c r="AS54" s="105">
        <f t="shared" si="42"/>
        <v>0</v>
      </c>
      <c r="AT54" s="105">
        <f t="shared" si="43"/>
        <v>0</v>
      </c>
      <c r="AU54" s="105">
        <f t="shared" si="44"/>
        <v>0</v>
      </c>
      <c r="AV54" s="105">
        <f t="shared" si="45"/>
        <v>0</v>
      </c>
      <c r="AW54" s="105">
        <f t="shared" si="46"/>
        <v>0</v>
      </c>
      <c r="AX54" s="108">
        <f t="shared" si="32"/>
        <v>0</v>
      </c>
      <c r="AY54" s="108">
        <f t="shared" si="13"/>
        <v>0</v>
      </c>
      <c r="AZ54" s="22">
        <f t="shared" si="36"/>
        <v>46715</v>
      </c>
      <c r="BA54" s="108">
        <f t="shared" si="36"/>
        <v>0</v>
      </c>
    </row>
    <row r="55" spans="1:54" s="16" customFormat="1" ht="12" customHeight="1" x14ac:dyDescent="0.25">
      <c r="A55" s="2"/>
      <c r="B55" s="2"/>
      <c r="C55" s="2"/>
      <c r="D55" s="2"/>
      <c r="E55" s="114">
        <f t="shared" si="28"/>
        <v>47</v>
      </c>
      <c r="F55" s="111">
        <f t="shared" si="14"/>
        <v>46745</v>
      </c>
      <c r="G55" s="24">
        <f t="shared" si="5"/>
        <v>0</v>
      </c>
      <c r="H55" s="24">
        <f t="shared" si="6"/>
        <v>0</v>
      </c>
      <c r="I55" s="24">
        <f t="shared" si="26"/>
        <v>146299.1</v>
      </c>
      <c r="J55" s="24">
        <f t="shared" si="15"/>
        <v>0</v>
      </c>
      <c r="K55" s="24">
        <f t="shared" si="7"/>
        <v>0</v>
      </c>
      <c r="L55" s="24">
        <f t="shared" si="16"/>
        <v>0</v>
      </c>
      <c r="M55" s="24">
        <f t="shared" si="37"/>
        <v>0</v>
      </c>
      <c r="N55" s="24">
        <f t="shared" si="38"/>
        <v>0</v>
      </c>
      <c r="O55" s="24">
        <f t="shared" si="39"/>
        <v>0</v>
      </c>
      <c r="P55" s="24">
        <f t="shared" si="40"/>
        <v>0</v>
      </c>
      <c r="Q55" s="24">
        <f t="shared" si="8"/>
        <v>0</v>
      </c>
      <c r="R55" s="36">
        <f t="shared" si="30"/>
        <v>0</v>
      </c>
      <c r="S55" s="36">
        <f t="shared" si="20"/>
        <v>0</v>
      </c>
      <c r="T55" s="2">
        <f t="shared" si="47"/>
        <v>6273.6</v>
      </c>
      <c r="U55" s="34">
        <f t="shared" si="48"/>
        <v>12601</v>
      </c>
      <c r="V55" s="57">
        <f t="shared" si="51"/>
        <v>47505</v>
      </c>
      <c r="W55" s="16">
        <f t="shared" si="53"/>
        <v>6</v>
      </c>
      <c r="X55" s="2"/>
      <c r="Y55" s="6"/>
      <c r="Z55" s="1"/>
      <c r="AA55" s="7">
        <f>F8</f>
        <v>45315</v>
      </c>
      <c r="AB55" s="47">
        <f>C28*AA14/12*(1+AA14/12)^(C10)/((1+AA14/12)^(C10)-1)+C28/10000*IF(C10&lt;11,20,IF(C10&lt;20,2.5,IF(C10&lt;37,1.5,IF(C10&lt;60,0.7,0.5))))*IF(AA14&lt;0.3,AA14/0.2,AA14/0.1)</f>
        <v>12600.923701398322</v>
      </c>
      <c r="AC55" s="2"/>
      <c r="AD55" s="47">
        <f>(D28)*AB14/12*(1+AB14/12)^(D10)/((1+AB14/12)^(D10)-1)+D28/10000*IF(D10&lt;11,20,IF(D10&lt;20,2.5,IF(D10&lt;37,1.5,IF(D10&lt;60,0.7,0.5))))*IF(AA14&lt;0.3,AA14/0.2,AA14/0.1)</f>
        <v>12600.923701398322</v>
      </c>
      <c r="AE55" s="2"/>
      <c r="AF55" s="2"/>
      <c r="AG55" s="2"/>
      <c r="AH55" s="2"/>
      <c r="AI55" s="2">
        <f t="shared" si="49"/>
        <v>6273.6</v>
      </c>
      <c r="AJ55" s="34">
        <f t="shared" si="50"/>
        <v>12601</v>
      </c>
      <c r="AK55" s="57">
        <f t="shared" si="52"/>
        <v>47505</v>
      </c>
      <c r="AL55" s="130">
        <f t="shared" si="21"/>
        <v>0</v>
      </c>
      <c r="AM55" s="109">
        <f t="shared" si="31"/>
        <v>47</v>
      </c>
      <c r="AN55" s="110">
        <f t="shared" si="9"/>
        <v>46745</v>
      </c>
      <c r="AO55" s="105">
        <f t="shared" si="35"/>
        <v>0</v>
      </c>
      <c r="AP55" s="105">
        <f t="shared" si="10"/>
        <v>0</v>
      </c>
      <c r="AQ55" s="105">
        <f t="shared" si="41"/>
        <v>0</v>
      </c>
      <c r="AR55" s="105">
        <f t="shared" si="34"/>
        <v>0</v>
      </c>
      <c r="AS55" s="105">
        <f t="shared" si="42"/>
        <v>0</v>
      </c>
      <c r="AT55" s="105">
        <f t="shared" si="43"/>
        <v>0</v>
      </c>
      <c r="AU55" s="105">
        <f t="shared" si="44"/>
        <v>0</v>
      </c>
      <c r="AV55" s="105">
        <f t="shared" si="45"/>
        <v>0</v>
      </c>
      <c r="AW55" s="105">
        <f t="shared" si="46"/>
        <v>0</v>
      </c>
      <c r="AX55" s="108">
        <f t="shared" si="32"/>
        <v>0</v>
      </c>
      <c r="AY55" s="108">
        <f t="shared" si="13"/>
        <v>0</v>
      </c>
      <c r="AZ55" s="22">
        <f t="shared" si="36"/>
        <v>46745</v>
      </c>
      <c r="BA55" s="108">
        <f t="shared" si="36"/>
        <v>0</v>
      </c>
      <c r="BB55" s="2" t="e">
        <f t="shared" ref="BB55:BB92" si="54">IF(AND(E9&gt;=$T$14,E9&lt;=$T$14+5),0,IF($C$9&gt;$AC$52,ROUND(AW8*IF($D$23="",0,$D$23)/(DATEVALUE(CONCATENATE("01/01/",YEAR(AN9)+1))-DATEVALUE(CONCATENATE("01/01/",YEAR(AN9))))*(AN9-AN8),2),0))</f>
        <v>#VALUE!</v>
      </c>
    </row>
    <row r="56" spans="1:54" s="16" customFormat="1" ht="12" x14ac:dyDescent="0.25">
      <c r="A56" s="2"/>
      <c r="B56" s="2"/>
      <c r="C56" s="2"/>
      <c r="D56" s="2"/>
      <c r="E56" s="114">
        <f t="shared" si="28"/>
        <v>48</v>
      </c>
      <c r="F56" s="111">
        <f t="shared" si="14"/>
        <v>46776</v>
      </c>
      <c r="G56" s="24">
        <f t="shared" si="5"/>
        <v>0</v>
      </c>
      <c r="H56" s="24">
        <f t="shared" si="6"/>
        <v>0</v>
      </c>
      <c r="I56" s="24">
        <f t="shared" si="26"/>
        <v>146299.1</v>
      </c>
      <c r="J56" s="24">
        <f t="shared" si="15"/>
        <v>0</v>
      </c>
      <c r="K56" s="24">
        <f t="shared" si="7"/>
        <v>0</v>
      </c>
      <c r="L56" s="24">
        <f t="shared" si="16"/>
        <v>0</v>
      </c>
      <c r="M56" s="24">
        <f t="shared" si="37"/>
        <v>0</v>
      </c>
      <c r="N56" s="24">
        <f t="shared" si="38"/>
        <v>0</v>
      </c>
      <c r="O56" s="24">
        <f t="shared" si="39"/>
        <v>0</v>
      </c>
      <c r="P56" s="24">
        <f t="shared" si="40"/>
        <v>0</v>
      </c>
      <c r="Q56" s="24">
        <f t="shared" si="8"/>
        <v>0</v>
      </c>
      <c r="R56" s="36">
        <f t="shared" si="30"/>
        <v>0</v>
      </c>
      <c r="S56" s="36">
        <f t="shared" si="20"/>
        <v>0</v>
      </c>
      <c r="T56" s="2">
        <f t="shared" si="47"/>
        <v>6333.2</v>
      </c>
      <c r="U56" s="34">
        <f t="shared" si="48"/>
        <v>12601</v>
      </c>
      <c r="V56" s="57">
        <f t="shared" si="51"/>
        <v>47870</v>
      </c>
      <c r="W56" s="16">
        <f t="shared" si="53"/>
        <v>7</v>
      </c>
      <c r="X56" s="6" t="s">
        <v>0</v>
      </c>
      <c r="Y56" s="11"/>
      <c r="Z56" s="10"/>
      <c r="AA56" s="13">
        <f>IF(DAY(C9)&lt;4,AB55,IF(DAY(C9)&gt;28,AB57,AB56))</f>
        <v>12550.117968798322</v>
      </c>
      <c r="AB56" s="156">
        <f>(C28+AF52)*AA14/12*(1+AA14/12)^(C10)/((1+AA14/12)^(C10)-1)+C28/10000*IF(C10&lt;11,20,IF(C10&lt;34,0.7,IF(C10&lt;58,0.3,0.1)))*IF(AA14&lt;0.3,AA14/0.2,AA14/0.1)</f>
        <v>12550.117968798322</v>
      </c>
      <c r="AC56" s="13">
        <f>IF(DAY(C9)&lt;4,AD55,IF(DAY(C9)&gt;28,AD57,AD56))</f>
        <v>12537.416535648323</v>
      </c>
      <c r="AD56" s="47">
        <f>(D28)*AB14/12*(1+AB14/12)^(C10)/((1+AB14/12)^(C10)-1)</f>
        <v>12537.416535648323</v>
      </c>
      <c r="AE56" s="2"/>
      <c r="AF56" s="2"/>
      <c r="AG56" s="2"/>
      <c r="AH56" s="2"/>
      <c r="AI56" s="2">
        <f t="shared" si="49"/>
        <v>6333.2</v>
      </c>
      <c r="AJ56" s="34">
        <f t="shared" si="50"/>
        <v>12601</v>
      </c>
      <c r="AK56" s="57">
        <f t="shared" si="52"/>
        <v>47870</v>
      </c>
      <c r="AL56" s="130">
        <f t="shared" si="21"/>
        <v>0</v>
      </c>
      <c r="AM56" s="109">
        <f t="shared" si="31"/>
        <v>48</v>
      </c>
      <c r="AN56" s="110">
        <f t="shared" si="9"/>
        <v>46776</v>
      </c>
      <c r="AO56" s="105">
        <f t="shared" si="35"/>
        <v>0</v>
      </c>
      <c r="AP56" s="105">
        <f t="shared" si="10"/>
        <v>0</v>
      </c>
      <c r="AQ56" s="105">
        <f t="shared" si="41"/>
        <v>0</v>
      </c>
      <c r="AR56" s="105">
        <f t="shared" si="34"/>
        <v>0</v>
      </c>
      <c r="AS56" s="105">
        <f t="shared" si="42"/>
        <v>0</v>
      </c>
      <c r="AT56" s="105">
        <f t="shared" si="43"/>
        <v>0</v>
      </c>
      <c r="AU56" s="105">
        <f t="shared" si="44"/>
        <v>0</v>
      </c>
      <c r="AV56" s="105">
        <f t="shared" si="45"/>
        <v>0</v>
      </c>
      <c r="AW56" s="105">
        <f t="shared" si="46"/>
        <v>0</v>
      </c>
      <c r="AX56" s="108">
        <f t="shared" si="32"/>
        <v>0</v>
      </c>
      <c r="AY56" s="108">
        <f t="shared" si="13"/>
        <v>0</v>
      </c>
      <c r="AZ56" s="22">
        <f t="shared" si="36"/>
        <v>46776</v>
      </c>
      <c r="BA56" s="108">
        <f t="shared" si="36"/>
        <v>0</v>
      </c>
      <c r="BB56" s="2" t="e">
        <f t="shared" si="54"/>
        <v>#VALUE!</v>
      </c>
    </row>
    <row r="57" spans="1:54" s="16" customFormat="1" x14ac:dyDescent="0.25">
      <c r="A57" s="2"/>
      <c r="B57" s="2"/>
      <c r="C57" s="13"/>
      <c r="D57" s="13"/>
      <c r="E57" s="114">
        <f t="shared" si="28"/>
        <v>49</v>
      </c>
      <c r="F57" s="111">
        <f t="shared" si="14"/>
        <v>46807</v>
      </c>
      <c r="G57" s="24">
        <f t="shared" si="5"/>
        <v>0</v>
      </c>
      <c r="H57" s="24">
        <f t="shared" si="6"/>
        <v>0</v>
      </c>
      <c r="I57" s="24">
        <f t="shared" si="26"/>
        <v>146299.1</v>
      </c>
      <c r="J57" s="24">
        <f t="shared" si="15"/>
        <v>0</v>
      </c>
      <c r="K57" s="24">
        <f t="shared" si="7"/>
        <v>0</v>
      </c>
      <c r="L57" s="24">
        <f t="shared" si="16"/>
        <v>0</v>
      </c>
      <c r="M57" s="24">
        <f t="shared" si="37"/>
        <v>0</v>
      </c>
      <c r="N57" s="24">
        <f t="shared" si="38"/>
        <v>0</v>
      </c>
      <c r="O57" s="24">
        <f t="shared" si="39"/>
        <v>0</v>
      </c>
      <c r="P57" s="24">
        <f t="shared" si="40"/>
        <v>0</v>
      </c>
      <c r="Q57" s="24">
        <f t="shared" si="8"/>
        <v>0</v>
      </c>
      <c r="R57" s="36">
        <f t="shared" si="30"/>
        <v>0</v>
      </c>
      <c r="S57" s="36">
        <f t="shared" si="20"/>
        <v>0</v>
      </c>
      <c r="T57" s="2">
        <f t="shared" si="47"/>
        <v>6185.09</v>
      </c>
      <c r="U57" s="34">
        <f t="shared" si="48"/>
        <v>12601</v>
      </c>
      <c r="V57" s="57">
        <f t="shared" si="51"/>
        <v>48235</v>
      </c>
      <c r="W57" s="16">
        <f t="shared" si="53"/>
        <v>8</v>
      </c>
      <c r="X57" s="11" t="s">
        <v>18</v>
      </c>
      <c r="Y57" s="3"/>
      <c r="Z57" s="118">
        <f>ROUNDUP(AA57/AD48,0)*AD48</f>
        <v>8770</v>
      </c>
      <c r="AA57" s="13">
        <f>(C28+AF52)*Z58/12*(1+Z58/12)^(C10+AA58)/((1+Z58/12)^(C10+AA58)-1)+10*C28/100000*IF(C10+AA58&lt;24,4,IF(C10+AA58&lt;36,3,IF(C10+AA58&lt;48,2,IF(C10+AA58&lt;60,1.5,1))))*Z58/0.2</f>
        <v>8765.9819396036019</v>
      </c>
      <c r="AB57" s="157">
        <f>(C28+AF52)*AA14/12*(1+AA14/12)^(C10)/((1+AA14/12)^(C10)-1)+C28/10000*IF(C10&lt;11,20,IF(C10&lt;34,0.7,IF(C10&lt;48,0.3,0)))*IF(AA14&lt;0.3,AA14/0.2,AA14/0.1)</f>
        <v>12550.117968798322</v>
      </c>
      <c r="AC57" s="13">
        <f>(D28+AF52)*AC58/12*(1+AC58/12)^(C10+AA58)/((1+AC58/12)^(C10+AA58)-1)+10*D28/100000*IF(C10+AA58&lt;24,4,IF(C10+AA58&lt;36,3,IF(C10+AA58&lt;48,2,IF(C10+AA58&lt;60,1.5,1))))*AC58/0.2</f>
        <v>8765.9819396036019</v>
      </c>
      <c r="AD57" s="47">
        <f>(D28)*AB14/12*(1+AB14/12)^(C10)/((1+AB14/12)^(C10)-1)</f>
        <v>12537.416535648323</v>
      </c>
      <c r="AE57" s="2"/>
      <c r="AF57" s="2"/>
      <c r="AG57" s="2"/>
      <c r="AH57" s="2"/>
      <c r="AI57" s="2">
        <f t="shared" si="49"/>
        <v>6185.09</v>
      </c>
      <c r="AJ57" s="34">
        <f t="shared" si="50"/>
        <v>12601</v>
      </c>
      <c r="AK57" s="57">
        <f t="shared" si="52"/>
        <v>48235</v>
      </c>
      <c r="AL57" s="130">
        <f t="shared" si="21"/>
        <v>0</v>
      </c>
      <c r="AM57" s="109">
        <f t="shared" si="31"/>
        <v>49</v>
      </c>
      <c r="AN57" s="110">
        <f t="shared" si="9"/>
        <v>46807</v>
      </c>
      <c r="AO57" s="105">
        <f t="shared" si="35"/>
        <v>0</v>
      </c>
      <c r="AP57" s="105">
        <f t="shared" si="10"/>
        <v>0</v>
      </c>
      <c r="AQ57" s="105">
        <f t="shared" si="41"/>
        <v>0</v>
      </c>
      <c r="AR57" s="105">
        <f t="shared" si="34"/>
        <v>0</v>
      </c>
      <c r="AS57" s="105">
        <f t="shared" si="42"/>
        <v>0</v>
      </c>
      <c r="AT57" s="105">
        <f t="shared" si="43"/>
        <v>0</v>
      </c>
      <c r="AU57" s="105">
        <f t="shared" si="44"/>
        <v>0</v>
      </c>
      <c r="AV57" s="105">
        <f t="shared" si="45"/>
        <v>0</v>
      </c>
      <c r="AW57" s="105">
        <f t="shared" si="46"/>
        <v>0</v>
      </c>
      <c r="AX57" s="108">
        <f t="shared" si="32"/>
        <v>0</v>
      </c>
      <c r="AY57" s="108">
        <f t="shared" si="13"/>
        <v>0</v>
      </c>
      <c r="AZ57" s="22">
        <f t="shared" si="36"/>
        <v>46807</v>
      </c>
      <c r="BA57" s="108">
        <f t="shared" si="36"/>
        <v>0</v>
      </c>
      <c r="BB57" s="2" t="e">
        <f t="shared" si="54"/>
        <v>#VALUE!</v>
      </c>
    </row>
    <row r="58" spans="1:54" s="16" customFormat="1" x14ac:dyDescent="0.25">
      <c r="A58" s="2"/>
      <c r="B58" s="2"/>
      <c r="C58" s="2"/>
      <c r="D58" s="13"/>
      <c r="E58" s="114">
        <f t="shared" si="28"/>
        <v>50</v>
      </c>
      <c r="F58" s="111">
        <f t="shared" si="14"/>
        <v>46836</v>
      </c>
      <c r="G58" s="24">
        <f t="shared" si="5"/>
        <v>0</v>
      </c>
      <c r="H58" s="24">
        <f t="shared" si="6"/>
        <v>0</v>
      </c>
      <c r="I58" s="24">
        <f t="shared" si="26"/>
        <v>146299.1</v>
      </c>
      <c r="J58" s="24">
        <f t="shared" si="15"/>
        <v>0</v>
      </c>
      <c r="K58" s="24">
        <f t="shared" si="7"/>
        <v>0</v>
      </c>
      <c r="L58" s="24">
        <f t="shared" si="16"/>
        <v>0</v>
      </c>
      <c r="M58" s="24">
        <f t="shared" si="37"/>
        <v>0</v>
      </c>
      <c r="N58" s="24">
        <f t="shared" si="38"/>
        <v>0</v>
      </c>
      <c r="O58" s="24">
        <f t="shared" si="39"/>
        <v>0</v>
      </c>
      <c r="P58" s="24">
        <f t="shared" si="40"/>
        <v>0</v>
      </c>
      <c r="Q58" s="24">
        <f t="shared" si="8"/>
        <v>0</v>
      </c>
      <c r="R58" s="36">
        <f t="shared" si="30"/>
        <v>0</v>
      </c>
      <c r="S58" s="36">
        <f t="shared" si="20"/>
        <v>0</v>
      </c>
      <c r="T58" s="2">
        <f t="shared" si="47"/>
        <v>5838.84</v>
      </c>
      <c r="U58" s="34">
        <f t="shared" si="48"/>
        <v>12601</v>
      </c>
      <c r="V58" s="57">
        <f t="shared" si="51"/>
        <v>48600</v>
      </c>
      <c r="W58" s="16">
        <f t="shared" si="53"/>
        <v>9</v>
      </c>
      <c r="X58" s="3" t="s">
        <v>22</v>
      </c>
      <c r="Y58" s="3"/>
      <c r="Z58" s="15">
        <f>IF(C9&gt;AE49,C17,C17+0.05)</f>
        <v>0.27900000000000003</v>
      </c>
      <c r="AA58" s="2">
        <f xml:space="preserve"> IF(C9&gt;AE49,36,24)</f>
        <v>36</v>
      </c>
      <c r="AB58" s="44">
        <f>(C28+AF52)*AA14/12*(1+AA14/12)^(C10)/((1+AA14/12)^(C10)-1)</f>
        <v>12537.416535648323</v>
      </c>
      <c r="AC58" s="15">
        <f>IF(C9&gt;AE49,D17,D17+0.05)</f>
        <v>0.27900000000000003</v>
      </c>
      <c r="AD58" s="47">
        <f>(D28)*AB14/12*(1+AB14/12)^(C10)/((1+AB14/12)^(C10)-1)</f>
        <v>12537.416535648323</v>
      </c>
      <c r="AE58" s="2"/>
      <c r="AF58" s="2"/>
      <c r="AG58" s="2"/>
      <c r="AH58" s="2"/>
      <c r="AI58" s="2">
        <f t="shared" si="49"/>
        <v>5838.84</v>
      </c>
      <c r="AJ58" s="34">
        <f t="shared" si="50"/>
        <v>12601</v>
      </c>
      <c r="AK58" s="57">
        <f t="shared" si="52"/>
        <v>48600</v>
      </c>
      <c r="AL58" s="130">
        <f t="shared" si="21"/>
        <v>0</v>
      </c>
      <c r="AM58" s="109">
        <f t="shared" si="31"/>
        <v>50</v>
      </c>
      <c r="AN58" s="110">
        <f t="shared" si="9"/>
        <v>46836</v>
      </c>
      <c r="AO58" s="105">
        <f t="shared" si="35"/>
        <v>0</v>
      </c>
      <c r="AP58" s="105">
        <f t="shared" si="10"/>
        <v>0</v>
      </c>
      <c r="AQ58" s="105">
        <f t="shared" si="41"/>
        <v>0</v>
      </c>
      <c r="AR58" s="105">
        <f t="shared" si="34"/>
        <v>0</v>
      </c>
      <c r="AS58" s="105">
        <f t="shared" si="42"/>
        <v>0</v>
      </c>
      <c r="AT58" s="105">
        <f t="shared" si="43"/>
        <v>0</v>
      </c>
      <c r="AU58" s="105">
        <f t="shared" si="44"/>
        <v>0</v>
      </c>
      <c r="AV58" s="105">
        <f t="shared" si="45"/>
        <v>0</v>
      </c>
      <c r="AW58" s="105">
        <f t="shared" si="46"/>
        <v>0</v>
      </c>
      <c r="AX58" s="108">
        <f t="shared" si="32"/>
        <v>0</v>
      </c>
      <c r="AY58" s="108">
        <f t="shared" si="13"/>
        <v>0</v>
      </c>
      <c r="AZ58" s="22">
        <f t="shared" si="36"/>
        <v>46836</v>
      </c>
      <c r="BA58" s="108">
        <f t="shared" si="36"/>
        <v>0</v>
      </c>
      <c r="BB58" s="2" t="e">
        <f t="shared" si="54"/>
        <v>#VALUE!</v>
      </c>
    </row>
    <row r="59" spans="1:54" s="16" customFormat="1" ht="15.75" customHeight="1" x14ac:dyDescent="0.25">
      <c r="A59" s="2"/>
      <c r="B59" s="2"/>
      <c r="C59" s="2"/>
      <c r="D59" s="2"/>
      <c r="E59" s="114">
        <f t="shared" si="28"/>
        <v>51</v>
      </c>
      <c r="F59" s="111">
        <f t="shared" si="14"/>
        <v>46867</v>
      </c>
      <c r="G59" s="24">
        <f t="shared" si="5"/>
        <v>0</v>
      </c>
      <c r="H59" s="24">
        <f t="shared" si="6"/>
        <v>0</v>
      </c>
      <c r="I59" s="24">
        <f t="shared" si="26"/>
        <v>146299.1</v>
      </c>
      <c r="J59" s="24">
        <f t="shared" si="15"/>
        <v>0</v>
      </c>
      <c r="K59" s="24">
        <f t="shared" si="7"/>
        <v>0</v>
      </c>
      <c r="L59" s="24">
        <f t="shared" si="16"/>
        <v>0</v>
      </c>
      <c r="M59" s="24">
        <f t="shared" si="37"/>
        <v>0</v>
      </c>
      <c r="N59" s="24">
        <f t="shared" si="38"/>
        <v>0</v>
      </c>
      <c r="O59" s="24">
        <f t="shared" si="39"/>
        <v>0</v>
      </c>
      <c r="P59" s="24">
        <f t="shared" si="40"/>
        <v>0</v>
      </c>
      <c r="Q59" s="24">
        <f t="shared" si="8"/>
        <v>0</v>
      </c>
      <c r="R59" s="36">
        <f t="shared" si="30"/>
        <v>0</v>
      </c>
      <c r="S59" s="36">
        <f t="shared" si="20"/>
        <v>0</v>
      </c>
      <c r="T59" s="2">
        <f t="shared" si="47"/>
        <v>5873.67</v>
      </c>
      <c r="U59" s="34">
        <f t="shared" si="48"/>
        <v>12601</v>
      </c>
      <c r="V59" s="57">
        <f t="shared" si="51"/>
        <v>48965</v>
      </c>
      <c r="W59" s="16">
        <f t="shared" si="53"/>
        <v>10</v>
      </c>
      <c r="X59" s="60">
        <v>43858</v>
      </c>
      <c r="Y59" s="2"/>
      <c r="Z59" s="2"/>
      <c r="AA59" s="2"/>
      <c r="AB59" s="2"/>
      <c r="AC59" s="2"/>
      <c r="AD59" s="144" t="s">
        <v>360</v>
      </c>
      <c r="AE59" s="144" t="s">
        <v>434</v>
      </c>
      <c r="AF59" s="145" t="s">
        <v>114</v>
      </c>
      <c r="AG59" s="145" t="s">
        <v>35</v>
      </c>
      <c r="AH59" s="2"/>
      <c r="AI59" s="2">
        <f t="shared" si="49"/>
        <v>5873.67</v>
      </c>
      <c r="AJ59" s="34">
        <f t="shared" si="50"/>
        <v>12601</v>
      </c>
      <c r="AK59" s="57">
        <f t="shared" si="52"/>
        <v>48965</v>
      </c>
      <c r="AL59" s="130">
        <f t="shared" si="21"/>
        <v>0</v>
      </c>
      <c r="AM59" s="109">
        <f t="shared" si="31"/>
        <v>51</v>
      </c>
      <c r="AN59" s="110">
        <f t="shared" si="9"/>
        <v>46867</v>
      </c>
      <c r="AO59" s="105">
        <f t="shared" si="35"/>
        <v>0</v>
      </c>
      <c r="AP59" s="105">
        <f t="shared" si="10"/>
        <v>0</v>
      </c>
      <c r="AQ59" s="105">
        <f t="shared" si="41"/>
        <v>0</v>
      </c>
      <c r="AR59" s="105">
        <f t="shared" si="34"/>
        <v>0</v>
      </c>
      <c r="AS59" s="105">
        <f t="shared" si="42"/>
        <v>0</v>
      </c>
      <c r="AT59" s="105">
        <f t="shared" si="43"/>
        <v>0</v>
      </c>
      <c r="AU59" s="105">
        <f t="shared" si="44"/>
        <v>0</v>
      </c>
      <c r="AV59" s="105">
        <f t="shared" si="45"/>
        <v>0</v>
      </c>
      <c r="AW59" s="105">
        <f t="shared" si="46"/>
        <v>0</v>
      </c>
      <c r="AX59" s="108">
        <f t="shared" si="32"/>
        <v>0</v>
      </c>
      <c r="AY59" s="108">
        <f t="shared" si="13"/>
        <v>0</v>
      </c>
      <c r="AZ59" s="22">
        <f t="shared" si="36"/>
        <v>46867</v>
      </c>
      <c r="BA59" s="108">
        <f t="shared" si="36"/>
        <v>0</v>
      </c>
      <c r="BB59" s="2" t="e">
        <f t="shared" si="54"/>
        <v>#VALUE!</v>
      </c>
    </row>
    <row r="60" spans="1:54" s="16" customFormat="1" ht="23.4" x14ac:dyDescent="0.25">
      <c r="A60" s="2"/>
      <c r="B60" s="2"/>
      <c r="C60" s="2"/>
      <c r="D60" s="2"/>
      <c r="E60" s="114">
        <f t="shared" si="28"/>
        <v>52</v>
      </c>
      <c r="F60" s="111">
        <f t="shared" si="14"/>
        <v>46897</v>
      </c>
      <c r="G60" s="24">
        <f t="shared" si="5"/>
        <v>0</v>
      </c>
      <c r="H60" s="24">
        <f t="shared" si="6"/>
        <v>0</v>
      </c>
      <c r="I60" s="24">
        <f t="shared" si="26"/>
        <v>146299.1</v>
      </c>
      <c r="J60" s="24">
        <f t="shared" si="15"/>
        <v>0</v>
      </c>
      <c r="K60" s="24">
        <f t="shared" si="7"/>
        <v>0</v>
      </c>
      <c r="L60" s="24">
        <f t="shared" si="16"/>
        <v>0</v>
      </c>
      <c r="M60" s="24">
        <f t="shared" si="37"/>
        <v>0</v>
      </c>
      <c r="N60" s="24">
        <f t="shared" si="38"/>
        <v>0</v>
      </c>
      <c r="O60" s="24">
        <f t="shared" si="39"/>
        <v>0</v>
      </c>
      <c r="P60" s="24">
        <f t="shared" si="40"/>
        <v>0</v>
      </c>
      <c r="Q60" s="24">
        <f t="shared" si="8"/>
        <v>0</v>
      </c>
      <c r="R60" s="36">
        <f t="shared" si="30"/>
        <v>0</v>
      </c>
      <c r="S60" s="36">
        <f t="shared" si="20"/>
        <v>0</v>
      </c>
      <c r="T60" s="2">
        <f t="shared" si="47"/>
        <v>5530.35</v>
      </c>
      <c r="U60" s="34">
        <f t="shared" si="48"/>
        <v>12601</v>
      </c>
      <c r="V60" s="57">
        <f t="shared" si="51"/>
        <v>49330</v>
      </c>
      <c r="W60" s="16">
        <f t="shared" si="53"/>
        <v>11</v>
      </c>
      <c r="X60" s="2" t="s">
        <v>452</v>
      </c>
      <c r="Z60" s="145" t="s">
        <v>70</v>
      </c>
      <c r="AA60" s="144" t="s">
        <v>360</v>
      </c>
      <c r="AB60" s="144" t="s">
        <v>434</v>
      </c>
      <c r="AC60" s="145" t="s">
        <v>114</v>
      </c>
      <c r="AD60" s="144" t="s">
        <v>115</v>
      </c>
      <c r="AE60" s="145" t="s">
        <v>453</v>
      </c>
      <c r="AF60" s="145" t="s">
        <v>361</v>
      </c>
      <c r="AG60" s="2" t="s">
        <v>35</v>
      </c>
      <c r="AH60" s="2"/>
      <c r="AI60" s="2">
        <f t="shared" si="49"/>
        <v>5530.35</v>
      </c>
      <c r="AJ60" s="34">
        <f t="shared" si="50"/>
        <v>12601</v>
      </c>
      <c r="AK60" s="57">
        <f>IF(AI60=0,AK59,AK59+365)</f>
        <v>49330</v>
      </c>
      <c r="AL60" s="130">
        <f t="shared" si="21"/>
        <v>0</v>
      </c>
      <c r="AM60" s="109">
        <f t="shared" si="31"/>
        <v>52</v>
      </c>
      <c r="AN60" s="110">
        <f t="shared" si="9"/>
        <v>46897</v>
      </c>
      <c r="AO60" s="105">
        <f t="shared" si="35"/>
        <v>0</v>
      </c>
      <c r="AP60" s="105">
        <f t="shared" si="10"/>
        <v>0</v>
      </c>
      <c r="AQ60" s="105">
        <f t="shared" si="41"/>
        <v>0</v>
      </c>
      <c r="AR60" s="105">
        <f t="shared" si="34"/>
        <v>0</v>
      </c>
      <c r="AS60" s="105">
        <f t="shared" si="42"/>
        <v>0</v>
      </c>
      <c r="AT60" s="105">
        <f t="shared" si="43"/>
        <v>0</v>
      </c>
      <c r="AU60" s="105">
        <f t="shared" si="44"/>
        <v>0</v>
      </c>
      <c r="AV60" s="105">
        <f t="shared" si="45"/>
        <v>0</v>
      </c>
      <c r="AW60" s="105">
        <f t="shared" si="46"/>
        <v>0</v>
      </c>
      <c r="AX60" s="108">
        <f t="shared" si="32"/>
        <v>0</v>
      </c>
      <c r="AY60" s="108">
        <f t="shared" si="13"/>
        <v>0</v>
      </c>
      <c r="AZ60" s="22">
        <f t="shared" si="36"/>
        <v>46897</v>
      </c>
      <c r="BA60" s="108">
        <f t="shared" si="36"/>
        <v>0</v>
      </c>
      <c r="BB60" s="2" t="e">
        <f t="shared" si="54"/>
        <v>#VALUE!</v>
      </c>
    </row>
    <row r="61" spans="1:54" s="16" customFormat="1" ht="12" x14ac:dyDescent="0.25">
      <c r="A61" s="2"/>
      <c r="B61" s="2"/>
      <c r="C61" s="2"/>
      <c r="D61" s="2"/>
      <c r="E61" s="114">
        <f t="shared" si="28"/>
        <v>53</v>
      </c>
      <c r="F61" s="111">
        <f t="shared" si="14"/>
        <v>46928</v>
      </c>
      <c r="G61" s="24">
        <f t="shared" si="5"/>
        <v>0</v>
      </c>
      <c r="H61" s="24">
        <f t="shared" si="6"/>
        <v>0</v>
      </c>
      <c r="I61" s="24">
        <f t="shared" si="26"/>
        <v>146299.1</v>
      </c>
      <c r="J61" s="24">
        <f t="shared" si="15"/>
        <v>0</v>
      </c>
      <c r="K61" s="24">
        <f t="shared" si="7"/>
        <v>0</v>
      </c>
      <c r="L61" s="24">
        <f t="shared" si="16"/>
        <v>0</v>
      </c>
      <c r="M61" s="24">
        <f t="shared" si="37"/>
        <v>0</v>
      </c>
      <c r="N61" s="24">
        <f t="shared" si="38"/>
        <v>0</v>
      </c>
      <c r="O61" s="24">
        <f t="shared" si="39"/>
        <v>0</v>
      </c>
      <c r="P61" s="24">
        <f t="shared" si="40"/>
        <v>0</v>
      </c>
      <c r="Q61" s="24">
        <f t="shared" si="8"/>
        <v>0</v>
      </c>
      <c r="R61" s="36">
        <f t="shared" si="30"/>
        <v>0</v>
      </c>
      <c r="S61" s="36">
        <f t="shared" si="20"/>
        <v>0</v>
      </c>
      <c r="T61" s="2">
        <f t="shared" si="47"/>
        <v>5562.81</v>
      </c>
      <c r="U61" s="34">
        <f t="shared" si="48"/>
        <v>12601</v>
      </c>
      <c r="V61" s="57">
        <f t="shared" si="51"/>
        <v>49695</v>
      </c>
      <c r="W61" s="16">
        <f t="shared" si="53"/>
        <v>12</v>
      </c>
      <c r="X61" s="170" t="s">
        <v>373</v>
      </c>
      <c r="Y61" s="133" t="s">
        <v>454</v>
      </c>
      <c r="Z61" s="155"/>
      <c r="AA61" s="133" t="s">
        <v>125</v>
      </c>
      <c r="AB61" s="155"/>
      <c r="AC61" s="155"/>
      <c r="AD61" s="155"/>
      <c r="AE61" s="155"/>
      <c r="AF61" s="155"/>
      <c r="AG61" s="2"/>
      <c r="AH61" s="2"/>
      <c r="AI61" s="2">
        <f t="shared" si="49"/>
        <v>5562.81</v>
      </c>
      <c r="AJ61" s="34">
        <f t="shared" si="50"/>
        <v>12601</v>
      </c>
      <c r="AK61" s="57">
        <f t="shared" si="52"/>
        <v>49695</v>
      </c>
      <c r="AL61" s="130">
        <f t="shared" si="21"/>
        <v>0</v>
      </c>
      <c r="AM61" s="109">
        <f t="shared" si="31"/>
        <v>53</v>
      </c>
      <c r="AN61" s="110">
        <f t="shared" si="9"/>
        <v>46928</v>
      </c>
      <c r="AO61" s="105">
        <f t="shared" si="35"/>
        <v>0</v>
      </c>
      <c r="AP61" s="105">
        <f t="shared" si="10"/>
        <v>0</v>
      </c>
      <c r="AQ61" s="105">
        <f t="shared" si="41"/>
        <v>0</v>
      </c>
      <c r="AR61" s="105">
        <f t="shared" si="34"/>
        <v>0</v>
      </c>
      <c r="AS61" s="105">
        <f t="shared" si="42"/>
        <v>0</v>
      </c>
      <c r="AT61" s="105">
        <f t="shared" si="43"/>
        <v>0</v>
      </c>
      <c r="AU61" s="105">
        <f t="shared" si="44"/>
        <v>0</v>
      </c>
      <c r="AV61" s="105">
        <f t="shared" si="45"/>
        <v>0</v>
      </c>
      <c r="AW61" s="105">
        <f t="shared" si="46"/>
        <v>0</v>
      </c>
      <c r="AX61" s="108">
        <f t="shared" si="32"/>
        <v>0</v>
      </c>
      <c r="AY61" s="108">
        <f t="shared" si="13"/>
        <v>0</v>
      </c>
      <c r="AZ61" s="22">
        <f t="shared" si="36"/>
        <v>46928</v>
      </c>
      <c r="BA61" s="108">
        <f t="shared" si="36"/>
        <v>0</v>
      </c>
      <c r="BB61" s="2" t="e">
        <f t="shared" si="54"/>
        <v>#VALUE!</v>
      </c>
    </row>
    <row r="62" spans="1:54" s="16" customFormat="1" ht="15.75" customHeight="1" x14ac:dyDescent="0.25">
      <c r="A62" s="2"/>
      <c r="B62" s="2"/>
      <c r="C62" s="2"/>
      <c r="D62" s="2"/>
      <c r="E62" s="114">
        <f t="shared" si="28"/>
        <v>54</v>
      </c>
      <c r="F62" s="111">
        <f t="shared" si="14"/>
        <v>46958</v>
      </c>
      <c r="G62" s="24">
        <f t="shared" si="5"/>
        <v>0</v>
      </c>
      <c r="H62" s="24">
        <f t="shared" si="6"/>
        <v>0</v>
      </c>
      <c r="I62" s="24">
        <f t="shared" si="26"/>
        <v>146299.1</v>
      </c>
      <c r="J62" s="24">
        <f t="shared" si="15"/>
        <v>0</v>
      </c>
      <c r="K62" s="24">
        <f t="shared" si="7"/>
        <v>0</v>
      </c>
      <c r="L62" s="24">
        <f t="shared" si="16"/>
        <v>0</v>
      </c>
      <c r="M62" s="24">
        <f t="shared" si="37"/>
        <v>0</v>
      </c>
      <c r="N62" s="24">
        <f t="shared" si="38"/>
        <v>0</v>
      </c>
      <c r="O62" s="24">
        <f t="shared" si="39"/>
        <v>0</v>
      </c>
      <c r="P62" s="24">
        <f t="shared" si="40"/>
        <v>0</v>
      </c>
      <c r="Q62" s="24">
        <f t="shared" si="8"/>
        <v>0</v>
      </c>
      <c r="R62" s="36">
        <f t="shared" si="30"/>
        <v>0</v>
      </c>
      <c r="S62" s="36">
        <f t="shared" si="20"/>
        <v>0</v>
      </c>
      <c r="T62" s="2">
        <f t="shared" si="47"/>
        <v>5395.95</v>
      </c>
      <c r="U62" s="34">
        <f t="shared" si="48"/>
        <v>12601</v>
      </c>
      <c r="V62" s="57">
        <f t="shared" si="51"/>
        <v>50060</v>
      </c>
      <c r="W62" s="16">
        <f t="shared" si="53"/>
        <v>13</v>
      </c>
      <c r="Y62" s="171">
        <v>200000</v>
      </c>
      <c r="Z62" s="651">
        <v>3.5000000000000001E-3</v>
      </c>
      <c r="AA62" s="651">
        <v>8.3000000000000001E-4</v>
      </c>
      <c r="AB62" s="651">
        <v>3.5000000000000001E-3</v>
      </c>
      <c r="AC62" s="133">
        <v>3.0000000000000001E-3</v>
      </c>
      <c r="AD62" s="133">
        <v>3.0000000000000001E-3</v>
      </c>
      <c r="AE62" s="133"/>
      <c r="AF62" s="133"/>
      <c r="AG62" s="2"/>
      <c r="AH62" s="2"/>
      <c r="AI62" s="2">
        <f t="shared" si="49"/>
        <v>5395.95</v>
      </c>
      <c r="AJ62" s="34">
        <f t="shared" si="50"/>
        <v>12601</v>
      </c>
      <c r="AK62" s="57">
        <f t="shared" si="52"/>
        <v>50060</v>
      </c>
      <c r="AL62" s="130">
        <f t="shared" si="21"/>
        <v>0</v>
      </c>
      <c r="AM62" s="109">
        <f t="shared" si="31"/>
        <v>54</v>
      </c>
      <c r="AN62" s="110">
        <f t="shared" si="9"/>
        <v>46958</v>
      </c>
      <c r="AO62" s="105">
        <f t="shared" si="35"/>
        <v>0</v>
      </c>
      <c r="AP62" s="105">
        <f t="shared" si="10"/>
        <v>0</v>
      </c>
      <c r="AQ62" s="105">
        <f t="shared" si="41"/>
        <v>0</v>
      </c>
      <c r="AR62" s="105">
        <f t="shared" si="34"/>
        <v>0</v>
      </c>
      <c r="AS62" s="105">
        <f t="shared" si="42"/>
        <v>0</v>
      </c>
      <c r="AT62" s="105">
        <f t="shared" si="43"/>
        <v>0</v>
      </c>
      <c r="AU62" s="105">
        <f t="shared" si="44"/>
        <v>0</v>
      </c>
      <c r="AV62" s="105">
        <f t="shared" si="45"/>
        <v>0</v>
      </c>
      <c r="AW62" s="105">
        <f t="shared" si="46"/>
        <v>0</v>
      </c>
      <c r="AX62" s="108">
        <f t="shared" si="32"/>
        <v>0</v>
      </c>
      <c r="AY62" s="108">
        <f t="shared" si="13"/>
        <v>0</v>
      </c>
      <c r="AZ62" s="22">
        <f t="shared" si="36"/>
        <v>46958</v>
      </c>
      <c r="BA62" s="108">
        <f t="shared" si="36"/>
        <v>0</v>
      </c>
      <c r="BB62" s="2" t="e">
        <f t="shared" si="54"/>
        <v>#VALUE!</v>
      </c>
    </row>
    <row r="63" spans="1:54" s="16" customFormat="1" ht="12" x14ac:dyDescent="0.25">
      <c r="A63" s="2"/>
      <c r="B63" s="2"/>
      <c r="C63" s="2"/>
      <c r="D63" s="2"/>
      <c r="E63" s="114">
        <f t="shared" si="28"/>
        <v>55</v>
      </c>
      <c r="F63" s="111">
        <f t="shared" si="14"/>
        <v>46989</v>
      </c>
      <c r="G63" s="24">
        <f t="shared" si="5"/>
        <v>0</v>
      </c>
      <c r="H63" s="24">
        <f t="shared" si="6"/>
        <v>0</v>
      </c>
      <c r="I63" s="24">
        <f t="shared" si="26"/>
        <v>146299.1</v>
      </c>
      <c r="J63" s="24">
        <f t="shared" si="15"/>
        <v>0</v>
      </c>
      <c r="K63" s="24">
        <f t="shared" si="7"/>
        <v>0</v>
      </c>
      <c r="L63" s="24">
        <f t="shared" si="16"/>
        <v>0</v>
      </c>
      <c r="M63" s="24">
        <f t="shared" si="37"/>
        <v>0</v>
      </c>
      <c r="N63" s="24">
        <f t="shared" si="38"/>
        <v>0</v>
      </c>
      <c r="O63" s="24">
        <f t="shared" si="39"/>
        <v>0</v>
      </c>
      <c r="P63" s="24">
        <f t="shared" si="40"/>
        <v>0</v>
      </c>
      <c r="Q63" s="24">
        <f t="shared" si="8"/>
        <v>0</v>
      </c>
      <c r="R63" s="36">
        <f t="shared" si="30"/>
        <v>0</v>
      </c>
      <c r="S63" s="36">
        <f t="shared" si="20"/>
        <v>0</v>
      </c>
      <c r="T63" s="2">
        <f t="shared" si="47"/>
        <v>4719.5600000000004</v>
      </c>
      <c r="U63" s="34">
        <f t="shared" si="48"/>
        <v>12601</v>
      </c>
      <c r="V63" s="57">
        <f t="shared" si="51"/>
        <v>50425</v>
      </c>
      <c r="W63" s="16">
        <f t="shared" si="53"/>
        <v>14</v>
      </c>
      <c r="X63" s="171">
        <v>200001</v>
      </c>
      <c r="Y63" s="171">
        <v>600000</v>
      </c>
      <c r="Z63" s="651">
        <v>3.0000000000000001E-3</v>
      </c>
      <c r="AA63" s="651">
        <v>8.3000000000000001E-4</v>
      </c>
      <c r="AB63" s="651">
        <v>3.0000000000000001E-3</v>
      </c>
      <c r="AC63" s="133">
        <v>3.0000000000000001E-3</v>
      </c>
      <c r="AD63" s="133">
        <v>3.0000000000000001E-3</v>
      </c>
      <c r="AE63" s="133"/>
      <c r="AF63" s="133"/>
      <c r="AG63" s="2"/>
      <c r="AH63" s="2"/>
      <c r="AI63" s="2">
        <f t="shared" si="49"/>
        <v>4719.5600000000004</v>
      </c>
      <c r="AJ63" s="34">
        <f t="shared" si="50"/>
        <v>12601</v>
      </c>
      <c r="AK63" s="57">
        <f t="shared" si="52"/>
        <v>50425</v>
      </c>
      <c r="AL63" s="130">
        <f t="shared" si="21"/>
        <v>0</v>
      </c>
      <c r="AM63" s="109">
        <f t="shared" si="31"/>
        <v>55</v>
      </c>
      <c r="AN63" s="110">
        <f t="shared" si="9"/>
        <v>46989</v>
      </c>
      <c r="AO63" s="105">
        <f t="shared" si="35"/>
        <v>0</v>
      </c>
      <c r="AP63" s="105">
        <f t="shared" si="10"/>
        <v>0</v>
      </c>
      <c r="AQ63" s="105">
        <f t="shared" si="41"/>
        <v>0</v>
      </c>
      <c r="AR63" s="105">
        <f t="shared" si="34"/>
        <v>0</v>
      </c>
      <c r="AS63" s="105">
        <f t="shared" si="42"/>
        <v>0</v>
      </c>
      <c r="AT63" s="105">
        <f t="shared" si="43"/>
        <v>0</v>
      </c>
      <c r="AU63" s="105">
        <f t="shared" si="44"/>
        <v>0</v>
      </c>
      <c r="AV63" s="105">
        <f t="shared" si="45"/>
        <v>0</v>
      </c>
      <c r="AW63" s="105">
        <f t="shared" si="46"/>
        <v>0</v>
      </c>
      <c r="AX63" s="108">
        <f t="shared" si="32"/>
        <v>0</v>
      </c>
      <c r="AY63" s="108">
        <f t="shared" si="13"/>
        <v>0</v>
      </c>
      <c r="AZ63" s="22">
        <f t="shared" si="36"/>
        <v>46989</v>
      </c>
      <c r="BA63" s="108">
        <f t="shared" si="36"/>
        <v>0</v>
      </c>
      <c r="BB63" s="2" t="e">
        <f t="shared" si="54"/>
        <v>#VALUE!</v>
      </c>
    </row>
    <row r="64" spans="1:54" s="16" customFormat="1" ht="12" x14ac:dyDescent="0.25">
      <c r="A64" s="2"/>
      <c r="B64" s="2"/>
      <c r="C64" s="2"/>
      <c r="D64" s="2"/>
      <c r="E64" s="114">
        <f t="shared" si="28"/>
        <v>56</v>
      </c>
      <c r="F64" s="111">
        <f t="shared" si="14"/>
        <v>47020</v>
      </c>
      <c r="G64" s="24">
        <f t="shared" si="5"/>
        <v>0</v>
      </c>
      <c r="H64" s="24">
        <f t="shared" si="6"/>
        <v>0</v>
      </c>
      <c r="I64" s="24">
        <f t="shared" si="26"/>
        <v>146299.1</v>
      </c>
      <c r="J64" s="24">
        <f t="shared" si="15"/>
        <v>0</v>
      </c>
      <c r="K64" s="24">
        <f t="shared" si="7"/>
        <v>0</v>
      </c>
      <c r="L64" s="24">
        <f t="shared" si="16"/>
        <v>0</v>
      </c>
      <c r="M64" s="24">
        <f t="shared" si="29"/>
        <v>0</v>
      </c>
      <c r="N64" s="24">
        <f t="shared" si="17"/>
        <v>0</v>
      </c>
      <c r="O64" s="24">
        <f t="shared" si="18"/>
        <v>0</v>
      </c>
      <c r="P64" s="24">
        <f t="shared" si="19"/>
        <v>0</v>
      </c>
      <c r="Q64" s="24">
        <f t="shared" si="8"/>
        <v>0</v>
      </c>
      <c r="R64" s="36">
        <f t="shared" si="30"/>
        <v>0</v>
      </c>
      <c r="S64" s="36">
        <f t="shared" si="20"/>
        <v>0</v>
      </c>
      <c r="T64" s="2">
        <f t="shared" si="47"/>
        <v>5038.46</v>
      </c>
      <c r="U64" s="34">
        <f t="shared" si="48"/>
        <v>12601</v>
      </c>
      <c r="V64" s="57">
        <f t="shared" si="51"/>
        <v>50790</v>
      </c>
      <c r="W64" s="16">
        <f t="shared" si="53"/>
        <v>15</v>
      </c>
      <c r="X64" s="170">
        <v>600001</v>
      </c>
      <c r="Y64" s="171">
        <v>1000000</v>
      </c>
      <c r="Z64" s="651">
        <v>2.5000000000000001E-3</v>
      </c>
      <c r="AA64" s="651">
        <v>8.3000000000000001E-4</v>
      </c>
      <c r="AB64" s="651">
        <v>2.5000000000000001E-3</v>
      </c>
      <c r="AC64" s="133">
        <v>3.0000000000000001E-3</v>
      </c>
      <c r="AD64" s="133">
        <v>3.0000000000000001E-3</v>
      </c>
      <c r="AE64" s="133"/>
      <c r="AF64" s="133"/>
      <c r="AH64" s="2"/>
      <c r="AI64" s="2">
        <f t="shared" si="49"/>
        <v>5038.46</v>
      </c>
      <c r="AJ64" s="34">
        <f t="shared" si="50"/>
        <v>12601</v>
      </c>
      <c r="AK64" s="57">
        <f t="shared" si="52"/>
        <v>50790</v>
      </c>
      <c r="AL64" s="130">
        <f t="shared" si="21"/>
        <v>0</v>
      </c>
      <c r="AM64" s="109">
        <f t="shared" si="31"/>
        <v>56</v>
      </c>
      <c r="AN64" s="110">
        <f t="shared" si="9"/>
        <v>47020</v>
      </c>
      <c r="AO64" s="105">
        <f t="shared" si="35"/>
        <v>0</v>
      </c>
      <c r="AP64" s="105">
        <f t="shared" si="10"/>
        <v>0</v>
      </c>
      <c r="AQ64" s="105">
        <f t="shared" si="41"/>
        <v>0</v>
      </c>
      <c r="AR64" s="105">
        <f t="shared" si="34"/>
        <v>0</v>
      </c>
      <c r="AS64" s="105">
        <f t="shared" si="42"/>
        <v>0</v>
      </c>
      <c r="AT64" s="105">
        <f t="shared" si="43"/>
        <v>0</v>
      </c>
      <c r="AU64" s="105">
        <f t="shared" si="44"/>
        <v>0</v>
      </c>
      <c r="AV64" s="105">
        <f t="shared" si="45"/>
        <v>0</v>
      </c>
      <c r="AW64" s="105">
        <f t="shared" si="46"/>
        <v>0</v>
      </c>
      <c r="AX64" s="108">
        <f t="shared" si="32"/>
        <v>0</v>
      </c>
      <c r="AY64" s="108">
        <f t="shared" si="13"/>
        <v>0</v>
      </c>
      <c r="AZ64" s="22">
        <f t="shared" si="36"/>
        <v>47020</v>
      </c>
      <c r="BA64" s="108">
        <f t="shared" si="36"/>
        <v>0</v>
      </c>
      <c r="BB64" s="2" t="e">
        <f t="shared" si="54"/>
        <v>#VALUE!</v>
      </c>
    </row>
    <row r="65" spans="1:54" s="16" customFormat="1" ht="12" x14ac:dyDescent="0.25">
      <c r="A65" s="2"/>
      <c r="B65" s="2"/>
      <c r="C65" s="2"/>
      <c r="D65" s="2"/>
      <c r="E65" s="114">
        <f t="shared" si="28"/>
        <v>57</v>
      </c>
      <c r="F65" s="111">
        <f t="shared" si="14"/>
        <v>47050</v>
      </c>
      <c r="G65" s="24">
        <f t="shared" si="5"/>
        <v>0</v>
      </c>
      <c r="H65" s="24">
        <f t="shared" si="6"/>
        <v>0</v>
      </c>
      <c r="I65" s="24">
        <f t="shared" si="26"/>
        <v>146299.1</v>
      </c>
      <c r="J65" s="24">
        <f t="shared" si="15"/>
        <v>0</v>
      </c>
      <c r="K65" s="24">
        <f t="shared" si="7"/>
        <v>0</v>
      </c>
      <c r="L65" s="24">
        <f t="shared" si="16"/>
        <v>0</v>
      </c>
      <c r="M65" s="24">
        <f t="shared" si="29"/>
        <v>0</v>
      </c>
      <c r="N65" s="24">
        <f t="shared" si="17"/>
        <v>0</v>
      </c>
      <c r="O65" s="24">
        <f t="shared" si="18"/>
        <v>0</v>
      </c>
      <c r="P65" s="24">
        <f t="shared" si="19"/>
        <v>0</v>
      </c>
      <c r="Q65" s="24">
        <f t="shared" si="8"/>
        <v>0</v>
      </c>
      <c r="R65" s="36">
        <f t="shared" si="30"/>
        <v>0</v>
      </c>
      <c r="S65" s="36">
        <f t="shared" si="20"/>
        <v>0</v>
      </c>
      <c r="T65" s="2">
        <f t="shared" si="47"/>
        <v>4702.51</v>
      </c>
      <c r="U65" s="34">
        <f t="shared" si="48"/>
        <v>12601</v>
      </c>
      <c r="V65" s="57">
        <f t="shared" si="51"/>
        <v>51155</v>
      </c>
      <c r="W65" s="16">
        <f t="shared" si="53"/>
        <v>16</v>
      </c>
      <c r="X65" s="171">
        <v>1000001</v>
      </c>
      <c r="Y65" s="171">
        <v>3000000</v>
      </c>
      <c r="Z65" s="651">
        <v>2E-3</v>
      </c>
      <c r="AA65" s="651">
        <v>8.3000000000000001E-4</v>
      </c>
      <c r="AB65" s="651">
        <v>2E-3</v>
      </c>
      <c r="AC65" s="133">
        <v>3.0000000000000001E-3</v>
      </c>
      <c r="AD65" s="133">
        <v>3.0000000000000001E-3</v>
      </c>
      <c r="AE65" s="133"/>
      <c r="AF65" s="133"/>
      <c r="AH65" s="2"/>
      <c r="AI65" s="2">
        <f t="shared" si="49"/>
        <v>4702.51</v>
      </c>
      <c r="AJ65" s="34">
        <f t="shared" si="50"/>
        <v>12601</v>
      </c>
      <c r="AK65" s="57">
        <f t="shared" si="52"/>
        <v>51155</v>
      </c>
      <c r="AL65" s="130">
        <f t="shared" si="21"/>
        <v>0</v>
      </c>
      <c r="AM65" s="109">
        <f t="shared" si="31"/>
        <v>57</v>
      </c>
      <c r="AN65" s="110">
        <f t="shared" si="9"/>
        <v>47050</v>
      </c>
      <c r="AO65" s="105">
        <f t="shared" si="35"/>
        <v>0</v>
      </c>
      <c r="AP65" s="105">
        <f t="shared" si="10"/>
        <v>0</v>
      </c>
      <c r="AQ65" s="105">
        <f t="shared" si="41"/>
        <v>0</v>
      </c>
      <c r="AR65" s="105">
        <f t="shared" si="34"/>
        <v>0</v>
      </c>
      <c r="AS65" s="105">
        <f t="shared" si="42"/>
        <v>0</v>
      </c>
      <c r="AT65" s="105">
        <f t="shared" si="43"/>
        <v>0</v>
      </c>
      <c r="AU65" s="105">
        <f t="shared" si="44"/>
        <v>0</v>
      </c>
      <c r="AV65" s="105">
        <f t="shared" si="45"/>
        <v>0</v>
      </c>
      <c r="AW65" s="105">
        <f t="shared" si="46"/>
        <v>0</v>
      </c>
      <c r="AX65" s="108">
        <f t="shared" si="32"/>
        <v>0</v>
      </c>
      <c r="AY65" s="108">
        <f t="shared" si="13"/>
        <v>0</v>
      </c>
      <c r="AZ65" s="22">
        <f t="shared" si="36"/>
        <v>47050</v>
      </c>
      <c r="BA65" s="108">
        <f t="shared" si="36"/>
        <v>0</v>
      </c>
      <c r="BB65" s="2" t="e">
        <f t="shared" si="54"/>
        <v>#VALUE!</v>
      </c>
    </row>
    <row r="66" spans="1:54" s="16" customFormat="1" ht="12" x14ac:dyDescent="0.25">
      <c r="A66" s="2"/>
      <c r="B66" s="2"/>
      <c r="C66" s="2"/>
      <c r="D66" s="2"/>
      <c r="E66" s="114">
        <f t="shared" si="28"/>
        <v>58</v>
      </c>
      <c r="F66" s="111">
        <f t="shared" si="14"/>
        <v>47081</v>
      </c>
      <c r="G66" s="24">
        <f t="shared" si="5"/>
        <v>0</v>
      </c>
      <c r="H66" s="24">
        <f t="shared" si="6"/>
        <v>0</v>
      </c>
      <c r="I66" s="24">
        <f t="shared" si="26"/>
        <v>146299.1</v>
      </c>
      <c r="J66" s="24">
        <f t="shared" si="15"/>
        <v>0</v>
      </c>
      <c r="K66" s="24">
        <f t="shared" si="7"/>
        <v>0</v>
      </c>
      <c r="L66" s="24">
        <f t="shared" si="16"/>
        <v>0</v>
      </c>
      <c r="M66" s="24">
        <f t="shared" si="29"/>
        <v>0</v>
      </c>
      <c r="N66" s="24">
        <f t="shared" si="17"/>
        <v>0</v>
      </c>
      <c r="O66" s="24">
        <f t="shared" si="18"/>
        <v>0</v>
      </c>
      <c r="P66" s="24">
        <f t="shared" si="19"/>
        <v>0</v>
      </c>
      <c r="Q66" s="24">
        <f t="shared" si="8"/>
        <v>0</v>
      </c>
      <c r="R66" s="36">
        <f t="shared" si="30"/>
        <v>0</v>
      </c>
      <c r="S66" s="36">
        <f t="shared" si="20"/>
        <v>0</v>
      </c>
      <c r="T66" s="2">
        <f t="shared" si="47"/>
        <v>4672.1000000000004</v>
      </c>
      <c r="U66" s="34">
        <f t="shared" si="48"/>
        <v>12601</v>
      </c>
      <c r="V66" s="57">
        <f t="shared" si="51"/>
        <v>51520</v>
      </c>
      <c r="W66" s="16">
        <f t="shared" si="53"/>
        <v>17</v>
      </c>
      <c r="X66" s="171"/>
      <c r="Y66" s="172"/>
      <c r="Z66" s="66">
        <f>IF(Z81&gt;1000000,Z65,IF(Z81&gt;600000,Z64,IF(Z81&gt;200000,Z63,Z62)))</f>
        <v>3.5000000000000001E-3</v>
      </c>
      <c r="AA66" s="651">
        <v>8.3000000000000001E-4</v>
      </c>
      <c r="AB66" s="66">
        <f>IF(AB81&gt;1000000,AB65,IF(AB81&gt;600000,AB64,IF(AB81&gt;200000,AB63,AB62)))</f>
        <v>3.0000000000000001E-3</v>
      </c>
      <c r="AC66" s="66">
        <f>IF(AC81&gt;1000000,AC65,IF(AC81&gt;600000,AC64,IF(AC81&gt;200000,AC63,AC62)))</f>
        <v>3.0000000000000001E-3</v>
      </c>
      <c r="AD66" s="66">
        <f>IF(AD81&gt;1000000,AD65,IF(AD81&gt;600000,AD64,IF(AD81&gt;200000,AD63,AD62)))</f>
        <v>3.0000000000000001E-3</v>
      </c>
      <c r="AE66" s="15" t="s">
        <v>126</v>
      </c>
      <c r="AF66" s="15" t="s">
        <v>126</v>
      </c>
      <c r="AH66" s="2"/>
      <c r="AI66" s="2">
        <f t="shared" si="49"/>
        <v>4672.1000000000004</v>
      </c>
      <c r="AJ66" s="34">
        <f t="shared" si="50"/>
        <v>12601</v>
      </c>
      <c r="AK66" s="57">
        <f t="shared" si="52"/>
        <v>51520</v>
      </c>
      <c r="AL66" s="130">
        <f t="shared" si="21"/>
        <v>0</v>
      </c>
      <c r="AM66" s="109">
        <f t="shared" si="31"/>
        <v>58</v>
      </c>
      <c r="AN66" s="110">
        <f t="shared" si="9"/>
        <v>47081</v>
      </c>
      <c r="AO66" s="105">
        <f t="shared" si="35"/>
        <v>0</v>
      </c>
      <c r="AP66" s="105">
        <f t="shared" si="10"/>
        <v>0</v>
      </c>
      <c r="AQ66" s="105">
        <f t="shared" si="41"/>
        <v>0</v>
      </c>
      <c r="AR66" s="105">
        <f t="shared" si="34"/>
        <v>0</v>
      </c>
      <c r="AS66" s="105">
        <f t="shared" si="42"/>
        <v>0</v>
      </c>
      <c r="AT66" s="105">
        <f t="shared" si="43"/>
        <v>0</v>
      </c>
      <c r="AU66" s="105">
        <f t="shared" si="44"/>
        <v>0</v>
      </c>
      <c r="AV66" s="105">
        <f t="shared" si="45"/>
        <v>0</v>
      </c>
      <c r="AW66" s="105">
        <f t="shared" si="46"/>
        <v>0</v>
      </c>
      <c r="AX66" s="108">
        <f t="shared" si="32"/>
        <v>0</v>
      </c>
      <c r="AY66" s="108">
        <f t="shared" si="13"/>
        <v>0</v>
      </c>
      <c r="AZ66" s="22">
        <f t="shared" si="36"/>
        <v>47081</v>
      </c>
      <c r="BA66" s="108">
        <f t="shared" si="36"/>
        <v>0</v>
      </c>
      <c r="BB66" s="2" t="e">
        <f t="shared" si="54"/>
        <v>#VALUE!</v>
      </c>
    </row>
    <row r="67" spans="1:54" s="16" customFormat="1" ht="12" x14ac:dyDescent="0.25">
      <c r="A67" s="2"/>
      <c r="B67" s="2"/>
      <c r="C67" s="13"/>
      <c r="D67" s="13"/>
      <c r="E67" s="114">
        <f t="shared" si="28"/>
        <v>59</v>
      </c>
      <c r="F67" s="111">
        <f t="shared" si="14"/>
        <v>47111</v>
      </c>
      <c r="G67" s="24">
        <f t="shared" si="5"/>
        <v>0</v>
      </c>
      <c r="H67" s="24">
        <f t="shared" si="6"/>
        <v>0</v>
      </c>
      <c r="I67" s="24">
        <f t="shared" si="26"/>
        <v>146299.1</v>
      </c>
      <c r="J67" s="24">
        <f t="shared" si="15"/>
        <v>0</v>
      </c>
      <c r="K67" s="24">
        <f t="shared" si="7"/>
        <v>0</v>
      </c>
      <c r="L67" s="24">
        <f t="shared" si="16"/>
        <v>0</v>
      </c>
      <c r="M67" s="24">
        <f t="shared" si="29"/>
        <v>0</v>
      </c>
      <c r="N67" s="24">
        <f t="shared" si="17"/>
        <v>0</v>
      </c>
      <c r="O67" s="24">
        <f t="shared" si="18"/>
        <v>0</v>
      </c>
      <c r="P67" s="24">
        <f t="shared" si="19"/>
        <v>0</v>
      </c>
      <c r="Q67" s="24">
        <f t="shared" si="8"/>
        <v>0</v>
      </c>
      <c r="R67" s="36">
        <f t="shared" si="30"/>
        <v>0</v>
      </c>
      <c r="S67" s="36">
        <f t="shared" si="20"/>
        <v>0</v>
      </c>
      <c r="T67" s="2">
        <f t="shared" si="47"/>
        <v>4339.57</v>
      </c>
      <c r="U67" s="34">
        <f t="shared" si="48"/>
        <v>12601</v>
      </c>
      <c r="V67" s="57">
        <f t="shared" si="51"/>
        <v>51885</v>
      </c>
      <c r="W67" s="16">
        <f t="shared" si="53"/>
        <v>18</v>
      </c>
      <c r="Z67" s="143">
        <f>Z66*Z81*$C$10</f>
        <v>0.88200000000000001</v>
      </c>
      <c r="AA67" s="143">
        <f>AA66*AA81*$C$10</f>
        <v>9860.4</v>
      </c>
      <c r="AB67" s="143">
        <f>AB66*AB81*$C$10</f>
        <v>31428</v>
      </c>
      <c r="AC67" s="143">
        <f>AC66*AC81*$C$10</f>
        <v>46332</v>
      </c>
      <c r="AD67" s="143">
        <f>AD66*AD81*$C$10</f>
        <v>31428</v>
      </c>
      <c r="AE67" s="143">
        <f>AA67+AD67</f>
        <v>41288.400000000001</v>
      </c>
      <c r="AF67" s="143">
        <f>AA67+AB67</f>
        <v>41288.400000000001</v>
      </c>
      <c r="AH67" s="2">
        <v>25176.799999999999</v>
      </c>
      <c r="AI67" s="2">
        <f t="shared" si="49"/>
        <v>4339.57</v>
      </c>
      <c r="AJ67" s="34">
        <f t="shared" si="50"/>
        <v>12601</v>
      </c>
      <c r="AK67" s="57">
        <f t="shared" si="52"/>
        <v>51885</v>
      </c>
      <c r="AL67" s="130">
        <f t="shared" si="21"/>
        <v>0</v>
      </c>
      <c r="AM67" s="109">
        <f t="shared" si="31"/>
        <v>59</v>
      </c>
      <c r="AN67" s="110">
        <f t="shared" si="9"/>
        <v>47111</v>
      </c>
      <c r="AO67" s="105">
        <f t="shared" si="35"/>
        <v>0</v>
      </c>
      <c r="AP67" s="105">
        <f t="shared" si="10"/>
        <v>0</v>
      </c>
      <c r="AQ67" s="105">
        <f t="shared" si="41"/>
        <v>0</v>
      </c>
      <c r="AR67" s="105">
        <f t="shared" si="34"/>
        <v>0</v>
      </c>
      <c r="AS67" s="105">
        <f t="shared" si="42"/>
        <v>0</v>
      </c>
      <c r="AT67" s="105">
        <f t="shared" si="43"/>
        <v>0</v>
      </c>
      <c r="AU67" s="105">
        <f t="shared" si="44"/>
        <v>0</v>
      </c>
      <c r="AV67" s="105">
        <f t="shared" si="45"/>
        <v>0</v>
      </c>
      <c r="AW67" s="105">
        <f t="shared" si="46"/>
        <v>0</v>
      </c>
      <c r="AX67" s="108">
        <f t="shared" si="32"/>
        <v>0</v>
      </c>
      <c r="AY67" s="108">
        <f t="shared" si="13"/>
        <v>0</v>
      </c>
      <c r="AZ67" s="22">
        <f t="shared" si="36"/>
        <v>47111</v>
      </c>
      <c r="BA67" s="108">
        <f t="shared" si="36"/>
        <v>0</v>
      </c>
      <c r="BB67" s="2" t="e">
        <f t="shared" si="54"/>
        <v>#VALUE!</v>
      </c>
    </row>
    <row r="68" spans="1:54" s="16" customFormat="1" ht="12" x14ac:dyDescent="0.25">
      <c r="A68" s="2"/>
      <c r="B68" s="2"/>
      <c r="C68" s="2"/>
      <c r="D68" s="13"/>
      <c r="E68" s="114">
        <f t="shared" si="28"/>
        <v>60</v>
      </c>
      <c r="F68" s="111">
        <f t="shared" si="14"/>
        <v>47142</v>
      </c>
      <c r="G68" s="24">
        <f t="shared" si="5"/>
        <v>0</v>
      </c>
      <c r="H68" s="24">
        <f t="shared" si="6"/>
        <v>0</v>
      </c>
      <c r="I68" s="24">
        <f t="shared" si="26"/>
        <v>146299.1</v>
      </c>
      <c r="J68" s="24">
        <f>IF(AND(E68=$C$10,$C$22&lt;&gt;"Нет"),MIN((I68-I68/$C$19*$C$23),Q67+H68-G67),0)</f>
        <v>0</v>
      </c>
      <c r="K68" s="24">
        <f t="shared" si="7"/>
        <v>0</v>
      </c>
      <c r="L68" s="24">
        <f t="shared" si="16"/>
        <v>0</v>
      </c>
      <c r="M68" s="24">
        <f t="shared" si="29"/>
        <v>0</v>
      </c>
      <c r="N68" s="24">
        <f t="shared" si="17"/>
        <v>0</v>
      </c>
      <c r="O68" s="24">
        <f t="shared" si="18"/>
        <v>0</v>
      </c>
      <c r="P68" s="24">
        <f t="shared" si="19"/>
        <v>0</v>
      </c>
      <c r="Q68" s="24">
        <f t="shared" si="8"/>
        <v>0</v>
      </c>
      <c r="R68" s="36">
        <f t="shared" si="30"/>
        <v>0</v>
      </c>
      <c r="S68" s="36">
        <f t="shared" si="20"/>
        <v>0</v>
      </c>
      <c r="T68" s="2">
        <f t="shared" si="47"/>
        <v>4288.46</v>
      </c>
      <c r="U68" s="34">
        <f t="shared" si="48"/>
        <v>12601</v>
      </c>
      <c r="V68" s="57">
        <f t="shared" si="51"/>
        <v>52250</v>
      </c>
      <c r="W68" s="16">
        <f t="shared" si="53"/>
        <v>19</v>
      </c>
      <c r="Z68" s="16">
        <v>0</v>
      </c>
      <c r="AA68" s="143">
        <f>AA67</f>
        <v>9860.4</v>
      </c>
      <c r="AB68" s="16">
        <v>0</v>
      </c>
      <c r="AC68" s="16">
        <v>0</v>
      </c>
      <c r="AD68" s="16">
        <v>0</v>
      </c>
      <c r="AE68" s="143">
        <f>AA67</f>
        <v>9860.4</v>
      </c>
      <c r="AF68" s="143">
        <f>AA67</f>
        <v>9860.4</v>
      </c>
      <c r="AH68" s="143">
        <f>AH67-AE67</f>
        <v>-16111.600000000002</v>
      </c>
      <c r="AI68" s="2">
        <f t="shared" si="49"/>
        <v>4288.46</v>
      </c>
      <c r="AJ68" s="34">
        <f t="shared" si="50"/>
        <v>12601</v>
      </c>
      <c r="AK68" s="57">
        <f t="shared" si="52"/>
        <v>52250</v>
      </c>
      <c r="AL68" s="130">
        <f t="shared" si="21"/>
        <v>0</v>
      </c>
      <c r="AM68" s="109">
        <f t="shared" si="31"/>
        <v>60</v>
      </c>
      <c r="AN68" s="110">
        <f t="shared" si="9"/>
        <v>47142</v>
      </c>
      <c r="AO68" s="105">
        <f>IF(AX67=1,AR68+AP68+AQ68,IF(AW67+AR68+AP68&gt;AO67,$D$29,IF(AW67=0,0,AW67+AR68+AP68+AP100)))</f>
        <v>0</v>
      </c>
      <c r="AP68" s="105">
        <f t="shared" si="10"/>
        <v>0</v>
      </c>
      <c r="AQ68" s="105">
        <f>IF(AY68=0,0,IF(AY68=1,AW67,IF(AW67+AR68+AP68&gt;AO67,AO68-AP68-AR68,AW67)))</f>
        <v>0</v>
      </c>
      <c r="AR68" s="105">
        <f>IF(AT68&gt;$D$29,$D$29-AP68,IF(AY68=0,0,AV68)+BN117)</f>
        <v>0</v>
      </c>
      <c r="AS68" s="105">
        <f>AU67-AR67</f>
        <v>0</v>
      </c>
      <c r="AT68" s="105">
        <f>AP68+AU68</f>
        <v>0</v>
      </c>
      <c r="AU68" s="105">
        <f>IF(AY68=0,0,0)</f>
        <v>0</v>
      </c>
      <c r="AV68" s="105">
        <f>IF(AY68=0,0,0)</f>
        <v>0</v>
      </c>
      <c r="AW68" s="105">
        <f>IF(OR(AY68=1,AW67=0),0,AW67-AQ68)</f>
        <v>0</v>
      </c>
      <c r="AX68" s="108">
        <f t="shared" si="32"/>
        <v>0</v>
      </c>
      <c r="AY68" s="108">
        <f t="shared" si="13"/>
        <v>0</v>
      </c>
      <c r="AZ68" s="22">
        <f t="shared" si="36"/>
        <v>47142</v>
      </c>
      <c r="BA68" s="108">
        <f t="shared" si="36"/>
        <v>0</v>
      </c>
      <c r="BB68" s="2" t="e">
        <f t="shared" si="54"/>
        <v>#VALUE!</v>
      </c>
    </row>
    <row r="69" spans="1:54" s="16" customFormat="1" ht="12" x14ac:dyDescent="0.25">
      <c r="A69" s="2"/>
      <c r="B69" s="2"/>
      <c r="C69" s="2"/>
      <c r="D69" s="2"/>
      <c r="E69" s="114">
        <f t="shared" si="28"/>
        <v>61</v>
      </c>
      <c r="F69" s="111">
        <f t="shared" si="14"/>
        <v>47173</v>
      </c>
      <c r="G69" s="24">
        <f t="shared" si="5"/>
        <v>0</v>
      </c>
      <c r="H69" s="24">
        <f t="shared" si="6"/>
        <v>0</v>
      </c>
      <c r="I69" s="24">
        <f t="shared" si="26"/>
        <v>146299.1</v>
      </c>
      <c r="J69" s="24">
        <f t="shared" ref="J69:J132" si="55">IF(AND(E69=$C$10,$C$22&lt;&gt;"Нет"),MIN((I69-I69/$C$19*$C$23),Q68+H69-G68),0)</f>
        <v>0</v>
      </c>
      <c r="K69" s="24">
        <f t="shared" si="7"/>
        <v>0</v>
      </c>
      <c r="L69" s="24">
        <f t="shared" si="16"/>
        <v>0</v>
      </c>
      <c r="M69" s="24">
        <f t="shared" si="29"/>
        <v>0</v>
      </c>
      <c r="N69" s="24">
        <f t="shared" si="17"/>
        <v>0</v>
      </c>
      <c r="O69" s="24">
        <f t="shared" si="18"/>
        <v>0</v>
      </c>
      <c r="P69" s="24">
        <f t="shared" si="19"/>
        <v>0</v>
      </c>
      <c r="Q69" s="24">
        <f t="shared" si="8"/>
        <v>0</v>
      </c>
      <c r="R69" s="36">
        <f t="shared" si="30"/>
        <v>0</v>
      </c>
      <c r="S69" s="36">
        <f t="shared" si="20"/>
        <v>0</v>
      </c>
      <c r="T69" s="2">
        <f t="shared" si="47"/>
        <v>4091.48</v>
      </c>
      <c r="U69" s="34">
        <f t="shared" si="48"/>
        <v>12601</v>
      </c>
      <c r="V69" s="57">
        <f t="shared" si="51"/>
        <v>52615</v>
      </c>
      <c r="W69" s="16">
        <f t="shared" si="53"/>
        <v>20</v>
      </c>
      <c r="AH69" s="16">
        <f>104000+2900+5616+18532</f>
        <v>131048</v>
      </c>
      <c r="AI69" s="2">
        <f t="shared" si="49"/>
        <v>4091.48</v>
      </c>
      <c r="AJ69" s="34">
        <f t="shared" si="50"/>
        <v>12601</v>
      </c>
      <c r="AK69" s="57">
        <f>IF(AI69=0,AK68,AK68+365)</f>
        <v>52615</v>
      </c>
      <c r="AL69" s="130">
        <f t="shared" si="21"/>
        <v>0</v>
      </c>
      <c r="AM69" s="109">
        <f t="shared" si="31"/>
        <v>61</v>
      </c>
      <c r="AN69" s="110">
        <f t="shared" si="9"/>
        <v>47173</v>
      </c>
      <c r="AO69" s="105">
        <f>IF(AX68=1,AR69+AP69+AQ69,IF(AW68+AR69+AP69&gt;AO68,$D$29,IF(AW68=0,0,AW68+AR69+AP69+AP101)))</f>
        <v>0</v>
      </c>
      <c r="AP69" s="105">
        <f t="shared" si="10"/>
        <v>0</v>
      </c>
      <c r="AQ69" s="105">
        <f>IF(AY69=0,0,IF(AY69=1,AW68,IF(AW68+AR69+AP69&gt;AO68,AO69-AP69-AR69,AW68)))</f>
        <v>0</v>
      </c>
      <c r="AR69" s="105">
        <f>IF(AT69&gt;$D$29,$D$29-AP69,IF(AY69=0,0,AV69)+BN118)</f>
        <v>0</v>
      </c>
      <c r="AS69" s="105">
        <f>AU68-AR68</f>
        <v>0</v>
      </c>
      <c r="AT69" s="105">
        <f>AP69+AU69</f>
        <v>0</v>
      </c>
      <c r="AU69" s="105">
        <f>IF(AY69=0,0,0)</f>
        <v>0</v>
      </c>
      <c r="AV69" s="105">
        <f>IF(AY69=0,0,0)</f>
        <v>0</v>
      </c>
      <c r="AW69" s="105">
        <f>IF(OR(AY69=1,AW68=0),0,AW68-AQ69)</f>
        <v>0</v>
      </c>
      <c r="AX69" s="108">
        <f t="shared" si="32"/>
        <v>0</v>
      </c>
      <c r="AY69" s="108">
        <f t="shared" si="13"/>
        <v>0</v>
      </c>
      <c r="AZ69" s="22">
        <f t="shared" si="36"/>
        <v>47173</v>
      </c>
      <c r="BA69" s="108">
        <f t="shared" si="36"/>
        <v>0</v>
      </c>
      <c r="BB69" s="2" t="e">
        <f t="shared" si="54"/>
        <v>#VALUE!</v>
      </c>
    </row>
    <row r="70" spans="1:54" s="16" customFormat="1" ht="12" x14ac:dyDescent="0.25">
      <c r="A70" s="2"/>
      <c r="B70" s="2"/>
      <c r="C70" s="2"/>
      <c r="D70" s="2"/>
      <c r="E70" s="114">
        <f t="shared" si="28"/>
        <v>62</v>
      </c>
      <c r="F70" s="111">
        <f t="shared" si="14"/>
        <v>47201</v>
      </c>
      <c r="G70" s="24">
        <f t="shared" si="5"/>
        <v>0</v>
      </c>
      <c r="H70" s="24">
        <f t="shared" si="6"/>
        <v>0</v>
      </c>
      <c r="I70" s="24">
        <f t="shared" si="26"/>
        <v>146299.1</v>
      </c>
      <c r="J70" s="24">
        <f t="shared" si="55"/>
        <v>0</v>
      </c>
      <c r="K70" s="24">
        <f t="shared" si="7"/>
        <v>0</v>
      </c>
      <c r="L70" s="24">
        <f t="shared" si="16"/>
        <v>0</v>
      </c>
      <c r="M70" s="24">
        <f t="shared" si="29"/>
        <v>0</v>
      </c>
      <c r="N70" s="24">
        <f t="shared" si="17"/>
        <v>0</v>
      </c>
      <c r="O70" s="24">
        <f t="shared" si="18"/>
        <v>0</v>
      </c>
      <c r="P70" s="24">
        <f t="shared" si="19"/>
        <v>0</v>
      </c>
      <c r="Q70" s="24">
        <f t="shared" si="8"/>
        <v>0</v>
      </c>
      <c r="R70" s="36">
        <f t="shared" si="30"/>
        <v>0</v>
      </c>
      <c r="S70" s="36">
        <f t="shared" si="20"/>
        <v>0</v>
      </c>
      <c r="T70" s="2">
        <f t="shared" si="47"/>
        <v>3764.36</v>
      </c>
      <c r="U70" s="34">
        <f t="shared" si="48"/>
        <v>12601</v>
      </c>
      <c r="V70" s="57">
        <f t="shared" si="51"/>
        <v>52980</v>
      </c>
      <c r="W70" s="16">
        <f t="shared" si="53"/>
        <v>21</v>
      </c>
      <c r="Y70" s="2"/>
      <c r="AA70" s="2"/>
      <c r="AB70" s="2"/>
      <c r="AC70" s="2"/>
      <c r="AD70" s="2"/>
      <c r="AE70" s="2"/>
      <c r="AF70" s="2"/>
      <c r="AG70" s="63"/>
      <c r="AH70" s="63"/>
      <c r="AI70" s="2">
        <f t="shared" si="49"/>
        <v>3764.36</v>
      </c>
      <c r="AJ70" s="34">
        <f>IF(AI70=0,IF(AI69=0,0,$AJ$46),AO29)</f>
        <v>12601</v>
      </c>
      <c r="AK70" s="57">
        <f t="shared" si="52"/>
        <v>52980</v>
      </c>
      <c r="AL70" s="130">
        <f t="shared" si="21"/>
        <v>0</v>
      </c>
      <c r="AM70" s="109">
        <f t="shared" si="31"/>
        <v>62</v>
      </c>
      <c r="AN70" s="110">
        <f t="shared" si="9"/>
        <v>47201</v>
      </c>
      <c r="AO70" s="105">
        <f t="shared" si="35"/>
        <v>0</v>
      </c>
      <c r="AP70" s="105">
        <f t="shared" si="10"/>
        <v>0</v>
      </c>
      <c r="AQ70" s="105">
        <f t="shared" si="41"/>
        <v>0</v>
      </c>
      <c r="AR70" s="105">
        <f t="shared" si="34"/>
        <v>0</v>
      </c>
      <c r="AS70" s="105">
        <f t="shared" si="42"/>
        <v>0</v>
      </c>
      <c r="AT70" s="105">
        <f t="shared" si="43"/>
        <v>0</v>
      </c>
      <c r="AU70" s="105">
        <f t="shared" si="44"/>
        <v>0</v>
      </c>
      <c r="AV70" s="105">
        <f t="shared" si="45"/>
        <v>0</v>
      </c>
      <c r="AW70" s="105">
        <f t="shared" si="46"/>
        <v>0</v>
      </c>
      <c r="AX70" s="108">
        <f t="shared" si="32"/>
        <v>0</v>
      </c>
      <c r="AY70" s="108">
        <f t="shared" si="13"/>
        <v>0</v>
      </c>
      <c r="AZ70" s="22">
        <f t="shared" si="36"/>
        <v>47201</v>
      </c>
      <c r="BA70" s="108">
        <f t="shared" si="36"/>
        <v>0</v>
      </c>
      <c r="BB70" s="2" t="e">
        <f t="shared" si="54"/>
        <v>#VALUE!</v>
      </c>
    </row>
    <row r="71" spans="1:54" s="16" customFormat="1" ht="23.4" x14ac:dyDescent="0.25">
      <c r="A71" s="2"/>
      <c r="B71" s="2"/>
      <c r="C71" s="2"/>
      <c r="D71" s="2"/>
      <c r="E71" s="114">
        <f t="shared" si="28"/>
        <v>63</v>
      </c>
      <c r="F71" s="111">
        <f t="shared" si="14"/>
        <v>47232</v>
      </c>
      <c r="G71" s="24">
        <f t="shared" si="5"/>
        <v>0</v>
      </c>
      <c r="H71" s="24">
        <f t="shared" si="6"/>
        <v>0</v>
      </c>
      <c r="I71" s="24">
        <f t="shared" si="26"/>
        <v>146299.1</v>
      </c>
      <c r="J71" s="24">
        <f t="shared" si="55"/>
        <v>0</v>
      </c>
      <c r="K71" s="24">
        <f t="shared" si="7"/>
        <v>0</v>
      </c>
      <c r="L71" s="24">
        <f t="shared" si="16"/>
        <v>0</v>
      </c>
      <c r="M71" s="24">
        <f t="shared" si="29"/>
        <v>0</v>
      </c>
      <c r="N71" s="24">
        <f t="shared" si="17"/>
        <v>0</v>
      </c>
      <c r="O71" s="24">
        <f t="shared" si="18"/>
        <v>0</v>
      </c>
      <c r="P71" s="24">
        <f t="shared" si="19"/>
        <v>0</v>
      </c>
      <c r="Q71" s="24">
        <f t="shared" si="8"/>
        <v>0</v>
      </c>
      <c r="R71" s="36">
        <f t="shared" si="30"/>
        <v>0</v>
      </c>
      <c r="S71" s="36">
        <f t="shared" si="20"/>
        <v>0</v>
      </c>
      <c r="T71" s="2">
        <f t="shared" si="47"/>
        <v>3680.45</v>
      </c>
      <c r="U71" s="34">
        <f t="shared" si="48"/>
        <v>12601</v>
      </c>
      <c r="V71" s="57">
        <f t="shared" si="51"/>
        <v>53345</v>
      </c>
      <c r="W71" s="16">
        <f t="shared" si="53"/>
        <v>22</v>
      </c>
      <c r="Y71" s="15"/>
      <c r="Z71" s="145" t="s">
        <v>70</v>
      </c>
      <c r="AA71" s="145" t="s">
        <v>360</v>
      </c>
      <c r="AB71" s="145" t="s">
        <v>111</v>
      </c>
      <c r="AC71" s="145" t="s">
        <v>114</v>
      </c>
      <c r="AD71" s="144" t="s">
        <v>115</v>
      </c>
      <c r="AE71" s="145" t="s">
        <v>453</v>
      </c>
      <c r="AF71" s="145" t="s">
        <v>361</v>
      </c>
      <c r="AG71" s="63"/>
      <c r="AH71" s="63"/>
      <c r="AI71" s="2">
        <f t="shared" si="49"/>
        <v>3680.45</v>
      </c>
      <c r="AJ71" s="34">
        <f t="shared" ref="AJ71:AJ82" si="56">IF(AI71=0,IF(AI70=0,0,$AJ$46),AO30)</f>
        <v>12601</v>
      </c>
      <c r="AK71" s="57">
        <f>IF(AI71=0,AK70,AK70+365)</f>
        <v>53345</v>
      </c>
      <c r="AL71" s="130">
        <f t="shared" si="21"/>
        <v>0</v>
      </c>
      <c r="AM71" s="109">
        <f t="shared" si="31"/>
        <v>63</v>
      </c>
      <c r="AN71" s="110">
        <f t="shared" si="9"/>
        <v>47232</v>
      </c>
      <c r="AO71" s="105">
        <f t="shared" si="35"/>
        <v>0</v>
      </c>
      <c r="AP71" s="105">
        <f t="shared" si="10"/>
        <v>0</v>
      </c>
      <c r="AQ71" s="105">
        <f t="shared" si="41"/>
        <v>0</v>
      </c>
      <c r="AR71" s="105">
        <f t="shared" si="34"/>
        <v>0</v>
      </c>
      <c r="AS71" s="105">
        <f t="shared" si="42"/>
        <v>0</v>
      </c>
      <c r="AT71" s="105">
        <f t="shared" si="43"/>
        <v>0</v>
      </c>
      <c r="AU71" s="105">
        <f t="shared" si="44"/>
        <v>0</v>
      </c>
      <c r="AV71" s="105">
        <f t="shared" si="45"/>
        <v>0</v>
      </c>
      <c r="AW71" s="105">
        <f t="shared" si="46"/>
        <v>0</v>
      </c>
      <c r="AX71" s="108">
        <f t="shared" si="32"/>
        <v>0</v>
      </c>
      <c r="AY71" s="108">
        <f t="shared" si="13"/>
        <v>0</v>
      </c>
      <c r="AZ71" s="22">
        <f t="shared" si="36"/>
        <v>47232</v>
      </c>
      <c r="BA71" s="108">
        <f t="shared" si="36"/>
        <v>0</v>
      </c>
      <c r="BB71" s="2" t="e">
        <f t="shared" si="54"/>
        <v>#VALUE!</v>
      </c>
    </row>
    <row r="72" spans="1:54" s="16" customFormat="1" ht="12" x14ac:dyDescent="0.25">
      <c r="A72" s="2"/>
      <c r="B72" s="2"/>
      <c r="C72" s="2"/>
      <c r="D72" s="2"/>
      <c r="E72" s="114">
        <f t="shared" si="28"/>
        <v>64</v>
      </c>
      <c r="F72" s="111">
        <f t="shared" si="14"/>
        <v>47262</v>
      </c>
      <c r="G72" s="24">
        <f t="shared" si="5"/>
        <v>0</v>
      </c>
      <c r="H72" s="24">
        <f t="shared" si="6"/>
        <v>0</v>
      </c>
      <c r="I72" s="24">
        <f t="shared" si="26"/>
        <v>146299.1</v>
      </c>
      <c r="J72" s="24">
        <f t="shared" si="55"/>
        <v>0</v>
      </c>
      <c r="K72" s="24">
        <f t="shared" si="7"/>
        <v>0</v>
      </c>
      <c r="L72" s="24">
        <f t="shared" si="16"/>
        <v>0</v>
      </c>
      <c r="M72" s="24">
        <f t="shared" si="29"/>
        <v>0</v>
      </c>
      <c r="N72" s="24">
        <f t="shared" si="17"/>
        <v>0</v>
      </c>
      <c r="O72" s="24">
        <f t="shared" si="18"/>
        <v>0</v>
      </c>
      <c r="P72" s="24">
        <f t="shared" si="19"/>
        <v>0</v>
      </c>
      <c r="Q72" s="24">
        <f t="shared" si="8"/>
        <v>0</v>
      </c>
      <c r="R72" s="36">
        <f t="shared" si="30"/>
        <v>0</v>
      </c>
      <c r="S72" s="36">
        <f t="shared" si="20"/>
        <v>0</v>
      </c>
      <c r="T72" s="2">
        <f t="shared" si="47"/>
        <v>3357.17</v>
      </c>
      <c r="U72" s="34">
        <f t="shared" si="48"/>
        <v>12601</v>
      </c>
      <c r="V72" s="57">
        <f t="shared" si="51"/>
        <v>53710</v>
      </c>
      <c r="W72" s="16">
        <f t="shared" si="53"/>
        <v>23</v>
      </c>
      <c r="X72" s="133" t="s">
        <v>96</v>
      </c>
      <c r="Y72" s="133" t="s">
        <v>97</v>
      </c>
      <c r="Z72" s="134"/>
      <c r="AA72" s="133" t="s">
        <v>98</v>
      </c>
      <c r="AB72" s="134"/>
      <c r="AC72" s="134"/>
      <c r="AD72" s="134"/>
      <c r="AE72" s="134"/>
      <c r="AF72" s="134"/>
      <c r="AG72" s="63"/>
      <c r="AH72" s="63"/>
      <c r="AI72" s="2">
        <f t="shared" si="49"/>
        <v>3357.17</v>
      </c>
      <c r="AJ72" s="34">
        <f t="shared" si="56"/>
        <v>12601</v>
      </c>
      <c r="AK72" s="57">
        <f t="shared" si="52"/>
        <v>53710</v>
      </c>
      <c r="AL72" s="130">
        <f t="shared" si="21"/>
        <v>0</v>
      </c>
      <c r="AM72" s="109">
        <f t="shared" si="31"/>
        <v>64</v>
      </c>
      <c r="AN72" s="110">
        <f t="shared" si="9"/>
        <v>47262</v>
      </c>
      <c r="AO72" s="105">
        <f t="shared" si="35"/>
        <v>0</v>
      </c>
      <c r="AP72" s="105">
        <f t="shared" si="10"/>
        <v>0</v>
      </c>
      <c r="AQ72" s="105">
        <f t="shared" si="41"/>
        <v>0</v>
      </c>
      <c r="AR72" s="105">
        <f t="shared" si="34"/>
        <v>0</v>
      </c>
      <c r="AS72" s="105">
        <f t="shared" si="42"/>
        <v>0</v>
      </c>
      <c r="AT72" s="105">
        <f t="shared" si="43"/>
        <v>0</v>
      </c>
      <c r="AU72" s="105">
        <f t="shared" si="44"/>
        <v>0</v>
      </c>
      <c r="AV72" s="105">
        <f t="shared" si="45"/>
        <v>0</v>
      </c>
      <c r="AW72" s="105">
        <f t="shared" si="46"/>
        <v>0</v>
      </c>
      <c r="AX72" s="108">
        <f t="shared" si="32"/>
        <v>0</v>
      </c>
      <c r="AY72" s="108">
        <f t="shared" si="13"/>
        <v>0</v>
      </c>
      <c r="AZ72" s="22">
        <f t="shared" ref="AZ72:BA107" si="57">F72</f>
        <v>47262</v>
      </c>
      <c r="BA72" s="108">
        <f t="shared" si="57"/>
        <v>0</v>
      </c>
      <c r="BB72" s="2" t="e">
        <f t="shared" si="54"/>
        <v>#VALUE!</v>
      </c>
    </row>
    <row r="73" spans="1:54" s="16" customFormat="1" ht="12" x14ac:dyDescent="0.25">
      <c r="A73" s="2"/>
      <c r="B73" s="2"/>
      <c r="C73" s="2"/>
      <c r="D73" s="2"/>
      <c r="E73" s="114">
        <f t="shared" si="28"/>
        <v>65</v>
      </c>
      <c r="F73" s="111">
        <f t="shared" si="14"/>
        <v>47293</v>
      </c>
      <c r="G73" s="24">
        <f t="shared" ref="G73:G136" si="58">IF(AND(E73&gt;=$T$14,E73&lt;=$T$14+5),$T$15,IF(AND(Q72+L73+H73&gt;G72,G72&lt;&gt;0),$C$29,IF(Q72=0,0,Q72+L73+H73+H74)))+IF(AND(E73=$C$10,$C$22&lt;&gt;"Нет"),MIN((I73-I73/$C$19*$C$23),Q72+H73-G72),0)</f>
        <v>0</v>
      </c>
      <c r="H73" s="24">
        <f t="shared" ref="H73:H136" si="59">IF(AND(E73&gt;=$T$14,E73&lt;=$T$14+5),0,IF($C$9&gt;$AC$52,ROUND(Q72*$C$19*((F73-DATE(YEAR(F73),MONTH(F73),1)+1)/(DATE(YEAR(F73)+1,1,1)-DATE(YEAR(F73),1,1))+(EOMONTH(F72,0)-F72)/(DATE(YEAR(F72)+1,1,1)-DATE(YEAR(F72),1,1))),2),0))</f>
        <v>0</v>
      </c>
      <c r="I73" s="24">
        <f t="shared" si="26"/>
        <v>146299.1</v>
      </c>
      <c r="J73" s="24">
        <f t="shared" si="55"/>
        <v>0</v>
      </c>
      <c r="K73" s="24">
        <f t="shared" ref="K73:K136" si="60">IF(S73=0,0,IF(S73=1,Q72,IF(Q72+L73+H73&gt;G72,G73-H73-L73,Q72)))</f>
        <v>0</v>
      </c>
      <c r="L73" s="24">
        <f t="shared" si="16"/>
        <v>0</v>
      </c>
      <c r="M73" s="24">
        <f t="shared" si="29"/>
        <v>0</v>
      </c>
      <c r="N73" s="24">
        <f t="shared" si="17"/>
        <v>0</v>
      </c>
      <c r="O73" s="24">
        <f t="shared" si="18"/>
        <v>0</v>
      </c>
      <c r="P73" s="24">
        <f t="shared" si="19"/>
        <v>0</v>
      </c>
      <c r="Q73" s="24">
        <f t="shared" ref="Q73:Q136" si="61">IF(OR(S73=1,Q72=0),0,Q72-K73)</f>
        <v>0</v>
      </c>
      <c r="R73" s="36">
        <f t="shared" si="30"/>
        <v>0</v>
      </c>
      <c r="S73" s="36">
        <f t="shared" si="20"/>
        <v>0</v>
      </c>
      <c r="T73" s="2">
        <f t="shared" si="47"/>
        <v>3250.03</v>
      </c>
      <c r="U73" s="34">
        <f t="shared" si="48"/>
        <v>12601</v>
      </c>
      <c r="V73" s="57">
        <f t="shared" si="51"/>
        <v>54075</v>
      </c>
      <c r="W73" s="16">
        <f t="shared" si="53"/>
        <v>24</v>
      </c>
      <c r="X73" s="170">
        <v>20000</v>
      </c>
      <c r="Y73" s="171">
        <v>220000</v>
      </c>
      <c r="Z73" s="134">
        <v>12</v>
      </c>
      <c r="AA73" s="134">
        <v>1.1000000000000001</v>
      </c>
      <c r="AB73" s="134">
        <f>IF($C$10&gt;48,AB85,IF($C$94&gt;36,AA85,Z85))</f>
        <v>1.42</v>
      </c>
      <c r="AC73" s="134">
        <v>1.43</v>
      </c>
      <c r="AD73" s="134">
        <f>IF($C$10&gt;48,AB94,IF($C$94&gt;36,AA94,Z94))</f>
        <v>1.7</v>
      </c>
      <c r="AE73" s="134"/>
      <c r="AF73" s="134"/>
      <c r="AG73" s="63"/>
      <c r="AH73" s="63"/>
      <c r="AI73" s="2">
        <f t="shared" si="49"/>
        <v>3250.03</v>
      </c>
      <c r="AJ73" s="34">
        <f t="shared" si="56"/>
        <v>12601</v>
      </c>
      <c r="AK73" s="57">
        <f t="shared" si="52"/>
        <v>54075</v>
      </c>
      <c r="AL73" s="130">
        <f t="shared" si="21"/>
        <v>0</v>
      </c>
      <c r="AM73" s="109">
        <f t="shared" si="31"/>
        <v>65</v>
      </c>
      <c r="AN73" s="110">
        <f t="shared" ref="AN73:AN129" si="62">IF((OR(DAY($AA$55)=29,DAY($AA$55)=30,DAY($AA$55)=31)),(EDATE($C$9-3,AM73)),(IF((OR(DAY($AA$55)=1,DAY($AA$55)=2,DAY($AA$55)=3)),(EDATE($C$9,AM73)+3),EDATE($C$9,AM73))))</f>
        <v>47293</v>
      </c>
      <c r="AO73" s="105">
        <f t="shared" si="35"/>
        <v>0</v>
      </c>
      <c r="AP73" s="105">
        <f t="shared" ref="AP73:AP129" si="63">IF(AND(E73&gt;=$T$14,E73&lt;=$T$14+5),0,IF($C$9&gt;$AC$52,ROUND(AW72*$D$19*((AN73-DATE(YEAR(AN73),MONTH(AN73),1)+1)/(DATE(YEAR(AN73)+1,1,1)-DATE(YEAR(AN73),1,1))+(EOMONTH(AN72,0)-AN72)/(DATE(YEAR(AN72)+1,1,1)-DATE(YEAR(AN72),1,1))),2),0))</f>
        <v>0</v>
      </c>
      <c r="AQ73" s="105">
        <f t="shared" si="41"/>
        <v>0</v>
      </c>
      <c r="AR73" s="105">
        <f t="shared" si="34"/>
        <v>0</v>
      </c>
      <c r="AS73" s="105">
        <f t="shared" si="42"/>
        <v>0</v>
      </c>
      <c r="AT73" s="105">
        <f t="shared" si="43"/>
        <v>0</v>
      </c>
      <c r="AU73" s="105">
        <f t="shared" si="44"/>
        <v>0</v>
      </c>
      <c r="AV73" s="105">
        <f t="shared" si="45"/>
        <v>0</v>
      </c>
      <c r="AW73" s="105">
        <f t="shared" si="46"/>
        <v>0</v>
      </c>
      <c r="AX73" s="108">
        <f t="shared" si="32"/>
        <v>0</v>
      </c>
      <c r="AY73" s="108">
        <f t="shared" ref="AY73:AY129" si="64">IF(ISERR(CEILING(FLOOR(NPER($D$19/12,-$AC$56,AW72),0.1),1))=TRUE,0,CEILING(FLOOR(NPER($D$19/12,-$AC$56,AW72),0.1),1))</f>
        <v>0</v>
      </c>
      <c r="AZ73" s="22">
        <f t="shared" si="57"/>
        <v>47293</v>
      </c>
      <c r="BA73" s="108">
        <f t="shared" si="57"/>
        <v>0</v>
      </c>
      <c r="BB73" s="2" t="e">
        <f t="shared" si="54"/>
        <v>#VALUE!</v>
      </c>
    </row>
    <row r="74" spans="1:54" s="16" customFormat="1" ht="12" x14ac:dyDescent="0.25">
      <c r="A74" s="2"/>
      <c r="B74" s="2"/>
      <c r="C74" s="2"/>
      <c r="D74" s="2"/>
      <c r="E74" s="114">
        <f t="shared" si="28"/>
        <v>66</v>
      </c>
      <c r="F74" s="111">
        <f t="shared" ref="F74:F137" si="65">IF(DAY($AA$55)=29,DATE(YEAR($F$8),MONTH($F$8)+E74,26),IF(DAY($AA$55)=30,DATE(YEAR($F$8),MONTH($F$8)+E74,27),IF(DAY($AA$55)=31,DATE(YEAR($F$8),MONTH($F$8)+E74,28),DATE(YEAR($F$8),MONTH($F$8)+E74,DAY($F$8)))))</f>
        <v>47323</v>
      </c>
      <c r="G74" s="24">
        <f t="shared" si="58"/>
        <v>0</v>
      </c>
      <c r="H74" s="24">
        <f t="shared" si="59"/>
        <v>0</v>
      </c>
      <c r="I74" s="24">
        <f t="shared" si="26"/>
        <v>146299.1</v>
      </c>
      <c r="J74" s="24">
        <f t="shared" si="55"/>
        <v>0</v>
      </c>
      <c r="K74" s="24">
        <f t="shared" si="60"/>
        <v>0</v>
      </c>
      <c r="L74" s="24">
        <f t="shared" ref="L74:L137" si="66">IF(N74&gt;$C$29,$C$29-H74,IF(S74=0,0,O74))</f>
        <v>0</v>
      </c>
      <c r="M74" s="24">
        <f t="shared" si="29"/>
        <v>0</v>
      </c>
      <c r="N74" s="24">
        <f t="shared" si="17"/>
        <v>0</v>
      </c>
      <c r="O74" s="24">
        <f t="shared" ref="O74:O137" si="67">IF(S74=0,0,0)</f>
        <v>0</v>
      </c>
      <c r="P74" s="24">
        <f t="shared" ref="P74:P137" si="68">IF(S74=0,0,0)</f>
        <v>0</v>
      </c>
      <c r="Q74" s="24">
        <f t="shared" si="61"/>
        <v>0</v>
      </c>
      <c r="R74" s="36">
        <f t="shared" si="30"/>
        <v>0</v>
      </c>
      <c r="S74" s="36">
        <f t="shared" ref="S74:S137" si="69">R74</f>
        <v>0</v>
      </c>
      <c r="T74" s="2">
        <f t="shared" si="47"/>
        <v>3028.45</v>
      </c>
      <c r="U74" s="34">
        <f t="shared" si="48"/>
        <v>12601</v>
      </c>
      <c r="V74" s="57">
        <f t="shared" si="51"/>
        <v>54440</v>
      </c>
      <c r="W74" s="16">
        <f t="shared" si="53"/>
        <v>25</v>
      </c>
      <c r="X74" s="170">
        <v>20000</v>
      </c>
      <c r="Y74" s="171">
        <v>220000</v>
      </c>
      <c r="Z74" s="134">
        <v>12</v>
      </c>
      <c r="AA74" s="134">
        <v>1.1000000000000001</v>
      </c>
      <c r="AB74" s="134">
        <f>IF($C$10&gt;48,AB86,IF($C$94&gt;36,AA86,Z86))</f>
        <v>1.42</v>
      </c>
      <c r="AC74" s="134">
        <v>1.43</v>
      </c>
      <c r="AD74" s="134">
        <f>IF($C$10&gt;48,AB95,IF($C$94&gt;36,AA95,Z95))</f>
        <v>1.7</v>
      </c>
      <c r="AE74" s="134"/>
      <c r="AF74" s="134"/>
      <c r="AG74" s="63"/>
      <c r="AH74" s="63"/>
      <c r="AI74" s="2">
        <f t="shared" si="49"/>
        <v>3028.45</v>
      </c>
      <c r="AJ74" s="34">
        <f t="shared" si="56"/>
        <v>12601</v>
      </c>
      <c r="AK74" s="57">
        <f t="shared" si="52"/>
        <v>54440</v>
      </c>
      <c r="AL74" s="130">
        <f t="shared" si="21"/>
        <v>0</v>
      </c>
      <c r="AM74" s="109">
        <f t="shared" si="31"/>
        <v>66</v>
      </c>
      <c r="AN74" s="110">
        <f t="shared" si="62"/>
        <v>47323</v>
      </c>
      <c r="AO74" s="105">
        <f t="shared" si="35"/>
        <v>0</v>
      </c>
      <c r="AP74" s="105">
        <f t="shared" si="63"/>
        <v>0</v>
      </c>
      <c r="AQ74" s="105">
        <f t="shared" si="41"/>
        <v>0</v>
      </c>
      <c r="AR74" s="105">
        <f t="shared" si="34"/>
        <v>0</v>
      </c>
      <c r="AS74" s="105">
        <f t="shared" si="42"/>
        <v>0</v>
      </c>
      <c r="AT74" s="105">
        <f t="shared" si="43"/>
        <v>0</v>
      </c>
      <c r="AU74" s="105">
        <f t="shared" si="44"/>
        <v>0</v>
      </c>
      <c r="AV74" s="105">
        <f t="shared" si="45"/>
        <v>0</v>
      </c>
      <c r="AW74" s="105">
        <f t="shared" si="46"/>
        <v>0</v>
      </c>
      <c r="AX74" s="108">
        <f t="shared" si="32"/>
        <v>0</v>
      </c>
      <c r="AY74" s="108">
        <f t="shared" si="64"/>
        <v>0</v>
      </c>
      <c r="AZ74" s="22">
        <f t="shared" si="57"/>
        <v>47323</v>
      </c>
      <c r="BA74" s="108">
        <f t="shared" si="57"/>
        <v>0</v>
      </c>
      <c r="BB74" s="2" t="e">
        <f t="shared" si="54"/>
        <v>#VALUE!</v>
      </c>
    </row>
    <row r="75" spans="1:54" s="16" customFormat="1" ht="12" x14ac:dyDescent="0.25">
      <c r="A75" s="2"/>
      <c r="B75" s="2"/>
      <c r="C75" s="2"/>
      <c r="D75" s="2"/>
      <c r="E75" s="114">
        <f t="shared" si="28"/>
        <v>67</v>
      </c>
      <c r="F75" s="111">
        <f t="shared" si="65"/>
        <v>47354</v>
      </c>
      <c r="G75" s="24">
        <f t="shared" si="58"/>
        <v>0</v>
      </c>
      <c r="H75" s="24">
        <f t="shared" si="59"/>
        <v>0</v>
      </c>
      <c r="I75" s="24">
        <f t="shared" ref="I75:I138" si="70">H75+I74</f>
        <v>146299.1</v>
      </c>
      <c r="J75" s="24">
        <f t="shared" si="55"/>
        <v>0</v>
      </c>
      <c r="K75" s="24">
        <f t="shared" si="60"/>
        <v>0</v>
      </c>
      <c r="L75" s="24">
        <f t="shared" si="66"/>
        <v>0</v>
      </c>
      <c r="M75" s="24">
        <f t="shared" si="29"/>
        <v>0</v>
      </c>
      <c r="N75" s="24">
        <f t="shared" si="17"/>
        <v>0</v>
      </c>
      <c r="O75" s="24">
        <f t="shared" si="67"/>
        <v>0</v>
      </c>
      <c r="P75" s="24">
        <f t="shared" si="68"/>
        <v>0</v>
      </c>
      <c r="Q75" s="24">
        <f t="shared" si="61"/>
        <v>0</v>
      </c>
      <c r="R75" s="36">
        <f t="shared" si="30"/>
        <v>0</v>
      </c>
      <c r="S75" s="36">
        <f t="shared" si="69"/>
        <v>0</v>
      </c>
      <c r="T75" s="2">
        <f t="shared" si="47"/>
        <v>2530.5</v>
      </c>
      <c r="U75" s="34">
        <f t="shared" si="48"/>
        <v>12601</v>
      </c>
      <c r="V75" s="57">
        <f t="shared" si="51"/>
        <v>54805</v>
      </c>
      <c r="W75" s="16">
        <f t="shared" si="53"/>
        <v>26</v>
      </c>
      <c r="X75" s="170">
        <v>20000</v>
      </c>
      <c r="Y75" s="171">
        <v>220000</v>
      </c>
      <c r="Z75" s="134">
        <v>12</v>
      </c>
      <c r="AA75" s="134">
        <v>1.1000000000000001</v>
      </c>
      <c r="AB75" s="134">
        <f>IF($C$10&gt;48,AB87,IF($C$94&gt;36,AA87,Z87))</f>
        <v>1.42</v>
      </c>
      <c r="AC75" s="134">
        <v>1.43</v>
      </c>
      <c r="AD75" s="134">
        <f>IF($C$10&gt;48,AB96,IF($C$94&gt;36,AA96,Z96))</f>
        <v>1.7</v>
      </c>
      <c r="AE75" s="134"/>
      <c r="AF75" s="134"/>
      <c r="AG75" s="63"/>
      <c r="AH75" s="63"/>
      <c r="AI75" s="2">
        <f t="shared" si="49"/>
        <v>2530.5</v>
      </c>
      <c r="AJ75" s="34">
        <f t="shared" si="56"/>
        <v>12601</v>
      </c>
      <c r="AK75" s="57">
        <f t="shared" si="52"/>
        <v>54805</v>
      </c>
      <c r="AL75" s="130">
        <f t="shared" ref="AL75:AL109" si="71">IF(OR(AO75="",AO75=0),0,1)</f>
        <v>0</v>
      </c>
      <c r="AM75" s="109">
        <f t="shared" si="31"/>
        <v>67</v>
      </c>
      <c r="AN75" s="110">
        <f t="shared" si="62"/>
        <v>47354</v>
      </c>
      <c r="AO75" s="105">
        <f t="shared" si="35"/>
        <v>0</v>
      </c>
      <c r="AP75" s="105">
        <f t="shared" si="63"/>
        <v>0</v>
      </c>
      <c r="AQ75" s="105">
        <f t="shared" si="41"/>
        <v>0</v>
      </c>
      <c r="AR75" s="105">
        <f t="shared" si="34"/>
        <v>0</v>
      </c>
      <c r="AS75" s="105">
        <f t="shared" si="42"/>
        <v>0</v>
      </c>
      <c r="AT75" s="105">
        <f t="shared" si="43"/>
        <v>0</v>
      </c>
      <c r="AU75" s="105">
        <f t="shared" si="44"/>
        <v>0</v>
      </c>
      <c r="AV75" s="105">
        <f t="shared" si="45"/>
        <v>0</v>
      </c>
      <c r="AW75" s="105">
        <f t="shared" si="46"/>
        <v>0</v>
      </c>
      <c r="AX75" s="108">
        <f t="shared" si="32"/>
        <v>0</v>
      </c>
      <c r="AY75" s="108">
        <f t="shared" si="64"/>
        <v>0</v>
      </c>
      <c r="AZ75" s="22">
        <f t="shared" si="57"/>
        <v>47354</v>
      </c>
      <c r="BA75" s="108">
        <f t="shared" si="57"/>
        <v>0</v>
      </c>
      <c r="BB75" s="2" t="e">
        <f t="shared" si="54"/>
        <v>#VALUE!</v>
      </c>
    </row>
    <row r="76" spans="1:54" s="16" customFormat="1" ht="12" x14ac:dyDescent="0.25">
      <c r="A76" s="2"/>
      <c r="B76" s="2"/>
      <c r="C76" s="2"/>
      <c r="D76" s="2"/>
      <c r="E76" s="114">
        <f t="shared" ref="E76:E139" si="72">E75+1</f>
        <v>68</v>
      </c>
      <c r="F76" s="111">
        <f t="shared" si="65"/>
        <v>47385</v>
      </c>
      <c r="G76" s="24">
        <f t="shared" si="58"/>
        <v>0</v>
      </c>
      <c r="H76" s="24">
        <f t="shared" si="59"/>
        <v>0</v>
      </c>
      <c r="I76" s="24">
        <f t="shared" si="70"/>
        <v>146299.1</v>
      </c>
      <c r="J76" s="24">
        <f t="shared" si="55"/>
        <v>0</v>
      </c>
      <c r="K76" s="24">
        <f t="shared" si="60"/>
        <v>0</v>
      </c>
      <c r="L76" s="24">
        <f t="shared" si="66"/>
        <v>0</v>
      </c>
      <c r="M76" s="24">
        <f t="shared" si="29"/>
        <v>0</v>
      </c>
      <c r="N76" s="24">
        <f t="shared" si="17"/>
        <v>0</v>
      </c>
      <c r="O76" s="24">
        <f t="shared" si="67"/>
        <v>0</v>
      </c>
      <c r="P76" s="24">
        <f t="shared" si="68"/>
        <v>0</v>
      </c>
      <c r="Q76" s="24">
        <f t="shared" si="61"/>
        <v>0</v>
      </c>
      <c r="R76" s="36">
        <f t="shared" ref="R76" si="73">IF((R75-1)&lt;0,0,R75-1)</f>
        <v>0</v>
      </c>
      <c r="S76" s="36">
        <f t="shared" si="69"/>
        <v>0</v>
      </c>
      <c r="T76" s="2">
        <f t="shared" si="47"/>
        <v>2562.9899999999998</v>
      </c>
      <c r="U76" s="34">
        <f t="shared" si="48"/>
        <v>12601</v>
      </c>
      <c r="V76" s="57">
        <f t="shared" si="51"/>
        <v>55170</v>
      </c>
      <c r="W76" s="16">
        <f t="shared" si="53"/>
        <v>27</v>
      </c>
      <c r="X76" s="170">
        <v>220001</v>
      </c>
      <c r="Y76" s="171">
        <v>500000</v>
      </c>
      <c r="Z76" s="134">
        <v>7</v>
      </c>
      <c r="AA76" s="134">
        <v>1.1000000000000001</v>
      </c>
      <c r="AB76" s="134">
        <f>IF($C$10&gt;48,AB88,IF($C$94&gt;36,AA88,Z88))</f>
        <v>0.97</v>
      </c>
      <c r="AC76" s="134">
        <v>1.43</v>
      </c>
      <c r="AD76" s="134">
        <f>IF($C$10&gt;48,AB97,IF($C$94&gt;36,AA97,Z97))</f>
        <v>0.97</v>
      </c>
      <c r="AE76" s="134"/>
      <c r="AF76" s="134"/>
      <c r="AG76" s="63"/>
      <c r="AH76" s="63"/>
      <c r="AI76" s="2">
        <f t="shared" si="49"/>
        <v>2562.9899999999998</v>
      </c>
      <c r="AJ76" s="34">
        <f t="shared" si="56"/>
        <v>12601</v>
      </c>
      <c r="AK76" s="57">
        <f t="shared" si="52"/>
        <v>55170</v>
      </c>
      <c r="AL76" s="130">
        <f t="shared" si="71"/>
        <v>0</v>
      </c>
      <c r="AM76" s="109">
        <f t="shared" ref="AM76:AM129" si="74">AM75+1</f>
        <v>68</v>
      </c>
      <c r="AN76" s="110">
        <f t="shared" si="62"/>
        <v>47385</v>
      </c>
      <c r="AO76" s="105">
        <f t="shared" si="35"/>
        <v>0</v>
      </c>
      <c r="AP76" s="105">
        <f t="shared" si="63"/>
        <v>0</v>
      </c>
      <c r="AQ76" s="105">
        <f t="shared" si="41"/>
        <v>0</v>
      </c>
      <c r="AR76" s="105">
        <f t="shared" si="34"/>
        <v>0</v>
      </c>
      <c r="AS76" s="105">
        <f t="shared" si="42"/>
        <v>0</v>
      </c>
      <c r="AT76" s="105">
        <f t="shared" si="43"/>
        <v>0</v>
      </c>
      <c r="AU76" s="105">
        <f t="shared" si="44"/>
        <v>0</v>
      </c>
      <c r="AV76" s="105">
        <f t="shared" si="45"/>
        <v>0</v>
      </c>
      <c r="AW76" s="105">
        <f t="shared" si="46"/>
        <v>0</v>
      </c>
      <c r="AX76" s="108">
        <f t="shared" ref="AX76:AX129" si="75">IF((AX75-1)&lt;0,0,AX75-1)</f>
        <v>0</v>
      </c>
      <c r="AY76" s="108">
        <f t="shared" si="64"/>
        <v>0</v>
      </c>
      <c r="AZ76" s="22">
        <f t="shared" si="57"/>
        <v>47385</v>
      </c>
      <c r="BA76" s="108">
        <f t="shared" si="57"/>
        <v>0</v>
      </c>
      <c r="BB76" s="2" t="e">
        <f t="shared" si="54"/>
        <v>#VALUE!</v>
      </c>
    </row>
    <row r="77" spans="1:54" s="16" customFormat="1" ht="12" x14ac:dyDescent="0.25">
      <c r="A77" s="2"/>
      <c r="B77" s="2"/>
      <c r="C77" s="2"/>
      <c r="D77" s="2"/>
      <c r="E77" s="114">
        <f t="shared" si="72"/>
        <v>69</v>
      </c>
      <c r="F77" s="111">
        <f t="shared" si="65"/>
        <v>47415</v>
      </c>
      <c r="G77" s="24">
        <f t="shared" si="58"/>
        <v>0</v>
      </c>
      <c r="H77" s="24">
        <f t="shared" si="59"/>
        <v>0</v>
      </c>
      <c r="I77" s="24">
        <f t="shared" si="70"/>
        <v>146299.1</v>
      </c>
      <c r="J77" s="24">
        <f t="shared" si="55"/>
        <v>0</v>
      </c>
      <c r="K77" s="24">
        <f t="shared" si="60"/>
        <v>0</v>
      </c>
      <c r="L77" s="24">
        <f t="shared" si="66"/>
        <v>0</v>
      </c>
      <c r="M77" s="24">
        <f t="shared" si="29"/>
        <v>0</v>
      </c>
      <c r="N77" s="24">
        <f t="shared" si="17"/>
        <v>0</v>
      </c>
      <c r="O77" s="24">
        <f t="shared" si="67"/>
        <v>0</v>
      </c>
      <c r="P77" s="24">
        <f t="shared" si="68"/>
        <v>0</v>
      </c>
      <c r="Q77" s="24">
        <f t="shared" si="61"/>
        <v>0</v>
      </c>
      <c r="R77" s="36">
        <f>IF((R76-1)&lt;0,0,R76-1)</f>
        <v>0</v>
      </c>
      <c r="S77" s="36">
        <f t="shared" si="69"/>
        <v>0</v>
      </c>
      <c r="T77" s="2">
        <f t="shared" si="47"/>
        <v>2250.13</v>
      </c>
      <c r="U77" s="34">
        <f t="shared" si="48"/>
        <v>12601</v>
      </c>
      <c r="V77" s="57">
        <f t="shared" si="51"/>
        <v>55535</v>
      </c>
      <c r="W77" s="16">
        <f t="shared" si="53"/>
        <v>28</v>
      </c>
      <c r="X77" s="171">
        <v>500001</v>
      </c>
      <c r="Y77" s="171">
        <v>1000000</v>
      </c>
      <c r="Z77" s="134">
        <v>9</v>
      </c>
      <c r="AA77" s="134">
        <v>1.1000000000000001</v>
      </c>
      <c r="AB77" s="134">
        <f>IF($C$10&gt;72,AD89,IF($C$10&gt;60,AC89,IF($C$10&gt;48,AB89,IF($C$94&gt;36,AA89,Z89))))</f>
        <v>1.52</v>
      </c>
      <c r="AC77" s="134">
        <v>1.43</v>
      </c>
      <c r="AD77" s="134">
        <f>IF($C$10&gt;72,AD98,IF($C$10&gt;60,AC98,IF($C$10&gt;48,AB98,IF($C$94&gt;36,AA98,Z98))))</f>
        <v>1.26</v>
      </c>
      <c r="AE77" s="134"/>
      <c r="AF77" s="134"/>
      <c r="AG77" s="63"/>
      <c r="AH77" s="63"/>
      <c r="AI77" s="2">
        <f t="shared" si="49"/>
        <v>2250.13</v>
      </c>
      <c r="AJ77" s="34">
        <f t="shared" si="56"/>
        <v>12601</v>
      </c>
      <c r="AK77" s="57">
        <f t="shared" si="52"/>
        <v>55535</v>
      </c>
      <c r="AL77" s="130">
        <f t="shared" si="71"/>
        <v>0</v>
      </c>
      <c r="AM77" s="109">
        <f t="shared" si="74"/>
        <v>69</v>
      </c>
      <c r="AN77" s="110">
        <f t="shared" si="62"/>
        <v>47415</v>
      </c>
      <c r="AO77" s="105">
        <f t="shared" si="35"/>
        <v>0</v>
      </c>
      <c r="AP77" s="105">
        <f t="shared" si="63"/>
        <v>0</v>
      </c>
      <c r="AQ77" s="105">
        <f t="shared" si="41"/>
        <v>0</v>
      </c>
      <c r="AR77" s="105">
        <f t="shared" si="34"/>
        <v>0</v>
      </c>
      <c r="AS77" s="105">
        <f t="shared" si="42"/>
        <v>0</v>
      </c>
      <c r="AT77" s="105">
        <f t="shared" si="43"/>
        <v>0</v>
      </c>
      <c r="AU77" s="105">
        <f t="shared" si="44"/>
        <v>0</v>
      </c>
      <c r="AV77" s="105">
        <f t="shared" si="45"/>
        <v>0</v>
      </c>
      <c r="AW77" s="105">
        <f t="shared" si="46"/>
        <v>0</v>
      </c>
      <c r="AX77" s="108">
        <f t="shared" si="75"/>
        <v>0</v>
      </c>
      <c r="AY77" s="108">
        <f t="shared" si="64"/>
        <v>0</v>
      </c>
      <c r="AZ77" s="22">
        <f t="shared" si="57"/>
        <v>47415</v>
      </c>
      <c r="BA77" s="108">
        <f t="shared" si="57"/>
        <v>0</v>
      </c>
      <c r="BB77" s="2" t="e">
        <f t="shared" si="54"/>
        <v>#VALUE!</v>
      </c>
    </row>
    <row r="78" spans="1:54" s="16" customFormat="1" ht="12" x14ac:dyDescent="0.25">
      <c r="A78" s="2"/>
      <c r="B78" s="2"/>
      <c r="C78" s="2"/>
      <c r="D78" s="2"/>
      <c r="E78" s="114">
        <f t="shared" si="72"/>
        <v>70</v>
      </c>
      <c r="F78" s="111">
        <f t="shared" si="65"/>
        <v>47446</v>
      </c>
      <c r="G78" s="24">
        <f t="shared" si="58"/>
        <v>0</v>
      </c>
      <c r="H78" s="24">
        <f t="shared" si="59"/>
        <v>0</v>
      </c>
      <c r="I78" s="24">
        <f t="shared" si="70"/>
        <v>146299.1</v>
      </c>
      <c r="J78" s="24">
        <f t="shared" si="55"/>
        <v>0</v>
      </c>
      <c r="K78" s="24">
        <f t="shared" si="60"/>
        <v>0</v>
      </c>
      <c r="L78" s="24">
        <f t="shared" si="66"/>
        <v>0</v>
      </c>
      <c r="M78" s="24">
        <f t="shared" si="29"/>
        <v>0</v>
      </c>
      <c r="N78" s="24">
        <f t="shared" si="17"/>
        <v>0</v>
      </c>
      <c r="O78" s="24">
        <f t="shared" si="67"/>
        <v>0</v>
      </c>
      <c r="P78" s="24">
        <f t="shared" si="68"/>
        <v>0</v>
      </c>
      <c r="Q78" s="24">
        <f t="shared" si="61"/>
        <v>0</v>
      </c>
      <c r="R78" s="36">
        <f t="shared" ref="R78:R141" si="76">IF((R77-1)&lt;0,0,R77-1)</f>
        <v>0</v>
      </c>
      <c r="S78" s="36">
        <f t="shared" si="69"/>
        <v>0</v>
      </c>
      <c r="T78" s="2">
        <f t="shared" si="47"/>
        <v>2079.86</v>
      </c>
      <c r="U78" s="34">
        <f t="shared" si="48"/>
        <v>12601</v>
      </c>
      <c r="V78" s="57">
        <f t="shared" si="51"/>
        <v>55900</v>
      </c>
      <c r="W78" s="16">
        <f t="shared" si="53"/>
        <v>29</v>
      </c>
      <c r="X78" s="171">
        <v>1000001</v>
      </c>
      <c r="Y78" s="171">
        <v>5000000</v>
      </c>
      <c r="Z78" s="134">
        <v>6</v>
      </c>
      <c r="AA78" s="134">
        <v>1.1000000000000001</v>
      </c>
      <c r="AB78" s="134">
        <f>IF($C$10&gt;72,AD90,IF($C$10&gt;60,AC90,IF($C$10&gt;48,AB90,IF($C$94&gt;36,AA90,Z90))))</f>
        <v>1.25</v>
      </c>
      <c r="AC78" s="134">
        <v>1.43</v>
      </c>
      <c r="AD78" s="134">
        <f>IF($C$10&gt;48,AB99,IF($C$94&gt;36,AA99,Z99))</f>
        <v>0.83</v>
      </c>
      <c r="AE78" s="134"/>
      <c r="AF78" s="134"/>
      <c r="AG78" s="63"/>
      <c r="AH78" s="63"/>
      <c r="AI78" s="2">
        <f t="shared" si="49"/>
        <v>2079.86</v>
      </c>
      <c r="AJ78" s="34">
        <f t="shared" si="56"/>
        <v>12601</v>
      </c>
      <c r="AK78" s="57">
        <f t="shared" si="52"/>
        <v>55900</v>
      </c>
      <c r="AL78" s="130">
        <f t="shared" si="71"/>
        <v>0</v>
      </c>
      <c r="AM78" s="109">
        <f t="shared" si="74"/>
        <v>70</v>
      </c>
      <c r="AN78" s="110">
        <f t="shared" si="62"/>
        <v>47446</v>
      </c>
      <c r="AO78" s="105">
        <f t="shared" si="35"/>
        <v>0</v>
      </c>
      <c r="AP78" s="105">
        <f t="shared" si="63"/>
        <v>0</v>
      </c>
      <c r="AQ78" s="105">
        <f t="shared" si="41"/>
        <v>0</v>
      </c>
      <c r="AR78" s="105">
        <f t="shared" si="34"/>
        <v>0</v>
      </c>
      <c r="AS78" s="105">
        <f t="shared" si="42"/>
        <v>0</v>
      </c>
      <c r="AT78" s="105">
        <f t="shared" si="43"/>
        <v>0</v>
      </c>
      <c r="AU78" s="105">
        <f t="shared" si="44"/>
        <v>0</v>
      </c>
      <c r="AV78" s="105">
        <f t="shared" si="45"/>
        <v>0</v>
      </c>
      <c r="AW78" s="105">
        <f t="shared" si="46"/>
        <v>0</v>
      </c>
      <c r="AX78" s="108">
        <f t="shared" si="75"/>
        <v>0</v>
      </c>
      <c r="AY78" s="108">
        <f t="shared" si="64"/>
        <v>0</v>
      </c>
      <c r="AZ78" s="22">
        <f t="shared" si="57"/>
        <v>47446</v>
      </c>
      <c r="BA78" s="108">
        <f t="shared" si="57"/>
        <v>0</v>
      </c>
      <c r="BB78" s="2" t="e">
        <f t="shared" si="54"/>
        <v>#VALUE!</v>
      </c>
    </row>
    <row r="79" spans="1:54" s="16" customFormat="1" ht="12" x14ac:dyDescent="0.25">
      <c r="A79" s="53"/>
      <c r="C79" s="2"/>
      <c r="D79" s="13"/>
      <c r="E79" s="114">
        <f t="shared" si="72"/>
        <v>71</v>
      </c>
      <c r="F79" s="111">
        <f t="shared" si="65"/>
        <v>47476</v>
      </c>
      <c r="G79" s="24">
        <f t="shared" si="58"/>
        <v>0</v>
      </c>
      <c r="H79" s="24">
        <f t="shared" si="59"/>
        <v>0</v>
      </c>
      <c r="I79" s="24">
        <f t="shared" si="70"/>
        <v>146299.1</v>
      </c>
      <c r="J79" s="24">
        <f t="shared" si="55"/>
        <v>0</v>
      </c>
      <c r="K79" s="24">
        <f t="shared" si="60"/>
        <v>0</v>
      </c>
      <c r="L79" s="24">
        <f t="shared" si="66"/>
        <v>0</v>
      </c>
      <c r="M79" s="24">
        <f t="shared" si="29"/>
        <v>0</v>
      </c>
      <c r="N79" s="24">
        <f t="shared" si="17"/>
        <v>0</v>
      </c>
      <c r="O79" s="24">
        <f t="shared" si="67"/>
        <v>0</v>
      </c>
      <c r="P79" s="24">
        <f t="shared" si="68"/>
        <v>0</v>
      </c>
      <c r="Q79" s="24">
        <f t="shared" si="61"/>
        <v>0</v>
      </c>
      <c r="R79" s="36">
        <f t="shared" si="76"/>
        <v>0</v>
      </c>
      <c r="S79" s="36">
        <f t="shared" si="69"/>
        <v>0</v>
      </c>
      <c r="T79" s="2">
        <f t="shared" si="47"/>
        <v>1771.5</v>
      </c>
      <c r="U79" s="34">
        <f t="shared" si="48"/>
        <v>12601</v>
      </c>
      <c r="V79" s="57">
        <f t="shared" si="51"/>
        <v>56265</v>
      </c>
      <c r="W79" s="16">
        <f t="shared" si="53"/>
        <v>30</v>
      </c>
      <c r="X79" s="16" t="s">
        <v>101</v>
      </c>
      <c r="Y79" s="16">
        <v>1500000</v>
      </c>
      <c r="Z79" s="16">
        <v>2</v>
      </c>
      <c r="AA79" s="16">
        <v>1</v>
      </c>
      <c r="AB79" s="16">
        <v>1</v>
      </c>
      <c r="AC79" s="16">
        <v>2</v>
      </c>
      <c r="AD79" s="16">
        <v>2</v>
      </c>
      <c r="AG79" s="63"/>
      <c r="AH79" s="63"/>
      <c r="AI79" s="2">
        <f t="shared" si="49"/>
        <v>1771.5</v>
      </c>
      <c r="AJ79" s="34">
        <f t="shared" si="56"/>
        <v>12601</v>
      </c>
      <c r="AK79" s="57">
        <f t="shared" si="52"/>
        <v>56265</v>
      </c>
      <c r="AL79" s="130">
        <f t="shared" si="71"/>
        <v>0</v>
      </c>
      <c r="AM79" s="109">
        <f t="shared" si="74"/>
        <v>71</v>
      </c>
      <c r="AN79" s="110">
        <f t="shared" si="62"/>
        <v>47476</v>
      </c>
      <c r="AO79" s="105">
        <f t="shared" si="35"/>
        <v>0</v>
      </c>
      <c r="AP79" s="105">
        <f t="shared" si="63"/>
        <v>0</v>
      </c>
      <c r="AQ79" s="105">
        <f t="shared" si="41"/>
        <v>0</v>
      </c>
      <c r="AR79" s="105">
        <f t="shared" si="34"/>
        <v>0</v>
      </c>
      <c r="AS79" s="105">
        <f t="shared" si="42"/>
        <v>0</v>
      </c>
      <c r="AT79" s="105">
        <f t="shared" si="43"/>
        <v>0</v>
      </c>
      <c r="AU79" s="105">
        <f t="shared" si="44"/>
        <v>0</v>
      </c>
      <c r="AV79" s="105">
        <f t="shared" si="45"/>
        <v>0</v>
      </c>
      <c r="AW79" s="105">
        <f t="shared" si="46"/>
        <v>0</v>
      </c>
      <c r="AX79" s="108">
        <f t="shared" si="75"/>
        <v>0</v>
      </c>
      <c r="AY79" s="108">
        <f t="shared" si="64"/>
        <v>0</v>
      </c>
      <c r="AZ79" s="22">
        <f t="shared" si="57"/>
        <v>47476</v>
      </c>
      <c r="BA79" s="108">
        <f t="shared" si="57"/>
        <v>0</v>
      </c>
      <c r="BB79" s="2" t="e">
        <f t="shared" si="54"/>
        <v>#VALUE!</v>
      </c>
    </row>
    <row r="80" spans="1:54" s="16" customFormat="1" ht="12" x14ac:dyDescent="0.25">
      <c r="A80" s="53"/>
      <c r="B80" s="2"/>
      <c r="C80" s="2"/>
      <c r="D80" s="2"/>
      <c r="E80" s="114">
        <f t="shared" si="72"/>
        <v>72</v>
      </c>
      <c r="F80" s="111">
        <f t="shared" si="65"/>
        <v>47507</v>
      </c>
      <c r="G80" s="24">
        <f t="shared" si="58"/>
        <v>0</v>
      </c>
      <c r="H80" s="24">
        <f t="shared" si="59"/>
        <v>0</v>
      </c>
      <c r="I80" s="24">
        <f t="shared" si="70"/>
        <v>146299.1</v>
      </c>
      <c r="J80" s="24">
        <f t="shared" si="55"/>
        <v>0</v>
      </c>
      <c r="K80" s="24">
        <f t="shared" si="60"/>
        <v>0</v>
      </c>
      <c r="L80" s="24">
        <f t="shared" si="66"/>
        <v>0</v>
      </c>
      <c r="M80" s="24">
        <f t="shared" si="29"/>
        <v>0</v>
      </c>
      <c r="N80" s="24">
        <f t="shared" si="17"/>
        <v>0</v>
      </c>
      <c r="O80" s="24">
        <f t="shared" si="67"/>
        <v>0</v>
      </c>
      <c r="P80" s="24">
        <f t="shared" si="68"/>
        <v>0</v>
      </c>
      <c r="Q80" s="24">
        <f t="shared" si="61"/>
        <v>0</v>
      </c>
      <c r="R80" s="36">
        <f t="shared" si="76"/>
        <v>0</v>
      </c>
      <c r="S80" s="36">
        <f t="shared" si="69"/>
        <v>0</v>
      </c>
      <c r="T80" s="2">
        <f t="shared" si="47"/>
        <v>1573.94</v>
      </c>
      <c r="U80" s="34">
        <f t="shared" si="48"/>
        <v>12601</v>
      </c>
      <c r="V80" s="57">
        <f t="shared" si="51"/>
        <v>56630</v>
      </c>
      <c r="W80" s="16">
        <f t="shared" si="53"/>
        <v>31</v>
      </c>
      <c r="Z80" s="16" t="s">
        <v>116</v>
      </c>
      <c r="AA80" s="16" t="s">
        <v>455</v>
      </c>
      <c r="AB80" s="16" t="s">
        <v>112</v>
      </c>
      <c r="AC80" s="16" t="s">
        <v>116</v>
      </c>
      <c r="AD80" s="16" t="s">
        <v>117</v>
      </c>
      <c r="AF80" s="16">
        <f>1000/1.7</f>
        <v>588.23529411764707</v>
      </c>
      <c r="AG80" s="63"/>
      <c r="AH80" s="63">
        <f>600/1.4</f>
        <v>428.57142857142861</v>
      </c>
      <c r="AI80" s="2">
        <f t="shared" si="49"/>
        <v>1573.94</v>
      </c>
      <c r="AJ80" s="34">
        <f t="shared" si="56"/>
        <v>12601</v>
      </c>
      <c r="AK80" s="57">
        <f t="shared" si="52"/>
        <v>56630</v>
      </c>
      <c r="AL80" s="130">
        <f t="shared" si="71"/>
        <v>0</v>
      </c>
      <c r="AM80" s="109">
        <f t="shared" si="74"/>
        <v>72</v>
      </c>
      <c r="AN80" s="110">
        <f t="shared" si="62"/>
        <v>47507</v>
      </c>
      <c r="AO80" s="105">
        <f t="shared" si="35"/>
        <v>0</v>
      </c>
      <c r="AP80" s="105">
        <f t="shared" si="63"/>
        <v>0</v>
      </c>
      <c r="AQ80" s="105">
        <f t="shared" si="41"/>
        <v>0</v>
      </c>
      <c r="AR80" s="105">
        <f t="shared" si="34"/>
        <v>0</v>
      </c>
      <c r="AS80" s="105">
        <f t="shared" si="42"/>
        <v>0</v>
      </c>
      <c r="AT80" s="105">
        <f t="shared" si="43"/>
        <v>0</v>
      </c>
      <c r="AU80" s="105">
        <f t="shared" si="44"/>
        <v>0</v>
      </c>
      <c r="AV80" s="105">
        <f t="shared" si="45"/>
        <v>0</v>
      </c>
      <c r="AW80" s="105">
        <f t="shared" si="46"/>
        <v>0</v>
      </c>
      <c r="AX80" s="108">
        <f t="shared" si="75"/>
        <v>0</v>
      </c>
      <c r="AY80" s="108">
        <f t="shared" si="64"/>
        <v>0</v>
      </c>
      <c r="AZ80" s="22">
        <f t="shared" si="57"/>
        <v>47507</v>
      </c>
      <c r="BA80" s="108">
        <f t="shared" si="57"/>
        <v>0</v>
      </c>
      <c r="BB80" s="2" t="e">
        <f t="shared" si="54"/>
        <v>#VALUE!</v>
      </c>
    </row>
    <row r="81" spans="1:54" s="16" customFormat="1" ht="12" x14ac:dyDescent="0.25">
      <c r="A81" s="2"/>
      <c r="B81" s="2"/>
      <c r="C81" s="1"/>
      <c r="D81" s="1"/>
      <c r="E81" s="114">
        <f t="shared" si="72"/>
        <v>73</v>
      </c>
      <c r="F81" s="111">
        <f t="shared" si="65"/>
        <v>47538</v>
      </c>
      <c r="G81" s="24">
        <f t="shared" si="58"/>
        <v>0</v>
      </c>
      <c r="H81" s="24">
        <f t="shared" si="59"/>
        <v>0</v>
      </c>
      <c r="I81" s="24">
        <f t="shared" si="70"/>
        <v>146299.1</v>
      </c>
      <c r="J81" s="24">
        <f t="shared" si="55"/>
        <v>0</v>
      </c>
      <c r="K81" s="24">
        <f t="shared" si="60"/>
        <v>0</v>
      </c>
      <c r="L81" s="24">
        <f t="shared" si="66"/>
        <v>0</v>
      </c>
      <c r="M81" s="24">
        <f t="shared" si="29"/>
        <v>0</v>
      </c>
      <c r="N81" s="24">
        <f t="shared" si="17"/>
        <v>0</v>
      </c>
      <c r="O81" s="24">
        <f t="shared" si="67"/>
        <v>0</v>
      </c>
      <c r="P81" s="24">
        <f t="shared" si="68"/>
        <v>0</v>
      </c>
      <c r="Q81" s="24">
        <f t="shared" si="61"/>
        <v>0</v>
      </c>
      <c r="R81" s="36">
        <f t="shared" si="76"/>
        <v>0</v>
      </c>
      <c r="S81" s="36">
        <f t="shared" si="69"/>
        <v>0</v>
      </c>
      <c r="T81" s="2">
        <f t="shared" si="47"/>
        <v>1312.64</v>
      </c>
      <c r="U81" s="34">
        <f t="shared" si="48"/>
        <v>12601</v>
      </c>
      <c r="V81" s="57">
        <f t="shared" si="51"/>
        <v>56995</v>
      </c>
      <c r="W81" s="16">
        <f t="shared" si="53"/>
        <v>32</v>
      </c>
      <c r="Z81" s="143">
        <f>IF($C$7&gt;=$X$78,Z78,IF($C$7&gt;=$X$77,Z77,IF($C$7&gt;=$X$76,Z76,IF($C$7&gt;=$X$75,Z75,IF($C$7&gt;=$X$74,Z74,Z73)))))</f>
        <v>7</v>
      </c>
      <c r="AA81" s="143">
        <f>$C$7*IF($C$7&gt;=$X$78,AA78,IF($C$7&gt;=$X$77,AA77,IF($C$7&gt;=$X$76,AA76,IF($C$7&gt;=$X$75,AA75,IF($C$7&gt;=$X$74,AA74,AA73)))))</f>
        <v>330000</v>
      </c>
      <c r="AB81" s="143">
        <f>$C$7*IF($C$7&gt;=$X$78,AB78,IF($C$7&gt;=$X$77,AB77,IF($C$7&gt;=$X$76,AB76,IF($C$7&gt;=$X$75,AB75,IF($C$7&gt;=$X$74,AB74,AB73)))))</f>
        <v>291000</v>
      </c>
      <c r="AC81" s="143">
        <f>$C$7*IF($C$7&gt;=$X$78,AC78,IF($C$7&gt;=$X$77,AC77,IF($C$7&gt;=$X$76,AC76,IF($C$7&gt;=$X$75,AC75,IF($C$7&gt;=$X$74,AC74,AC73)))))</f>
        <v>429000</v>
      </c>
      <c r="AD81" s="143">
        <f>$C$7*IF($C$7&gt;=$X$78,AD78,IF($C$7&gt;=$X$77,AD77,IF($C$7&gt;=$X$76,AD76,IF($C$7&gt;=$X$75,AD75,IF($C$7&gt;=$X$74,AD74,AD73)))))</f>
        <v>291000</v>
      </c>
      <c r="AE81" s="143"/>
      <c r="AF81" s="143"/>
      <c r="AI81" s="2">
        <f t="shared" si="49"/>
        <v>1312.64</v>
      </c>
      <c r="AJ81" s="34">
        <f t="shared" si="56"/>
        <v>12601</v>
      </c>
      <c r="AK81" s="57">
        <f t="shared" si="52"/>
        <v>56995</v>
      </c>
      <c r="AL81" s="130">
        <f t="shared" si="71"/>
        <v>0</v>
      </c>
      <c r="AM81" s="109">
        <f t="shared" si="74"/>
        <v>73</v>
      </c>
      <c r="AN81" s="110">
        <f t="shared" si="62"/>
        <v>47538</v>
      </c>
      <c r="AO81" s="105">
        <f t="shared" si="35"/>
        <v>0</v>
      </c>
      <c r="AP81" s="105">
        <f t="shared" si="63"/>
        <v>0</v>
      </c>
      <c r="AQ81" s="105">
        <f t="shared" si="41"/>
        <v>0</v>
      </c>
      <c r="AR81" s="105">
        <f t="shared" si="34"/>
        <v>0</v>
      </c>
      <c r="AS81" s="105">
        <f t="shared" si="42"/>
        <v>0</v>
      </c>
      <c r="AT81" s="105">
        <f t="shared" si="43"/>
        <v>0</v>
      </c>
      <c r="AU81" s="105">
        <f t="shared" si="44"/>
        <v>0</v>
      </c>
      <c r="AV81" s="105">
        <f t="shared" si="45"/>
        <v>0</v>
      </c>
      <c r="AW81" s="105">
        <f t="shared" si="46"/>
        <v>0</v>
      </c>
      <c r="AX81" s="108">
        <f t="shared" si="75"/>
        <v>0</v>
      </c>
      <c r="AY81" s="108">
        <f t="shared" si="64"/>
        <v>0</v>
      </c>
      <c r="AZ81" s="22">
        <f t="shared" si="57"/>
        <v>47538</v>
      </c>
      <c r="BA81" s="108">
        <f t="shared" si="57"/>
        <v>0</v>
      </c>
      <c r="BB81" s="2" t="e">
        <f t="shared" si="54"/>
        <v>#VALUE!</v>
      </c>
    </row>
    <row r="82" spans="1:54" s="16" customFormat="1" ht="12" x14ac:dyDescent="0.25">
      <c r="A82" s="2"/>
      <c r="B82" s="2"/>
      <c r="C82" s="1"/>
      <c r="D82" s="1"/>
      <c r="E82" s="114">
        <f t="shared" si="72"/>
        <v>74</v>
      </c>
      <c r="F82" s="111">
        <f t="shared" si="65"/>
        <v>47566</v>
      </c>
      <c r="G82" s="24">
        <f t="shared" si="58"/>
        <v>0</v>
      </c>
      <c r="H82" s="24">
        <f t="shared" si="59"/>
        <v>0</v>
      </c>
      <c r="I82" s="24">
        <f t="shared" si="70"/>
        <v>146299.1</v>
      </c>
      <c r="J82" s="24">
        <f t="shared" si="55"/>
        <v>0</v>
      </c>
      <c r="K82" s="24">
        <f t="shared" si="60"/>
        <v>0</v>
      </c>
      <c r="L82" s="24">
        <f t="shared" si="66"/>
        <v>0</v>
      </c>
      <c r="M82" s="24">
        <f t="shared" si="29"/>
        <v>0</v>
      </c>
      <c r="N82" s="24">
        <f t="shared" si="17"/>
        <v>0</v>
      </c>
      <c r="O82" s="24">
        <f t="shared" si="67"/>
        <v>0</v>
      </c>
      <c r="P82" s="24">
        <f t="shared" si="68"/>
        <v>0</v>
      </c>
      <c r="Q82" s="24">
        <f t="shared" si="61"/>
        <v>0</v>
      </c>
      <c r="R82" s="36">
        <f t="shared" si="76"/>
        <v>0</v>
      </c>
      <c r="S82" s="36">
        <f t="shared" si="69"/>
        <v>0</v>
      </c>
      <c r="T82" s="2">
        <f t="shared" si="47"/>
        <v>1011.44</v>
      </c>
      <c r="U82" s="34">
        <f t="shared" si="48"/>
        <v>12601</v>
      </c>
      <c r="V82" s="57">
        <f t="shared" si="51"/>
        <v>57360</v>
      </c>
      <c r="W82" s="16">
        <f t="shared" si="53"/>
        <v>33</v>
      </c>
      <c r="AI82" s="2">
        <f t="shared" si="49"/>
        <v>1011.44</v>
      </c>
      <c r="AJ82" s="34">
        <f t="shared" si="56"/>
        <v>12601</v>
      </c>
      <c r="AK82" s="57">
        <f>IF(AI82=0,AK81,AK81+365)</f>
        <v>57360</v>
      </c>
      <c r="AL82" s="130">
        <f t="shared" si="71"/>
        <v>0</v>
      </c>
      <c r="AM82" s="109">
        <f t="shared" si="74"/>
        <v>74</v>
      </c>
      <c r="AN82" s="110">
        <f t="shared" si="62"/>
        <v>47566</v>
      </c>
      <c r="AO82" s="105">
        <f t="shared" si="35"/>
        <v>0</v>
      </c>
      <c r="AP82" s="105">
        <f t="shared" si="63"/>
        <v>0</v>
      </c>
      <c r="AQ82" s="105">
        <f t="shared" si="41"/>
        <v>0</v>
      </c>
      <c r="AR82" s="105">
        <f t="shared" si="34"/>
        <v>0</v>
      </c>
      <c r="AS82" s="105">
        <f t="shared" si="42"/>
        <v>0</v>
      </c>
      <c r="AT82" s="105">
        <f t="shared" si="43"/>
        <v>0</v>
      </c>
      <c r="AU82" s="105">
        <f t="shared" si="44"/>
        <v>0</v>
      </c>
      <c r="AV82" s="105">
        <f t="shared" si="45"/>
        <v>0</v>
      </c>
      <c r="AW82" s="105">
        <f t="shared" si="46"/>
        <v>0</v>
      </c>
      <c r="AX82" s="108">
        <f t="shared" si="75"/>
        <v>0</v>
      </c>
      <c r="AY82" s="108">
        <f t="shared" si="64"/>
        <v>0</v>
      </c>
      <c r="AZ82" s="22">
        <f t="shared" si="57"/>
        <v>47566</v>
      </c>
      <c r="BA82" s="108">
        <f t="shared" si="57"/>
        <v>0</v>
      </c>
      <c r="BB82" s="2" t="e">
        <f t="shared" si="54"/>
        <v>#VALUE!</v>
      </c>
    </row>
    <row r="83" spans="1:54" s="16" customFormat="1" ht="12" x14ac:dyDescent="0.25">
      <c r="A83" s="2"/>
      <c r="B83" s="2"/>
      <c r="C83" s="1"/>
      <c r="D83" s="1"/>
      <c r="E83" s="114">
        <f t="shared" si="72"/>
        <v>75</v>
      </c>
      <c r="F83" s="111">
        <f t="shared" si="65"/>
        <v>47597</v>
      </c>
      <c r="G83" s="24">
        <f t="shared" si="58"/>
        <v>0</v>
      </c>
      <c r="H83" s="24">
        <f t="shared" si="59"/>
        <v>0</v>
      </c>
      <c r="I83" s="24">
        <f t="shared" si="70"/>
        <v>146299.1</v>
      </c>
      <c r="J83" s="24">
        <f t="shared" si="55"/>
        <v>0</v>
      </c>
      <c r="K83" s="24">
        <f t="shared" si="60"/>
        <v>0</v>
      </c>
      <c r="L83" s="24">
        <f t="shared" si="66"/>
        <v>0</v>
      </c>
      <c r="M83" s="24">
        <f t="shared" si="29"/>
        <v>0</v>
      </c>
      <c r="N83" s="24">
        <f t="shared" si="17"/>
        <v>0</v>
      </c>
      <c r="O83" s="24">
        <f t="shared" si="67"/>
        <v>0</v>
      </c>
      <c r="P83" s="24">
        <f t="shared" si="68"/>
        <v>0</v>
      </c>
      <c r="Q83" s="24">
        <f t="shared" si="61"/>
        <v>0</v>
      </c>
      <c r="R83" s="36">
        <f t="shared" si="76"/>
        <v>0</v>
      </c>
      <c r="S83" s="36">
        <f t="shared" si="69"/>
        <v>0</v>
      </c>
      <c r="T83" s="2">
        <f t="shared" si="47"/>
        <v>770.53</v>
      </c>
      <c r="U83" s="34">
        <f t="shared" si="48"/>
        <v>12601</v>
      </c>
      <c r="V83" s="57">
        <f t="shared" si="51"/>
        <v>57725</v>
      </c>
      <c r="W83" s="16">
        <f t="shared" si="53"/>
        <v>34</v>
      </c>
      <c r="X83" s="903" t="s">
        <v>111</v>
      </c>
      <c r="Y83" s="903"/>
      <c r="Z83" s="145" t="s">
        <v>456</v>
      </c>
      <c r="AA83" s="145" t="s">
        <v>457</v>
      </c>
      <c r="AB83" s="145" t="s">
        <v>458</v>
      </c>
      <c r="AC83" s="145" t="s">
        <v>459</v>
      </c>
      <c r="AD83" s="145" t="s">
        <v>460</v>
      </c>
      <c r="AI83" s="2">
        <f t="shared" si="49"/>
        <v>770.53</v>
      </c>
      <c r="AJ83" s="34">
        <f>IF(AI83=0,IF(AI82=0,0,$AJ$46),AO42)</f>
        <v>12601</v>
      </c>
      <c r="AK83" s="57">
        <f t="shared" si="52"/>
        <v>57725</v>
      </c>
      <c r="AL83" s="130">
        <f t="shared" si="71"/>
        <v>0</v>
      </c>
      <c r="AM83" s="109">
        <f t="shared" si="74"/>
        <v>75</v>
      </c>
      <c r="AN83" s="110">
        <f t="shared" si="62"/>
        <v>47597</v>
      </c>
      <c r="AO83" s="105">
        <f t="shared" si="35"/>
        <v>0</v>
      </c>
      <c r="AP83" s="105">
        <f t="shared" si="63"/>
        <v>0</v>
      </c>
      <c r="AQ83" s="105">
        <f t="shared" si="41"/>
        <v>0</v>
      </c>
      <c r="AR83" s="105">
        <f t="shared" si="34"/>
        <v>0</v>
      </c>
      <c r="AS83" s="105">
        <f t="shared" si="42"/>
        <v>0</v>
      </c>
      <c r="AT83" s="105">
        <f t="shared" si="43"/>
        <v>0</v>
      </c>
      <c r="AU83" s="105">
        <f t="shared" si="44"/>
        <v>0</v>
      </c>
      <c r="AV83" s="105">
        <f t="shared" si="45"/>
        <v>0</v>
      </c>
      <c r="AW83" s="105">
        <f t="shared" si="46"/>
        <v>0</v>
      </c>
      <c r="AX83" s="108">
        <f t="shared" si="75"/>
        <v>0</v>
      </c>
      <c r="AY83" s="108">
        <f t="shared" si="64"/>
        <v>0</v>
      </c>
      <c r="AZ83" s="22">
        <f t="shared" si="57"/>
        <v>47597</v>
      </c>
      <c r="BA83" s="108">
        <f t="shared" si="57"/>
        <v>0</v>
      </c>
      <c r="BB83" s="2" t="e">
        <f t="shared" si="54"/>
        <v>#VALUE!</v>
      </c>
    </row>
    <row r="84" spans="1:54" s="16" customFormat="1" ht="12" x14ac:dyDescent="0.25">
      <c r="A84" s="2"/>
      <c r="B84" s="2"/>
      <c r="C84" s="1"/>
      <c r="D84" s="1"/>
      <c r="E84" s="114">
        <f t="shared" si="72"/>
        <v>76</v>
      </c>
      <c r="F84" s="111">
        <f t="shared" si="65"/>
        <v>47627</v>
      </c>
      <c r="G84" s="24">
        <f t="shared" si="58"/>
        <v>0</v>
      </c>
      <c r="H84" s="24">
        <f t="shared" si="59"/>
        <v>0</v>
      </c>
      <c r="I84" s="24">
        <f t="shared" si="70"/>
        <v>146299.1</v>
      </c>
      <c r="J84" s="24">
        <f t="shared" si="55"/>
        <v>0</v>
      </c>
      <c r="K84" s="24">
        <f t="shared" si="60"/>
        <v>0</v>
      </c>
      <c r="L84" s="24">
        <f t="shared" si="66"/>
        <v>0</v>
      </c>
      <c r="M84" s="24">
        <f t="shared" si="29"/>
        <v>0</v>
      </c>
      <c r="N84" s="24">
        <f t="shared" si="17"/>
        <v>0</v>
      </c>
      <c r="O84" s="24">
        <f t="shared" si="67"/>
        <v>0</v>
      </c>
      <c r="P84" s="24">
        <f t="shared" si="68"/>
        <v>0</v>
      </c>
      <c r="Q84" s="24">
        <f t="shared" si="61"/>
        <v>0</v>
      </c>
      <c r="R84" s="36">
        <f t="shared" si="76"/>
        <v>0</v>
      </c>
      <c r="S84" s="36">
        <f t="shared" si="69"/>
        <v>0</v>
      </c>
      <c r="T84" s="2">
        <f t="shared" si="47"/>
        <v>474.38</v>
      </c>
      <c r="U84" s="34">
        <f t="shared" si="48"/>
        <v>12601</v>
      </c>
      <c r="V84" s="57">
        <f t="shared" si="51"/>
        <v>58090</v>
      </c>
      <c r="W84" s="16">
        <f t="shared" si="53"/>
        <v>35</v>
      </c>
      <c r="X84" s="133" t="s">
        <v>96</v>
      </c>
      <c r="Y84" s="133" t="s">
        <v>97</v>
      </c>
      <c r="Z84" s="133" t="s">
        <v>98</v>
      </c>
      <c r="AA84" s="134"/>
      <c r="AB84" s="134"/>
      <c r="AC84" s="134"/>
      <c r="AD84" s="134"/>
      <c r="AI84" s="2">
        <f t="shared" si="49"/>
        <v>474.38</v>
      </c>
      <c r="AJ84" s="34">
        <f>IF(AI84=0,IF(AI83=0,0,$AJ$46),AO43)</f>
        <v>12601</v>
      </c>
      <c r="AK84" s="57">
        <f t="shared" si="52"/>
        <v>58090</v>
      </c>
      <c r="AL84" s="130">
        <f t="shared" si="71"/>
        <v>0</v>
      </c>
      <c r="AM84" s="109">
        <f t="shared" si="74"/>
        <v>76</v>
      </c>
      <c r="AN84" s="110">
        <f t="shared" si="62"/>
        <v>47627</v>
      </c>
      <c r="AO84" s="105">
        <f t="shared" si="35"/>
        <v>0</v>
      </c>
      <c r="AP84" s="105">
        <f t="shared" si="63"/>
        <v>0</v>
      </c>
      <c r="AQ84" s="105">
        <f t="shared" si="41"/>
        <v>0</v>
      </c>
      <c r="AR84" s="105">
        <f t="shared" si="34"/>
        <v>0</v>
      </c>
      <c r="AS84" s="105">
        <f t="shared" si="42"/>
        <v>0</v>
      </c>
      <c r="AT84" s="105">
        <f t="shared" si="43"/>
        <v>0</v>
      </c>
      <c r="AU84" s="105">
        <f t="shared" si="44"/>
        <v>0</v>
      </c>
      <c r="AV84" s="105">
        <f t="shared" si="45"/>
        <v>0</v>
      </c>
      <c r="AW84" s="105">
        <f t="shared" si="46"/>
        <v>0</v>
      </c>
      <c r="AX84" s="108">
        <f t="shared" si="75"/>
        <v>0</v>
      </c>
      <c r="AY84" s="108">
        <f t="shared" si="64"/>
        <v>0</v>
      </c>
      <c r="AZ84" s="22">
        <f t="shared" si="57"/>
        <v>47627</v>
      </c>
      <c r="BA84" s="108">
        <f t="shared" si="57"/>
        <v>0</v>
      </c>
      <c r="BB84" s="2" t="e">
        <f t="shared" si="54"/>
        <v>#VALUE!</v>
      </c>
    </row>
    <row r="85" spans="1:54" s="16" customFormat="1" ht="12.6" thickBot="1" x14ac:dyDescent="0.3">
      <c r="A85" s="2"/>
      <c r="B85" s="2"/>
      <c r="C85" s="1"/>
      <c r="D85" s="1"/>
      <c r="E85" s="114">
        <f t="shared" si="72"/>
        <v>77</v>
      </c>
      <c r="F85" s="111">
        <f t="shared" si="65"/>
        <v>47658</v>
      </c>
      <c r="G85" s="24">
        <f t="shared" si="58"/>
        <v>0</v>
      </c>
      <c r="H85" s="24">
        <f t="shared" si="59"/>
        <v>0</v>
      </c>
      <c r="I85" s="24">
        <f t="shared" si="70"/>
        <v>146299.1</v>
      </c>
      <c r="J85" s="24">
        <f t="shared" si="55"/>
        <v>0</v>
      </c>
      <c r="K85" s="24">
        <f t="shared" si="60"/>
        <v>0</v>
      </c>
      <c r="L85" s="24">
        <f t="shared" si="66"/>
        <v>0</v>
      </c>
      <c r="M85" s="24">
        <f t="shared" si="29"/>
        <v>0</v>
      </c>
      <c r="N85" s="24">
        <f t="shared" si="17"/>
        <v>0</v>
      </c>
      <c r="O85" s="24">
        <f t="shared" si="67"/>
        <v>0</v>
      </c>
      <c r="P85" s="24">
        <f t="shared" si="68"/>
        <v>0</v>
      </c>
      <c r="Q85" s="24">
        <f t="shared" si="61"/>
        <v>0</v>
      </c>
      <c r="R85" s="36">
        <f t="shared" si="76"/>
        <v>0</v>
      </c>
      <c r="S85" s="36">
        <f t="shared" si="69"/>
        <v>0</v>
      </c>
      <c r="T85" s="2">
        <f t="shared" si="47"/>
        <v>202.84</v>
      </c>
      <c r="U85" s="34">
        <f t="shared" si="48"/>
        <v>8763.1000000000331</v>
      </c>
      <c r="V85" s="57">
        <f t="shared" si="51"/>
        <v>58455</v>
      </c>
      <c r="W85" s="16">
        <f t="shared" si="53"/>
        <v>36</v>
      </c>
      <c r="X85" s="170">
        <v>20000</v>
      </c>
      <c r="Y85" s="171">
        <v>220000</v>
      </c>
      <c r="Z85" s="652">
        <v>1.42</v>
      </c>
      <c r="AA85" s="652">
        <v>1.4</v>
      </c>
      <c r="AB85" s="652">
        <v>1.35</v>
      </c>
      <c r="AC85" s="134"/>
      <c r="AD85" s="134"/>
      <c r="AE85" s="16">
        <f>IF($C$10&gt;48,AB85,IF($C$94&gt;36,AA85,Z85))</f>
        <v>1.42</v>
      </c>
      <c r="AI85" s="2">
        <f t="shared" si="49"/>
        <v>202.84</v>
      </c>
      <c r="AJ85" s="34">
        <f>IF(AI85=0,IF(AI84=0,0,$AJ$46),AO44)</f>
        <v>8763.1000000000331</v>
      </c>
      <c r="AK85" s="57">
        <f t="shared" si="52"/>
        <v>58455</v>
      </c>
      <c r="AL85" s="130">
        <f t="shared" si="71"/>
        <v>0</v>
      </c>
      <c r="AM85" s="109">
        <f t="shared" si="74"/>
        <v>77</v>
      </c>
      <c r="AN85" s="110">
        <f t="shared" si="62"/>
        <v>47658</v>
      </c>
      <c r="AO85" s="105">
        <f t="shared" si="35"/>
        <v>0</v>
      </c>
      <c r="AP85" s="105">
        <f t="shared" si="63"/>
        <v>0</v>
      </c>
      <c r="AQ85" s="105">
        <f t="shared" si="41"/>
        <v>0</v>
      </c>
      <c r="AR85" s="105">
        <f t="shared" si="34"/>
        <v>0</v>
      </c>
      <c r="AS85" s="105">
        <f t="shared" si="42"/>
        <v>0</v>
      </c>
      <c r="AT85" s="105">
        <f t="shared" si="43"/>
        <v>0</v>
      </c>
      <c r="AU85" s="105">
        <f t="shared" si="44"/>
        <v>0</v>
      </c>
      <c r="AV85" s="105">
        <f t="shared" si="45"/>
        <v>0</v>
      </c>
      <c r="AW85" s="105">
        <f t="shared" si="46"/>
        <v>0</v>
      </c>
      <c r="AX85" s="108">
        <f t="shared" si="75"/>
        <v>0</v>
      </c>
      <c r="AY85" s="108">
        <f t="shared" si="64"/>
        <v>0</v>
      </c>
      <c r="AZ85" s="22">
        <f t="shared" si="57"/>
        <v>47658</v>
      </c>
      <c r="BA85" s="108">
        <f t="shared" si="57"/>
        <v>0</v>
      </c>
      <c r="BB85" s="2" t="e">
        <f t="shared" si="54"/>
        <v>#VALUE!</v>
      </c>
    </row>
    <row r="86" spans="1:54" s="16" customFormat="1" ht="12.6" thickBot="1" x14ac:dyDescent="0.3">
      <c r="A86" s="2"/>
      <c r="B86" s="2"/>
      <c r="C86" s="1"/>
      <c r="D86" s="1"/>
      <c r="E86" s="114">
        <f t="shared" si="72"/>
        <v>78</v>
      </c>
      <c r="F86" s="111">
        <f t="shared" si="65"/>
        <v>47688</v>
      </c>
      <c r="G86" s="24">
        <f t="shared" si="58"/>
        <v>0</v>
      </c>
      <c r="H86" s="24">
        <f t="shared" si="59"/>
        <v>0</v>
      </c>
      <c r="I86" s="24">
        <f t="shared" si="70"/>
        <v>146299.1</v>
      </c>
      <c r="J86" s="24">
        <f t="shared" si="55"/>
        <v>0</v>
      </c>
      <c r="K86" s="24">
        <f t="shared" si="60"/>
        <v>0</v>
      </c>
      <c r="L86" s="24">
        <f t="shared" si="66"/>
        <v>0</v>
      </c>
      <c r="M86" s="24">
        <f t="shared" si="29"/>
        <v>0</v>
      </c>
      <c r="N86" s="24">
        <f t="shared" si="17"/>
        <v>0</v>
      </c>
      <c r="O86" s="24">
        <f t="shared" si="67"/>
        <v>0</v>
      </c>
      <c r="P86" s="24">
        <f t="shared" si="68"/>
        <v>0</v>
      </c>
      <c r="Q86" s="24">
        <f t="shared" si="61"/>
        <v>0</v>
      </c>
      <c r="R86" s="36">
        <f t="shared" si="76"/>
        <v>0</v>
      </c>
      <c r="S86" s="36">
        <f t="shared" si="69"/>
        <v>0</v>
      </c>
      <c r="T86" s="2">
        <f t="shared" si="47"/>
        <v>0</v>
      </c>
      <c r="U86" s="34">
        <f t="shared" si="48"/>
        <v>0</v>
      </c>
      <c r="V86" s="57">
        <f t="shared" si="51"/>
        <v>58455</v>
      </c>
      <c r="W86" s="16">
        <f t="shared" si="53"/>
        <v>37</v>
      </c>
      <c r="X86" s="170">
        <v>20000</v>
      </c>
      <c r="Y86" s="171">
        <v>220000</v>
      </c>
      <c r="Z86" s="652">
        <v>1.42</v>
      </c>
      <c r="AA86" s="652">
        <v>1.4</v>
      </c>
      <c r="AB86" s="652">
        <v>1.35</v>
      </c>
      <c r="AC86" s="134"/>
      <c r="AD86" s="134"/>
      <c r="AE86" s="16">
        <f>IF($C$10&gt;48,AB86,IF($C$94&gt;36,AA86,Z86))</f>
        <v>1.42</v>
      </c>
      <c r="AI86" s="2">
        <f t="shared" si="49"/>
        <v>0</v>
      </c>
      <c r="AJ86" s="34">
        <f>IF(AI86=0,IF(AI85=0,0,$AJ$46),AO45)</f>
        <v>0</v>
      </c>
      <c r="AK86" s="57">
        <f t="shared" si="52"/>
        <v>58455</v>
      </c>
      <c r="AL86" s="130">
        <f t="shared" si="71"/>
        <v>0</v>
      </c>
      <c r="AM86" s="109">
        <f t="shared" si="74"/>
        <v>78</v>
      </c>
      <c r="AN86" s="110">
        <f t="shared" si="62"/>
        <v>47688</v>
      </c>
      <c r="AO86" s="105">
        <f t="shared" si="35"/>
        <v>0</v>
      </c>
      <c r="AP86" s="105">
        <f t="shared" si="63"/>
        <v>0</v>
      </c>
      <c r="AQ86" s="105">
        <f t="shared" si="41"/>
        <v>0</v>
      </c>
      <c r="AR86" s="105">
        <f t="shared" ref="AR86:AR129" si="77">IF(AT86&gt;$D$29,$D$29-AP86,IF(AY86=0,0,AV86)+BN135)</f>
        <v>0</v>
      </c>
      <c r="AS86" s="105">
        <f t="shared" si="42"/>
        <v>0</v>
      </c>
      <c r="AT86" s="105">
        <f t="shared" si="43"/>
        <v>0</v>
      </c>
      <c r="AU86" s="105">
        <f t="shared" si="44"/>
        <v>0</v>
      </c>
      <c r="AV86" s="105">
        <f t="shared" si="45"/>
        <v>0</v>
      </c>
      <c r="AW86" s="105">
        <f t="shared" si="46"/>
        <v>0</v>
      </c>
      <c r="AX86" s="108">
        <f t="shared" si="75"/>
        <v>0</v>
      </c>
      <c r="AY86" s="108">
        <f t="shared" si="64"/>
        <v>0</v>
      </c>
      <c r="AZ86" s="22">
        <f t="shared" si="57"/>
        <v>47688</v>
      </c>
      <c r="BA86" s="108">
        <f t="shared" si="57"/>
        <v>0</v>
      </c>
      <c r="BB86" s="2" t="e">
        <f t="shared" si="54"/>
        <v>#VALUE!</v>
      </c>
    </row>
    <row r="87" spans="1:54" s="16" customFormat="1" ht="12.6" thickBot="1" x14ac:dyDescent="0.3">
      <c r="A87" s="2"/>
      <c r="B87" s="2"/>
      <c r="C87" s="1"/>
      <c r="D87" s="1"/>
      <c r="E87" s="114">
        <f t="shared" si="72"/>
        <v>79</v>
      </c>
      <c r="F87" s="111">
        <f t="shared" si="65"/>
        <v>47719</v>
      </c>
      <c r="G87" s="24">
        <f t="shared" si="58"/>
        <v>0</v>
      </c>
      <c r="H87" s="24">
        <f t="shared" si="59"/>
        <v>0</v>
      </c>
      <c r="I87" s="24">
        <f t="shared" si="70"/>
        <v>146299.1</v>
      </c>
      <c r="J87" s="24">
        <f t="shared" si="55"/>
        <v>0</v>
      </c>
      <c r="K87" s="24">
        <f t="shared" si="60"/>
        <v>0</v>
      </c>
      <c r="L87" s="24">
        <f t="shared" si="66"/>
        <v>0</v>
      </c>
      <c r="M87" s="24">
        <f t="shared" ref="M87:M150" si="78">O86-L86</f>
        <v>0</v>
      </c>
      <c r="N87" s="24">
        <f t="shared" ref="N87:N150" si="79">H87+O87</f>
        <v>0</v>
      </c>
      <c r="O87" s="24">
        <f t="shared" si="67"/>
        <v>0</v>
      </c>
      <c r="P87" s="24">
        <f t="shared" si="68"/>
        <v>0</v>
      </c>
      <c r="Q87" s="24">
        <f t="shared" si="61"/>
        <v>0</v>
      </c>
      <c r="R87" s="36">
        <f t="shared" si="76"/>
        <v>0</v>
      </c>
      <c r="S87" s="36">
        <f t="shared" si="69"/>
        <v>0</v>
      </c>
      <c r="T87" s="2">
        <f t="shared" si="47"/>
        <v>0</v>
      </c>
      <c r="U87" s="34">
        <f t="shared" si="48"/>
        <v>0</v>
      </c>
      <c r="V87" s="57">
        <f t="shared" si="51"/>
        <v>58455</v>
      </c>
      <c r="W87" s="16">
        <f t="shared" si="53"/>
        <v>38</v>
      </c>
      <c r="X87" s="170">
        <v>20000</v>
      </c>
      <c r="Y87" s="171">
        <v>220000</v>
      </c>
      <c r="Z87" s="652">
        <v>1.42</v>
      </c>
      <c r="AA87" s="652">
        <v>1.4</v>
      </c>
      <c r="AB87" s="652">
        <v>1.35</v>
      </c>
      <c r="AC87" s="134"/>
      <c r="AD87" s="134"/>
      <c r="AE87" s="16">
        <f>IF($C$10&gt;48,AB87,IF($C$94&gt;36,AA87,Z87))</f>
        <v>1.42</v>
      </c>
      <c r="AI87" s="2">
        <f t="shared" si="49"/>
        <v>0</v>
      </c>
      <c r="AJ87" s="34">
        <f>IF(AI87=0,IF(AI86=0,0,$AJ$46),AO46)</f>
        <v>0</v>
      </c>
      <c r="AK87" s="57">
        <f t="shared" si="52"/>
        <v>58455</v>
      </c>
      <c r="AL87" s="130">
        <f t="shared" si="71"/>
        <v>0</v>
      </c>
      <c r="AM87" s="109">
        <f t="shared" si="74"/>
        <v>79</v>
      </c>
      <c r="AN87" s="110">
        <f t="shared" si="62"/>
        <v>47719</v>
      </c>
      <c r="AO87" s="105">
        <f t="shared" si="35"/>
        <v>0</v>
      </c>
      <c r="AP87" s="105">
        <f t="shared" si="63"/>
        <v>0</v>
      </c>
      <c r="AQ87" s="105">
        <f t="shared" si="41"/>
        <v>0</v>
      </c>
      <c r="AR87" s="105">
        <f t="shared" si="77"/>
        <v>0</v>
      </c>
      <c r="AS87" s="105">
        <f t="shared" si="42"/>
        <v>0</v>
      </c>
      <c r="AT87" s="105">
        <f t="shared" si="43"/>
        <v>0</v>
      </c>
      <c r="AU87" s="105">
        <f t="shared" si="44"/>
        <v>0</v>
      </c>
      <c r="AV87" s="105">
        <f t="shared" si="45"/>
        <v>0</v>
      </c>
      <c r="AW87" s="105">
        <f t="shared" si="46"/>
        <v>0</v>
      </c>
      <c r="AX87" s="108">
        <f t="shared" si="75"/>
        <v>0</v>
      </c>
      <c r="AY87" s="108">
        <f t="shared" si="64"/>
        <v>0</v>
      </c>
      <c r="AZ87" s="22">
        <f t="shared" si="57"/>
        <v>47719</v>
      </c>
      <c r="BA87" s="108">
        <f t="shared" si="57"/>
        <v>0</v>
      </c>
      <c r="BB87" s="2" t="e">
        <f t="shared" si="54"/>
        <v>#VALUE!</v>
      </c>
    </row>
    <row r="88" spans="1:54" s="16" customFormat="1" ht="12.6" thickBot="1" x14ac:dyDescent="0.3">
      <c r="A88" s="2"/>
      <c r="B88" s="2"/>
      <c r="C88" s="1"/>
      <c r="D88" s="1"/>
      <c r="E88" s="114">
        <f t="shared" si="72"/>
        <v>80</v>
      </c>
      <c r="F88" s="111">
        <f t="shared" si="65"/>
        <v>47750</v>
      </c>
      <c r="G88" s="24">
        <f t="shared" si="58"/>
        <v>0</v>
      </c>
      <c r="H88" s="24">
        <f t="shared" si="59"/>
        <v>0</v>
      </c>
      <c r="I88" s="24">
        <f t="shared" si="70"/>
        <v>146299.1</v>
      </c>
      <c r="J88" s="24">
        <f t="shared" si="55"/>
        <v>0</v>
      </c>
      <c r="K88" s="24">
        <f t="shared" si="60"/>
        <v>0</v>
      </c>
      <c r="L88" s="24">
        <f t="shared" si="66"/>
        <v>0</v>
      </c>
      <c r="M88" s="24">
        <f t="shared" si="78"/>
        <v>0</v>
      </c>
      <c r="N88" s="24">
        <f t="shared" si="79"/>
        <v>0</v>
      </c>
      <c r="O88" s="24">
        <f t="shared" si="67"/>
        <v>0</v>
      </c>
      <c r="P88" s="24">
        <f t="shared" si="68"/>
        <v>0</v>
      </c>
      <c r="Q88" s="24">
        <f t="shared" si="61"/>
        <v>0</v>
      </c>
      <c r="R88" s="36">
        <f t="shared" si="76"/>
        <v>0</v>
      </c>
      <c r="S88" s="36">
        <f t="shared" si="69"/>
        <v>0</v>
      </c>
      <c r="T88" s="2">
        <f t="shared" si="47"/>
        <v>0</v>
      </c>
      <c r="U88" s="34">
        <f t="shared" si="48"/>
        <v>0</v>
      </c>
      <c r="V88" s="57">
        <f t="shared" si="51"/>
        <v>58455</v>
      </c>
      <c r="W88" s="16">
        <f t="shared" si="53"/>
        <v>39</v>
      </c>
      <c r="X88" s="170">
        <v>220001</v>
      </c>
      <c r="Y88" s="171">
        <v>500000</v>
      </c>
      <c r="Z88" s="652">
        <v>0.97</v>
      </c>
      <c r="AA88" s="652">
        <v>0.95</v>
      </c>
      <c r="AB88" s="652">
        <v>0.93</v>
      </c>
      <c r="AC88" s="134"/>
      <c r="AD88" s="134"/>
      <c r="AE88" s="16">
        <f>IF($C$10&gt;48,AB88,IF($C$94&gt;36,AA88,Z88))</f>
        <v>0.97</v>
      </c>
      <c r="AI88" s="2">
        <f>IF(AND(AM48&gt;=$T$14,AM48&lt;=$T$14+5),0,IF($C$9&gt;$AC$52,ROUND(AW46*$AI$46/(DATEVALUE(CONCATENATE("01/01/",YEAR(AN48)+1))-DATEVALUE(CONCATENATE("01/01/",YEAR(AN48))))*(AN48-AN46),2),0))</f>
        <v>0</v>
      </c>
      <c r="AJ88" s="34">
        <f t="shared" ref="AJ88:AJ108" si="80">IF(AI88=0,IF(AI87=0,0,$AJ$46),AO48)</f>
        <v>0</v>
      </c>
      <c r="AK88" s="57">
        <f t="shared" si="52"/>
        <v>58455</v>
      </c>
      <c r="AL88" s="130">
        <f t="shared" si="71"/>
        <v>0</v>
      </c>
      <c r="AM88" s="109">
        <f t="shared" si="74"/>
        <v>80</v>
      </c>
      <c r="AN88" s="110">
        <f t="shared" si="62"/>
        <v>47750</v>
      </c>
      <c r="AO88" s="105">
        <f t="shared" si="35"/>
        <v>0</v>
      </c>
      <c r="AP88" s="105">
        <f t="shared" si="63"/>
        <v>0</v>
      </c>
      <c r="AQ88" s="105">
        <f t="shared" si="41"/>
        <v>0</v>
      </c>
      <c r="AR88" s="105">
        <f t="shared" si="77"/>
        <v>0</v>
      </c>
      <c r="AS88" s="105">
        <f t="shared" si="42"/>
        <v>0</v>
      </c>
      <c r="AT88" s="105">
        <f t="shared" si="43"/>
        <v>0</v>
      </c>
      <c r="AU88" s="105">
        <f t="shared" si="44"/>
        <v>0</v>
      </c>
      <c r="AV88" s="105">
        <f t="shared" si="45"/>
        <v>0</v>
      </c>
      <c r="AW88" s="105">
        <f t="shared" si="46"/>
        <v>0</v>
      </c>
      <c r="AX88" s="108">
        <f t="shared" si="75"/>
        <v>0</v>
      </c>
      <c r="AY88" s="108">
        <f t="shared" si="64"/>
        <v>0</v>
      </c>
      <c r="AZ88" s="22">
        <f t="shared" si="57"/>
        <v>47750</v>
      </c>
      <c r="BA88" s="108">
        <f t="shared" si="57"/>
        <v>0</v>
      </c>
      <c r="BB88" s="2" t="e">
        <f t="shared" si="54"/>
        <v>#VALUE!</v>
      </c>
    </row>
    <row r="89" spans="1:54" s="16" customFormat="1" ht="12.6" thickBot="1" x14ac:dyDescent="0.3">
      <c r="A89" s="2"/>
      <c r="B89" s="2"/>
      <c r="C89" s="1"/>
      <c r="D89" s="1"/>
      <c r="E89" s="114">
        <f t="shared" si="72"/>
        <v>81</v>
      </c>
      <c r="F89" s="111">
        <f t="shared" si="65"/>
        <v>47780</v>
      </c>
      <c r="G89" s="24">
        <f t="shared" si="58"/>
        <v>0</v>
      </c>
      <c r="H89" s="24">
        <f t="shared" si="59"/>
        <v>0</v>
      </c>
      <c r="I89" s="24">
        <f t="shared" si="70"/>
        <v>146299.1</v>
      </c>
      <c r="J89" s="24">
        <f t="shared" si="55"/>
        <v>0</v>
      </c>
      <c r="K89" s="24">
        <f t="shared" si="60"/>
        <v>0</v>
      </c>
      <c r="L89" s="24">
        <f t="shared" si="66"/>
        <v>0</v>
      </c>
      <c r="M89" s="24">
        <f t="shared" si="78"/>
        <v>0</v>
      </c>
      <c r="N89" s="24">
        <f t="shared" si="79"/>
        <v>0</v>
      </c>
      <c r="O89" s="24">
        <f t="shared" si="67"/>
        <v>0</v>
      </c>
      <c r="P89" s="24">
        <f t="shared" si="68"/>
        <v>0</v>
      </c>
      <c r="Q89" s="24">
        <f t="shared" si="61"/>
        <v>0</v>
      </c>
      <c r="R89" s="36">
        <f t="shared" si="76"/>
        <v>0</v>
      </c>
      <c r="S89" s="36">
        <f t="shared" si="69"/>
        <v>0</v>
      </c>
      <c r="T89" s="2">
        <f t="shared" si="47"/>
        <v>0</v>
      </c>
      <c r="U89" s="34">
        <f t="shared" si="48"/>
        <v>0</v>
      </c>
      <c r="V89" s="57">
        <f t="shared" si="51"/>
        <v>58455</v>
      </c>
      <c r="W89" s="16">
        <f t="shared" si="53"/>
        <v>40</v>
      </c>
      <c r="X89" s="171">
        <v>500001</v>
      </c>
      <c r="Y89" s="171">
        <v>1000000</v>
      </c>
      <c r="Z89" s="652">
        <v>1.52</v>
      </c>
      <c r="AA89" s="652">
        <v>1.52</v>
      </c>
      <c r="AB89" s="652">
        <v>1.52</v>
      </c>
      <c r="AC89" s="652">
        <v>1.52</v>
      </c>
      <c r="AD89" s="652">
        <v>1.52</v>
      </c>
      <c r="AE89" s="16">
        <f>IF($C$10&gt;72,AD89,IF($C$10&gt;60,AC89,IF($C$10&gt;48,AB89,IF($C$94&gt;36,AA89,Z89))))</f>
        <v>1.52</v>
      </c>
      <c r="AI89" s="2">
        <f t="shared" ref="AI89:AI149" si="81">IF(AND(AM49&gt;=$T$14,AM49&lt;=$T$14+5),0,IF($C$9&gt;$AC$52,ROUND(AW48*$AI$46/(DATEVALUE(CONCATENATE("01/01/",YEAR(AN49)+1))-DATEVALUE(CONCATENATE("01/01/",YEAR(AN49))))*(AN49-AN48),2),0))</f>
        <v>0</v>
      </c>
      <c r="AJ89" s="34">
        <f t="shared" si="80"/>
        <v>0</v>
      </c>
      <c r="AK89" s="57">
        <f t="shared" si="52"/>
        <v>58455</v>
      </c>
      <c r="AL89" s="130">
        <f t="shared" si="71"/>
        <v>0</v>
      </c>
      <c r="AM89" s="109">
        <f t="shared" si="74"/>
        <v>81</v>
      </c>
      <c r="AN89" s="110">
        <f t="shared" si="62"/>
        <v>47780</v>
      </c>
      <c r="AO89" s="105">
        <f t="shared" si="35"/>
        <v>0</v>
      </c>
      <c r="AP89" s="105">
        <f t="shared" si="63"/>
        <v>0</v>
      </c>
      <c r="AQ89" s="105">
        <f t="shared" si="41"/>
        <v>0</v>
      </c>
      <c r="AR89" s="105">
        <f t="shared" si="77"/>
        <v>0</v>
      </c>
      <c r="AS89" s="105">
        <f t="shared" si="42"/>
        <v>0</v>
      </c>
      <c r="AT89" s="105">
        <f t="shared" si="43"/>
        <v>0</v>
      </c>
      <c r="AU89" s="105">
        <f t="shared" si="44"/>
        <v>0</v>
      </c>
      <c r="AV89" s="105">
        <f t="shared" si="45"/>
        <v>0</v>
      </c>
      <c r="AW89" s="105">
        <f t="shared" si="46"/>
        <v>0</v>
      </c>
      <c r="AX89" s="108">
        <f t="shared" si="75"/>
        <v>0</v>
      </c>
      <c r="AY89" s="108">
        <f t="shared" si="64"/>
        <v>0</v>
      </c>
      <c r="AZ89" s="22">
        <f t="shared" si="57"/>
        <v>47780</v>
      </c>
      <c r="BA89" s="108">
        <f t="shared" si="57"/>
        <v>0</v>
      </c>
      <c r="BB89" s="2" t="e">
        <f t="shared" si="54"/>
        <v>#VALUE!</v>
      </c>
    </row>
    <row r="90" spans="1:54" s="16" customFormat="1" ht="12.6" thickBot="1" x14ac:dyDescent="0.3">
      <c r="A90" s="2"/>
      <c r="B90" s="2"/>
      <c r="C90" s="1"/>
      <c r="D90" s="1"/>
      <c r="E90" s="114">
        <f t="shared" si="72"/>
        <v>82</v>
      </c>
      <c r="F90" s="111">
        <f t="shared" si="65"/>
        <v>47811</v>
      </c>
      <c r="G90" s="24">
        <f t="shared" si="58"/>
        <v>0</v>
      </c>
      <c r="H90" s="24">
        <f t="shared" si="59"/>
        <v>0</v>
      </c>
      <c r="I90" s="24">
        <f t="shared" si="70"/>
        <v>146299.1</v>
      </c>
      <c r="J90" s="24">
        <f t="shared" si="55"/>
        <v>0</v>
      </c>
      <c r="K90" s="24">
        <f t="shared" si="60"/>
        <v>0</v>
      </c>
      <c r="L90" s="24">
        <f t="shared" si="66"/>
        <v>0</v>
      </c>
      <c r="M90" s="24">
        <f t="shared" si="78"/>
        <v>0</v>
      </c>
      <c r="N90" s="24">
        <f t="shared" si="79"/>
        <v>0</v>
      </c>
      <c r="O90" s="24">
        <f t="shared" si="67"/>
        <v>0</v>
      </c>
      <c r="P90" s="24">
        <f t="shared" si="68"/>
        <v>0</v>
      </c>
      <c r="Q90" s="24">
        <f t="shared" si="61"/>
        <v>0</v>
      </c>
      <c r="R90" s="36">
        <f t="shared" si="76"/>
        <v>0</v>
      </c>
      <c r="S90" s="36">
        <f t="shared" si="69"/>
        <v>0</v>
      </c>
      <c r="T90" s="2">
        <f t="shared" si="47"/>
        <v>0</v>
      </c>
      <c r="U90" s="34">
        <f t="shared" si="48"/>
        <v>0</v>
      </c>
      <c r="V90" s="57">
        <f t="shared" si="51"/>
        <v>58455</v>
      </c>
      <c r="W90" s="16">
        <f t="shared" si="53"/>
        <v>41</v>
      </c>
      <c r="X90" s="171">
        <v>1000001</v>
      </c>
      <c r="Y90" s="171">
        <v>5000000</v>
      </c>
      <c r="Z90" s="652">
        <v>1.25</v>
      </c>
      <c r="AA90" s="652">
        <v>1.25</v>
      </c>
      <c r="AB90" s="652">
        <v>1.25</v>
      </c>
      <c r="AC90" s="652">
        <v>1.25</v>
      </c>
      <c r="AD90" s="652">
        <v>1.25</v>
      </c>
      <c r="AE90" s="16">
        <f>IF($C$10&gt;72,AD90,IF($C$10&gt;60,AC90,IF($C$10&gt;48,AB90,IF($C$94&gt;36,AA90,Z90))))</f>
        <v>1.25</v>
      </c>
      <c r="AI90" s="2">
        <f t="shared" si="81"/>
        <v>0</v>
      </c>
      <c r="AJ90" s="34">
        <f t="shared" si="80"/>
        <v>0</v>
      </c>
      <c r="AK90" s="57">
        <f t="shared" si="52"/>
        <v>58455</v>
      </c>
      <c r="AL90" s="130">
        <f t="shared" si="71"/>
        <v>0</v>
      </c>
      <c r="AM90" s="109">
        <f t="shared" si="74"/>
        <v>82</v>
      </c>
      <c r="AN90" s="110">
        <f t="shared" si="62"/>
        <v>47811</v>
      </c>
      <c r="AO90" s="105">
        <f t="shared" si="35"/>
        <v>0</v>
      </c>
      <c r="AP90" s="105">
        <f t="shared" si="63"/>
        <v>0</v>
      </c>
      <c r="AQ90" s="105">
        <f t="shared" si="41"/>
        <v>0</v>
      </c>
      <c r="AR90" s="105">
        <f t="shared" si="77"/>
        <v>0</v>
      </c>
      <c r="AS90" s="105">
        <f t="shared" si="42"/>
        <v>0</v>
      </c>
      <c r="AT90" s="105">
        <f t="shared" si="43"/>
        <v>0</v>
      </c>
      <c r="AU90" s="105">
        <f t="shared" si="44"/>
        <v>0</v>
      </c>
      <c r="AV90" s="105">
        <f t="shared" si="45"/>
        <v>0</v>
      </c>
      <c r="AW90" s="105">
        <f t="shared" si="46"/>
        <v>0</v>
      </c>
      <c r="AX90" s="108">
        <f t="shared" si="75"/>
        <v>0</v>
      </c>
      <c r="AY90" s="108">
        <f t="shared" si="64"/>
        <v>0</v>
      </c>
      <c r="AZ90" s="22">
        <f t="shared" si="57"/>
        <v>47811</v>
      </c>
      <c r="BA90" s="108">
        <f t="shared" si="57"/>
        <v>0</v>
      </c>
      <c r="BB90" s="2" t="e">
        <f t="shared" si="54"/>
        <v>#VALUE!</v>
      </c>
    </row>
    <row r="91" spans="1:54" s="16" customFormat="1" ht="12" x14ac:dyDescent="0.25">
      <c r="A91" s="2"/>
      <c r="B91" s="2"/>
      <c r="C91" s="1"/>
      <c r="D91" s="1"/>
      <c r="E91" s="114">
        <f t="shared" si="72"/>
        <v>83</v>
      </c>
      <c r="F91" s="111">
        <f t="shared" si="65"/>
        <v>47841</v>
      </c>
      <c r="G91" s="24">
        <f t="shared" si="58"/>
        <v>0</v>
      </c>
      <c r="H91" s="24">
        <f t="shared" si="59"/>
        <v>0</v>
      </c>
      <c r="I91" s="24">
        <f t="shared" si="70"/>
        <v>146299.1</v>
      </c>
      <c r="J91" s="24">
        <f t="shared" si="55"/>
        <v>0</v>
      </c>
      <c r="K91" s="24">
        <f t="shared" si="60"/>
        <v>0</v>
      </c>
      <c r="L91" s="24">
        <f t="shared" si="66"/>
        <v>0</v>
      </c>
      <c r="M91" s="24">
        <f t="shared" si="78"/>
        <v>0</v>
      </c>
      <c r="N91" s="24">
        <f t="shared" si="79"/>
        <v>0</v>
      </c>
      <c r="O91" s="24">
        <f t="shared" si="67"/>
        <v>0</v>
      </c>
      <c r="P91" s="24">
        <f t="shared" si="68"/>
        <v>0</v>
      </c>
      <c r="Q91" s="24">
        <f t="shared" si="61"/>
        <v>0</v>
      </c>
      <c r="R91" s="36">
        <f t="shared" si="76"/>
        <v>0</v>
      </c>
      <c r="S91" s="36">
        <f t="shared" si="69"/>
        <v>0</v>
      </c>
      <c r="T91" s="2">
        <f t="shared" si="47"/>
        <v>0</v>
      </c>
      <c r="U91" s="34">
        <f t="shared" si="48"/>
        <v>0</v>
      </c>
      <c r="V91" s="57">
        <f t="shared" si="51"/>
        <v>58455</v>
      </c>
      <c r="W91" s="16">
        <f t="shared" si="53"/>
        <v>42</v>
      </c>
      <c r="AI91" s="2">
        <f t="shared" si="81"/>
        <v>0</v>
      </c>
      <c r="AJ91" s="34">
        <f t="shared" si="80"/>
        <v>0</v>
      </c>
      <c r="AK91" s="57">
        <f t="shared" si="52"/>
        <v>58455</v>
      </c>
      <c r="AL91" s="130">
        <f t="shared" si="71"/>
        <v>0</v>
      </c>
      <c r="AM91" s="109">
        <f t="shared" si="74"/>
        <v>83</v>
      </c>
      <c r="AN91" s="110">
        <f t="shared" si="62"/>
        <v>47841</v>
      </c>
      <c r="AO91" s="105">
        <f t="shared" si="35"/>
        <v>0</v>
      </c>
      <c r="AP91" s="105">
        <f t="shared" si="63"/>
        <v>0</v>
      </c>
      <c r="AQ91" s="105">
        <f t="shared" si="41"/>
        <v>0</v>
      </c>
      <c r="AR91" s="105">
        <f t="shared" si="77"/>
        <v>0</v>
      </c>
      <c r="AS91" s="105">
        <f t="shared" si="42"/>
        <v>0</v>
      </c>
      <c r="AT91" s="105">
        <f t="shared" si="43"/>
        <v>0</v>
      </c>
      <c r="AU91" s="105">
        <f t="shared" si="44"/>
        <v>0</v>
      </c>
      <c r="AV91" s="105">
        <f t="shared" si="45"/>
        <v>0</v>
      </c>
      <c r="AW91" s="105">
        <f t="shared" si="46"/>
        <v>0</v>
      </c>
      <c r="AX91" s="108">
        <f t="shared" si="75"/>
        <v>0</v>
      </c>
      <c r="AY91" s="108">
        <f t="shared" si="64"/>
        <v>0</v>
      </c>
      <c r="AZ91" s="22">
        <f t="shared" si="57"/>
        <v>47841</v>
      </c>
      <c r="BA91" s="108">
        <f t="shared" si="57"/>
        <v>0</v>
      </c>
      <c r="BB91" s="2" t="e">
        <f t="shared" si="54"/>
        <v>#VALUE!</v>
      </c>
    </row>
    <row r="92" spans="1:54" s="16" customFormat="1" ht="12" x14ac:dyDescent="0.25">
      <c r="A92" s="2"/>
      <c r="B92" s="2"/>
      <c r="C92" s="1"/>
      <c r="D92" s="1"/>
      <c r="E92" s="114">
        <f t="shared" si="72"/>
        <v>84</v>
      </c>
      <c r="F92" s="111">
        <f t="shared" si="65"/>
        <v>47872</v>
      </c>
      <c r="G92" s="24">
        <f t="shared" si="58"/>
        <v>0</v>
      </c>
      <c r="H92" s="24">
        <f t="shared" si="59"/>
        <v>0</v>
      </c>
      <c r="I92" s="24">
        <f t="shared" si="70"/>
        <v>146299.1</v>
      </c>
      <c r="J92" s="24">
        <f t="shared" si="55"/>
        <v>0</v>
      </c>
      <c r="K92" s="24">
        <f t="shared" si="60"/>
        <v>0</v>
      </c>
      <c r="L92" s="24">
        <f t="shared" si="66"/>
        <v>0</v>
      </c>
      <c r="M92" s="24">
        <f t="shared" si="78"/>
        <v>0</v>
      </c>
      <c r="N92" s="24">
        <f t="shared" si="79"/>
        <v>0</v>
      </c>
      <c r="O92" s="24">
        <f t="shared" si="67"/>
        <v>0</v>
      </c>
      <c r="P92" s="24">
        <f t="shared" si="68"/>
        <v>0</v>
      </c>
      <c r="Q92" s="24">
        <f t="shared" si="61"/>
        <v>0</v>
      </c>
      <c r="R92" s="36">
        <f t="shared" si="76"/>
        <v>0</v>
      </c>
      <c r="S92" s="36">
        <f t="shared" si="69"/>
        <v>0</v>
      </c>
      <c r="T92" s="2">
        <f t="shared" si="47"/>
        <v>0</v>
      </c>
      <c r="U92" s="34">
        <f t="shared" si="48"/>
        <v>0</v>
      </c>
      <c r="V92" s="57">
        <f t="shared" si="51"/>
        <v>58455</v>
      </c>
      <c r="W92" s="16">
        <f t="shared" si="53"/>
        <v>43</v>
      </c>
      <c r="X92" s="903" t="s">
        <v>115</v>
      </c>
      <c r="Y92" s="903"/>
      <c r="Z92" s="145" t="s">
        <v>456</v>
      </c>
      <c r="AA92" s="145" t="s">
        <v>457</v>
      </c>
      <c r="AB92" s="145" t="s">
        <v>458</v>
      </c>
      <c r="AC92" s="145" t="s">
        <v>459</v>
      </c>
      <c r="AD92" s="145" t="s">
        <v>460</v>
      </c>
      <c r="AI92" s="2">
        <f t="shared" si="81"/>
        <v>0</v>
      </c>
      <c r="AJ92" s="34">
        <f t="shared" si="80"/>
        <v>0</v>
      </c>
      <c r="AK92" s="57">
        <f t="shared" si="52"/>
        <v>58455</v>
      </c>
      <c r="AL92" s="130">
        <f t="shared" si="71"/>
        <v>0</v>
      </c>
      <c r="AM92" s="109">
        <f t="shared" si="74"/>
        <v>84</v>
      </c>
      <c r="AN92" s="110">
        <f t="shared" si="62"/>
        <v>47872</v>
      </c>
      <c r="AO92" s="105">
        <f t="shared" si="35"/>
        <v>0</v>
      </c>
      <c r="AP92" s="105">
        <f t="shared" si="63"/>
        <v>0</v>
      </c>
      <c r="AQ92" s="105">
        <f t="shared" si="41"/>
        <v>0</v>
      </c>
      <c r="AR92" s="105">
        <f t="shared" si="77"/>
        <v>0</v>
      </c>
      <c r="AS92" s="105">
        <f t="shared" si="42"/>
        <v>0</v>
      </c>
      <c r="AT92" s="105">
        <f t="shared" si="43"/>
        <v>0</v>
      </c>
      <c r="AU92" s="105">
        <f t="shared" si="44"/>
        <v>0</v>
      </c>
      <c r="AV92" s="105">
        <f t="shared" si="45"/>
        <v>0</v>
      </c>
      <c r="AW92" s="105">
        <f t="shared" si="46"/>
        <v>0</v>
      </c>
      <c r="AX92" s="108">
        <f t="shared" si="75"/>
        <v>0</v>
      </c>
      <c r="AY92" s="108">
        <f t="shared" si="64"/>
        <v>0</v>
      </c>
      <c r="AZ92" s="22">
        <f t="shared" si="57"/>
        <v>47872</v>
      </c>
      <c r="BA92" s="108">
        <f t="shared" si="57"/>
        <v>0</v>
      </c>
      <c r="BB92" s="2" t="e">
        <f t="shared" si="54"/>
        <v>#VALUE!</v>
      </c>
    </row>
    <row r="93" spans="1:54" s="16" customFormat="1" ht="12" x14ac:dyDescent="0.25">
      <c r="A93" s="2"/>
      <c r="B93" s="2"/>
      <c r="C93" s="1"/>
      <c r="D93" s="1"/>
      <c r="E93" s="114">
        <f t="shared" si="72"/>
        <v>85</v>
      </c>
      <c r="F93" s="111">
        <f t="shared" si="65"/>
        <v>47903</v>
      </c>
      <c r="G93" s="24">
        <f t="shared" si="58"/>
        <v>0</v>
      </c>
      <c r="H93" s="24">
        <f t="shared" si="59"/>
        <v>0</v>
      </c>
      <c r="I93" s="24">
        <f t="shared" si="70"/>
        <v>146299.1</v>
      </c>
      <c r="J93" s="24">
        <f t="shared" si="55"/>
        <v>0</v>
      </c>
      <c r="K93" s="24">
        <f t="shared" si="60"/>
        <v>0</v>
      </c>
      <c r="L93" s="24">
        <f t="shared" si="66"/>
        <v>0</v>
      </c>
      <c r="M93" s="24">
        <f t="shared" si="78"/>
        <v>0</v>
      </c>
      <c r="N93" s="24">
        <f t="shared" si="79"/>
        <v>0</v>
      </c>
      <c r="O93" s="24">
        <f t="shared" si="67"/>
        <v>0</v>
      </c>
      <c r="P93" s="24">
        <f t="shared" si="68"/>
        <v>0</v>
      </c>
      <c r="Q93" s="24">
        <f t="shared" si="61"/>
        <v>0</v>
      </c>
      <c r="R93" s="36">
        <f t="shared" si="76"/>
        <v>0</v>
      </c>
      <c r="S93" s="36">
        <f t="shared" si="69"/>
        <v>0</v>
      </c>
      <c r="T93" s="2">
        <f t="shared" si="47"/>
        <v>0</v>
      </c>
      <c r="U93" s="34">
        <f t="shared" si="48"/>
        <v>0</v>
      </c>
      <c r="V93" s="57">
        <f t="shared" si="51"/>
        <v>58455</v>
      </c>
      <c r="W93" s="16">
        <f t="shared" si="53"/>
        <v>44</v>
      </c>
      <c r="X93" s="133" t="s">
        <v>96</v>
      </c>
      <c r="Y93" s="133" t="s">
        <v>97</v>
      </c>
      <c r="Z93" s="133" t="s">
        <v>98</v>
      </c>
      <c r="AA93" s="134"/>
      <c r="AB93" s="134"/>
      <c r="AC93" s="134"/>
      <c r="AD93" s="134"/>
      <c r="AI93" s="2">
        <f t="shared" si="81"/>
        <v>0</v>
      </c>
      <c r="AJ93" s="34">
        <f t="shared" si="80"/>
        <v>0</v>
      </c>
      <c r="AK93" s="57">
        <f t="shared" si="52"/>
        <v>58455</v>
      </c>
      <c r="AL93" s="130">
        <f t="shared" si="71"/>
        <v>0</v>
      </c>
      <c r="AM93" s="109">
        <f t="shared" si="74"/>
        <v>85</v>
      </c>
      <c r="AN93" s="110">
        <f t="shared" si="62"/>
        <v>47903</v>
      </c>
      <c r="AO93" s="105">
        <f t="shared" si="35"/>
        <v>0</v>
      </c>
      <c r="AP93" s="105">
        <f t="shared" si="63"/>
        <v>0</v>
      </c>
      <c r="AQ93" s="105">
        <f t="shared" si="41"/>
        <v>0</v>
      </c>
      <c r="AR93" s="105">
        <f t="shared" si="77"/>
        <v>0</v>
      </c>
      <c r="AS93" s="105">
        <f t="shared" si="42"/>
        <v>0</v>
      </c>
      <c r="AT93" s="105">
        <f t="shared" si="43"/>
        <v>0</v>
      </c>
      <c r="AU93" s="105">
        <f t="shared" si="44"/>
        <v>0</v>
      </c>
      <c r="AV93" s="105">
        <f t="shared" si="45"/>
        <v>0</v>
      </c>
      <c r="AW93" s="105">
        <f t="shared" si="46"/>
        <v>0</v>
      </c>
      <c r="AX93" s="108">
        <f t="shared" si="75"/>
        <v>0</v>
      </c>
      <c r="AY93" s="108">
        <f t="shared" si="64"/>
        <v>0</v>
      </c>
      <c r="AZ93" s="22">
        <f t="shared" si="57"/>
        <v>47903</v>
      </c>
      <c r="BA93" s="108">
        <f t="shared" si="57"/>
        <v>0</v>
      </c>
      <c r="BB93" s="2" t="e">
        <f>IF(AND(E48&gt;=$T$14,E48&lt;=$T$14+5),0,IF($C$9&gt;$AC$52,ROUND(AW46*IF($D$23="",0,$D$23)/(DATEVALUE(CONCATENATE("01/01/",YEAR(AN48)+1))-DATEVALUE(CONCATENATE("01/01/",YEAR(AN48))))*(AN48-AN46),2),0))</f>
        <v>#VALUE!</v>
      </c>
    </row>
    <row r="94" spans="1:54" s="16" customFormat="1" ht="12.6" thickBot="1" x14ac:dyDescent="0.3">
      <c r="A94" s="2"/>
      <c r="B94" s="2"/>
      <c r="C94" s="1"/>
      <c r="D94" s="1"/>
      <c r="E94" s="114">
        <f t="shared" si="72"/>
        <v>86</v>
      </c>
      <c r="F94" s="111">
        <f t="shared" si="65"/>
        <v>47931</v>
      </c>
      <c r="G94" s="24">
        <f t="shared" si="58"/>
        <v>0</v>
      </c>
      <c r="H94" s="24">
        <f t="shared" si="59"/>
        <v>0</v>
      </c>
      <c r="I94" s="24">
        <f t="shared" si="70"/>
        <v>146299.1</v>
      </c>
      <c r="J94" s="24">
        <f t="shared" si="55"/>
        <v>0</v>
      </c>
      <c r="K94" s="24">
        <f t="shared" si="60"/>
        <v>0</v>
      </c>
      <c r="L94" s="24">
        <f t="shared" si="66"/>
        <v>0</v>
      </c>
      <c r="M94" s="24">
        <f t="shared" si="78"/>
        <v>0</v>
      </c>
      <c r="N94" s="24">
        <f t="shared" si="79"/>
        <v>0</v>
      </c>
      <c r="O94" s="24">
        <f t="shared" si="67"/>
        <v>0</v>
      </c>
      <c r="P94" s="24">
        <f t="shared" si="68"/>
        <v>0</v>
      </c>
      <c r="Q94" s="24">
        <f t="shared" si="61"/>
        <v>0</v>
      </c>
      <c r="R94" s="36">
        <f t="shared" si="76"/>
        <v>0</v>
      </c>
      <c r="S94" s="36">
        <f t="shared" si="69"/>
        <v>0</v>
      </c>
      <c r="T94" s="2">
        <f t="shared" si="47"/>
        <v>0</v>
      </c>
      <c r="U94" s="34">
        <f t="shared" si="48"/>
        <v>0</v>
      </c>
      <c r="V94" s="57">
        <f t="shared" si="51"/>
        <v>58455</v>
      </c>
      <c r="W94" s="16">
        <f t="shared" si="53"/>
        <v>45</v>
      </c>
      <c r="X94" s="170">
        <v>20000</v>
      </c>
      <c r="Y94" s="171">
        <v>220000</v>
      </c>
      <c r="Z94" s="652">
        <v>1.7</v>
      </c>
      <c r="AA94" s="652">
        <v>1.7</v>
      </c>
      <c r="AB94" s="652">
        <v>1.7</v>
      </c>
      <c r="AC94" s="134"/>
      <c r="AD94" s="134"/>
      <c r="AI94" s="2">
        <f t="shared" si="81"/>
        <v>0</v>
      </c>
      <c r="AJ94" s="34">
        <f t="shared" si="80"/>
        <v>0</v>
      </c>
      <c r="AK94" s="57">
        <f t="shared" si="52"/>
        <v>58455</v>
      </c>
      <c r="AL94" s="130">
        <f t="shared" si="71"/>
        <v>0</v>
      </c>
      <c r="AM94" s="109">
        <f t="shared" si="74"/>
        <v>86</v>
      </c>
      <c r="AN94" s="110">
        <f t="shared" si="62"/>
        <v>47931</v>
      </c>
      <c r="AO94" s="105">
        <f t="shared" si="35"/>
        <v>0</v>
      </c>
      <c r="AP94" s="105">
        <f t="shared" si="63"/>
        <v>0</v>
      </c>
      <c r="AQ94" s="105">
        <f t="shared" si="41"/>
        <v>0</v>
      </c>
      <c r="AR94" s="105">
        <f t="shared" si="77"/>
        <v>0</v>
      </c>
      <c r="AS94" s="105">
        <f t="shared" si="42"/>
        <v>0</v>
      </c>
      <c r="AT94" s="105">
        <f t="shared" si="43"/>
        <v>0</v>
      </c>
      <c r="AU94" s="105">
        <f t="shared" si="44"/>
        <v>0</v>
      </c>
      <c r="AV94" s="105">
        <f t="shared" si="45"/>
        <v>0</v>
      </c>
      <c r="AW94" s="105">
        <f t="shared" si="46"/>
        <v>0</v>
      </c>
      <c r="AX94" s="108">
        <f t="shared" si="75"/>
        <v>0</v>
      </c>
      <c r="AY94" s="108">
        <f t="shared" si="64"/>
        <v>0</v>
      </c>
      <c r="AZ94" s="22">
        <f t="shared" si="57"/>
        <v>47931</v>
      </c>
      <c r="BA94" s="108">
        <f t="shared" si="57"/>
        <v>0</v>
      </c>
      <c r="BB94" s="2" t="e">
        <f t="shared" ref="BB94:BB152" si="82">IF(AND(E49&gt;=$T$14,E49&lt;=$T$14+5),0,IF($C$9&gt;$AC$52,ROUND(AW48*IF($D$23="",0,$D$23)/(DATEVALUE(CONCATENATE("01/01/",YEAR(AN49)+1))-DATEVALUE(CONCATENATE("01/01/",YEAR(AN49))))*(AN49-AN48),2),0))</f>
        <v>#VALUE!</v>
      </c>
    </row>
    <row r="95" spans="1:54" s="16" customFormat="1" ht="12.6" thickBot="1" x14ac:dyDescent="0.3">
      <c r="A95" s="2"/>
      <c r="B95" s="2"/>
      <c r="C95" s="1"/>
      <c r="D95" s="1"/>
      <c r="E95" s="114">
        <f t="shared" si="72"/>
        <v>87</v>
      </c>
      <c r="F95" s="111">
        <f t="shared" si="65"/>
        <v>47962</v>
      </c>
      <c r="G95" s="24">
        <f t="shared" si="58"/>
        <v>0</v>
      </c>
      <c r="H95" s="24">
        <f t="shared" si="59"/>
        <v>0</v>
      </c>
      <c r="I95" s="24">
        <f t="shared" si="70"/>
        <v>146299.1</v>
      </c>
      <c r="J95" s="24">
        <f t="shared" si="55"/>
        <v>0</v>
      </c>
      <c r="K95" s="24">
        <f t="shared" si="60"/>
        <v>0</v>
      </c>
      <c r="L95" s="24">
        <f t="shared" si="66"/>
        <v>0</v>
      </c>
      <c r="M95" s="24">
        <f t="shared" si="78"/>
        <v>0</v>
      </c>
      <c r="N95" s="24">
        <f t="shared" si="79"/>
        <v>0</v>
      </c>
      <c r="O95" s="24">
        <f t="shared" si="67"/>
        <v>0</v>
      </c>
      <c r="P95" s="24">
        <f t="shared" si="68"/>
        <v>0</v>
      </c>
      <c r="Q95" s="24">
        <f t="shared" si="61"/>
        <v>0</v>
      </c>
      <c r="R95" s="36">
        <f t="shared" si="76"/>
        <v>0</v>
      </c>
      <c r="S95" s="36">
        <f t="shared" si="69"/>
        <v>0</v>
      </c>
      <c r="T95" s="2">
        <f t="shared" si="47"/>
        <v>0</v>
      </c>
      <c r="U95" s="34">
        <f t="shared" si="48"/>
        <v>0</v>
      </c>
      <c r="V95" s="57">
        <f t="shared" si="51"/>
        <v>58455</v>
      </c>
      <c r="W95" s="16">
        <f t="shared" si="53"/>
        <v>46</v>
      </c>
      <c r="X95" s="170">
        <v>20000</v>
      </c>
      <c r="Y95" s="171">
        <v>220000</v>
      </c>
      <c r="Z95" s="652">
        <v>1.7</v>
      </c>
      <c r="AA95" s="652">
        <v>1.7</v>
      </c>
      <c r="AB95" s="652">
        <v>1.7</v>
      </c>
      <c r="AC95" s="134"/>
      <c r="AD95" s="134"/>
      <c r="AI95" s="2">
        <f t="shared" si="81"/>
        <v>0</v>
      </c>
      <c r="AJ95" s="34">
        <f t="shared" si="80"/>
        <v>0</v>
      </c>
      <c r="AK95" s="57">
        <f t="shared" si="52"/>
        <v>58455</v>
      </c>
      <c r="AL95" s="130">
        <f t="shared" si="71"/>
        <v>0</v>
      </c>
      <c r="AM95" s="109">
        <f t="shared" si="74"/>
        <v>87</v>
      </c>
      <c r="AN95" s="110">
        <f t="shared" si="62"/>
        <v>47962</v>
      </c>
      <c r="AO95" s="105">
        <f t="shared" si="35"/>
        <v>0</v>
      </c>
      <c r="AP95" s="105">
        <f t="shared" si="63"/>
        <v>0</v>
      </c>
      <c r="AQ95" s="105">
        <f t="shared" si="41"/>
        <v>0</v>
      </c>
      <c r="AR95" s="105">
        <f t="shared" si="77"/>
        <v>0</v>
      </c>
      <c r="AS95" s="105">
        <f t="shared" si="42"/>
        <v>0</v>
      </c>
      <c r="AT95" s="105">
        <f t="shared" si="43"/>
        <v>0</v>
      </c>
      <c r="AU95" s="105">
        <f t="shared" si="44"/>
        <v>0</v>
      </c>
      <c r="AV95" s="105">
        <f t="shared" si="45"/>
        <v>0</v>
      </c>
      <c r="AW95" s="105">
        <f t="shared" si="46"/>
        <v>0</v>
      </c>
      <c r="AX95" s="108">
        <f t="shared" si="75"/>
        <v>0</v>
      </c>
      <c r="AY95" s="108">
        <f t="shared" si="64"/>
        <v>0</v>
      </c>
      <c r="AZ95" s="22">
        <f t="shared" si="57"/>
        <v>47962</v>
      </c>
      <c r="BA95" s="108">
        <f t="shared" si="57"/>
        <v>0</v>
      </c>
      <c r="BB95" s="2" t="e">
        <f t="shared" si="82"/>
        <v>#VALUE!</v>
      </c>
    </row>
    <row r="96" spans="1:54" s="16" customFormat="1" ht="12.6" thickBot="1" x14ac:dyDescent="0.3">
      <c r="A96" s="2"/>
      <c r="B96" s="2"/>
      <c r="C96" s="1"/>
      <c r="D96" s="1"/>
      <c r="E96" s="114">
        <f t="shared" si="72"/>
        <v>88</v>
      </c>
      <c r="F96" s="111">
        <f t="shared" si="65"/>
        <v>47992</v>
      </c>
      <c r="G96" s="24">
        <f t="shared" si="58"/>
        <v>0</v>
      </c>
      <c r="H96" s="24">
        <f t="shared" si="59"/>
        <v>0</v>
      </c>
      <c r="I96" s="24">
        <f t="shared" si="70"/>
        <v>146299.1</v>
      </c>
      <c r="J96" s="24">
        <f t="shared" si="55"/>
        <v>0</v>
      </c>
      <c r="K96" s="24">
        <f t="shared" si="60"/>
        <v>0</v>
      </c>
      <c r="L96" s="24">
        <f t="shared" si="66"/>
        <v>0</v>
      </c>
      <c r="M96" s="24">
        <f t="shared" si="78"/>
        <v>0</v>
      </c>
      <c r="N96" s="24">
        <f t="shared" si="79"/>
        <v>0</v>
      </c>
      <c r="O96" s="24">
        <f t="shared" si="67"/>
        <v>0</v>
      </c>
      <c r="P96" s="24">
        <f t="shared" si="68"/>
        <v>0</v>
      </c>
      <c r="Q96" s="24">
        <f t="shared" si="61"/>
        <v>0</v>
      </c>
      <c r="R96" s="36">
        <f t="shared" si="76"/>
        <v>0</v>
      </c>
      <c r="S96" s="36">
        <f t="shared" si="69"/>
        <v>0</v>
      </c>
      <c r="T96" s="2">
        <f t="shared" si="47"/>
        <v>0</v>
      </c>
      <c r="U96" s="34">
        <f t="shared" si="48"/>
        <v>0</v>
      </c>
      <c r="V96" s="57">
        <f t="shared" si="51"/>
        <v>58455</v>
      </c>
      <c r="W96" s="16">
        <f t="shared" si="53"/>
        <v>47</v>
      </c>
      <c r="X96" s="170">
        <v>20000</v>
      </c>
      <c r="Y96" s="171">
        <v>220000</v>
      </c>
      <c r="Z96" s="652">
        <v>1.7</v>
      </c>
      <c r="AA96" s="652">
        <v>1.7</v>
      </c>
      <c r="AB96" s="652">
        <v>1.7</v>
      </c>
      <c r="AC96" s="134"/>
      <c r="AD96" s="134"/>
      <c r="AI96" s="2">
        <f t="shared" si="81"/>
        <v>0</v>
      </c>
      <c r="AJ96" s="34">
        <f t="shared" si="80"/>
        <v>0</v>
      </c>
      <c r="AK96" s="57">
        <f t="shared" si="52"/>
        <v>58455</v>
      </c>
      <c r="AL96" s="130">
        <f t="shared" si="71"/>
        <v>0</v>
      </c>
      <c r="AM96" s="109">
        <f t="shared" si="74"/>
        <v>88</v>
      </c>
      <c r="AN96" s="110">
        <f t="shared" si="62"/>
        <v>47992</v>
      </c>
      <c r="AO96" s="105">
        <f t="shared" si="35"/>
        <v>0</v>
      </c>
      <c r="AP96" s="105">
        <f t="shared" si="63"/>
        <v>0</v>
      </c>
      <c r="AQ96" s="105">
        <f t="shared" si="41"/>
        <v>0</v>
      </c>
      <c r="AR96" s="105">
        <f t="shared" si="77"/>
        <v>0</v>
      </c>
      <c r="AS96" s="105">
        <f t="shared" si="42"/>
        <v>0</v>
      </c>
      <c r="AT96" s="105">
        <f t="shared" si="43"/>
        <v>0</v>
      </c>
      <c r="AU96" s="105">
        <f t="shared" si="44"/>
        <v>0</v>
      </c>
      <c r="AV96" s="105">
        <f t="shared" si="45"/>
        <v>0</v>
      </c>
      <c r="AW96" s="105">
        <f t="shared" si="46"/>
        <v>0</v>
      </c>
      <c r="AX96" s="108">
        <f t="shared" si="75"/>
        <v>0</v>
      </c>
      <c r="AY96" s="108">
        <f t="shared" si="64"/>
        <v>0</v>
      </c>
      <c r="AZ96" s="22">
        <f t="shared" si="57"/>
        <v>47992</v>
      </c>
      <c r="BA96" s="108">
        <f t="shared" si="57"/>
        <v>0</v>
      </c>
      <c r="BB96" s="2" t="e">
        <f t="shared" si="82"/>
        <v>#VALUE!</v>
      </c>
    </row>
    <row r="97" spans="1:1207" s="16" customFormat="1" ht="12.6" thickBot="1" x14ac:dyDescent="0.3">
      <c r="A97" s="2"/>
      <c r="B97" s="2"/>
      <c r="C97" s="1"/>
      <c r="D97" s="1"/>
      <c r="E97" s="114">
        <f t="shared" si="72"/>
        <v>89</v>
      </c>
      <c r="F97" s="111">
        <f t="shared" si="65"/>
        <v>48023</v>
      </c>
      <c r="G97" s="24">
        <f t="shared" si="58"/>
        <v>0</v>
      </c>
      <c r="H97" s="24">
        <f t="shared" si="59"/>
        <v>0</v>
      </c>
      <c r="I97" s="24">
        <f t="shared" si="70"/>
        <v>146299.1</v>
      </c>
      <c r="J97" s="24">
        <f t="shared" si="55"/>
        <v>0</v>
      </c>
      <c r="K97" s="24">
        <f t="shared" si="60"/>
        <v>0</v>
      </c>
      <c r="L97" s="24">
        <f t="shared" si="66"/>
        <v>0</v>
      </c>
      <c r="M97" s="24">
        <f t="shared" si="78"/>
        <v>0</v>
      </c>
      <c r="N97" s="24">
        <f t="shared" si="79"/>
        <v>0</v>
      </c>
      <c r="O97" s="24">
        <f t="shared" si="67"/>
        <v>0</v>
      </c>
      <c r="P97" s="24">
        <f t="shared" si="68"/>
        <v>0</v>
      </c>
      <c r="Q97" s="24">
        <f t="shared" si="61"/>
        <v>0</v>
      </c>
      <c r="R97" s="36">
        <f t="shared" si="76"/>
        <v>0</v>
      </c>
      <c r="S97" s="36">
        <f t="shared" si="69"/>
        <v>0</v>
      </c>
      <c r="T97" s="2">
        <f t="shared" si="47"/>
        <v>0</v>
      </c>
      <c r="U97" s="34">
        <f t="shared" si="48"/>
        <v>0</v>
      </c>
      <c r="V97" s="57">
        <f t="shared" si="51"/>
        <v>58455</v>
      </c>
      <c r="W97" s="16">
        <f t="shared" si="53"/>
        <v>48</v>
      </c>
      <c r="X97" s="170">
        <v>220001</v>
      </c>
      <c r="Y97" s="171">
        <v>500000</v>
      </c>
      <c r="Z97" s="652">
        <v>0.97</v>
      </c>
      <c r="AA97" s="652">
        <v>0.95</v>
      </c>
      <c r="AB97" s="652">
        <v>0.93</v>
      </c>
      <c r="AC97" s="134"/>
      <c r="AD97" s="134"/>
      <c r="AI97" s="2">
        <f t="shared" si="81"/>
        <v>0</v>
      </c>
      <c r="AJ97" s="34">
        <f t="shared" si="80"/>
        <v>0</v>
      </c>
      <c r="AK97" s="57">
        <f t="shared" si="52"/>
        <v>58455</v>
      </c>
      <c r="AL97" s="130">
        <f t="shared" si="71"/>
        <v>0</v>
      </c>
      <c r="AM97" s="109">
        <f t="shared" si="74"/>
        <v>89</v>
      </c>
      <c r="AN97" s="110">
        <f t="shared" si="62"/>
        <v>48023</v>
      </c>
      <c r="AO97" s="105">
        <f t="shared" si="35"/>
        <v>0</v>
      </c>
      <c r="AP97" s="105">
        <f t="shared" si="63"/>
        <v>0</v>
      </c>
      <c r="AQ97" s="105">
        <f t="shared" si="41"/>
        <v>0</v>
      </c>
      <c r="AR97" s="105">
        <f t="shared" si="77"/>
        <v>0</v>
      </c>
      <c r="AS97" s="105">
        <f t="shared" si="42"/>
        <v>0</v>
      </c>
      <c r="AT97" s="105">
        <f t="shared" si="43"/>
        <v>0</v>
      </c>
      <c r="AU97" s="105">
        <f t="shared" si="44"/>
        <v>0</v>
      </c>
      <c r="AV97" s="105">
        <f t="shared" si="45"/>
        <v>0</v>
      </c>
      <c r="AW97" s="105">
        <f t="shared" si="46"/>
        <v>0</v>
      </c>
      <c r="AX97" s="108">
        <f t="shared" si="75"/>
        <v>0</v>
      </c>
      <c r="AY97" s="108">
        <f t="shared" si="64"/>
        <v>0</v>
      </c>
      <c r="AZ97" s="22">
        <f t="shared" si="57"/>
        <v>48023</v>
      </c>
      <c r="BA97" s="108">
        <f t="shared" si="57"/>
        <v>0</v>
      </c>
      <c r="BB97" s="2" t="e">
        <f t="shared" si="82"/>
        <v>#VALUE!</v>
      </c>
    </row>
    <row r="98" spans="1:1207" s="16" customFormat="1" ht="12.6" thickBot="1" x14ac:dyDescent="0.3">
      <c r="A98" s="2"/>
      <c r="B98" s="2"/>
      <c r="C98" s="1"/>
      <c r="D98" s="1"/>
      <c r="E98" s="114">
        <f t="shared" si="72"/>
        <v>90</v>
      </c>
      <c r="F98" s="111">
        <f t="shared" si="65"/>
        <v>48053</v>
      </c>
      <c r="G98" s="24">
        <f t="shared" si="58"/>
        <v>0</v>
      </c>
      <c r="H98" s="24">
        <f t="shared" si="59"/>
        <v>0</v>
      </c>
      <c r="I98" s="24">
        <f t="shared" si="70"/>
        <v>146299.1</v>
      </c>
      <c r="J98" s="24">
        <f t="shared" si="55"/>
        <v>0</v>
      </c>
      <c r="K98" s="24">
        <f t="shared" si="60"/>
        <v>0</v>
      </c>
      <c r="L98" s="24">
        <f t="shared" si="66"/>
        <v>0</v>
      </c>
      <c r="M98" s="24">
        <f t="shared" si="78"/>
        <v>0</v>
      </c>
      <c r="N98" s="24">
        <f t="shared" si="79"/>
        <v>0</v>
      </c>
      <c r="O98" s="24">
        <f t="shared" si="67"/>
        <v>0</v>
      </c>
      <c r="P98" s="24">
        <f t="shared" si="68"/>
        <v>0</v>
      </c>
      <c r="Q98" s="24">
        <f t="shared" si="61"/>
        <v>0</v>
      </c>
      <c r="R98" s="36">
        <f t="shared" si="76"/>
        <v>0</v>
      </c>
      <c r="S98" s="36">
        <f t="shared" si="69"/>
        <v>0</v>
      </c>
      <c r="T98" s="2">
        <f t="shared" si="47"/>
        <v>0</v>
      </c>
      <c r="U98" s="34">
        <f t="shared" si="48"/>
        <v>0</v>
      </c>
      <c r="V98" s="57">
        <f t="shared" si="51"/>
        <v>58455</v>
      </c>
      <c r="W98" s="16">
        <f t="shared" si="53"/>
        <v>49</v>
      </c>
      <c r="X98" s="171">
        <v>500001</v>
      </c>
      <c r="Y98" s="171">
        <v>1000000</v>
      </c>
      <c r="Z98" s="652">
        <v>1.26</v>
      </c>
      <c r="AA98" s="652">
        <v>1.26</v>
      </c>
      <c r="AB98" s="652">
        <v>1.26</v>
      </c>
      <c r="AC98" s="652">
        <v>1.26</v>
      </c>
      <c r="AD98" s="652">
        <v>1.26</v>
      </c>
      <c r="AI98" s="2">
        <f t="shared" si="81"/>
        <v>0</v>
      </c>
      <c r="AJ98" s="34">
        <f t="shared" si="80"/>
        <v>0</v>
      </c>
      <c r="AK98" s="57">
        <f t="shared" si="52"/>
        <v>58455</v>
      </c>
      <c r="AL98" s="130">
        <f t="shared" si="71"/>
        <v>0</v>
      </c>
      <c r="AM98" s="109">
        <f t="shared" si="74"/>
        <v>90</v>
      </c>
      <c r="AN98" s="110">
        <f t="shared" si="62"/>
        <v>48053</v>
      </c>
      <c r="AO98" s="105">
        <f t="shared" si="35"/>
        <v>0</v>
      </c>
      <c r="AP98" s="105">
        <f t="shared" si="63"/>
        <v>0</v>
      </c>
      <c r="AQ98" s="105">
        <f t="shared" si="41"/>
        <v>0</v>
      </c>
      <c r="AR98" s="105">
        <f t="shared" si="77"/>
        <v>0</v>
      </c>
      <c r="AS98" s="105">
        <f t="shared" si="42"/>
        <v>0</v>
      </c>
      <c r="AT98" s="105">
        <f t="shared" si="43"/>
        <v>0</v>
      </c>
      <c r="AU98" s="105">
        <f t="shared" si="44"/>
        <v>0</v>
      </c>
      <c r="AV98" s="105">
        <f t="shared" si="45"/>
        <v>0</v>
      </c>
      <c r="AW98" s="105">
        <f t="shared" si="46"/>
        <v>0</v>
      </c>
      <c r="AX98" s="108">
        <f t="shared" si="75"/>
        <v>0</v>
      </c>
      <c r="AY98" s="108">
        <f t="shared" si="64"/>
        <v>0</v>
      </c>
      <c r="AZ98" s="22">
        <f t="shared" si="57"/>
        <v>48053</v>
      </c>
      <c r="BA98" s="108">
        <f t="shared" si="57"/>
        <v>0</v>
      </c>
      <c r="BB98" s="2" t="e">
        <f t="shared" si="82"/>
        <v>#VALUE!</v>
      </c>
    </row>
    <row r="99" spans="1:1207" s="16" customFormat="1" ht="12.6" thickBot="1" x14ac:dyDescent="0.3">
      <c r="A99" s="2"/>
      <c r="B99" s="2"/>
      <c r="C99" s="1"/>
      <c r="D99" s="1"/>
      <c r="E99" s="114">
        <f t="shared" si="72"/>
        <v>91</v>
      </c>
      <c r="F99" s="111">
        <f t="shared" si="65"/>
        <v>48084</v>
      </c>
      <c r="G99" s="24">
        <f t="shared" si="58"/>
        <v>0</v>
      </c>
      <c r="H99" s="24">
        <f t="shared" si="59"/>
        <v>0</v>
      </c>
      <c r="I99" s="24">
        <f t="shared" si="70"/>
        <v>146299.1</v>
      </c>
      <c r="J99" s="24">
        <f t="shared" si="55"/>
        <v>0</v>
      </c>
      <c r="K99" s="24">
        <f t="shared" si="60"/>
        <v>0</v>
      </c>
      <c r="L99" s="24">
        <f t="shared" si="66"/>
        <v>0</v>
      </c>
      <c r="M99" s="24">
        <f t="shared" si="78"/>
        <v>0</v>
      </c>
      <c r="N99" s="24">
        <f t="shared" si="79"/>
        <v>0</v>
      </c>
      <c r="O99" s="24">
        <f t="shared" si="67"/>
        <v>0</v>
      </c>
      <c r="P99" s="24">
        <f t="shared" si="68"/>
        <v>0</v>
      </c>
      <c r="Q99" s="24">
        <f t="shared" si="61"/>
        <v>0</v>
      </c>
      <c r="R99" s="36">
        <f t="shared" si="76"/>
        <v>0</v>
      </c>
      <c r="S99" s="36">
        <f t="shared" si="69"/>
        <v>0</v>
      </c>
      <c r="T99" s="2">
        <f t="shared" si="47"/>
        <v>0</v>
      </c>
      <c r="U99" s="34">
        <f t="shared" si="48"/>
        <v>0</v>
      </c>
      <c r="V99" s="57">
        <f t="shared" si="51"/>
        <v>58455</v>
      </c>
      <c r="W99" s="16">
        <f t="shared" si="53"/>
        <v>50</v>
      </c>
      <c r="X99" s="171">
        <v>1000001</v>
      </c>
      <c r="Y99" s="171">
        <v>5000000</v>
      </c>
      <c r="Z99" s="652">
        <v>0.83</v>
      </c>
      <c r="AA99" s="652">
        <v>0.83</v>
      </c>
      <c r="AB99" s="652">
        <v>0.83</v>
      </c>
      <c r="AC99" s="652">
        <v>0.83</v>
      </c>
      <c r="AD99" s="652">
        <v>0.83</v>
      </c>
      <c r="AI99" s="2">
        <f t="shared" si="81"/>
        <v>0</v>
      </c>
      <c r="AJ99" s="34">
        <f t="shared" si="80"/>
        <v>0</v>
      </c>
      <c r="AK99" s="57">
        <f t="shared" si="52"/>
        <v>58455</v>
      </c>
      <c r="AL99" s="130">
        <f t="shared" si="71"/>
        <v>0</v>
      </c>
      <c r="AM99" s="109">
        <f t="shared" si="74"/>
        <v>91</v>
      </c>
      <c r="AN99" s="110">
        <f t="shared" si="62"/>
        <v>48084</v>
      </c>
      <c r="AO99" s="105">
        <f t="shared" si="35"/>
        <v>0</v>
      </c>
      <c r="AP99" s="105">
        <f t="shared" si="63"/>
        <v>0</v>
      </c>
      <c r="AQ99" s="105">
        <f t="shared" si="41"/>
        <v>0</v>
      </c>
      <c r="AR99" s="105">
        <f t="shared" si="77"/>
        <v>0</v>
      </c>
      <c r="AS99" s="105">
        <f t="shared" si="42"/>
        <v>0</v>
      </c>
      <c r="AT99" s="105">
        <f t="shared" si="43"/>
        <v>0</v>
      </c>
      <c r="AU99" s="105">
        <f t="shared" si="44"/>
        <v>0</v>
      </c>
      <c r="AV99" s="105">
        <f t="shared" si="45"/>
        <v>0</v>
      </c>
      <c r="AW99" s="105">
        <f t="shared" si="46"/>
        <v>0</v>
      </c>
      <c r="AX99" s="108">
        <f t="shared" si="75"/>
        <v>0</v>
      </c>
      <c r="AY99" s="108">
        <f t="shared" si="64"/>
        <v>0</v>
      </c>
      <c r="AZ99" s="22">
        <f t="shared" si="57"/>
        <v>48084</v>
      </c>
      <c r="BA99" s="108">
        <f t="shared" si="57"/>
        <v>0</v>
      </c>
      <c r="BB99" s="2" t="e">
        <f t="shared" si="82"/>
        <v>#VALUE!</v>
      </c>
    </row>
    <row r="100" spans="1:1207" s="16" customFormat="1" ht="12" x14ac:dyDescent="0.25">
      <c r="A100" s="2"/>
      <c r="B100" s="2"/>
      <c r="C100" s="1"/>
      <c r="D100" s="1"/>
      <c r="E100" s="114">
        <f t="shared" si="72"/>
        <v>92</v>
      </c>
      <c r="F100" s="111">
        <f t="shared" si="65"/>
        <v>48115</v>
      </c>
      <c r="G100" s="24">
        <f t="shared" si="58"/>
        <v>0</v>
      </c>
      <c r="H100" s="24">
        <f t="shared" si="59"/>
        <v>0</v>
      </c>
      <c r="I100" s="24">
        <f t="shared" si="70"/>
        <v>146299.1</v>
      </c>
      <c r="J100" s="24">
        <f t="shared" si="55"/>
        <v>0</v>
      </c>
      <c r="K100" s="24">
        <f t="shared" si="60"/>
        <v>0</v>
      </c>
      <c r="L100" s="24">
        <f t="shared" si="66"/>
        <v>0</v>
      </c>
      <c r="M100" s="24">
        <f t="shared" si="78"/>
        <v>0</v>
      </c>
      <c r="N100" s="24">
        <f t="shared" si="79"/>
        <v>0</v>
      </c>
      <c r="O100" s="24">
        <f t="shared" si="67"/>
        <v>0</v>
      </c>
      <c r="P100" s="24">
        <f t="shared" si="68"/>
        <v>0</v>
      </c>
      <c r="Q100" s="24">
        <f t="shared" si="61"/>
        <v>0</v>
      </c>
      <c r="R100" s="36">
        <f t="shared" si="76"/>
        <v>0</v>
      </c>
      <c r="S100" s="36">
        <f t="shared" si="69"/>
        <v>0</v>
      </c>
      <c r="T100" s="2">
        <f t="shared" si="47"/>
        <v>0</v>
      </c>
      <c r="U100" s="34">
        <f t="shared" si="48"/>
        <v>0</v>
      </c>
      <c r="V100" s="57">
        <f t="shared" si="51"/>
        <v>58455</v>
      </c>
      <c r="W100" s="16">
        <f t="shared" si="53"/>
        <v>51</v>
      </c>
      <c r="AI100" s="2">
        <f t="shared" si="81"/>
        <v>0</v>
      </c>
      <c r="AJ100" s="34">
        <f t="shared" si="80"/>
        <v>0</v>
      </c>
      <c r="AK100" s="57">
        <f t="shared" si="52"/>
        <v>58455</v>
      </c>
      <c r="AL100" s="130">
        <f t="shared" si="71"/>
        <v>0</v>
      </c>
      <c r="AM100" s="109">
        <f t="shared" si="74"/>
        <v>92</v>
      </c>
      <c r="AN100" s="110">
        <f t="shared" si="62"/>
        <v>48115</v>
      </c>
      <c r="AO100" s="105">
        <f t="shared" si="35"/>
        <v>0</v>
      </c>
      <c r="AP100" s="105">
        <f t="shared" si="63"/>
        <v>0</v>
      </c>
      <c r="AQ100" s="105">
        <f t="shared" si="41"/>
        <v>0</v>
      </c>
      <c r="AR100" s="105">
        <f t="shared" si="77"/>
        <v>0</v>
      </c>
      <c r="AS100" s="105">
        <f t="shared" si="42"/>
        <v>0</v>
      </c>
      <c r="AT100" s="105">
        <f t="shared" si="43"/>
        <v>0</v>
      </c>
      <c r="AU100" s="105">
        <f t="shared" si="44"/>
        <v>0</v>
      </c>
      <c r="AV100" s="105">
        <f t="shared" si="45"/>
        <v>0</v>
      </c>
      <c r="AW100" s="105">
        <f t="shared" si="46"/>
        <v>0</v>
      </c>
      <c r="AX100" s="108">
        <f t="shared" si="75"/>
        <v>0</v>
      </c>
      <c r="AY100" s="108">
        <f t="shared" si="64"/>
        <v>0</v>
      </c>
      <c r="AZ100" s="22">
        <f t="shared" si="57"/>
        <v>48115</v>
      </c>
      <c r="BA100" s="108">
        <f t="shared" si="57"/>
        <v>0</v>
      </c>
      <c r="BB100" s="2" t="e">
        <f t="shared" si="82"/>
        <v>#VALUE!</v>
      </c>
    </row>
    <row r="101" spans="1:1207" s="16" customFormat="1" ht="12" x14ac:dyDescent="0.25">
      <c r="A101" s="2"/>
      <c r="B101" s="2"/>
      <c r="C101" s="1"/>
      <c r="D101" s="1"/>
      <c r="E101" s="114">
        <f t="shared" si="72"/>
        <v>93</v>
      </c>
      <c r="F101" s="111">
        <f t="shared" si="65"/>
        <v>48145</v>
      </c>
      <c r="G101" s="24">
        <f t="shared" si="58"/>
        <v>0</v>
      </c>
      <c r="H101" s="24">
        <f t="shared" si="59"/>
        <v>0</v>
      </c>
      <c r="I101" s="24">
        <f t="shared" si="70"/>
        <v>146299.1</v>
      </c>
      <c r="J101" s="24">
        <f t="shared" si="55"/>
        <v>0</v>
      </c>
      <c r="K101" s="24">
        <f t="shared" si="60"/>
        <v>0</v>
      </c>
      <c r="L101" s="24">
        <f t="shared" si="66"/>
        <v>0</v>
      </c>
      <c r="M101" s="24">
        <f t="shared" si="78"/>
        <v>0</v>
      </c>
      <c r="N101" s="24">
        <f t="shared" si="79"/>
        <v>0</v>
      </c>
      <c r="O101" s="24">
        <f t="shared" si="67"/>
        <v>0</v>
      </c>
      <c r="P101" s="24">
        <f t="shared" si="68"/>
        <v>0</v>
      </c>
      <c r="Q101" s="24">
        <f t="shared" si="61"/>
        <v>0</v>
      </c>
      <c r="R101" s="36">
        <f t="shared" si="76"/>
        <v>0</v>
      </c>
      <c r="S101" s="36">
        <f t="shared" si="69"/>
        <v>0</v>
      </c>
      <c r="T101" s="2">
        <f t="shared" si="47"/>
        <v>0</v>
      </c>
      <c r="U101" s="34">
        <f t="shared" si="48"/>
        <v>0</v>
      </c>
      <c r="V101" s="57">
        <f t="shared" si="51"/>
        <v>58455</v>
      </c>
      <c r="W101" s="16">
        <f t="shared" si="53"/>
        <v>52</v>
      </c>
      <c r="AI101" s="2">
        <f t="shared" si="81"/>
        <v>0</v>
      </c>
      <c r="AJ101" s="34">
        <f t="shared" si="80"/>
        <v>0</v>
      </c>
      <c r="AK101" s="57">
        <f t="shared" si="52"/>
        <v>58455</v>
      </c>
      <c r="AL101" s="130">
        <f t="shared" si="71"/>
        <v>0</v>
      </c>
      <c r="AM101" s="109">
        <f t="shared" si="74"/>
        <v>93</v>
      </c>
      <c r="AN101" s="110">
        <f t="shared" si="62"/>
        <v>48145</v>
      </c>
      <c r="AO101" s="105">
        <f t="shared" si="35"/>
        <v>0</v>
      </c>
      <c r="AP101" s="105">
        <f t="shared" si="63"/>
        <v>0</v>
      </c>
      <c r="AQ101" s="105">
        <f t="shared" si="41"/>
        <v>0</v>
      </c>
      <c r="AR101" s="105">
        <f t="shared" si="77"/>
        <v>0</v>
      </c>
      <c r="AS101" s="105">
        <f t="shared" si="42"/>
        <v>0</v>
      </c>
      <c r="AT101" s="105">
        <f t="shared" si="43"/>
        <v>0</v>
      </c>
      <c r="AU101" s="105">
        <f t="shared" si="44"/>
        <v>0</v>
      </c>
      <c r="AV101" s="105">
        <f t="shared" si="45"/>
        <v>0</v>
      </c>
      <c r="AW101" s="105">
        <f t="shared" si="46"/>
        <v>0</v>
      </c>
      <c r="AX101" s="108">
        <f t="shared" si="75"/>
        <v>0</v>
      </c>
      <c r="AY101" s="108">
        <f t="shared" si="64"/>
        <v>0</v>
      </c>
      <c r="AZ101" s="22">
        <f t="shared" si="57"/>
        <v>48145</v>
      </c>
      <c r="BA101" s="108">
        <f t="shared" si="57"/>
        <v>0</v>
      </c>
      <c r="BB101" s="2" t="e">
        <f t="shared" si="82"/>
        <v>#VALUE!</v>
      </c>
    </row>
    <row r="102" spans="1:1207" s="16" customFormat="1" ht="12" x14ac:dyDescent="0.25">
      <c r="A102" s="2"/>
      <c r="B102" s="2"/>
      <c r="C102" s="1"/>
      <c r="D102" s="1"/>
      <c r="E102" s="114">
        <f t="shared" si="72"/>
        <v>94</v>
      </c>
      <c r="F102" s="111">
        <f t="shared" si="65"/>
        <v>48176</v>
      </c>
      <c r="G102" s="24">
        <f t="shared" si="58"/>
        <v>0</v>
      </c>
      <c r="H102" s="24">
        <f t="shared" si="59"/>
        <v>0</v>
      </c>
      <c r="I102" s="24">
        <f t="shared" si="70"/>
        <v>146299.1</v>
      </c>
      <c r="J102" s="24">
        <f t="shared" si="55"/>
        <v>0</v>
      </c>
      <c r="K102" s="24">
        <f t="shared" si="60"/>
        <v>0</v>
      </c>
      <c r="L102" s="24">
        <f t="shared" si="66"/>
        <v>0</v>
      </c>
      <c r="M102" s="24">
        <f t="shared" si="78"/>
        <v>0</v>
      </c>
      <c r="N102" s="24">
        <f t="shared" si="79"/>
        <v>0</v>
      </c>
      <c r="O102" s="24">
        <f t="shared" si="67"/>
        <v>0</v>
      </c>
      <c r="P102" s="24">
        <f t="shared" si="68"/>
        <v>0</v>
      </c>
      <c r="Q102" s="24">
        <f t="shared" si="61"/>
        <v>0</v>
      </c>
      <c r="R102" s="36">
        <f t="shared" si="76"/>
        <v>0</v>
      </c>
      <c r="S102" s="36">
        <f t="shared" si="69"/>
        <v>0</v>
      </c>
      <c r="T102" s="2">
        <f t="shared" si="47"/>
        <v>0</v>
      </c>
      <c r="U102" s="34">
        <f t="shared" si="48"/>
        <v>0</v>
      </c>
      <c r="V102" s="57">
        <f t="shared" si="51"/>
        <v>58455</v>
      </c>
      <c r="W102" s="16">
        <f t="shared" si="53"/>
        <v>53</v>
      </c>
      <c r="AI102" s="2">
        <f t="shared" si="81"/>
        <v>0</v>
      </c>
      <c r="AJ102" s="34">
        <f t="shared" si="80"/>
        <v>0</v>
      </c>
      <c r="AK102" s="57">
        <f t="shared" si="52"/>
        <v>58455</v>
      </c>
      <c r="AL102" s="130">
        <f t="shared" si="71"/>
        <v>0</v>
      </c>
      <c r="AM102" s="109">
        <f t="shared" si="74"/>
        <v>94</v>
      </c>
      <c r="AN102" s="110">
        <f t="shared" si="62"/>
        <v>48176</v>
      </c>
      <c r="AO102" s="105">
        <f t="shared" si="35"/>
        <v>0</v>
      </c>
      <c r="AP102" s="105">
        <f t="shared" si="63"/>
        <v>0</v>
      </c>
      <c r="AQ102" s="105">
        <f t="shared" si="41"/>
        <v>0</v>
      </c>
      <c r="AR102" s="105">
        <f t="shared" si="77"/>
        <v>0</v>
      </c>
      <c r="AS102" s="105">
        <f t="shared" si="42"/>
        <v>0</v>
      </c>
      <c r="AT102" s="105">
        <f t="shared" si="43"/>
        <v>0</v>
      </c>
      <c r="AU102" s="105">
        <f t="shared" si="44"/>
        <v>0</v>
      </c>
      <c r="AV102" s="105">
        <f t="shared" si="45"/>
        <v>0</v>
      </c>
      <c r="AW102" s="105">
        <f t="shared" si="46"/>
        <v>0</v>
      </c>
      <c r="AX102" s="108">
        <f t="shared" si="75"/>
        <v>0</v>
      </c>
      <c r="AY102" s="108">
        <f t="shared" si="64"/>
        <v>0</v>
      </c>
      <c r="AZ102" s="22">
        <f t="shared" si="57"/>
        <v>48176</v>
      </c>
      <c r="BA102" s="108">
        <f t="shared" si="57"/>
        <v>0</v>
      </c>
      <c r="BB102" s="2" t="e">
        <f t="shared" si="82"/>
        <v>#VALUE!</v>
      </c>
    </row>
    <row r="103" spans="1:1207" s="16" customFormat="1" ht="12" x14ac:dyDescent="0.25">
      <c r="A103" s="2"/>
      <c r="B103" s="2"/>
      <c r="C103" s="1"/>
      <c r="D103" s="1"/>
      <c r="E103" s="114">
        <f t="shared" si="72"/>
        <v>95</v>
      </c>
      <c r="F103" s="111">
        <f t="shared" si="65"/>
        <v>48206</v>
      </c>
      <c r="G103" s="24">
        <f t="shared" si="58"/>
        <v>0</v>
      </c>
      <c r="H103" s="24">
        <f t="shared" si="59"/>
        <v>0</v>
      </c>
      <c r="I103" s="24">
        <f t="shared" si="70"/>
        <v>146299.1</v>
      </c>
      <c r="J103" s="24">
        <f t="shared" si="55"/>
        <v>0</v>
      </c>
      <c r="K103" s="24">
        <f t="shared" si="60"/>
        <v>0</v>
      </c>
      <c r="L103" s="24">
        <f t="shared" si="66"/>
        <v>0</v>
      </c>
      <c r="M103" s="24">
        <f t="shared" si="78"/>
        <v>0</v>
      </c>
      <c r="N103" s="24">
        <f t="shared" si="79"/>
        <v>0</v>
      </c>
      <c r="O103" s="24">
        <f t="shared" si="67"/>
        <v>0</v>
      </c>
      <c r="P103" s="24">
        <f t="shared" si="68"/>
        <v>0</v>
      </c>
      <c r="Q103" s="24">
        <f t="shared" si="61"/>
        <v>0</v>
      </c>
      <c r="R103" s="36">
        <f t="shared" si="76"/>
        <v>0</v>
      </c>
      <c r="S103" s="36">
        <f t="shared" si="69"/>
        <v>0</v>
      </c>
      <c r="T103" s="2">
        <f t="shared" si="47"/>
        <v>0</v>
      </c>
      <c r="U103" s="34">
        <f t="shared" si="48"/>
        <v>0</v>
      </c>
      <c r="V103" s="57">
        <f t="shared" si="51"/>
        <v>58455</v>
      </c>
      <c r="W103" s="16">
        <f t="shared" si="53"/>
        <v>54</v>
      </c>
      <c r="AI103" s="2">
        <f t="shared" si="81"/>
        <v>0</v>
      </c>
      <c r="AJ103" s="34">
        <f t="shared" si="80"/>
        <v>0</v>
      </c>
      <c r="AK103" s="57">
        <f t="shared" si="52"/>
        <v>58455</v>
      </c>
      <c r="AL103" s="130">
        <f t="shared" si="71"/>
        <v>0</v>
      </c>
      <c r="AM103" s="109">
        <f t="shared" si="74"/>
        <v>95</v>
      </c>
      <c r="AN103" s="110">
        <f t="shared" si="62"/>
        <v>48206</v>
      </c>
      <c r="AO103" s="105">
        <f t="shared" ref="AO103:AO129" si="83">IF(AX102=1,AR103+AP103+AQ103,IF(AW102+AR103+AP103&gt;AO102,$D$29,IF(AW102=0,0,AW102+AR103+AP103+AP135)))</f>
        <v>0</v>
      </c>
      <c r="AP103" s="105">
        <f t="shared" si="63"/>
        <v>0</v>
      </c>
      <c r="AQ103" s="105">
        <f t="shared" si="41"/>
        <v>0</v>
      </c>
      <c r="AR103" s="105">
        <f t="shared" si="77"/>
        <v>0</v>
      </c>
      <c r="AS103" s="105">
        <f t="shared" si="42"/>
        <v>0</v>
      </c>
      <c r="AT103" s="105">
        <f t="shared" si="43"/>
        <v>0</v>
      </c>
      <c r="AU103" s="105">
        <f t="shared" si="44"/>
        <v>0</v>
      </c>
      <c r="AV103" s="105">
        <f t="shared" si="45"/>
        <v>0</v>
      </c>
      <c r="AW103" s="105">
        <f t="shared" si="46"/>
        <v>0</v>
      </c>
      <c r="AX103" s="108">
        <f t="shared" si="75"/>
        <v>0</v>
      </c>
      <c r="AY103" s="108">
        <f t="shared" si="64"/>
        <v>0</v>
      </c>
      <c r="AZ103" s="22">
        <f t="shared" si="57"/>
        <v>48206</v>
      </c>
      <c r="BA103" s="108">
        <f t="shared" si="57"/>
        <v>0</v>
      </c>
      <c r="BB103" s="2" t="e">
        <f t="shared" si="82"/>
        <v>#VALUE!</v>
      </c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2"/>
      <c r="LX103" s="2"/>
      <c r="LY103" s="2"/>
      <c r="LZ103" s="2"/>
      <c r="MA103" s="2"/>
      <c r="MB103" s="2"/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  <c r="MQ103" s="2"/>
      <c r="MR103" s="2"/>
      <c r="MS103" s="2"/>
      <c r="MT103" s="2"/>
      <c r="MU103" s="2"/>
      <c r="MV103" s="2"/>
      <c r="MW103" s="2"/>
      <c r="MX103" s="2"/>
      <c r="MY103" s="2"/>
      <c r="MZ103" s="2"/>
      <c r="NA103" s="2"/>
      <c r="NB103" s="2"/>
      <c r="NC103" s="2"/>
      <c r="ND103" s="2"/>
      <c r="NE103" s="2"/>
      <c r="NF103" s="2"/>
      <c r="NG103" s="2"/>
      <c r="NH103" s="2"/>
      <c r="NI103" s="2"/>
      <c r="NJ103" s="2"/>
      <c r="NK103" s="2"/>
      <c r="NL103" s="2"/>
      <c r="NM103" s="2"/>
      <c r="NN103" s="2"/>
      <c r="NO103" s="2"/>
      <c r="NP103" s="2"/>
      <c r="NQ103" s="2"/>
      <c r="NR103" s="2"/>
      <c r="NS103" s="2"/>
      <c r="NT103" s="2"/>
      <c r="NU103" s="2"/>
      <c r="NV103" s="2"/>
      <c r="NW103" s="2"/>
      <c r="NX103" s="2"/>
      <c r="NY103" s="2"/>
      <c r="NZ103" s="2"/>
      <c r="OA103" s="2"/>
      <c r="OB103" s="2"/>
      <c r="OC103" s="2"/>
      <c r="OD103" s="2"/>
      <c r="OE103" s="2"/>
      <c r="OF103" s="2"/>
      <c r="OG103" s="2"/>
      <c r="OH103" s="2"/>
      <c r="OI103" s="2"/>
      <c r="OJ103" s="2"/>
      <c r="OK103" s="2"/>
      <c r="OL103" s="2"/>
      <c r="OM103" s="2"/>
      <c r="ON103" s="2"/>
      <c r="OO103" s="2"/>
      <c r="OP103" s="2"/>
      <c r="OQ103" s="2"/>
      <c r="OR103" s="2"/>
      <c r="OS103" s="2"/>
      <c r="OT103" s="2"/>
      <c r="OU103" s="2"/>
      <c r="OV103" s="2"/>
      <c r="OW103" s="2"/>
      <c r="OX103" s="2"/>
      <c r="OY103" s="2"/>
      <c r="OZ103" s="2"/>
      <c r="PA103" s="2"/>
      <c r="PB103" s="2"/>
      <c r="PC103" s="2"/>
      <c r="PD103" s="2"/>
      <c r="PE103" s="2"/>
      <c r="PF103" s="2"/>
      <c r="PG103" s="2"/>
      <c r="PH103" s="2"/>
      <c r="PI103" s="2"/>
      <c r="PJ103" s="2"/>
      <c r="PK103" s="2"/>
      <c r="PL103" s="2"/>
      <c r="PM103" s="2"/>
      <c r="PN103" s="2"/>
      <c r="PO103" s="2"/>
      <c r="PP103" s="2"/>
      <c r="PQ103" s="2"/>
      <c r="PR103" s="2"/>
      <c r="PS103" s="2"/>
      <c r="PT103" s="2"/>
      <c r="PU103" s="2"/>
      <c r="PV103" s="2"/>
      <c r="PW103" s="2"/>
      <c r="PX103" s="2"/>
      <c r="PY103" s="2"/>
      <c r="PZ103" s="2"/>
      <c r="QA103" s="2"/>
      <c r="QB103" s="2"/>
      <c r="QC103" s="2"/>
      <c r="QD103" s="2"/>
      <c r="QE103" s="2"/>
      <c r="QF103" s="2"/>
      <c r="QG103" s="2"/>
      <c r="QH103" s="2"/>
      <c r="QI103" s="2"/>
      <c r="QJ103" s="2"/>
      <c r="QK103" s="2"/>
      <c r="QL103" s="2"/>
      <c r="QM103" s="2"/>
      <c r="QN103" s="2"/>
      <c r="QO103" s="2"/>
      <c r="QP103" s="2"/>
      <c r="QQ103" s="2"/>
      <c r="QR103" s="2"/>
      <c r="QS103" s="2"/>
      <c r="QT103" s="2"/>
      <c r="QU103" s="2"/>
      <c r="QV103" s="2"/>
      <c r="QW103" s="2"/>
      <c r="QX103" s="2"/>
      <c r="QY103" s="2"/>
      <c r="QZ103" s="2"/>
      <c r="RA103" s="2"/>
      <c r="RB103" s="2"/>
      <c r="RC103" s="2"/>
      <c r="RD103" s="2"/>
      <c r="RE103" s="2"/>
      <c r="RF103" s="2"/>
      <c r="RG103" s="2"/>
      <c r="RH103" s="2"/>
      <c r="RI103" s="2"/>
      <c r="RJ103" s="2"/>
      <c r="RK103" s="2"/>
      <c r="RL103" s="2"/>
      <c r="RM103" s="2"/>
      <c r="RN103" s="2"/>
      <c r="RO103" s="2"/>
      <c r="RP103" s="2"/>
      <c r="RQ103" s="2"/>
      <c r="RR103" s="2"/>
      <c r="RS103" s="2"/>
      <c r="RT103" s="2"/>
      <c r="RU103" s="2"/>
      <c r="RV103" s="2"/>
      <c r="RW103" s="2"/>
      <c r="RX103" s="2"/>
      <c r="RY103" s="2"/>
      <c r="RZ103" s="2"/>
      <c r="SA103" s="2"/>
      <c r="SB103" s="2"/>
      <c r="SC103" s="2"/>
      <c r="SD103" s="2"/>
      <c r="SE103" s="2"/>
      <c r="SF103" s="2"/>
      <c r="SG103" s="2"/>
      <c r="SH103" s="2"/>
      <c r="SI103" s="2"/>
      <c r="SJ103" s="2"/>
      <c r="SK103" s="2"/>
      <c r="SL103" s="2"/>
      <c r="SM103" s="2"/>
      <c r="SN103" s="2"/>
      <c r="SO103" s="2"/>
      <c r="SP103" s="2"/>
      <c r="SQ103" s="2"/>
      <c r="SR103" s="2"/>
      <c r="SS103" s="2"/>
      <c r="ST103" s="2"/>
      <c r="SU103" s="2"/>
      <c r="SV103" s="2"/>
      <c r="SW103" s="2"/>
      <c r="SX103" s="2"/>
      <c r="SY103" s="2"/>
      <c r="SZ103" s="2"/>
      <c r="TA103" s="2"/>
      <c r="TB103" s="2"/>
      <c r="TC103" s="2"/>
      <c r="TD103" s="2"/>
      <c r="TE103" s="2"/>
      <c r="TF103" s="2"/>
      <c r="TG103" s="2"/>
      <c r="TH103" s="2"/>
      <c r="TI103" s="2"/>
      <c r="TJ103" s="2"/>
      <c r="TK103" s="2"/>
      <c r="TL103" s="2"/>
      <c r="TM103" s="2"/>
      <c r="TN103" s="2"/>
      <c r="TO103" s="2"/>
      <c r="TP103" s="2"/>
      <c r="TQ103" s="2"/>
      <c r="TR103" s="2"/>
      <c r="TS103" s="2"/>
      <c r="TT103" s="2"/>
      <c r="TU103" s="2"/>
      <c r="TV103" s="2"/>
      <c r="TW103" s="2"/>
      <c r="TX103" s="2"/>
      <c r="TY103" s="2"/>
      <c r="TZ103" s="2"/>
      <c r="UA103" s="2"/>
      <c r="UB103" s="2"/>
      <c r="UC103" s="2"/>
      <c r="UD103" s="2"/>
      <c r="UE103" s="2"/>
      <c r="UF103" s="2"/>
      <c r="UG103" s="2"/>
      <c r="UH103" s="2"/>
      <c r="UI103" s="2"/>
      <c r="UJ103" s="2"/>
      <c r="UK103" s="2"/>
      <c r="UL103" s="2"/>
      <c r="UM103" s="2"/>
      <c r="UN103" s="2"/>
      <c r="UO103" s="2"/>
      <c r="UP103" s="2"/>
      <c r="UQ103" s="2"/>
      <c r="UR103" s="2"/>
      <c r="US103" s="2"/>
      <c r="UT103" s="2"/>
      <c r="UU103" s="2"/>
      <c r="UV103" s="2"/>
      <c r="UW103" s="2"/>
      <c r="UX103" s="2"/>
      <c r="UY103" s="2"/>
      <c r="UZ103" s="2"/>
      <c r="VA103" s="2"/>
      <c r="VB103" s="2"/>
      <c r="VC103" s="2"/>
      <c r="VD103" s="2"/>
      <c r="VE103" s="2"/>
      <c r="VF103" s="2"/>
      <c r="VG103" s="2"/>
      <c r="VH103" s="2"/>
      <c r="VI103" s="2"/>
      <c r="VJ103" s="2"/>
      <c r="VK103" s="2"/>
      <c r="VL103" s="2"/>
      <c r="VM103" s="2"/>
      <c r="VN103" s="2"/>
      <c r="VO103" s="2"/>
      <c r="VP103" s="2"/>
      <c r="VQ103" s="2"/>
      <c r="VR103" s="2"/>
      <c r="VS103" s="2"/>
      <c r="VT103" s="2"/>
      <c r="VU103" s="2"/>
      <c r="VV103" s="2"/>
      <c r="VW103" s="2"/>
      <c r="VX103" s="2"/>
      <c r="VY103" s="2"/>
      <c r="VZ103" s="2"/>
      <c r="WA103" s="2"/>
      <c r="WB103" s="2"/>
      <c r="WC103" s="2"/>
      <c r="WD103" s="2"/>
      <c r="WE103" s="2"/>
      <c r="WF103" s="2"/>
      <c r="WG103" s="2"/>
      <c r="WH103" s="2"/>
      <c r="WI103" s="2"/>
      <c r="WJ103" s="2"/>
      <c r="WK103" s="2"/>
      <c r="WL103" s="2"/>
      <c r="WM103" s="2"/>
      <c r="WN103" s="2"/>
      <c r="WO103" s="2"/>
      <c r="WP103" s="2"/>
      <c r="WQ103" s="2"/>
      <c r="WR103" s="2"/>
      <c r="WS103" s="2"/>
      <c r="WT103" s="2"/>
      <c r="WU103" s="2"/>
      <c r="WV103" s="2"/>
      <c r="WW103" s="2"/>
      <c r="WX103" s="2"/>
      <c r="WY103" s="2"/>
      <c r="WZ103" s="2"/>
      <c r="XA103" s="2"/>
      <c r="XB103" s="2"/>
      <c r="XC103" s="2"/>
      <c r="XD103" s="2"/>
      <c r="XE103" s="2"/>
      <c r="XF103" s="2"/>
      <c r="XG103" s="2"/>
      <c r="XH103" s="2"/>
      <c r="XI103" s="2"/>
      <c r="XJ103" s="2"/>
      <c r="XK103" s="2"/>
      <c r="XL103" s="2"/>
      <c r="XM103" s="2"/>
      <c r="XN103" s="2"/>
      <c r="XO103" s="2"/>
      <c r="XP103" s="2"/>
      <c r="XQ103" s="2"/>
      <c r="XR103" s="2"/>
      <c r="XS103" s="2"/>
      <c r="XT103" s="2"/>
      <c r="XU103" s="2"/>
      <c r="XV103" s="2"/>
      <c r="XW103" s="2"/>
      <c r="XX103" s="2"/>
      <c r="XY103" s="2"/>
      <c r="XZ103" s="2"/>
      <c r="YA103" s="2"/>
      <c r="YB103" s="2"/>
      <c r="YC103" s="2"/>
      <c r="YD103" s="2"/>
      <c r="YE103" s="2"/>
      <c r="YF103" s="2"/>
      <c r="YG103" s="2"/>
      <c r="YH103" s="2"/>
      <c r="YI103" s="2"/>
      <c r="YJ103" s="2"/>
      <c r="YK103" s="2"/>
      <c r="YL103" s="2"/>
      <c r="YM103" s="2"/>
      <c r="YN103" s="2"/>
      <c r="YO103" s="2"/>
      <c r="YP103" s="2"/>
      <c r="YQ103" s="2"/>
      <c r="YR103" s="2"/>
      <c r="YS103" s="2"/>
      <c r="YT103" s="2"/>
      <c r="YU103" s="2"/>
      <c r="YV103" s="2"/>
      <c r="YW103" s="2"/>
      <c r="YX103" s="2"/>
      <c r="YY103" s="2"/>
      <c r="YZ103" s="2"/>
      <c r="ZA103" s="2"/>
      <c r="ZB103" s="2"/>
      <c r="ZC103" s="2"/>
      <c r="ZD103" s="2"/>
      <c r="ZE103" s="2"/>
      <c r="ZF103" s="2"/>
      <c r="ZG103" s="2"/>
      <c r="ZH103" s="2"/>
      <c r="ZI103" s="2"/>
      <c r="ZJ103" s="2"/>
      <c r="ZK103" s="2"/>
      <c r="ZL103" s="2"/>
      <c r="ZM103" s="2"/>
      <c r="ZN103" s="2"/>
      <c r="ZO103" s="2"/>
      <c r="ZP103" s="2"/>
      <c r="ZQ103" s="2"/>
      <c r="ZR103" s="2"/>
      <c r="ZS103" s="2"/>
      <c r="ZT103" s="2"/>
      <c r="ZU103" s="2"/>
      <c r="ZV103" s="2"/>
      <c r="ZW103" s="2"/>
      <c r="ZX103" s="2"/>
      <c r="ZY103" s="2"/>
      <c r="ZZ103" s="2"/>
      <c r="AAA103" s="2"/>
      <c r="AAB103" s="2"/>
      <c r="AAC103" s="2"/>
      <c r="AAD103" s="2"/>
      <c r="AAE103" s="2"/>
      <c r="AAF103" s="2"/>
      <c r="AAG103" s="2"/>
      <c r="AAH103" s="2"/>
      <c r="AAI103" s="2"/>
      <c r="AAJ103" s="2"/>
      <c r="AAK103" s="2"/>
      <c r="AAL103" s="2"/>
      <c r="AAM103" s="2"/>
      <c r="AAN103" s="2"/>
      <c r="AAO103" s="2"/>
      <c r="AAP103" s="2"/>
      <c r="AAQ103" s="2"/>
      <c r="AAR103" s="2"/>
      <c r="AAS103" s="2"/>
      <c r="AAT103" s="2"/>
      <c r="AAU103" s="2"/>
      <c r="AAV103" s="2"/>
      <c r="AAW103" s="2"/>
      <c r="AAX103" s="2"/>
      <c r="AAY103" s="2"/>
      <c r="AAZ103" s="2"/>
      <c r="ABA103" s="2"/>
      <c r="ABB103" s="2"/>
      <c r="ABC103" s="2"/>
      <c r="ABD103" s="2"/>
      <c r="ABE103" s="2"/>
      <c r="ABF103" s="2"/>
      <c r="ABG103" s="2"/>
      <c r="ABH103" s="2"/>
      <c r="ABI103" s="2"/>
      <c r="ABJ103" s="2"/>
      <c r="ABK103" s="2"/>
      <c r="ABL103" s="2"/>
      <c r="ABM103" s="2"/>
      <c r="ABN103" s="2"/>
      <c r="ABO103" s="2"/>
      <c r="ABP103" s="2"/>
      <c r="ABQ103" s="2"/>
      <c r="ABR103" s="2"/>
      <c r="ABS103" s="2"/>
      <c r="ABT103" s="2"/>
      <c r="ABU103" s="2"/>
      <c r="ABV103" s="2"/>
      <c r="ABW103" s="2"/>
      <c r="ABX103" s="2"/>
      <c r="ABY103" s="2"/>
      <c r="ABZ103" s="2"/>
      <c r="ACA103" s="2"/>
      <c r="ACB103" s="2"/>
      <c r="ACC103" s="2"/>
      <c r="ACD103" s="2"/>
      <c r="ACE103" s="2"/>
      <c r="ACF103" s="2"/>
      <c r="ACG103" s="2"/>
      <c r="ACH103" s="2"/>
      <c r="ACI103" s="2"/>
      <c r="ACJ103" s="2"/>
      <c r="ACK103" s="2"/>
      <c r="ACL103" s="2"/>
      <c r="ACM103" s="2"/>
      <c r="ACN103" s="2"/>
      <c r="ACO103" s="2"/>
      <c r="ACP103" s="2"/>
      <c r="ACQ103" s="2"/>
      <c r="ACR103" s="2"/>
      <c r="ACS103" s="2"/>
      <c r="ACT103" s="2"/>
      <c r="ACU103" s="2"/>
      <c r="ACV103" s="2"/>
      <c r="ACW103" s="2"/>
      <c r="ACX103" s="2"/>
      <c r="ACY103" s="2"/>
      <c r="ACZ103" s="2"/>
      <c r="ADA103" s="2"/>
      <c r="ADB103" s="2"/>
      <c r="ADC103" s="2"/>
      <c r="ADD103" s="2"/>
      <c r="ADE103" s="2"/>
      <c r="ADF103" s="2"/>
      <c r="ADG103" s="2"/>
      <c r="ADH103" s="2"/>
      <c r="ADI103" s="2"/>
      <c r="ADJ103" s="2"/>
      <c r="ADK103" s="2"/>
      <c r="ADL103" s="2"/>
      <c r="ADM103" s="2"/>
      <c r="ADN103" s="2"/>
      <c r="ADO103" s="2"/>
      <c r="ADP103" s="2"/>
      <c r="ADQ103" s="2"/>
      <c r="ADR103" s="2"/>
      <c r="ADS103" s="2"/>
      <c r="ADT103" s="2"/>
      <c r="ADU103" s="2"/>
      <c r="ADV103" s="2"/>
      <c r="ADW103" s="2"/>
      <c r="ADX103" s="2"/>
      <c r="ADY103" s="2"/>
      <c r="ADZ103" s="2"/>
      <c r="AEA103" s="2"/>
      <c r="AEB103" s="2"/>
      <c r="AEC103" s="2"/>
      <c r="AED103" s="2"/>
      <c r="AEE103" s="2"/>
      <c r="AEF103" s="2"/>
      <c r="AEG103" s="2"/>
      <c r="AEH103" s="2"/>
      <c r="AEI103" s="2"/>
      <c r="AEJ103" s="2"/>
      <c r="AEK103" s="2"/>
      <c r="AEL103" s="2"/>
      <c r="AEM103" s="2"/>
      <c r="AEN103" s="2"/>
      <c r="AEO103" s="2"/>
      <c r="AEP103" s="2"/>
      <c r="AEQ103" s="2"/>
      <c r="AER103" s="2"/>
      <c r="AES103" s="2"/>
      <c r="AET103" s="2"/>
      <c r="AEU103" s="2"/>
      <c r="AEV103" s="2"/>
      <c r="AEW103" s="2"/>
      <c r="AEX103" s="2"/>
      <c r="AEY103" s="2"/>
      <c r="AEZ103" s="2"/>
      <c r="AFA103" s="2"/>
      <c r="AFB103" s="2"/>
      <c r="AFC103" s="2"/>
      <c r="AFD103" s="2"/>
      <c r="AFE103" s="2"/>
      <c r="AFF103" s="2"/>
      <c r="AFG103" s="2"/>
      <c r="AFH103" s="2"/>
      <c r="AFI103" s="2"/>
      <c r="AFJ103" s="2"/>
      <c r="AFK103" s="2"/>
      <c r="AFL103" s="2"/>
      <c r="AFM103" s="2"/>
      <c r="AFN103" s="2"/>
      <c r="AFO103" s="2"/>
      <c r="AFP103" s="2"/>
      <c r="AFQ103" s="2"/>
      <c r="AFR103" s="2"/>
      <c r="AFS103" s="2"/>
      <c r="AFT103" s="2"/>
      <c r="AFU103" s="2"/>
      <c r="AFV103" s="2"/>
      <c r="AFW103" s="2"/>
      <c r="AFX103" s="2"/>
      <c r="AFY103" s="2"/>
      <c r="AFZ103" s="2"/>
      <c r="AGA103" s="2"/>
      <c r="AGB103" s="2"/>
      <c r="AGC103" s="2"/>
      <c r="AGD103" s="2"/>
      <c r="AGE103" s="2"/>
      <c r="AGF103" s="2"/>
      <c r="AGG103" s="2"/>
      <c r="AGH103" s="2"/>
      <c r="AGI103" s="2"/>
      <c r="AGJ103" s="2"/>
      <c r="AGK103" s="2"/>
      <c r="AGL103" s="2"/>
      <c r="AGM103" s="2"/>
      <c r="AGN103" s="2"/>
      <c r="AGO103" s="2"/>
      <c r="AGP103" s="2"/>
      <c r="AGQ103" s="2"/>
      <c r="AGR103" s="2"/>
      <c r="AGS103" s="2"/>
      <c r="AGT103" s="2"/>
      <c r="AGU103" s="2"/>
      <c r="AGV103" s="2"/>
      <c r="AGW103" s="2"/>
      <c r="AGX103" s="2"/>
      <c r="AGY103" s="2"/>
      <c r="AGZ103" s="2"/>
      <c r="AHA103" s="2"/>
      <c r="AHB103" s="2"/>
      <c r="AHC103" s="2"/>
      <c r="AHD103" s="2"/>
      <c r="AHE103" s="2"/>
      <c r="AHF103" s="2"/>
      <c r="AHG103" s="2"/>
      <c r="AHH103" s="2"/>
      <c r="AHI103" s="2"/>
      <c r="AHJ103" s="2"/>
      <c r="AHK103" s="2"/>
      <c r="AHL103" s="2"/>
      <c r="AHM103" s="2"/>
      <c r="AHN103" s="2"/>
      <c r="AHO103" s="2"/>
      <c r="AHP103" s="2"/>
      <c r="AHQ103" s="2"/>
      <c r="AHR103" s="2"/>
      <c r="AHS103" s="2"/>
      <c r="AHT103" s="2"/>
      <c r="AHU103" s="2"/>
      <c r="AHV103" s="2"/>
      <c r="AHW103" s="2"/>
      <c r="AHX103" s="2"/>
      <c r="AHY103" s="2"/>
      <c r="AHZ103" s="2"/>
      <c r="AIA103" s="2"/>
      <c r="AIB103" s="2"/>
      <c r="AIC103" s="2"/>
      <c r="AID103" s="2"/>
      <c r="AIE103" s="2"/>
      <c r="AIF103" s="2"/>
      <c r="AIG103" s="2"/>
      <c r="AIH103" s="2"/>
      <c r="AII103" s="2"/>
      <c r="AIJ103" s="2"/>
      <c r="AIK103" s="2"/>
      <c r="AIL103" s="2"/>
      <c r="AIM103" s="2"/>
      <c r="AIN103" s="2"/>
      <c r="AIO103" s="2"/>
      <c r="AIP103" s="2"/>
      <c r="AIQ103" s="2"/>
      <c r="AIR103" s="2"/>
      <c r="AIS103" s="2"/>
      <c r="AIT103" s="2"/>
      <c r="AIU103" s="2"/>
      <c r="AIV103" s="2"/>
      <c r="AIW103" s="2"/>
      <c r="AIX103" s="2"/>
      <c r="AIY103" s="2"/>
      <c r="AIZ103" s="2"/>
      <c r="AJA103" s="2"/>
      <c r="AJB103" s="2"/>
      <c r="AJC103" s="2"/>
      <c r="AJD103" s="2"/>
      <c r="AJE103" s="2"/>
      <c r="AJF103" s="2"/>
      <c r="AJG103" s="2"/>
      <c r="AJH103" s="2"/>
      <c r="AJI103" s="2"/>
      <c r="AJJ103" s="2"/>
      <c r="AJK103" s="2"/>
      <c r="AJL103" s="2"/>
      <c r="AJM103" s="2"/>
      <c r="AJN103" s="2"/>
      <c r="AJO103" s="2"/>
      <c r="AJP103" s="2"/>
      <c r="AJQ103" s="2"/>
      <c r="AJR103" s="2"/>
      <c r="AJS103" s="2"/>
      <c r="AJT103" s="2"/>
      <c r="AJU103" s="2"/>
      <c r="AJV103" s="2"/>
      <c r="AJW103" s="2"/>
      <c r="AJX103" s="2"/>
      <c r="AJY103" s="2"/>
      <c r="AJZ103" s="2"/>
      <c r="AKA103" s="2"/>
      <c r="AKB103" s="2"/>
      <c r="AKC103" s="2"/>
      <c r="AKD103" s="2"/>
      <c r="AKE103" s="2"/>
      <c r="AKF103" s="2"/>
      <c r="AKG103" s="2"/>
      <c r="AKH103" s="2"/>
      <c r="AKI103" s="2"/>
      <c r="AKJ103" s="2"/>
      <c r="AKK103" s="2"/>
      <c r="AKL103" s="2"/>
      <c r="AKM103" s="2"/>
      <c r="AKN103" s="2"/>
      <c r="AKO103" s="2"/>
      <c r="AKP103" s="2"/>
      <c r="AKQ103" s="2"/>
      <c r="AKR103" s="2"/>
      <c r="AKS103" s="2"/>
      <c r="AKT103" s="2"/>
      <c r="AKU103" s="2"/>
      <c r="AKV103" s="2"/>
      <c r="AKW103" s="2"/>
      <c r="AKX103" s="2"/>
      <c r="AKY103" s="2"/>
      <c r="AKZ103" s="2"/>
      <c r="ALA103" s="2"/>
      <c r="ALB103" s="2"/>
      <c r="ALC103" s="2"/>
      <c r="ALD103" s="2"/>
      <c r="ALE103" s="2"/>
      <c r="ALF103" s="2"/>
      <c r="ALG103" s="2"/>
      <c r="ALH103" s="2"/>
      <c r="ALI103" s="2"/>
      <c r="ALJ103" s="2"/>
      <c r="ALK103" s="2"/>
      <c r="ALL103" s="2"/>
      <c r="ALM103" s="2"/>
      <c r="ALN103" s="2"/>
      <c r="ALO103" s="2"/>
      <c r="ALP103" s="2"/>
      <c r="ALQ103" s="2"/>
      <c r="ALR103" s="2"/>
      <c r="ALS103" s="2"/>
      <c r="ALT103" s="2"/>
      <c r="ALU103" s="2"/>
      <c r="ALV103" s="2"/>
      <c r="ALW103" s="2"/>
      <c r="ALX103" s="2"/>
      <c r="ALY103" s="2"/>
      <c r="ALZ103" s="2"/>
      <c r="AMA103" s="2"/>
      <c r="AMB103" s="2"/>
      <c r="AMC103" s="2"/>
      <c r="AMD103" s="2"/>
      <c r="AME103" s="2"/>
      <c r="AMF103" s="2"/>
      <c r="AMG103" s="2"/>
      <c r="AMH103" s="2"/>
      <c r="AMI103" s="2"/>
      <c r="AMJ103" s="2"/>
      <c r="AMK103" s="2"/>
      <c r="AML103" s="2"/>
      <c r="AMM103" s="2"/>
      <c r="AMN103" s="2"/>
      <c r="AMO103" s="2"/>
      <c r="AMP103" s="2"/>
      <c r="AMQ103" s="2"/>
      <c r="AMR103" s="2"/>
      <c r="AMS103" s="2"/>
      <c r="AMT103" s="2"/>
      <c r="AMU103" s="2"/>
      <c r="AMV103" s="2"/>
      <c r="AMW103" s="2"/>
      <c r="AMX103" s="2"/>
      <c r="AMY103" s="2"/>
      <c r="AMZ103" s="2"/>
      <c r="ANA103" s="2"/>
      <c r="ANB103" s="2"/>
      <c r="ANC103" s="2"/>
      <c r="AND103" s="2"/>
      <c r="ANE103" s="2"/>
      <c r="ANF103" s="2"/>
      <c r="ANG103" s="2"/>
      <c r="ANH103" s="2"/>
      <c r="ANI103" s="2"/>
      <c r="ANJ103" s="2"/>
      <c r="ANK103" s="2"/>
      <c r="ANL103" s="2"/>
      <c r="ANM103" s="2"/>
      <c r="ANN103" s="2"/>
      <c r="ANO103" s="2"/>
      <c r="ANP103" s="2"/>
      <c r="ANQ103" s="2"/>
      <c r="ANR103" s="2"/>
      <c r="ANS103" s="2"/>
      <c r="ANT103" s="2"/>
      <c r="ANU103" s="2"/>
      <c r="ANV103" s="2"/>
      <c r="ANW103" s="2"/>
      <c r="ANX103" s="2"/>
      <c r="ANY103" s="2"/>
      <c r="ANZ103" s="2"/>
      <c r="AOA103" s="2"/>
      <c r="AOB103" s="2"/>
      <c r="AOC103" s="2"/>
      <c r="AOD103" s="2"/>
      <c r="AOE103" s="2"/>
      <c r="AOF103" s="2"/>
      <c r="AOG103" s="2"/>
      <c r="AOH103" s="2"/>
      <c r="AOI103" s="2"/>
      <c r="AOJ103" s="2"/>
      <c r="AOK103" s="2"/>
      <c r="AOL103" s="2"/>
      <c r="AOM103" s="2"/>
      <c r="AON103" s="2"/>
      <c r="AOO103" s="2"/>
      <c r="AOP103" s="2"/>
      <c r="AOQ103" s="2"/>
      <c r="AOR103" s="2"/>
      <c r="AOS103" s="2"/>
      <c r="AOT103" s="2"/>
      <c r="AOU103" s="2"/>
      <c r="AOV103" s="2"/>
      <c r="AOW103" s="2"/>
      <c r="AOX103" s="2"/>
      <c r="AOY103" s="2"/>
      <c r="AOZ103" s="2"/>
      <c r="APA103" s="2"/>
      <c r="APB103" s="2"/>
      <c r="APC103" s="2"/>
      <c r="APD103" s="2"/>
      <c r="APE103" s="2"/>
      <c r="APF103" s="2"/>
      <c r="APG103" s="2"/>
      <c r="APH103" s="2"/>
      <c r="API103" s="2"/>
      <c r="APJ103" s="2"/>
      <c r="APK103" s="2"/>
      <c r="APL103" s="2"/>
      <c r="APM103" s="2"/>
      <c r="APN103" s="2"/>
      <c r="APO103" s="2"/>
      <c r="APP103" s="2"/>
      <c r="APQ103" s="2"/>
      <c r="APR103" s="2"/>
      <c r="APS103" s="2"/>
      <c r="APT103" s="2"/>
      <c r="APU103" s="2"/>
      <c r="APV103" s="2"/>
      <c r="APW103" s="2"/>
      <c r="APX103" s="2"/>
      <c r="APY103" s="2"/>
      <c r="APZ103" s="2"/>
      <c r="AQA103" s="2"/>
      <c r="AQB103" s="2"/>
      <c r="AQC103" s="2"/>
      <c r="AQD103" s="2"/>
      <c r="AQE103" s="2"/>
      <c r="AQF103" s="2"/>
      <c r="AQG103" s="2"/>
      <c r="AQH103" s="2"/>
      <c r="AQI103" s="2"/>
      <c r="AQJ103" s="2"/>
      <c r="AQK103" s="2"/>
      <c r="AQL103" s="2"/>
      <c r="AQM103" s="2"/>
      <c r="AQN103" s="2"/>
      <c r="AQO103" s="2"/>
      <c r="AQP103" s="2"/>
      <c r="AQQ103" s="2"/>
      <c r="AQR103" s="2"/>
      <c r="AQS103" s="2"/>
      <c r="AQT103" s="2"/>
      <c r="AQU103" s="2"/>
      <c r="AQV103" s="2"/>
      <c r="AQW103" s="2"/>
      <c r="AQX103" s="2"/>
      <c r="AQY103" s="2"/>
      <c r="AQZ103" s="2"/>
      <c r="ARA103" s="2"/>
      <c r="ARB103" s="2"/>
      <c r="ARC103" s="2"/>
      <c r="ARD103" s="2"/>
      <c r="ARE103" s="2"/>
      <c r="ARF103" s="2"/>
      <c r="ARG103" s="2"/>
      <c r="ARH103" s="2"/>
      <c r="ARI103" s="2"/>
      <c r="ARJ103" s="2"/>
      <c r="ARK103" s="2"/>
      <c r="ARL103" s="2"/>
      <c r="ARM103" s="2"/>
      <c r="ARN103" s="2"/>
      <c r="ARO103" s="2"/>
      <c r="ARP103" s="2"/>
      <c r="ARQ103" s="2"/>
      <c r="ARR103" s="2"/>
      <c r="ARS103" s="2"/>
      <c r="ART103" s="2"/>
      <c r="ARU103" s="2"/>
      <c r="ARV103" s="2"/>
      <c r="ARW103" s="2"/>
      <c r="ARX103" s="2"/>
      <c r="ARY103" s="2"/>
      <c r="ARZ103" s="2"/>
      <c r="ASA103" s="2"/>
      <c r="ASB103" s="2"/>
      <c r="ASC103" s="2"/>
      <c r="ASD103" s="2"/>
      <c r="ASE103" s="2"/>
      <c r="ASF103" s="2"/>
      <c r="ASG103" s="2"/>
      <c r="ASH103" s="2"/>
      <c r="ASI103" s="2"/>
      <c r="ASJ103" s="2"/>
      <c r="ASK103" s="2"/>
      <c r="ASL103" s="2"/>
      <c r="ASM103" s="2"/>
      <c r="ASN103" s="2"/>
      <c r="ASO103" s="2"/>
      <c r="ASP103" s="2"/>
      <c r="ASQ103" s="2"/>
      <c r="ASR103" s="2"/>
      <c r="ASS103" s="2"/>
      <c r="AST103" s="2"/>
      <c r="ASU103" s="2"/>
      <c r="ASV103" s="2"/>
      <c r="ASW103" s="2"/>
      <c r="ASX103" s="2"/>
      <c r="ASY103" s="2"/>
      <c r="ASZ103" s="2"/>
      <c r="ATA103" s="2"/>
      <c r="ATB103" s="2"/>
      <c r="ATC103" s="2"/>
      <c r="ATD103" s="2"/>
      <c r="ATE103" s="2"/>
      <c r="ATF103" s="2"/>
      <c r="ATG103" s="2"/>
      <c r="ATH103" s="2"/>
      <c r="ATI103" s="2"/>
      <c r="ATJ103" s="2"/>
      <c r="ATK103" s="2"/>
    </row>
    <row r="104" spans="1:1207" ht="12" x14ac:dyDescent="0.25">
      <c r="E104" s="114">
        <f t="shared" si="72"/>
        <v>96</v>
      </c>
      <c r="F104" s="111">
        <f t="shared" si="65"/>
        <v>48237</v>
      </c>
      <c r="G104" s="24">
        <f t="shared" si="58"/>
        <v>0</v>
      </c>
      <c r="H104" s="24">
        <f t="shared" si="59"/>
        <v>0</v>
      </c>
      <c r="I104" s="24">
        <f t="shared" si="70"/>
        <v>146299.1</v>
      </c>
      <c r="J104" s="24">
        <f t="shared" si="55"/>
        <v>0</v>
      </c>
      <c r="K104" s="24">
        <f t="shared" si="60"/>
        <v>0</v>
      </c>
      <c r="L104" s="24">
        <f t="shared" si="66"/>
        <v>0</v>
      </c>
      <c r="M104" s="24">
        <f t="shared" si="78"/>
        <v>0</v>
      </c>
      <c r="N104" s="24">
        <f t="shared" si="79"/>
        <v>0</v>
      </c>
      <c r="O104" s="24">
        <f t="shared" si="67"/>
        <v>0</v>
      </c>
      <c r="P104" s="24">
        <f t="shared" si="68"/>
        <v>0</v>
      </c>
      <c r="Q104" s="24">
        <f t="shared" si="61"/>
        <v>0</v>
      </c>
      <c r="R104" s="36">
        <f t="shared" si="76"/>
        <v>0</v>
      </c>
      <c r="S104" s="36">
        <f t="shared" si="69"/>
        <v>0</v>
      </c>
      <c r="T104" s="2">
        <f t="shared" si="47"/>
        <v>0</v>
      </c>
      <c r="U104" s="34">
        <f t="shared" si="48"/>
        <v>0</v>
      </c>
      <c r="V104" s="57">
        <f t="shared" si="51"/>
        <v>58455</v>
      </c>
      <c r="W104" s="16">
        <f t="shared" si="53"/>
        <v>55</v>
      </c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2">
        <f t="shared" si="81"/>
        <v>0</v>
      </c>
      <c r="AJ104" s="34">
        <f t="shared" si="80"/>
        <v>0</v>
      </c>
      <c r="AK104" s="57">
        <f t="shared" si="52"/>
        <v>58455</v>
      </c>
      <c r="AL104" s="130">
        <f t="shared" si="71"/>
        <v>0</v>
      </c>
      <c r="AM104" s="109">
        <f t="shared" si="74"/>
        <v>96</v>
      </c>
      <c r="AN104" s="110">
        <f t="shared" si="62"/>
        <v>48237</v>
      </c>
      <c r="AO104" s="105">
        <f t="shared" si="83"/>
        <v>0</v>
      </c>
      <c r="AP104" s="105">
        <f t="shared" si="63"/>
        <v>0</v>
      </c>
      <c r="AQ104" s="105">
        <f t="shared" si="41"/>
        <v>0</v>
      </c>
      <c r="AR104" s="105">
        <f t="shared" si="77"/>
        <v>0</v>
      </c>
      <c r="AS104" s="105">
        <f t="shared" si="42"/>
        <v>0</v>
      </c>
      <c r="AT104" s="105">
        <f t="shared" si="43"/>
        <v>0</v>
      </c>
      <c r="AU104" s="105">
        <f t="shared" si="44"/>
        <v>0</v>
      </c>
      <c r="AV104" s="105">
        <f t="shared" si="45"/>
        <v>0</v>
      </c>
      <c r="AW104" s="105">
        <f t="shared" si="46"/>
        <v>0</v>
      </c>
      <c r="AX104" s="108">
        <f t="shared" si="75"/>
        <v>0</v>
      </c>
      <c r="AY104" s="108">
        <f t="shared" si="64"/>
        <v>0</v>
      </c>
      <c r="AZ104" s="22">
        <f t="shared" si="57"/>
        <v>48237</v>
      </c>
      <c r="BA104" s="108">
        <f t="shared" si="57"/>
        <v>0</v>
      </c>
      <c r="BB104" s="2" t="e">
        <f t="shared" si="82"/>
        <v>#VALUE!</v>
      </c>
    </row>
    <row r="105" spans="1:1207" ht="12" x14ac:dyDescent="0.25">
      <c r="E105" s="114">
        <f t="shared" si="72"/>
        <v>97</v>
      </c>
      <c r="F105" s="111">
        <f t="shared" si="65"/>
        <v>48268</v>
      </c>
      <c r="G105" s="24">
        <f t="shared" si="58"/>
        <v>0</v>
      </c>
      <c r="H105" s="24">
        <f t="shared" si="59"/>
        <v>0</v>
      </c>
      <c r="I105" s="24">
        <f t="shared" si="70"/>
        <v>146299.1</v>
      </c>
      <c r="J105" s="24">
        <f t="shared" si="55"/>
        <v>0</v>
      </c>
      <c r="K105" s="24">
        <f t="shared" si="60"/>
        <v>0</v>
      </c>
      <c r="L105" s="24">
        <f t="shared" si="66"/>
        <v>0</v>
      </c>
      <c r="M105" s="24">
        <f t="shared" si="78"/>
        <v>0</v>
      </c>
      <c r="N105" s="24">
        <f t="shared" si="79"/>
        <v>0</v>
      </c>
      <c r="O105" s="24">
        <f t="shared" si="67"/>
        <v>0</v>
      </c>
      <c r="P105" s="24">
        <f t="shared" si="68"/>
        <v>0</v>
      </c>
      <c r="Q105" s="24">
        <f t="shared" si="61"/>
        <v>0</v>
      </c>
      <c r="R105" s="36">
        <f t="shared" si="76"/>
        <v>0</v>
      </c>
      <c r="S105" s="36">
        <f t="shared" si="69"/>
        <v>0</v>
      </c>
      <c r="T105" s="2">
        <f t="shared" si="47"/>
        <v>0</v>
      </c>
      <c r="U105" s="34">
        <f t="shared" si="48"/>
        <v>0</v>
      </c>
      <c r="V105" s="57">
        <f t="shared" si="51"/>
        <v>58455</v>
      </c>
      <c r="W105" s="16">
        <f t="shared" si="53"/>
        <v>56</v>
      </c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2">
        <f t="shared" si="81"/>
        <v>0</v>
      </c>
      <c r="AJ105" s="34">
        <f t="shared" si="80"/>
        <v>0</v>
      </c>
      <c r="AK105" s="57">
        <f t="shared" si="52"/>
        <v>58455</v>
      </c>
      <c r="AL105" s="130">
        <f t="shared" si="71"/>
        <v>0</v>
      </c>
      <c r="AM105" s="109">
        <f t="shared" si="74"/>
        <v>97</v>
      </c>
      <c r="AN105" s="110">
        <f t="shared" si="62"/>
        <v>48268</v>
      </c>
      <c r="AO105" s="105">
        <f t="shared" si="83"/>
        <v>0</v>
      </c>
      <c r="AP105" s="105">
        <f t="shared" si="63"/>
        <v>0</v>
      </c>
      <c r="AQ105" s="105">
        <f t="shared" si="41"/>
        <v>0</v>
      </c>
      <c r="AR105" s="105">
        <f t="shared" si="77"/>
        <v>0</v>
      </c>
      <c r="AS105" s="105">
        <f t="shared" si="42"/>
        <v>0</v>
      </c>
      <c r="AT105" s="105">
        <f t="shared" si="43"/>
        <v>0</v>
      </c>
      <c r="AU105" s="105">
        <f t="shared" si="44"/>
        <v>0</v>
      </c>
      <c r="AV105" s="105">
        <f t="shared" si="45"/>
        <v>0</v>
      </c>
      <c r="AW105" s="105">
        <f t="shared" si="46"/>
        <v>0</v>
      </c>
      <c r="AX105" s="108">
        <f t="shared" si="75"/>
        <v>0</v>
      </c>
      <c r="AY105" s="108">
        <f t="shared" si="64"/>
        <v>0</v>
      </c>
      <c r="AZ105" s="22">
        <f t="shared" si="57"/>
        <v>48268</v>
      </c>
      <c r="BA105" s="108">
        <f t="shared" si="57"/>
        <v>0</v>
      </c>
      <c r="BB105" s="2" t="e">
        <f t="shared" si="82"/>
        <v>#VALUE!</v>
      </c>
    </row>
    <row r="106" spans="1:1207" ht="12" x14ac:dyDescent="0.25">
      <c r="E106" s="114">
        <f t="shared" si="72"/>
        <v>98</v>
      </c>
      <c r="F106" s="111">
        <f t="shared" si="65"/>
        <v>48297</v>
      </c>
      <c r="G106" s="24">
        <f t="shared" si="58"/>
        <v>0</v>
      </c>
      <c r="H106" s="24">
        <f t="shared" si="59"/>
        <v>0</v>
      </c>
      <c r="I106" s="24">
        <f t="shared" si="70"/>
        <v>146299.1</v>
      </c>
      <c r="J106" s="24">
        <f t="shared" si="55"/>
        <v>0</v>
      </c>
      <c r="K106" s="24">
        <f t="shared" si="60"/>
        <v>0</v>
      </c>
      <c r="L106" s="24">
        <f t="shared" si="66"/>
        <v>0</v>
      </c>
      <c r="M106" s="24">
        <f t="shared" si="78"/>
        <v>0</v>
      </c>
      <c r="N106" s="24">
        <f t="shared" si="79"/>
        <v>0</v>
      </c>
      <c r="O106" s="24">
        <f t="shared" si="67"/>
        <v>0</v>
      </c>
      <c r="P106" s="24">
        <f t="shared" si="68"/>
        <v>0</v>
      </c>
      <c r="Q106" s="24">
        <f t="shared" si="61"/>
        <v>0</v>
      </c>
      <c r="R106" s="36">
        <f t="shared" si="76"/>
        <v>0</v>
      </c>
      <c r="S106" s="36">
        <f t="shared" si="69"/>
        <v>0</v>
      </c>
      <c r="T106" s="2">
        <f t="shared" si="47"/>
        <v>0</v>
      </c>
      <c r="U106" s="34">
        <f t="shared" si="48"/>
        <v>0</v>
      </c>
      <c r="V106" s="57">
        <f t="shared" si="51"/>
        <v>58455</v>
      </c>
      <c r="W106" s="16">
        <f t="shared" si="53"/>
        <v>57</v>
      </c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2">
        <f t="shared" si="81"/>
        <v>0</v>
      </c>
      <c r="AJ106" s="34">
        <f t="shared" si="80"/>
        <v>0</v>
      </c>
      <c r="AK106" s="57">
        <f t="shared" si="52"/>
        <v>58455</v>
      </c>
      <c r="AL106" s="130">
        <f t="shared" si="71"/>
        <v>0</v>
      </c>
      <c r="AM106" s="109">
        <f t="shared" si="74"/>
        <v>98</v>
      </c>
      <c r="AN106" s="110">
        <f t="shared" si="62"/>
        <v>48297</v>
      </c>
      <c r="AO106" s="105">
        <f t="shared" si="83"/>
        <v>0</v>
      </c>
      <c r="AP106" s="105">
        <f t="shared" si="63"/>
        <v>0</v>
      </c>
      <c r="AQ106" s="105">
        <f t="shared" si="41"/>
        <v>0</v>
      </c>
      <c r="AR106" s="105">
        <f t="shared" si="77"/>
        <v>0</v>
      </c>
      <c r="AS106" s="105">
        <f t="shared" si="42"/>
        <v>0</v>
      </c>
      <c r="AT106" s="105">
        <f t="shared" si="43"/>
        <v>0</v>
      </c>
      <c r="AU106" s="105">
        <f t="shared" si="44"/>
        <v>0</v>
      </c>
      <c r="AV106" s="105">
        <f t="shared" si="45"/>
        <v>0</v>
      </c>
      <c r="AW106" s="105">
        <f t="shared" si="46"/>
        <v>0</v>
      </c>
      <c r="AX106" s="108">
        <f t="shared" si="75"/>
        <v>0</v>
      </c>
      <c r="AY106" s="108">
        <f t="shared" si="64"/>
        <v>0</v>
      </c>
      <c r="AZ106" s="22">
        <f t="shared" si="57"/>
        <v>48297</v>
      </c>
      <c r="BA106" s="108">
        <f t="shared" si="57"/>
        <v>0</v>
      </c>
      <c r="BB106" s="2" t="e">
        <f t="shared" si="82"/>
        <v>#VALUE!</v>
      </c>
    </row>
    <row r="107" spans="1:1207" ht="12" x14ac:dyDescent="0.25">
      <c r="E107" s="114">
        <f t="shared" si="72"/>
        <v>99</v>
      </c>
      <c r="F107" s="111">
        <f t="shared" si="65"/>
        <v>48328</v>
      </c>
      <c r="G107" s="24">
        <f t="shared" si="58"/>
        <v>0</v>
      </c>
      <c r="H107" s="24">
        <f t="shared" si="59"/>
        <v>0</v>
      </c>
      <c r="I107" s="24">
        <f t="shared" si="70"/>
        <v>146299.1</v>
      </c>
      <c r="J107" s="24">
        <f t="shared" si="55"/>
        <v>0</v>
      </c>
      <c r="K107" s="24">
        <f t="shared" si="60"/>
        <v>0</v>
      </c>
      <c r="L107" s="24">
        <f t="shared" si="66"/>
        <v>0</v>
      </c>
      <c r="M107" s="24">
        <f t="shared" si="78"/>
        <v>0</v>
      </c>
      <c r="N107" s="24">
        <f t="shared" si="79"/>
        <v>0</v>
      </c>
      <c r="O107" s="24">
        <f t="shared" si="67"/>
        <v>0</v>
      </c>
      <c r="P107" s="24">
        <f t="shared" si="68"/>
        <v>0</v>
      </c>
      <c r="Q107" s="24">
        <f t="shared" si="61"/>
        <v>0</v>
      </c>
      <c r="R107" s="36">
        <f t="shared" si="76"/>
        <v>0</v>
      </c>
      <c r="S107" s="36">
        <f t="shared" si="69"/>
        <v>0</v>
      </c>
      <c r="T107" s="2">
        <f t="shared" si="47"/>
        <v>0</v>
      </c>
      <c r="U107" s="34">
        <f t="shared" si="48"/>
        <v>0</v>
      </c>
      <c r="V107" s="57">
        <f t="shared" si="51"/>
        <v>58455</v>
      </c>
      <c r="W107" s="16">
        <f t="shared" si="53"/>
        <v>58</v>
      </c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2">
        <f t="shared" si="81"/>
        <v>0</v>
      </c>
      <c r="AJ107" s="34">
        <f t="shared" si="80"/>
        <v>0</v>
      </c>
      <c r="AK107" s="57">
        <f t="shared" si="52"/>
        <v>58455</v>
      </c>
      <c r="AL107" s="130">
        <f t="shared" si="71"/>
        <v>0</v>
      </c>
      <c r="AM107" s="109">
        <f t="shared" si="74"/>
        <v>99</v>
      </c>
      <c r="AN107" s="110">
        <f t="shared" si="62"/>
        <v>48328</v>
      </c>
      <c r="AO107" s="105">
        <f t="shared" si="83"/>
        <v>0</v>
      </c>
      <c r="AP107" s="105">
        <f t="shared" si="63"/>
        <v>0</v>
      </c>
      <c r="AQ107" s="105">
        <f t="shared" si="41"/>
        <v>0</v>
      </c>
      <c r="AR107" s="105">
        <f t="shared" si="77"/>
        <v>0</v>
      </c>
      <c r="AS107" s="105">
        <f t="shared" si="42"/>
        <v>0</v>
      </c>
      <c r="AT107" s="105">
        <f t="shared" si="43"/>
        <v>0</v>
      </c>
      <c r="AU107" s="105">
        <f t="shared" si="44"/>
        <v>0</v>
      </c>
      <c r="AV107" s="105">
        <f t="shared" si="45"/>
        <v>0</v>
      </c>
      <c r="AW107" s="105">
        <f t="shared" si="46"/>
        <v>0</v>
      </c>
      <c r="AX107" s="108">
        <f t="shared" si="75"/>
        <v>0</v>
      </c>
      <c r="AY107" s="108">
        <f t="shared" si="64"/>
        <v>0</v>
      </c>
      <c r="AZ107" s="22">
        <f t="shared" si="57"/>
        <v>48328</v>
      </c>
      <c r="BA107" s="108">
        <f t="shared" si="57"/>
        <v>0</v>
      </c>
      <c r="BB107" s="2" t="e">
        <f t="shared" si="82"/>
        <v>#VALUE!</v>
      </c>
    </row>
    <row r="108" spans="1:1207" ht="12" x14ac:dyDescent="0.25">
      <c r="E108" s="114">
        <f t="shared" si="72"/>
        <v>100</v>
      </c>
      <c r="F108" s="111">
        <f t="shared" si="65"/>
        <v>48358</v>
      </c>
      <c r="G108" s="24">
        <f t="shared" si="58"/>
        <v>0</v>
      </c>
      <c r="H108" s="24">
        <f t="shared" si="59"/>
        <v>0</v>
      </c>
      <c r="I108" s="24">
        <f t="shared" si="70"/>
        <v>146299.1</v>
      </c>
      <c r="J108" s="24">
        <f t="shared" si="55"/>
        <v>0</v>
      </c>
      <c r="K108" s="24">
        <f t="shared" si="60"/>
        <v>0</v>
      </c>
      <c r="L108" s="24">
        <f t="shared" si="66"/>
        <v>0</v>
      </c>
      <c r="M108" s="24">
        <f t="shared" si="78"/>
        <v>0</v>
      </c>
      <c r="N108" s="24">
        <f t="shared" si="79"/>
        <v>0</v>
      </c>
      <c r="O108" s="24">
        <f t="shared" si="67"/>
        <v>0</v>
      </c>
      <c r="P108" s="24">
        <f t="shared" si="68"/>
        <v>0</v>
      </c>
      <c r="Q108" s="24">
        <f t="shared" si="61"/>
        <v>0</v>
      </c>
      <c r="R108" s="36">
        <f t="shared" si="76"/>
        <v>0</v>
      </c>
      <c r="S108" s="36">
        <f t="shared" si="69"/>
        <v>0</v>
      </c>
      <c r="T108" s="2">
        <f t="shared" si="47"/>
        <v>0</v>
      </c>
      <c r="U108" s="34">
        <f t="shared" si="48"/>
        <v>0</v>
      </c>
      <c r="V108" s="57">
        <f t="shared" si="51"/>
        <v>58455</v>
      </c>
      <c r="W108" s="16">
        <f t="shared" si="53"/>
        <v>59</v>
      </c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2">
        <f t="shared" si="81"/>
        <v>0</v>
      </c>
      <c r="AJ108" s="34">
        <f t="shared" si="80"/>
        <v>0</v>
      </c>
      <c r="AK108" s="57">
        <f t="shared" si="52"/>
        <v>58455</v>
      </c>
      <c r="AL108" s="130">
        <f t="shared" si="71"/>
        <v>0</v>
      </c>
      <c r="AM108" s="109">
        <f t="shared" si="74"/>
        <v>100</v>
      </c>
      <c r="AN108" s="110">
        <f t="shared" si="62"/>
        <v>48358</v>
      </c>
      <c r="AO108" s="105">
        <f t="shared" si="83"/>
        <v>0</v>
      </c>
      <c r="AP108" s="105">
        <f t="shared" si="63"/>
        <v>0</v>
      </c>
      <c r="AQ108" s="105">
        <f t="shared" si="41"/>
        <v>0</v>
      </c>
      <c r="AR108" s="105">
        <f t="shared" si="77"/>
        <v>0</v>
      </c>
      <c r="AS108" s="105">
        <f t="shared" si="42"/>
        <v>0</v>
      </c>
      <c r="AT108" s="105">
        <f t="shared" si="43"/>
        <v>0</v>
      </c>
      <c r="AU108" s="105">
        <f t="shared" si="44"/>
        <v>0</v>
      </c>
      <c r="AV108" s="105">
        <f t="shared" si="45"/>
        <v>0</v>
      </c>
      <c r="AW108" s="105">
        <f t="shared" si="46"/>
        <v>0</v>
      </c>
      <c r="AX108" s="108">
        <f t="shared" si="75"/>
        <v>0</v>
      </c>
      <c r="AY108" s="108">
        <f t="shared" si="64"/>
        <v>0</v>
      </c>
      <c r="AZ108" s="22">
        <f t="shared" ref="AZ108:BA110" si="84">F158</f>
        <v>49880</v>
      </c>
      <c r="BA108" s="108">
        <f t="shared" si="84"/>
        <v>0</v>
      </c>
      <c r="BB108" s="2" t="e">
        <f t="shared" si="82"/>
        <v>#VALUE!</v>
      </c>
    </row>
    <row r="109" spans="1:1207" ht="12" x14ac:dyDescent="0.25">
      <c r="E109" s="114">
        <f t="shared" si="72"/>
        <v>101</v>
      </c>
      <c r="F109" s="111">
        <f t="shared" si="65"/>
        <v>48389</v>
      </c>
      <c r="G109" s="24">
        <f t="shared" si="58"/>
        <v>0</v>
      </c>
      <c r="H109" s="24">
        <f t="shared" si="59"/>
        <v>0</v>
      </c>
      <c r="I109" s="24">
        <f t="shared" si="70"/>
        <v>146299.1</v>
      </c>
      <c r="J109" s="24">
        <f t="shared" si="55"/>
        <v>0</v>
      </c>
      <c r="K109" s="24">
        <f t="shared" si="60"/>
        <v>0</v>
      </c>
      <c r="L109" s="24">
        <f t="shared" si="66"/>
        <v>0</v>
      </c>
      <c r="M109" s="24">
        <f t="shared" si="78"/>
        <v>0</v>
      </c>
      <c r="N109" s="24">
        <f t="shared" si="79"/>
        <v>0</v>
      </c>
      <c r="O109" s="24">
        <f t="shared" si="67"/>
        <v>0</v>
      </c>
      <c r="P109" s="24">
        <f t="shared" si="68"/>
        <v>0</v>
      </c>
      <c r="Q109" s="24">
        <f t="shared" si="61"/>
        <v>0</v>
      </c>
      <c r="R109" s="36">
        <f t="shared" si="76"/>
        <v>0</v>
      </c>
      <c r="S109" s="36">
        <f t="shared" si="69"/>
        <v>0</v>
      </c>
      <c r="T109" s="2">
        <f t="shared" si="47"/>
        <v>0</v>
      </c>
      <c r="U109" s="34">
        <f>IF(U108&lt;0,0,IF(T109=0,IF(T108=0,0,$U$46),G68)-IF(AND(T109&gt;0,T110=0),$C$26,0))</f>
        <v>0</v>
      </c>
      <c r="V109" s="57">
        <f t="shared" si="51"/>
        <v>58455</v>
      </c>
      <c r="W109" s="16">
        <f t="shared" si="53"/>
        <v>60</v>
      </c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2">
        <f t="shared" si="81"/>
        <v>0</v>
      </c>
      <c r="AJ109" s="34">
        <f>IF(AI109=0,IF(AI108=0,0,$AJ$46),AO69)</f>
        <v>0</v>
      </c>
      <c r="AK109" s="57">
        <f>IF(AI109=0,AK108,AK108+365)</f>
        <v>58455</v>
      </c>
      <c r="AL109" s="130">
        <f t="shared" si="71"/>
        <v>0</v>
      </c>
      <c r="AM109" s="109">
        <f t="shared" si="74"/>
        <v>101</v>
      </c>
      <c r="AN109" s="110">
        <f t="shared" si="62"/>
        <v>48389</v>
      </c>
      <c r="AO109" s="105">
        <f t="shared" si="83"/>
        <v>0</v>
      </c>
      <c r="AP109" s="105">
        <f t="shared" si="63"/>
        <v>0</v>
      </c>
      <c r="AQ109" s="105">
        <f t="shared" si="41"/>
        <v>0</v>
      </c>
      <c r="AR109" s="105">
        <f t="shared" si="77"/>
        <v>0</v>
      </c>
      <c r="AS109" s="105">
        <f t="shared" si="42"/>
        <v>0</v>
      </c>
      <c r="AT109" s="105">
        <f t="shared" si="43"/>
        <v>0</v>
      </c>
      <c r="AU109" s="105">
        <f t="shared" si="44"/>
        <v>0</v>
      </c>
      <c r="AV109" s="105">
        <f t="shared" si="45"/>
        <v>0</v>
      </c>
      <c r="AW109" s="105">
        <f t="shared" si="46"/>
        <v>0</v>
      </c>
      <c r="AX109" s="108">
        <f t="shared" si="75"/>
        <v>0</v>
      </c>
      <c r="AY109" s="108">
        <f t="shared" si="64"/>
        <v>0</v>
      </c>
      <c r="AZ109" s="22">
        <f t="shared" si="84"/>
        <v>49911</v>
      </c>
      <c r="BA109" s="108">
        <f t="shared" si="84"/>
        <v>0</v>
      </c>
      <c r="BB109" s="2" t="e">
        <f t="shared" si="82"/>
        <v>#VALUE!</v>
      </c>
    </row>
    <row r="110" spans="1:1207" ht="12" x14ac:dyDescent="0.25">
      <c r="E110" s="114">
        <f t="shared" si="72"/>
        <v>102</v>
      </c>
      <c r="F110" s="111">
        <f t="shared" si="65"/>
        <v>48419</v>
      </c>
      <c r="G110" s="24">
        <f t="shared" si="58"/>
        <v>0</v>
      </c>
      <c r="H110" s="24">
        <f t="shared" si="59"/>
        <v>0</v>
      </c>
      <c r="I110" s="24">
        <f t="shared" si="70"/>
        <v>146299.1</v>
      </c>
      <c r="J110" s="24">
        <f t="shared" si="55"/>
        <v>0</v>
      </c>
      <c r="K110" s="24">
        <f t="shared" si="60"/>
        <v>0</v>
      </c>
      <c r="L110" s="24">
        <f t="shared" si="66"/>
        <v>0</v>
      </c>
      <c r="M110" s="24">
        <f t="shared" si="78"/>
        <v>0</v>
      </c>
      <c r="N110" s="24">
        <f t="shared" si="79"/>
        <v>0</v>
      </c>
      <c r="O110" s="24">
        <f t="shared" si="67"/>
        <v>0</v>
      </c>
      <c r="P110" s="24">
        <f t="shared" si="68"/>
        <v>0</v>
      </c>
      <c r="Q110" s="24">
        <f t="shared" si="61"/>
        <v>0</v>
      </c>
      <c r="R110" s="36">
        <f t="shared" si="76"/>
        <v>0</v>
      </c>
      <c r="S110" s="36">
        <f t="shared" si="69"/>
        <v>0</v>
      </c>
      <c r="T110" s="2">
        <f t="shared" si="47"/>
        <v>0</v>
      </c>
      <c r="U110" s="34">
        <f>IF(U109&lt;0,0,IF(T110=0,IF(T109=0,0,$U$46),G69)-IF(AND(T110&gt;0,T111=0),$C$26,0))</f>
        <v>0</v>
      </c>
      <c r="V110" s="57">
        <f t="shared" si="51"/>
        <v>58455</v>
      </c>
      <c r="W110" s="16">
        <f t="shared" si="53"/>
        <v>61</v>
      </c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2">
        <f t="shared" si="81"/>
        <v>0</v>
      </c>
      <c r="AJ110" s="34">
        <f>IF(AI110=0,IF(AI109=0,0,$AJ$46),AO70)</f>
        <v>0</v>
      </c>
      <c r="AK110" s="57">
        <f>IF(AI110=0,AK109,AK109+365)</f>
        <v>58455</v>
      </c>
      <c r="AL110" s="130"/>
      <c r="AM110" s="109">
        <f t="shared" si="74"/>
        <v>102</v>
      </c>
      <c r="AN110" s="110">
        <f t="shared" si="62"/>
        <v>48419</v>
      </c>
      <c r="AO110" s="105">
        <f t="shared" si="83"/>
        <v>0</v>
      </c>
      <c r="AP110" s="105">
        <f t="shared" si="63"/>
        <v>0</v>
      </c>
      <c r="AQ110" s="105">
        <f t="shared" si="41"/>
        <v>0</v>
      </c>
      <c r="AR110" s="105">
        <f t="shared" si="77"/>
        <v>0</v>
      </c>
      <c r="AS110" s="105">
        <f t="shared" si="42"/>
        <v>0</v>
      </c>
      <c r="AT110" s="105">
        <f t="shared" si="43"/>
        <v>0</v>
      </c>
      <c r="AU110" s="105">
        <f t="shared" si="44"/>
        <v>0</v>
      </c>
      <c r="AV110" s="105">
        <f t="shared" si="45"/>
        <v>0</v>
      </c>
      <c r="AW110" s="105">
        <f t="shared" si="46"/>
        <v>0</v>
      </c>
      <c r="AX110" s="108">
        <f t="shared" si="75"/>
        <v>0</v>
      </c>
      <c r="AY110" s="108">
        <f t="shared" si="64"/>
        <v>0</v>
      </c>
      <c r="AZ110" s="22">
        <f t="shared" si="84"/>
        <v>45315</v>
      </c>
      <c r="BA110" s="108">
        <f t="shared" si="84"/>
        <v>449798.10000000003</v>
      </c>
      <c r="BB110" s="2" t="e">
        <f t="shared" si="82"/>
        <v>#VALUE!</v>
      </c>
    </row>
    <row r="111" spans="1:1207" ht="12" x14ac:dyDescent="0.25">
      <c r="E111" s="114">
        <f t="shared" si="72"/>
        <v>103</v>
      </c>
      <c r="F111" s="111">
        <f t="shared" si="65"/>
        <v>48450</v>
      </c>
      <c r="G111" s="24">
        <f t="shared" si="58"/>
        <v>0</v>
      </c>
      <c r="H111" s="24">
        <f t="shared" si="59"/>
        <v>0</v>
      </c>
      <c r="I111" s="24">
        <f t="shared" si="70"/>
        <v>146299.1</v>
      </c>
      <c r="J111" s="24">
        <f t="shared" si="55"/>
        <v>0</v>
      </c>
      <c r="K111" s="24">
        <f t="shared" si="60"/>
        <v>0</v>
      </c>
      <c r="L111" s="24">
        <f t="shared" si="66"/>
        <v>0</v>
      </c>
      <c r="M111" s="24">
        <f t="shared" si="78"/>
        <v>0</v>
      </c>
      <c r="N111" s="24">
        <f t="shared" si="79"/>
        <v>0</v>
      </c>
      <c r="O111" s="24">
        <f t="shared" si="67"/>
        <v>0</v>
      </c>
      <c r="P111" s="24">
        <f t="shared" si="68"/>
        <v>0</v>
      </c>
      <c r="Q111" s="24">
        <f t="shared" si="61"/>
        <v>0</v>
      </c>
      <c r="R111" s="36">
        <f t="shared" si="76"/>
        <v>0</v>
      </c>
      <c r="S111" s="36">
        <f t="shared" si="69"/>
        <v>0</v>
      </c>
      <c r="T111" s="2">
        <f t="shared" si="47"/>
        <v>0</v>
      </c>
      <c r="U111" s="34">
        <f t="shared" ref="U111:U174" si="85">IF(U110&lt;0,0,IF(T111=0,IF(T110=0,0,$U$46),G70)-IF(AND(T111&gt;0,T112=0),$C$26,0))</f>
        <v>0</v>
      </c>
      <c r="V111" s="57">
        <f t="shared" si="51"/>
        <v>58455</v>
      </c>
      <c r="W111" s="16">
        <f t="shared" si="53"/>
        <v>62</v>
      </c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2">
        <f t="shared" si="81"/>
        <v>0</v>
      </c>
      <c r="AJ111" s="34">
        <f t="shared" ref="AJ111:AJ149" si="86">IF(AI111=0,IF(AI110=0,0,$AJ$46),AO71)</f>
        <v>0</v>
      </c>
      <c r="AK111" s="57">
        <f t="shared" ref="AK111:AK149" si="87">IF(AI111=0,AK110,AK110+365)</f>
        <v>58455</v>
      </c>
      <c r="AL111" s="130"/>
      <c r="AM111" s="109">
        <f t="shared" si="74"/>
        <v>103</v>
      </c>
      <c r="AN111" s="110">
        <f t="shared" si="62"/>
        <v>48450</v>
      </c>
      <c r="AO111" s="105">
        <f t="shared" si="83"/>
        <v>0</v>
      </c>
      <c r="AP111" s="105">
        <f t="shared" si="63"/>
        <v>0</v>
      </c>
      <c r="AQ111" s="105">
        <f t="shared" si="41"/>
        <v>0</v>
      </c>
      <c r="AR111" s="105">
        <f t="shared" si="77"/>
        <v>0</v>
      </c>
      <c r="AS111" s="105">
        <f t="shared" si="42"/>
        <v>0</v>
      </c>
      <c r="AT111" s="105">
        <f t="shared" si="43"/>
        <v>0</v>
      </c>
      <c r="AU111" s="105">
        <f t="shared" si="44"/>
        <v>0</v>
      </c>
      <c r="AV111" s="105">
        <f t="shared" si="45"/>
        <v>0</v>
      </c>
      <c r="AW111" s="105">
        <f t="shared" si="46"/>
        <v>0</v>
      </c>
      <c r="AX111" s="108">
        <f t="shared" si="75"/>
        <v>0</v>
      </c>
      <c r="AY111" s="108">
        <f t="shared" si="64"/>
        <v>0</v>
      </c>
      <c r="AZ111" s="22"/>
      <c r="BA111" s="108">
        <f>G161</f>
        <v>0</v>
      </c>
      <c r="BB111" s="2" t="e">
        <f t="shared" si="82"/>
        <v>#VALUE!</v>
      </c>
    </row>
    <row r="112" spans="1:1207" ht="12" x14ac:dyDescent="0.25">
      <c r="E112" s="114">
        <f t="shared" si="72"/>
        <v>104</v>
      </c>
      <c r="F112" s="111">
        <f t="shared" si="65"/>
        <v>48481</v>
      </c>
      <c r="G112" s="24">
        <f t="shared" si="58"/>
        <v>0</v>
      </c>
      <c r="H112" s="24">
        <f t="shared" si="59"/>
        <v>0</v>
      </c>
      <c r="I112" s="24">
        <f t="shared" si="70"/>
        <v>146299.1</v>
      </c>
      <c r="J112" s="24">
        <f t="shared" si="55"/>
        <v>0</v>
      </c>
      <c r="K112" s="24">
        <f t="shared" si="60"/>
        <v>0</v>
      </c>
      <c r="L112" s="24">
        <f t="shared" si="66"/>
        <v>0</v>
      </c>
      <c r="M112" s="24">
        <f t="shared" si="78"/>
        <v>0</v>
      </c>
      <c r="N112" s="24">
        <f t="shared" si="79"/>
        <v>0</v>
      </c>
      <c r="O112" s="24">
        <f t="shared" si="67"/>
        <v>0</v>
      </c>
      <c r="P112" s="24">
        <f t="shared" si="68"/>
        <v>0</v>
      </c>
      <c r="Q112" s="24">
        <f t="shared" si="61"/>
        <v>0</v>
      </c>
      <c r="R112" s="36">
        <f t="shared" si="76"/>
        <v>0</v>
      </c>
      <c r="S112" s="36">
        <f t="shared" si="69"/>
        <v>0</v>
      </c>
      <c r="T112" s="2">
        <f t="shared" si="47"/>
        <v>0</v>
      </c>
      <c r="U112" s="34">
        <f t="shared" si="85"/>
        <v>0</v>
      </c>
      <c r="V112" s="57">
        <f t="shared" si="51"/>
        <v>58455</v>
      </c>
      <c r="W112" s="16">
        <f t="shared" si="53"/>
        <v>63</v>
      </c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2">
        <f t="shared" si="81"/>
        <v>0</v>
      </c>
      <c r="AJ112" s="34">
        <f t="shared" si="86"/>
        <v>0</v>
      </c>
      <c r="AK112" s="57">
        <f t="shared" si="87"/>
        <v>58455</v>
      </c>
      <c r="AL112" s="130"/>
      <c r="AM112" s="109">
        <f t="shared" si="74"/>
        <v>104</v>
      </c>
      <c r="AN112" s="110">
        <f t="shared" si="62"/>
        <v>48481</v>
      </c>
      <c r="AO112" s="105">
        <f t="shared" si="83"/>
        <v>0</v>
      </c>
      <c r="AP112" s="105">
        <f t="shared" si="63"/>
        <v>0</v>
      </c>
      <c r="AQ112" s="105">
        <f t="shared" ref="AQ112:AQ129" si="88">IF(AY112=0,0,IF(AY112=1,AW111,IF(AW111+AR112+AP112&gt;AO111,AO112-AP112-AR112,AW111)))</f>
        <v>0</v>
      </c>
      <c r="AR112" s="105">
        <f t="shared" si="77"/>
        <v>0</v>
      </c>
      <c r="AS112" s="105">
        <f t="shared" ref="AS112:AS129" si="89">AU111-AR111</f>
        <v>0</v>
      </c>
      <c r="AT112" s="105">
        <f t="shared" ref="AT112:AT129" si="90">AP112+AU112</f>
        <v>0</v>
      </c>
      <c r="AU112" s="105">
        <f t="shared" ref="AU112:AU129" si="91">IF(AY112=0,0,0)</f>
        <v>0</v>
      </c>
      <c r="AV112" s="105">
        <f t="shared" ref="AV112:AV129" si="92">IF(AY112=0,0,0)</f>
        <v>0</v>
      </c>
      <c r="AW112" s="105">
        <f t="shared" ref="AW112:AW129" si="93">IF(OR(AY112=1,AW111=0),0,AW111-AQ112)</f>
        <v>0</v>
      </c>
      <c r="AX112" s="108">
        <f t="shared" si="75"/>
        <v>0</v>
      </c>
      <c r="AY112" s="108">
        <f t="shared" si="64"/>
        <v>0</v>
      </c>
      <c r="AZ112" s="22"/>
      <c r="BA112" s="108">
        <f>G162</f>
        <v>0</v>
      </c>
      <c r="BB112" s="2" t="e">
        <f t="shared" si="82"/>
        <v>#VALUE!</v>
      </c>
    </row>
    <row r="113" spans="5:54" ht="12" x14ac:dyDescent="0.25">
      <c r="E113" s="114">
        <f t="shared" si="72"/>
        <v>105</v>
      </c>
      <c r="F113" s="111">
        <f t="shared" si="65"/>
        <v>48511</v>
      </c>
      <c r="G113" s="24">
        <f t="shared" si="58"/>
        <v>0</v>
      </c>
      <c r="H113" s="24">
        <f t="shared" si="59"/>
        <v>0</v>
      </c>
      <c r="I113" s="24">
        <f t="shared" si="70"/>
        <v>146299.1</v>
      </c>
      <c r="J113" s="24">
        <f t="shared" si="55"/>
        <v>0</v>
      </c>
      <c r="K113" s="24">
        <f t="shared" si="60"/>
        <v>0</v>
      </c>
      <c r="L113" s="24">
        <f t="shared" si="66"/>
        <v>0</v>
      </c>
      <c r="M113" s="24">
        <f t="shared" si="78"/>
        <v>0</v>
      </c>
      <c r="N113" s="24">
        <f t="shared" si="79"/>
        <v>0</v>
      </c>
      <c r="O113" s="24">
        <f t="shared" si="67"/>
        <v>0</v>
      </c>
      <c r="P113" s="24">
        <f t="shared" si="68"/>
        <v>0</v>
      </c>
      <c r="Q113" s="24">
        <f t="shared" si="61"/>
        <v>0</v>
      </c>
      <c r="R113" s="36">
        <f t="shared" si="76"/>
        <v>0</v>
      </c>
      <c r="S113" s="36">
        <f t="shared" si="69"/>
        <v>0</v>
      </c>
      <c r="T113" s="2">
        <f t="shared" si="47"/>
        <v>0</v>
      </c>
      <c r="U113" s="34">
        <f t="shared" si="85"/>
        <v>0</v>
      </c>
      <c r="V113" s="57">
        <f t="shared" si="51"/>
        <v>58455</v>
      </c>
      <c r="W113" s="16">
        <f t="shared" si="53"/>
        <v>64</v>
      </c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2">
        <f t="shared" si="81"/>
        <v>0</v>
      </c>
      <c r="AJ113" s="34">
        <f t="shared" si="86"/>
        <v>0</v>
      </c>
      <c r="AK113" s="57">
        <f t="shared" si="87"/>
        <v>58455</v>
      </c>
      <c r="AL113" s="130"/>
      <c r="AM113" s="109">
        <f t="shared" si="74"/>
        <v>105</v>
      </c>
      <c r="AN113" s="110">
        <f t="shared" si="62"/>
        <v>48511</v>
      </c>
      <c r="AO113" s="105">
        <f t="shared" si="83"/>
        <v>0</v>
      </c>
      <c r="AP113" s="105">
        <f t="shared" si="63"/>
        <v>0</v>
      </c>
      <c r="AQ113" s="105">
        <f t="shared" si="88"/>
        <v>0</v>
      </c>
      <c r="AR113" s="105">
        <f t="shared" si="77"/>
        <v>0</v>
      </c>
      <c r="AS113" s="105">
        <f t="shared" si="89"/>
        <v>0</v>
      </c>
      <c r="AT113" s="105">
        <f t="shared" si="90"/>
        <v>0</v>
      </c>
      <c r="AU113" s="105">
        <f t="shared" si="91"/>
        <v>0</v>
      </c>
      <c r="AV113" s="105">
        <f t="shared" si="92"/>
        <v>0</v>
      </c>
      <c r="AW113" s="105">
        <f t="shared" si="93"/>
        <v>0</v>
      </c>
      <c r="AX113" s="108">
        <f t="shared" si="75"/>
        <v>0</v>
      </c>
      <c r="AY113" s="108">
        <f t="shared" si="64"/>
        <v>0</v>
      </c>
      <c r="AZ113" s="22"/>
      <c r="BA113" s="108">
        <f>G163</f>
        <v>0</v>
      </c>
      <c r="BB113" s="2" t="e">
        <f t="shared" si="82"/>
        <v>#VALUE!</v>
      </c>
    </row>
    <row r="114" spans="5:54" ht="12" x14ac:dyDescent="0.25">
      <c r="E114" s="114">
        <f t="shared" si="72"/>
        <v>106</v>
      </c>
      <c r="F114" s="111">
        <f t="shared" si="65"/>
        <v>48542</v>
      </c>
      <c r="G114" s="24">
        <f t="shared" si="58"/>
        <v>0</v>
      </c>
      <c r="H114" s="24">
        <f t="shared" si="59"/>
        <v>0</v>
      </c>
      <c r="I114" s="24">
        <f t="shared" si="70"/>
        <v>146299.1</v>
      </c>
      <c r="J114" s="24">
        <f t="shared" si="55"/>
        <v>0</v>
      </c>
      <c r="K114" s="24">
        <f t="shared" si="60"/>
        <v>0</v>
      </c>
      <c r="L114" s="24">
        <f t="shared" si="66"/>
        <v>0</v>
      </c>
      <c r="M114" s="24">
        <f t="shared" si="78"/>
        <v>0</v>
      </c>
      <c r="N114" s="24">
        <f t="shared" si="79"/>
        <v>0</v>
      </c>
      <c r="O114" s="24">
        <f t="shared" si="67"/>
        <v>0</v>
      </c>
      <c r="P114" s="24">
        <f t="shared" si="68"/>
        <v>0</v>
      </c>
      <c r="Q114" s="24">
        <f t="shared" si="61"/>
        <v>0</v>
      </c>
      <c r="R114" s="36">
        <f t="shared" si="76"/>
        <v>0</v>
      </c>
      <c r="S114" s="36">
        <f t="shared" si="69"/>
        <v>0</v>
      </c>
      <c r="T114" s="2">
        <f t="shared" ref="T114:T177" si="94">IF(AND(E73&gt;=$T$14,E73&lt;=$T$14+5),0,IF($C$9&gt;$AC$52,ROUND(Q72*$T$46/(DATEVALUE(CONCATENATE("01/01/",YEAR(F73)+1))-DATEVALUE(CONCATENATE("01/01/",YEAR(F73))))*(F73-F72),2),0))</f>
        <v>0</v>
      </c>
      <c r="U114" s="34">
        <f t="shared" si="85"/>
        <v>0</v>
      </c>
      <c r="V114" s="57">
        <f t="shared" si="51"/>
        <v>58455</v>
      </c>
      <c r="W114" s="16">
        <f t="shared" si="53"/>
        <v>65</v>
      </c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2">
        <f t="shared" si="81"/>
        <v>0</v>
      </c>
      <c r="AJ114" s="34">
        <f t="shared" si="86"/>
        <v>0</v>
      </c>
      <c r="AK114" s="57">
        <f t="shared" si="87"/>
        <v>58455</v>
      </c>
      <c r="AL114" s="130"/>
      <c r="AM114" s="109">
        <f t="shared" si="74"/>
        <v>106</v>
      </c>
      <c r="AN114" s="110">
        <f t="shared" si="62"/>
        <v>48542</v>
      </c>
      <c r="AO114" s="105">
        <f t="shared" si="83"/>
        <v>0</v>
      </c>
      <c r="AP114" s="105">
        <f t="shared" si="63"/>
        <v>0</v>
      </c>
      <c r="AQ114" s="105">
        <f t="shared" si="88"/>
        <v>0</v>
      </c>
      <c r="AR114" s="105">
        <f t="shared" si="77"/>
        <v>0</v>
      </c>
      <c r="AS114" s="105">
        <f t="shared" si="89"/>
        <v>0</v>
      </c>
      <c r="AT114" s="105">
        <f t="shared" si="90"/>
        <v>0</v>
      </c>
      <c r="AU114" s="105">
        <f t="shared" si="91"/>
        <v>0</v>
      </c>
      <c r="AV114" s="105">
        <f t="shared" si="92"/>
        <v>0</v>
      </c>
      <c r="AW114" s="105">
        <f t="shared" si="93"/>
        <v>0</v>
      </c>
      <c r="AX114" s="108">
        <f t="shared" si="75"/>
        <v>0</v>
      </c>
      <c r="AY114" s="108">
        <f t="shared" si="64"/>
        <v>0</v>
      </c>
      <c r="AZ114" s="22"/>
      <c r="BA114" s="108">
        <f>G164</f>
        <v>0</v>
      </c>
      <c r="BB114" s="2" t="e">
        <f t="shared" si="82"/>
        <v>#VALUE!</v>
      </c>
    </row>
    <row r="115" spans="5:54" ht="12" x14ac:dyDescent="0.25">
      <c r="E115" s="114">
        <f t="shared" si="72"/>
        <v>107</v>
      </c>
      <c r="F115" s="111">
        <f t="shared" si="65"/>
        <v>48572</v>
      </c>
      <c r="G115" s="24">
        <f t="shared" si="58"/>
        <v>0</v>
      </c>
      <c r="H115" s="24">
        <f t="shared" si="59"/>
        <v>0</v>
      </c>
      <c r="I115" s="24">
        <f t="shared" si="70"/>
        <v>146299.1</v>
      </c>
      <c r="J115" s="24">
        <f t="shared" si="55"/>
        <v>0</v>
      </c>
      <c r="K115" s="24">
        <f t="shared" si="60"/>
        <v>0</v>
      </c>
      <c r="L115" s="24">
        <f t="shared" si="66"/>
        <v>0</v>
      </c>
      <c r="M115" s="24">
        <f t="shared" si="78"/>
        <v>0</v>
      </c>
      <c r="N115" s="24">
        <f t="shared" si="79"/>
        <v>0</v>
      </c>
      <c r="O115" s="24">
        <f t="shared" si="67"/>
        <v>0</v>
      </c>
      <c r="P115" s="24">
        <f t="shared" si="68"/>
        <v>0</v>
      </c>
      <c r="Q115" s="24">
        <f t="shared" si="61"/>
        <v>0</v>
      </c>
      <c r="R115" s="36">
        <f t="shared" si="76"/>
        <v>0</v>
      </c>
      <c r="S115" s="36">
        <f t="shared" si="69"/>
        <v>0</v>
      </c>
      <c r="T115" s="2">
        <f t="shared" si="94"/>
        <v>0</v>
      </c>
      <c r="U115" s="34">
        <f t="shared" si="85"/>
        <v>0</v>
      </c>
      <c r="V115" s="57">
        <f t="shared" ref="V115:V178" si="95">IF(T115=0,V114,V114+365)</f>
        <v>58455</v>
      </c>
      <c r="W115" s="16">
        <f t="shared" si="53"/>
        <v>66</v>
      </c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2">
        <f t="shared" si="81"/>
        <v>0</v>
      </c>
      <c r="AJ115" s="34">
        <f t="shared" si="86"/>
        <v>0</v>
      </c>
      <c r="AK115" s="57">
        <f t="shared" si="87"/>
        <v>58455</v>
      </c>
      <c r="AL115" s="130"/>
      <c r="AM115" s="109">
        <f t="shared" si="74"/>
        <v>107</v>
      </c>
      <c r="AN115" s="110">
        <f t="shared" si="62"/>
        <v>48572</v>
      </c>
      <c r="AO115" s="105">
        <f t="shared" si="83"/>
        <v>0</v>
      </c>
      <c r="AP115" s="105">
        <f t="shared" si="63"/>
        <v>0</v>
      </c>
      <c r="AQ115" s="105">
        <f t="shared" si="88"/>
        <v>0</v>
      </c>
      <c r="AR115" s="105">
        <f t="shared" si="77"/>
        <v>0</v>
      </c>
      <c r="AS115" s="105">
        <f t="shared" si="89"/>
        <v>0</v>
      </c>
      <c r="AT115" s="105">
        <f t="shared" si="90"/>
        <v>0</v>
      </c>
      <c r="AU115" s="105">
        <f t="shared" si="91"/>
        <v>0</v>
      </c>
      <c r="AV115" s="105">
        <f t="shared" si="92"/>
        <v>0</v>
      </c>
      <c r="AW115" s="105">
        <f t="shared" si="93"/>
        <v>0</v>
      </c>
      <c r="AX115" s="108">
        <f t="shared" si="75"/>
        <v>0</v>
      </c>
      <c r="AY115" s="108">
        <f t="shared" si="64"/>
        <v>0</v>
      </c>
      <c r="AZ115" s="22"/>
      <c r="BA115" s="108">
        <f>G165</f>
        <v>0</v>
      </c>
      <c r="BB115" s="2" t="e">
        <f t="shared" si="82"/>
        <v>#VALUE!</v>
      </c>
    </row>
    <row r="116" spans="5:54" ht="12" x14ac:dyDescent="0.25">
      <c r="E116" s="114">
        <f t="shared" si="72"/>
        <v>108</v>
      </c>
      <c r="F116" s="111">
        <f t="shared" si="65"/>
        <v>48603</v>
      </c>
      <c r="G116" s="24">
        <f t="shared" si="58"/>
        <v>0</v>
      </c>
      <c r="H116" s="24">
        <f t="shared" si="59"/>
        <v>0</v>
      </c>
      <c r="I116" s="24">
        <f t="shared" si="70"/>
        <v>146299.1</v>
      </c>
      <c r="J116" s="24">
        <f t="shared" si="55"/>
        <v>0</v>
      </c>
      <c r="K116" s="24">
        <f t="shared" si="60"/>
        <v>0</v>
      </c>
      <c r="L116" s="24">
        <f t="shared" si="66"/>
        <v>0</v>
      </c>
      <c r="M116" s="24">
        <f t="shared" si="78"/>
        <v>0</v>
      </c>
      <c r="N116" s="24">
        <f t="shared" si="79"/>
        <v>0</v>
      </c>
      <c r="O116" s="24">
        <f t="shared" si="67"/>
        <v>0</v>
      </c>
      <c r="P116" s="24">
        <f t="shared" si="68"/>
        <v>0</v>
      </c>
      <c r="Q116" s="24">
        <f t="shared" si="61"/>
        <v>0</v>
      </c>
      <c r="R116" s="36">
        <f t="shared" si="76"/>
        <v>0</v>
      </c>
      <c r="S116" s="36">
        <f t="shared" si="69"/>
        <v>0</v>
      </c>
      <c r="T116" s="2">
        <f t="shared" si="94"/>
        <v>0</v>
      </c>
      <c r="U116" s="34">
        <f t="shared" si="85"/>
        <v>0</v>
      </c>
      <c r="V116" s="57">
        <f t="shared" si="95"/>
        <v>58455</v>
      </c>
      <c r="W116" s="16">
        <f>W115+1</f>
        <v>67</v>
      </c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2">
        <f t="shared" si="81"/>
        <v>0</v>
      </c>
      <c r="AJ116" s="34">
        <f t="shared" si="86"/>
        <v>0</v>
      </c>
      <c r="AK116" s="57">
        <f t="shared" si="87"/>
        <v>58455</v>
      </c>
      <c r="AL116" s="130"/>
      <c r="AM116" s="109">
        <f t="shared" si="74"/>
        <v>108</v>
      </c>
      <c r="AN116" s="110">
        <f t="shared" si="62"/>
        <v>48603</v>
      </c>
      <c r="AO116" s="105">
        <f t="shared" si="83"/>
        <v>0</v>
      </c>
      <c r="AP116" s="105">
        <f t="shared" si="63"/>
        <v>0</v>
      </c>
      <c r="AQ116" s="105">
        <f t="shared" si="88"/>
        <v>0</v>
      </c>
      <c r="AR116" s="105">
        <f t="shared" si="77"/>
        <v>0</v>
      </c>
      <c r="AS116" s="105">
        <f t="shared" si="89"/>
        <v>0</v>
      </c>
      <c r="AT116" s="105">
        <f t="shared" si="90"/>
        <v>0</v>
      </c>
      <c r="AU116" s="105">
        <f t="shared" si="91"/>
        <v>0</v>
      </c>
      <c r="AV116" s="105">
        <f t="shared" si="92"/>
        <v>0</v>
      </c>
      <c r="AW116" s="105">
        <f t="shared" si="93"/>
        <v>0</v>
      </c>
      <c r="AX116" s="108">
        <f t="shared" si="75"/>
        <v>0</v>
      </c>
      <c r="AY116" s="108">
        <f t="shared" si="64"/>
        <v>0</v>
      </c>
      <c r="AZ116" s="29" t="s">
        <v>67</v>
      </c>
      <c r="BA116" s="152" t="e">
        <f>XIRR(BA7:BA115,AZ7:AZ115)</f>
        <v>#NUM!</v>
      </c>
      <c r="BB116" s="2" t="e">
        <f t="shared" si="82"/>
        <v>#VALUE!</v>
      </c>
    </row>
    <row r="117" spans="5:54" ht="12" x14ac:dyDescent="0.25">
      <c r="E117" s="114">
        <f t="shared" si="72"/>
        <v>109</v>
      </c>
      <c r="F117" s="111">
        <f t="shared" si="65"/>
        <v>48634</v>
      </c>
      <c r="G117" s="24">
        <f t="shared" si="58"/>
        <v>0</v>
      </c>
      <c r="H117" s="24">
        <f t="shared" si="59"/>
        <v>0</v>
      </c>
      <c r="I117" s="24">
        <f t="shared" si="70"/>
        <v>146299.1</v>
      </c>
      <c r="J117" s="24">
        <f t="shared" si="55"/>
        <v>0</v>
      </c>
      <c r="K117" s="24">
        <f t="shared" si="60"/>
        <v>0</v>
      </c>
      <c r="L117" s="24">
        <f t="shared" si="66"/>
        <v>0</v>
      </c>
      <c r="M117" s="24">
        <f t="shared" si="78"/>
        <v>0</v>
      </c>
      <c r="N117" s="24">
        <f t="shared" si="79"/>
        <v>0</v>
      </c>
      <c r="O117" s="24">
        <f t="shared" si="67"/>
        <v>0</v>
      </c>
      <c r="P117" s="24">
        <f t="shared" si="68"/>
        <v>0</v>
      </c>
      <c r="Q117" s="24">
        <f t="shared" si="61"/>
        <v>0</v>
      </c>
      <c r="R117" s="36">
        <f t="shared" si="76"/>
        <v>0</v>
      </c>
      <c r="S117" s="36">
        <f t="shared" si="69"/>
        <v>0</v>
      </c>
      <c r="T117" s="2">
        <f t="shared" si="94"/>
        <v>0</v>
      </c>
      <c r="U117" s="34">
        <f t="shared" si="85"/>
        <v>0</v>
      </c>
      <c r="V117" s="57">
        <f t="shared" si="95"/>
        <v>58455</v>
      </c>
      <c r="W117" s="16">
        <f>W116+1</f>
        <v>68</v>
      </c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2">
        <f t="shared" si="81"/>
        <v>0</v>
      </c>
      <c r="AJ117" s="34">
        <f t="shared" si="86"/>
        <v>0</v>
      </c>
      <c r="AK117" s="57">
        <f t="shared" si="87"/>
        <v>58455</v>
      </c>
      <c r="AL117" s="130"/>
      <c r="AM117" s="109">
        <f t="shared" si="74"/>
        <v>109</v>
      </c>
      <c r="AN117" s="110">
        <f t="shared" si="62"/>
        <v>48634</v>
      </c>
      <c r="AO117" s="105">
        <f t="shared" si="83"/>
        <v>0</v>
      </c>
      <c r="AP117" s="105">
        <f t="shared" si="63"/>
        <v>0</v>
      </c>
      <c r="AQ117" s="105">
        <f t="shared" si="88"/>
        <v>0</v>
      </c>
      <c r="AR117" s="105">
        <f t="shared" si="77"/>
        <v>0</v>
      </c>
      <c r="AS117" s="105">
        <f t="shared" si="89"/>
        <v>0</v>
      </c>
      <c r="AT117" s="105">
        <f t="shared" si="90"/>
        <v>0</v>
      </c>
      <c r="AU117" s="105">
        <f t="shared" si="91"/>
        <v>0</v>
      </c>
      <c r="AV117" s="105">
        <f t="shared" si="92"/>
        <v>0</v>
      </c>
      <c r="AW117" s="105">
        <f t="shared" si="93"/>
        <v>0</v>
      </c>
      <c r="AX117" s="108">
        <f t="shared" si="75"/>
        <v>0</v>
      </c>
      <c r="AY117" s="108">
        <f t="shared" si="64"/>
        <v>0</v>
      </c>
      <c r="BB117" s="2" t="e">
        <f t="shared" si="82"/>
        <v>#VALUE!</v>
      </c>
    </row>
    <row r="118" spans="5:54" ht="12" x14ac:dyDescent="0.25">
      <c r="E118" s="114">
        <f t="shared" si="72"/>
        <v>110</v>
      </c>
      <c r="F118" s="111">
        <f t="shared" si="65"/>
        <v>48662</v>
      </c>
      <c r="G118" s="24">
        <f t="shared" si="58"/>
        <v>0</v>
      </c>
      <c r="H118" s="24">
        <f t="shared" si="59"/>
        <v>0</v>
      </c>
      <c r="I118" s="24">
        <f t="shared" si="70"/>
        <v>146299.1</v>
      </c>
      <c r="J118" s="24">
        <f t="shared" si="55"/>
        <v>0</v>
      </c>
      <c r="K118" s="24">
        <f t="shared" si="60"/>
        <v>0</v>
      </c>
      <c r="L118" s="24">
        <f t="shared" si="66"/>
        <v>0</v>
      </c>
      <c r="M118" s="24">
        <f t="shared" si="78"/>
        <v>0</v>
      </c>
      <c r="N118" s="24">
        <f t="shared" si="79"/>
        <v>0</v>
      </c>
      <c r="O118" s="24">
        <f t="shared" si="67"/>
        <v>0</v>
      </c>
      <c r="P118" s="24">
        <f t="shared" si="68"/>
        <v>0</v>
      </c>
      <c r="Q118" s="24">
        <f t="shared" si="61"/>
        <v>0</v>
      </c>
      <c r="R118" s="36">
        <f t="shared" si="76"/>
        <v>0</v>
      </c>
      <c r="S118" s="36">
        <f t="shared" si="69"/>
        <v>0</v>
      </c>
      <c r="T118" s="2">
        <f t="shared" si="94"/>
        <v>0</v>
      </c>
      <c r="U118" s="34">
        <f t="shared" si="85"/>
        <v>0</v>
      </c>
      <c r="V118" s="57">
        <f t="shared" si="95"/>
        <v>58455</v>
      </c>
      <c r="W118" s="16">
        <f t="shared" ref="W118:W180" si="96">W117+1</f>
        <v>69</v>
      </c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2">
        <f t="shared" si="81"/>
        <v>0</v>
      </c>
      <c r="AJ118" s="34">
        <f t="shared" si="86"/>
        <v>0</v>
      </c>
      <c r="AK118" s="57">
        <f t="shared" si="87"/>
        <v>58455</v>
      </c>
      <c r="AL118" s="130"/>
      <c r="AM118" s="109">
        <f t="shared" si="74"/>
        <v>110</v>
      </c>
      <c r="AN118" s="110">
        <f t="shared" si="62"/>
        <v>48662</v>
      </c>
      <c r="AO118" s="105">
        <f t="shared" si="83"/>
        <v>0</v>
      </c>
      <c r="AP118" s="105">
        <f t="shared" si="63"/>
        <v>0</v>
      </c>
      <c r="AQ118" s="105">
        <f t="shared" si="88"/>
        <v>0</v>
      </c>
      <c r="AR118" s="105">
        <f t="shared" si="77"/>
        <v>0</v>
      </c>
      <c r="AS118" s="105">
        <f t="shared" si="89"/>
        <v>0</v>
      </c>
      <c r="AT118" s="105">
        <f t="shared" si="90"/>
        <v>0</v>
      </c>
      <c r="AU118" s="105">
        <f t="shared" si="91"/>
        <v>0</v>
      </c>
      <c r="AV118" s="105">
        <f t="shared" si="92"/>
        <v>0</v>
      </c>
      <c r="AW118" s="105">
        <f t="shared" si="93"/>
        <v>0</v>
      </c>
      <c r="AX118" s="108">
        <f t="shared" si="75"/>
        <v>0</v>
      </c>
      <c r="AY118" s="108">
        <f t="shared" si="64"/>
        <v>0</v>
      </c>
      <c r="BB118" s="2" t="e">
        <f t="shared" si="82"/>
        <v>#VALUE!</v>
      </c>
    </row>
    <row r="119" spans="5:54" ht="12" x14ac:dyDescent="0.25">
      <c r="E119" s="114">
        <f t="shared" si="72"/>
        <v>111</v>
      </c>
      <c r="F119" s="111">
        <f t="shared" si="65"/>
        <v>48693</v>
      </c>
      <c r="G119" s="24">
        <f t="shared" si="58"/>
        <v>0</v>
      </c>
      <c r="H119" s="24">
        <f t="shared" si="59"/>
        <v>0</v>
      </c>
      <c r="I119" s="24">
        <f t="shared" si="70"/>
        <v>146299.1</v>
      </c>
      <c r="J119" s="24">
        <f t="shared" si="55"/>
        <v>0</v>
      </c>
      <c r="K119" s="24">
        <f t="shared" si="60"/>
        <v>0</v>
      </c>
      <c r="L119" s="24">
        <f t="shared" si="66"/>
        <v>0</v>
      </c>
      <c r="M119" s="24">
        <f t="shared" si="78"/>
        <v>0</v>
      </c>
      <c r="N119" s="24">
        <f t="shared" si="79"/>
        <v>0</v>
      </c>
      <c r="O119" s="24">
        <f t="shared" si="67"/>
        <v>0</v>
      </c>
      <c r="P119" s="24">
        <f t="shared" si="68"/>
        <v>0</v>
      </c>
      <c r="Q119" s="24">
        <f t="shared" si="61"/>
        <v>0</v>
      </c>
      <c r="R119" s="36">
        <f t="shared" si="76"/>
        <v>0</v>
      </c>
      <c r="S119" s="36">
        <f t="shared" si="69"/>
        <v>0</v>
      </c>
      <c r="T119" s="2">
        <f t="shared" si="94"/>
        <v>0</v>
      </c>
      <c r="U119" s="34">
        <f t="shared" si="85"/>
        <v>0</v>
      </c>
      <c r="V119" s="57">
        <f t="shared" si="95"/>
        <v>58455</v>
      </c>
      <c r="W119" s="16">
        <f t="shared" si="96"/>
        <v>70</v>
      </c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2">
        <f t="shared" si="81"/>
        <v>0</v>
      </c>
      <c r="AJ119" s="34">
        <f t="shared" si="86"/>
        <v>0</v>
      </c>
      <c r="AK119" s="57">
        <f t="shared" si="87"/>
        <v>58455</v>
      </c>
      <c r="AL119" s="130"/>
      <c r="AM119" s="109">
        <f t="shared" si="74"/>
        <v>111</v>
      </c>
      <c r="AN119" s="110">
        <f t="shared" si="62"/>
        <v>48693</v>
      </c>
      <c r="AO119" s="105">
        <f t="shared" si="83"/>
        <v>0</v>
      </c>
      <c r="AP119" s="105">
        <f t="shared" si="63"/>
        <v>0</v>
      </c>
      <c r="AQ119" s="105">
        <f t="shared" si="88"/>
        <v>0</v>
      </c>
      <c r="AR119" s="105">
        <f t="shared" si="77"/>
        <v>0</v>
      </c>
      <c r="AS119" s="105">
        <f t="shared" si="89"/>
        <v>0</v>
      </c>
      <c r="AT119" s="105">
        <f t="shared" si="90"/>
        <v>0</v>
      </c>
      <c r="AU119" s="105">
        <f t="shared" si="91"/>
        <v>0</v>
      </c>
      <c r="AV119" s="105">
        <f t="shared" si="92"/>
        <v>0</v>
      </c>
      <c r="AW119" s="105">
        <f t="shared" si="93"/>
        <v>0</v>
      </c>
      <c r="AX119" s="108">
        <f t="shared" si="75"/>
        <v>0</v>
      </c>
      <c r="AY119" s="108">
        <f t="shared" si="64"/>
        <v>0</v>
      </c>
      <c r="BB119" s="2" t="e">
        <f t="shared" si="82"/>
        <v>#VALUE!</v>
      </c>
    </row>
    <row r="120" spans="5:54" ht="12" x14ac:dyDescent="0.25">
      <c r="E120" s="114">
        <f t="shared" si="72"/>
        <v>112</v>
      </c>
      <c r="F120" s="111">
        <f t="shared" si="65"/>
        <v>48723</v>
      </c>
      <c r="G120" s="24">
        <f t="shared" si="58"/>
        <v>0</v>
      </c>
      <c r="H120" s="24">
        <f t="shared" si="59"/>
        <v>0</v>
      </c>
      <c r="I120" s="24">
        <f t="shared" si="70"/>
        <v>146299.1</v>
      </c>
      <c r="J120" s="24">
        <f t="shared" si="55"/>
        <v>0</v>
      </c>
      <c r="K120" s="24">
        <f t="shared" si="60"/>
        <v>0</v>
      </c>
      <c r="L120" s="24">
        <f t="shared" si="66"/>
        <v>0</v>
      </c>
      <c r="M120" s="24">
        <f t="shared" si="78"/>
        <v>0</v>
      </c>
      <c r="N120" s="24">
        <f t="shared" si="79"/>
        <v>0</v>
      </c>
      <c r="O120" s="24">
        <f t="shared" si="67"/>
        <v>0</v>
      </c>
      <c r="P120" s="24">
        <f t="shared" si="68"/>
        <v>0</v>
      </c>
      <c r="Q120" s="24">
        <f t="shared" si="61"/>
        <v>0</v>
      </c>
      <c r="R120" s="36">
        <f t="shared" si="76"/>
        <v>0</v>
      </c>
      <c r="S120" s="36">
        <f t="shared" si="69"/>
        <v>0</v>
      </c>
      <c r="T120" s="2">
        <f t="shared" si="94"/>
        <v>0</v>
      </c>
      <c r="U120" s="34">
        <f t="shared" si="85"/>
        <v>0</v>
      </c>
      <c r="V120" s="57">
        <f t="shared" si="95"/>
        <v>58455</v>
      </c>
      <c r="W120" s="16">
        <f t="shared" si="96"/>
        <v>71</v>
      </c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2">
        <f t="shared" si="81"/>
        <v>0</v>
      </c>
      <c r="AJ120" s="34">
        <f t="shared" si="86"/>
        <v>0</v>
      </c>
      <c r="AK120" s="57">
        <f t="shared" si="87"/>
        <v>58455</v>
      </c>
      <c r="AL120" s="130"/>
      <c r="AM120" s="109">
        <f t="shared" si="74"/>
        <v>112</v>
      </c>
      <c r="AN120" s="110">
        <f t="shared" si="62"/>
        <v>48723</v>
      </c>
      <c r="AO120" s="105">
        <f t="shared" si="83"/>
        <v>0</v>
      </c>
      <c r="AP120" s="105">
        <f t="shared" si="63"/>
        <v>0</v>
      </c>
      <c r="AQ120" s="105">
        <f t="shared" si="88"/>
        <v>0</v>
      </c>
      <c r="AR120" s="105">
        <f t="shared" si="77"/>
        <v>0</v>
      </c>
      <c r="AS120" s="105">
        <f t="shared" si="89"/>
        <v>0</v>
      </c>
      <c r="AT120" s="105">
        <f t="shared" si="90"/>
        <v>0</v>
      </c>
      <c r="AU120" s="105">
        <f t="shared" si="91"/>
        <v>0</v>
      </c>
      <c r="AV120" s="105">
        <f t="shared" si="92"/>
        <v>0</v>
      </c>
      <c r="AW120" s="105">
        <f t="shared" si="93"/>
        <v>0</v>
      </c>
      <c r="AX120" s="108">
        <f t="shared" si="75"/>
        <v>0</v>
      </c>
      <c r="AY120" s="108">
        <f t="shared" si="64"/>
        <v>0</v>
      </c>
      <c r="BB120" s="2" t="e">
        <f t="shared" si="82"/>
        <v>#VALUE!</v>
      </c>
    </row>
    <row r="121" spans="5:54" ht="12" x14ac:dyDescent="0.25">
      <c r="E121" s="114">
        <f t="shared" si="72"/>
        <v>113</v>
      </c>
      <c r="F121" s="111">
        <f t="shared" si="65"/>
        <v>48754</v>
      </c>
      <c r="G121" s="24">
        <f t="shared" si="58"/>
        <v>0</v>
      </c>
      <c r="H121" s="24">
        <f t="shared" si="59"/>
        <v>0</v>
      </c>
      <c r="I121" s="24">
        <f t="shared" si="70"/>
        <v>146299.1</v>
      </c>
      <c r="J121" s="24">
        <f t="shared" si="55"/>
        <v>0</v>
      </c>
      <c r="K121" s="24">
        <f t="shared" si="60"/>
        <v>0</v>
      </c>
      <c r="L121" s="24">
        <f t="shared" si="66"/>
        <v>0</v>
      </c>
      <c r="M121" s="24">
        <f t="shared" si="78"/>
        <v>0</v>
      </c>
      <c r="N121" s="24">
        <f t="shared" si="79"/>
        <v>0</v>
      </c>
      <c r="O121" s="24">
        <f t="shared" si="67"/>
        <v>0</v>
      </c>
      <c r="P121" s="24">
        <f t="shared" si="68"/>
        <v>0</v>
      </c>
      <c r="Q121" s="24">
        <f t="shared" si="61"/>
        <v>0</v>
      </c>
      <c r="R121" s="36">
        <f t="shared" si="76"/>
        <v>0</v>
      </c>
      <c r="S121" s="36">
        <f t="shared" si="69"/>
        <v>0</v>
      </c>
      <c r="T121" s="2">
        <f t="shared" si="94"/>
        <v>0</v>
      </c>
      <c r="U121" s="34">
        <f t="shared" si="85"/>
        <v>0</v>
      </c>
      <c r="V121" s="57">
        <f t="shared" si="95"/>
        <v>58455</v>
      </c>
      <c r="W121" s="16">
        <f t="shared" si="96"/>
        <v>72</v>
      </c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2">
        <f t="shared" si="81"/>
        <v>0</v>
      </c>
      <c r="AJ121" s="34">
        <f t="shared" si="86"/>
        <v>0</v>
      </c>
      <c r="AK121" s="57">
        <f t="shared" si="87"/>
        <v>58455</v>
      </c>
      <c r="AL121" s="130"/>
      <c r="AM121" s="109">
        <f t="shared" si="74"/>
        <v>113</v>
      </c>
      <c r="AN121" s="110">
        <f t="shared" si="62"/>
        <v>48754</v>
      </c>
      <c r="AO121" s="105">
        <f t="shared" si="83"/>
        <v>0</v>
      </c>
      <c r="AP121" s="105">
        <f t="shared" si="63"/>
        <v>0</v>
      </c>
      <c r="AQ121" s="105">
        <f t="shared" si="88"/>
        <v>0</v>
      </c>
      <c r="AR121" s="105">
        <f t="shared" si="77"/>
        <v>0</v>
      </c>
      <c r="AS121" s="105">
        <f t="shared" si="89"/>
        <v>0</v>
      </c>
      <c r="AT121" s="105">
        <f t="shared" si="90"/>
        <v>0</v>
      </c>
      <c r="AU121" s="105">
        <f t="shared" si="91"/>
        <v>0</v>
      </c>
      <c r="AV121" s="105">
        <f t="shared" si="92"/>
        <v>0</v>
      </c>
      <c r="AW121" s="105">
        <f t="shared" si="93"/>
        <v>0</v>
      </c>
      <c r="AX121" s="108">
        <f t="shared" si="75"/>
        <v>0</v>
      </c>
      <c r="AY121" s="108">
        <f t="shared" si="64"/>
        <v>0</v>
      </c>
      <c r="BB121" s="2" t="e">
        <f t="shared" si="82"/>
        <v>#VALUE!</v>
      </c>
    </row>
    <row r="122" spans="5:54" ht="12" x14ac:dyDescent="0.25">
      <c r="E122" s="114">
        <f t="shared" si="72"/>
        <v>114</v>
      </c>
      <c r="F122" s="111">
        <f t="shared" si="65"/>
        <v>48784</v>
      </c>
      <c r="G122" s="24">
        <f t="shared" si="58"/>
        <v>0</v>
      </c>
      <c r="H122" s="24">
        <f t="shared" si="59"/>
        <v>0</v>
      </c>
      <c r="I122" s="24">
        <f t="shared" si="70"/>
        <v>146299.1</v>
      </c>
      <c r="J122" s="24">
        <f t="shared" si="55"/>
        <v>0</v>
      </c>
      <c r="K122" s="24">
        <f t="shared" si="60"/>
        <v>0</v>
      </c>
      <c r="L122" s="24">
        <f t="shared" si="66"/>
        <v>0</v>
      </c>
      <c r="M122" s="24">
        <f t="shared" si="78"/>
        <v>0</v>
      </c>
      <c r="N122" s="24">
        <f t="shared" si="79"/>
        <v>0</v>
      </c>
      <c r="O122" s="24">
        <f t="shared" si="67"/>
        <v>0</v>
      </c>
      <c r="P122" s="24">
        <f t="shared" si="68"/>
        <v>0</v>
      </c>
      <c r="Q122" s="24">
        <f t="shared" si="61"/>
        <v>0</v>
      </c>
      <c r="R122" s="36">
        <f t="shared" si="76"/>
        <v>0</v>
      </c>
      <c r="S122" s="36">
        <f t="shared" si="69"/>
        <v>0</v>
      </c>
      <c r="T122" s="2">
        <f t="shared" si="94"/>
        <v>0</v>
      </c>
      <c r="U122" s="34">
        <f t="shared" si="85"/>
        <v>0</v>
      </c>
      <c r="V122" s="57">
        <f t="shared" si="95"/>
        <v>58455</v>
      </c>
      <c r="W122" s="16">
        <f t="shared" si="96"/>
        <v>73</v>
      </c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2">
        <f t="shared" si="81"/>
        <v>0</v>
      </c>
      <c r="AJ122" s="34">
        <f t="shared" si="86"/>
        <v>0</v>
      </c>
      <c r="AK122" s="57">
        <f t="shared" si="87"/>
        <v>58455</v>
      </c>
      <c r="AL122" s="130"/>
      <c r="AM122" s="109">
        <f t="shared" si="74"/>
        <v>114</v>
      </c>
      <c r="AN122" s="110">
        <f t="shared" si="62"/>
        <v>48784</v>
      </c>
      <c r="AO122" s="105">
        <f t="shared" si="83"/>
        <v>0</v>
      </c>
      <c r="AP122" s="105">
        <f t="shared" si="63"/>
        <v>0</v>
      </c>
      <c r="AQ122" s="105">
        <f t="shared" si="88"/>
        <v>0</v>
      </c>
      <c r="AR122" s="105">
        <f t="shared" si="77"/>
        <v>0</v>
      </c>
      <c r="AS122" s="105">
        <f t="shared" si="89"/>
        <v>0</v>
      </c>
      <c r="AT122" s="105">
        <f t="shared" si="90"/>
        <v>0</v>
      </c>
      <c r="AU122" s="105">
        <f t="shared" si="91"/>
        <v>0</v>
      </c>
      <c r="AV122" s="105">
        <f t="shared" si="92"/>
        <v>0</v>
      </c>
      <c r="AW122" s="105">
        <f t="shared" si="93"/>
        <v>0</v>
      </c>
      <c r="AX122" s="108">
        <f t="shared" si="75"/>
        <v>0</v>
      </c>
      <c r="AY122" s="108">
        <f t="shared" si="64"/>
        <v>0</v>
      </c>
      <c r="BB122" s="2" t="e">
        <f t="shared" si="82"/>
        <v>#VALUE!</v>
      </c>
    </row>
    <row r="123" spans="5:54" ht="12" x14ac:dyDescent="0.25">
      <c r="E123" s="114">
        <f t="shared" si="72"/>
        <v>115</v>
      </c>
      <c r="F123" s="111">
        <f t="shared" si="65"/>
        <v>48815</v>
      </c>
      <c r="G123" s="24">
        <f t="shared" si="58"/>
        <v>0</v>
      </c>
      <c r="H123" s="24">
        <f t="shared" si="59"/>
        <v>0</v>
      </c>
      <c r="I123" s="24">
        <f t="shared" si="70"/>
        <v>146299.1</v>
      </c>
      <c r="J123" s="24">
        <f t="shared" si="55"/>
        <v>0</v>
      </c>
      <c r="K123" s="24">
        <f t="shared" si="60"/>
        <v>0</v>
      </c>
      <c r="L123" s="24">
        <f t="shared" si="66"/>
        <v>0</v>
      </c>
      <c r="M123" s="24">
        <f t="shared" si="78"/>
        <v>0</v>
      </c>
      <c r="N123" s="24">
        <f t="shared" si="79"/>
        <v>0</v>
      </c>
      <c r="O123" s="24">
        <f t="shared" si="67"/>
        <v>0</v>
      </c>
      <c r="P123" s="24">
        <f t="shared" si="68"/>
        <v>0</v>
      </c>
      <c r="Q123" s="24">
        <f t="shared" si="61"/>
        <v>0</v>
      </c>
      <c r="R123" s="36">
        <f t="shared" si="76"/>
        <v>0</v>
      </c>
      <c r="S123" s="36">
        <f t="shared" si="69"/>
        <v>0</v>
      </c>
      <c r="T123" s="2">
        <f t="shared" si="94"/>
        <v>0</v>
      </c>
      <c r="U123" s="34">
        <f t="shared" si="85"/>
        <v>0</v>
      </c>
      <c r="V123" s="57">
        <f t="shared" si="95"/>
        <v>58455</v>
      </c>
      <c r="W123" s="16">
        <f t="shared" si="96"/>
        <v>74</v>
      </c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2">
        <f t="shared" si="81"/>
        <v>0</v>
      </c>
      <c r="AJ123" s="34">
        <f t="shared" si="86"/>
        <v>0</v>
      </c>
      <c r="AK123" s="57">
        <f t="shared" si="87"/>
        <v>58455</v>
      </c>
      <c r="AL123" s="130"/>
      <c r="AM123" s="109">
        <f t="shared" si="74"/>
        <v>115</v>
      </c>
      <c r="AN123" s="110">
        <f t="shared" si="62"/>
        <v>48815</v>
      </c>
      <c r="AO123" s="105">
        <f t="shared" si="83"/>
        <v>0</v>
      </c>
      <c r="AP123" s="105">
        <f t="shared" si="63"/>
        <v>0</v>
      </c>
      <c r="AQ123" s="105">
        <f t="shared" si="88"/>
        <v>0</v>
      </c>
      <c r="AR123" s="105">
        <f t="shared" si="77"/>
        <v>0</v>
      </c>
      <c r="AS123" s="105">
        <f t="shared" si="89"/>
        <v>0</v>
      </c>
      <c r="AT123" s="105">
        <f t="shared" si="90"/>
        <v>0</v>
      </c>
      <c r="AU123" s="105">
        <f t="shared" si="91"/>
        <v>0</v>
      </c>
      <c r="AV123" s="105">
        <f t="shared" si="92"/>
        <v>0</v>
      </c>
      <c r="AW123" s="105">
        <f t="shared" si="93"/>
        <v>0</v>
      </c>
      <c r="AX123" s="108">
        <f t="shared" si="75"/>
        <v>0</v>
      </c>
      <c r="AY123" s="108">
        <f t="shared" si="64"/>
        <v>0</v>
      </c>
      <c r="BB123" s="2" t="e">
        <f t="shared" si="82"/>
        <v>#VALUE!</v>
      </c>
    </row>
    <row r="124" spans="5:54" ht="12" x14ac:dyDescent="0.25">
      <c r="E124" s="114">
        <f t="shared" si="72"/>
        <v>116</v>
      </c>
      <c r="F124" s="111">
        <f t="shared" si="65"/>
        <v>48846</v>
      </c>
      <c r="G124" s="24">
        <f t="shared" si="58"/>
        <v>0</v>
      </c>
      <c r="H124" s="24">
        <f t="shared" si="59"/>
        <v>0</v>
      </c>
      <c r="I124" s="24">
        <f t="shared" si="70"/>
        <v>146299.1</v>
      </c>
      <c r="J124" s="24">
        <f t="shared" si="55"/>
        <v>0</v>
      </c>
      <c r="K124" s="24">
        <f t="shared" si="60"/>
        <v>0</v>
      </c>
      <c r="L124" s="24">
        <f t="shared" si="66"/>
        <v>0</v>
      </c>
      <c r="M124" s="24">
        <f t="shared" si="78"/>
        <v>0</v>
      </c>
      <c r="N124" s="24">
        <f t="shared" si="79"/>
        <v>0</v>
      </c>
      <c r="O124" s="24">
        <f t="shared" si="67"/>
        <v>0</v>
      </c>
      <c r="P124" s="24">
        <f t="shared" si="68"/>
        <v>0</v>
      </c>
      <c r="Q124" s="24">
        <f t="shared" si="61"/>
        <v>0</v>
      </c>
      <c r="R124" s="36">
        <f t="shared" si="76"/>
        <v>0</v>
      </c>
      <c r="S124" s="36">
        <f t="shared" si="69"/>
        <v>0</v>
      </c>
      <c r="T124" s="2">
        <f t="shared" si="94"/>
        <v>0</v>
      </c>
      <c r="U124" s="34">
        <f t="shared" si="85"/>
        <v>0</v>
      </c>
      <c r="V124" s="57">
        <f t="shared" si="95"/>
        <v>58455</v>
      </c>
      <c r="W124" s="16">
        <f t="shared" si="96"/>
        <v>75</v>
      </c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2">
        <f t="shared" si="81"/>
        <v>0</v>
      </c>
      <c r="AJ124" s="34">
        <f t="shared" si="86"/>
        <v>0</v>
      </c>
      <c r="AK124" s="57">
        <f t="shared" si="87"/>
        <v>58455</v>
      </c>
      <c r="AL124" s="130"/>
      <c r="AM124" s="109">
        <f t="shared" si="74"/>
        <v>116</v>
      </c>
      <c r="AN124" s="110">
        <f t="shared" si="62"/>
        <v>48846</v>
      </c>
      <c r="AO124" s="105">
        <f t="shared" si="83"/>
        <v>0</v>
      </c>
      <c r="AP124" s="105">
        <f t="shared" si="63"/>
        <v>0</v>
      </c>
      <c r="AQ124" s="105">
        <f t="shared" si="88"/>
        <v>0</v>
      </c>
      <c r="AR124" s="105">
        <f t="shared" si="77"/>
        <v>0</v>
      </c>
      <c r="AS124" s="105">
        <f t="shared" si="89"/>
        <v>0</v>
      </c>
      <c r="AT124" s="105">
        <f t="shared" si="90"/>
        <v>0</v>
      </c>
      <c r="AU124" s="105">
        <f t="shared" si="91"/>
        <v>0</v>
      </c>
      <c r="AV124" s="105">
        <f t="shared" si="92"/>
        <v>0</v>
      </c>
      <c r="AW124" s="105">
        <f t="shared" si="93"/>
        <v>0</v>
      </c>
      <c r="AX124" s="108">
        <f t="shared" si="75"/>
        <v>0</v>
      </c>
      <c r="AY124" s="108">
        <f t="shared" si="64"/>
        <v>0</v>
      </c>
      <c r="BB124" s="2" t="e">
        <f t="shared" si="82"/>
        <v>#VALUE!</v>
      </c>
    </row>
    <row r="125" spans="5:54" ht="12" x14ac:dyDescent="0.25">
      <c r="E125" s="114">
        <f t="shared" si="72"/>
        <v>117</v>
      </c>
      <c r="F125" s="111">
        <f t="shared" si="65"/>
        <v>48876</v>
      </c>
      <c r="G125" s="24">
        <f t="shared" si="58"/>
        <v>0</v>
      </c>
      <c r="H125" s="24">
        <f t="shared" si="59"/>
        <v>0</v>
      </c>
      <c r="I125" s="24">
        <f t="shared" si="70"/>
        <v>146299.1</v>
      </c>
      <c r="J125" s="24">
        <f t="shared" si="55"/>
        <v>0</v>
      </c>
      <c r="K125" s="24">
        <f t="shared" si="60"/>
        <v>0</v>
      </c>
      <c r="L125" s="24">
        <f t="shared" si="66"/>
        <v>0</v>
      </c>
      <c r="M125" s="24">
        <f t="shared" si="78"/>
        <v>0</v>
      </c>
      <c r="N125" s="24">
        <f t="shared" si="79"/>
        <v>0</v>
      </c>
      <c r="O125" s="24">
        <f t="shared" si="67"/>
        <v>0</v>
      </c>
      <c r="P125" s="24">
        <f t="shared" si="68"/>
        <v>0</v>
      </c>
      <c r="Q125" s="24">
        <f t="shared" si="61"/>
        <v>0</v>
      </c>
      <c r="R125" s="36">
        <f t="shared" si="76"/>
        <v>0</v>
      </c>
      <c r="S125" s="36">
        <f t="shared" si="69"/>
        <v>0</v>
      </c>
      <c r="T125" s="2">
        <f t="shared" si="94"/>
        <v>0</v>
      </c>
      <c r="U125" s="34">
        <f t="shared" si="85"/>
        <v>0</v>
      </c>
      <c r="V125" s="57">
        <f t="shared" si="95"/>
        <v>58455</v>
      </c>
      <c r="W125" s="16">
        <f t="shared" si="96"/>
        <v>76</v>
      </c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2">
        <f t="shared" si="81"/>
        <v>0</v>
      </c>
      <c r="AJ125" s="34">
        <f t="shared" si="86"/>
        <v>0</v>
      </c>
      <c r="AK125" s="57">
        <f t="shared" si="87"/>
        <v>58455</v>
      </c>
      <c r="AL125" s="130"/>
      <c r="AM125" s="109">
        <f t="shared" si="74"/>
        <v>117</v>
      </c>
      <c r="AN125" s="110">
        <f t="shared" si="62"/>
        <v>48876</v>
      </c>
      <c r="AO125" s="105">
        <f t="shared" si="83"/>
        <v>0</v>
      </c>
      <c r="AP125" s="105">
        <f t="shared" si="63"/>
        <v>0</v>
      </c>
      <c r="AQ125" s="105">
        <f t="shared" si="88"/>
        <v>0</v>
      </c>
      <c r="AR125" s="105">
        <f t="shared" si="77"/>
        <v>0</v>
      </c>
      <c r="AS125" s="105">
        <f t="shared" si="89"/>
        <v>0</v>
      </c>
      <c r="AT125" s="105">
        <f t="shared" si="90"/>
        <v>0</v>
      </c>
      <c r="AU125" s="105">
        <f t="shared" si="91"/>
        <v>0</v>
      </c>
      <c r="AV125" s="105">
        <f t="shared" si="92"/>
        <v>0</v>
      </c>
      <c r="AW125" s="105">
        <f t="shared" si="93"/>
        <v>0</v>
      </c>
      <c r="AX125" s="108">
        <f t="shared" si="75"/>
        <v>0</v>
      </c>
      <c r="AY125" s="108">
        <f t="shared" si="64"/>
        <v>0</v>
      </c>
      <c r="BB125" s="2" t="e">
        <f t="shared" si="82"/>
        <v>#VALUE!</v>
      </c>
    </row>
    <row r="126" spans="5:54" ht="12" x14ac:dyDescent="0.25">
      <c r="E126" s="114">
        <f t="shared" si="72"/>
        <v>118</v>
      </c>
      <c r="F126" s="111">
        <f t="shared" si="65"/>
        <v>48907</v>
      </c>
      <c r="G126" s="24">
        <f t="shared" si="58"/>
        <v>0</v>
      </c>
      <c r="H126" s="24">
        <f t="shared" si="59"/>
        <v>0</v>
      </c>
      <c r="I126" s="24">
        <f t="shared" si="70"/>
        <v>146299.1</v>
      </c>
      <c r="J126" s="24">
        <f t="shared" si="55"/>
        <v>0</v>
      </c>
      <c r="K126" s="24">
        <f t="shared" si="60"/>
        <v>0</v>
      </c>
      <c r="L126" s="24">
        <f t="shared" si="66"/>
        <v>0</v>
      </c>
      <c r="M126" s="24">
        <f t="shared" si="78"/>
        <v>0</v>
      </c>
      <c r="N126" s="24">
        <f t="shared" si="79"/>
        <v>0</v>
      </c>
      <c r="O126" s="24">
        <f t="shared" si="67"/>
        <v>0</v>
      </c>
      <c r="P126" s="24">
        <f t="shared" si="68"/>
        <v>0</v>
      </c>
      <c r="Q126" s="24">
        <f t="shared" si="61"/>
        <v>0</v>
      </c>
      <c r="R126" s="36">
        <f t="shared" si="76"/>
        <v>0</v>
      </c>
      <c r="S126" s="36">
        <f t="shared" si="69"/>
        <v>0</v>
      </c>
      <c r="T126" s="2">
        <f t="shared" si="94"/>
        <v>0</v>
      </c>
      <c r="U126" s="34">
        <f t="shared" si="85"/>
        <v>0</v>
      </c>
      <c r="V126" s="57">
        <f t="shared" si="95"/>
        <v>58455</v>
      </c>
      <c r="W126" s="16">
        <f t="shared" si="96"/>
        <v>77</v>
      </c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2">
        <f t="shared" si="81"/>
        <v>0</v>
      </c>
      <c r="AJ126" s="34">
        <f t="shared" si="86"/>
        <v>0</v>
      </c>
      <c r="AK126" s="57">
        <f t="shared" si="87"/>
        <v>58455</v>
      </c>
      <c r="AL126" s="130"/>
      <c r="AM126" s="109">
        <f t="shared" si="74"/>
        <v>118</v>
      </c>
      <c r="AN126" s="110">
        <f t="shared" si="62"/>
        <v>48907</v>
      </c>
      <c r="AO126" s="105">
        <f t="shared" si="83"/>
        <v>0</v>
      </c>
      <c r="AP126" s="105">
        <f t="shared" si="63"/>
        <v>0</v>
      </c>
      <c r="AQ126" s="105">
        <f t="shared" si="88"/>
        <v>0</v>
      </c>
      <c r="AR126" s="105">
        <f t="shared" si="77"/>
        <v>0</v>
      </c>
      <c r="AS126" s="105">
        <f t="shared" si="89"/>
        <v>0</v>
      </c>
      <c r="AT126" s="105">
        <f t="shared" si="90"/>
        <v>0</v>
      </c>
      <c r="AU126" s="105">
        <f t="shared" si="91"/>
        <v>0</v>
      </c>
      <c r="AV126" s="105">
        <f t="shared" si="92"/>
        <v>0</v>
      </c>
      <c r="AW126" s="105">
        <f t="shared" si="93"/>
        <v>0</v>
      </c>
      <c r="AX126" s="108">
        <f t="shared" si="75"/>
        <v>0</v>
      </c>
      <c r="AY126" s="108">
        <f t="shared" si="64"/>
        <v>0</v>
      </c>
      <c r="BB126" s="2" t="e">
        <f t="shared" si="82"/>
        <v>#VALUE!</v>
      </c>
    </row>
    <row r="127" spans="5:54" ht="12" x14ac:dyDescent="0.25">
      <c r="E127" s="114">
        <f t="shared" si="72"/>
        <v>119</v>
      </c>
      <c r="F127" s="111">
        <f t="shared" si="65"/>
        <v>48937</v>
      </c>
      <c r="G127" s="24">
        <f t="shared" si="58"/>
        <v>0</v>
      </c>
      <c r="H127" s="24">
        <f t="shared" si="59"/>
        <v>0</v>
      </c>
      <c r="I127" s="24">
        <f t="shared" si="70"/>
        <v>146299.1</v>
      </c>
      <c r="J127" s="24">
        <f t="shared" si="55"/>
        <v>0</v>
      </c>
      <c r="K127" s="24">
        <f t="shared" si="60"/>
        <v>0</v>
      </c>
      <c r="L127" s="24">
        <f t="shared" si="66"/>
        <v>0</v>
      </c>
      <c r="M127" s="24">
        <f t="shared" si="78"/>
        <v>0</v>
      </c>
      <c r="N127" s="24">
        <f t="shared" si="79"/>
        <v>0</v>
      </c>
      <c r="O127" s="24">
        <f t="shared" si="67"/>
        <v>0</v>
      </c>
      <c r="P127" s="24">
        <f t="shared" si="68"/>
        <v>0</v>
      </c>
      <c r="Q127" s="24">
        <f t="shared" si="61"/>
        <v>0</v>
      </c>
      <c r="R127" s="36">
        <f t="shared" si="76"/>
        <v>0</v>
      </c>
      <c r="S127" s="36">
        <f t="shared" si="69"/>
        <v>0</v>
      </c>
      <c r="T127" s="2">
        <f t="shared" si="94"/>
        <v>0</v>
      </c>
      <c r="U127" s="34">
        <f t="shared" si="85"/>
        <v>0</v>
      </c>
      <c r="V127" s="57">
        <f t="shared" si="95"/>
        <v>58455</v>
      </c>
      <c r="W127" s="16">
        <f t="shared" si="96"/>
        <v>78</v>
      </c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2">
        <f t="shared" si="81"/>
        <v>0</v>
      </c>
      <c r="AJ127" s="34">
        <f t="shared" si="86"/>
        <v>0</v>
      </c>
      <c r="AK127" s="57">
        <f t="shared" si="87"/>
        <v>58455</v>
      </c>
      <c r="AL127" s="130"/>
      <c r="AM127" s="109">
        <f t="shared" si="74"/>
        <v>119</v>
      </c>
      <c r="AN127" s="110">
        <f t="shared" si="62"/>
        <v>48937</v>
      </c>
      <c r="AO127" s="105">
        <f t="shared" si="83"/>
        <v>0</v>
      </c>
      <c r="AP127" s="105">
        <f t="shared" si="63"/>
        <v>0</v>
      </c>
      <c r="AQ127" s="105">
        <f t="shared" si="88"/>
        <v>0</v>
      </c>
      <c r="AR127" s="105">
        <f t="shared" si="77"/>
        <v>0</v>
      </c>
      <c r="AS127" s="105">
        <f t="shared" si="89"/>
        <v>0</v>
      </c>
      <c r="AT127" s="105">
        <f t="shared" si="90"/>
        <v>0</v>
      </c>
      <c r="AU127" s="105">
        <f t="shared" si="91"/>
        <v>0</v>
      </c>
      <c r="AV127" s="105">
        <f t="shared" si="92"/>
        <v>0</v>
      </c>
      <c r="AW127" s="105">
        <f t="shared" si="93"/>
        <v>0</v>
      </c>
      <c r="AX127" s="108">
        <f t="shared" si="75"/>
        <v>0</v>
      </c>
      <c r="AY127" s="108">
        <f t="shared" si="64"/>
        <v>0</v>
      </c>
      <c r="BB127" s="2" t="e">
        <f t="shared" si="82"/>
        <v>#VALUE!</v>
      </c>
    </row>
    <row r="128" spans="5:54" ht="12" x14ac:dyDescent="0.25">
      <c r="E128" s="114">
        <f t="shared" si="72"/>
        <v>120</v>
      </c>
      <c r="F128" s="111">
        <f t="shared" si="65"/>
        <v>48968</v>
      </c>
      <c r="G128" s="24">
        <f t="shared" si="58"/>
        <v>0</v>
      </c>
      <c r="H128" s="24">
        <f t="shared" si="59"/>
        <v>0</v>
      </c>
      <c r="I128" s="24">
        <f t="shared" si="70"/>
        <v>146299.1</v>
      </c>
      <c r="J128" s="24">
        <f t="shared" si="55"/>
        <v>0</v>
      </c>
      <c r="K128" s="24">
        <f t="shared" si="60"/>
        <v>0</v>
      </c>
      <c r="L128" s="24">
        <f t="shared" si="66"/>
        <v>0</v>
      </c>
      <c r="M128" s="24">
        <f t="shared" si="78"/>
        <v>0</v>
      </c>
      <c r="N128" s="24">
        <f t="shared" si="79"/>
        <v>0</v>
      </c>
      <c r="O128" s="24">
        <f t="shared" si="67"/>
        <v>0</v>
      </c>
      <c r="P128" s="24">
        <f t="shared" si="68"/>
        <v>0</v>
      </c>
      <c r="Q128" s="24">
        <f t="shared" si="61"/>
        <v>0</v>
      </c>
      <c r="R128" s="36">
        <f t="shared" si="76"/>
        <v>0</v>
      </c>
      <c r="S128" s="36">
        <f t="shared" si="69"/>
        <v>0</v>
      </c>
      <c r="T128" s="2">
        <f t="shared" si="94"/>
        <v>0</v>
      </c>
      <c r="U128" s="34">
        <f t="shared" si="85"/>
        <v>0</v>
      </c>
      <c r="V128" s="57">
        <f t="shared" si="95"/>
        <v>58455</v>
      </c>
      <c r="W128" s="16">
        <f t="shared" si="96"/>
        <v>79</v>
      </c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2">
        <f t="shared" si="81"/>
        <v>0</v>
      </c>
      <c r="AJ128" s="34">
        <f t="shared" si="86"/>
        <v>0</v>
      </c>
      <c r="AK128" s="57">
        <f t="shared" si="87"/>
        <v>58455</v>
      </c>
      <c r="AM128" s="109">
        <f t="shared" si="74"/>
        <v>120</v>
      </c>
      <c r="AN128" s="110">
        <f t="shared" si="62"/>
        <v>48968</v>
      </c>
      <c r="AO128" s="105">
        <f t="shared" si="83"/>
        <v>0</v>
      </c>
      <c r="AP128" s="105">
        <f t="shared" si="63"/>
        <v>0</v>
      </c>
      <c r="AQ128" s="105">
        <f t="shared" si="88"/>
        <v>0</v>
      </c>
      <c r="AR128" s="105">
        <f t="shared" si="77"/>
        <v>0</v>
      </c>
      <c r="AS128" s="105">
        <f t="shared" si="89"/>
        <v>0</v>
      </c>
      <c r="AT128" s="105">
        <f t="shared" si="90"/>
        <v>0</v>
      </c>
      <c r="AU128" s="105">
        <f t="shared" si="91"/>
        <v>0</v>
      </c>
      <c r="AV128" s="105">
        <f t="shared" si="92"/>
        <v>0</v>
      </c>
      <c r="AW128" s="105">
        <f t="shared" si="93"/>
        <v>0</v>
      </c>
      <c r="AX128" s="108">
        <f t="shared" si="75"/>
        <v>0</v>
      </c>
      <c r="AY128" s="108">
        <f t="shared" si="64"/>
        <v>0</v>
      </c>
      <c r="BB128" s="2" t="e">
        <f t="shared" si="82"/>
        <v>#VALUE!</v>
      </c>
    </row>
    <row r="129" spans="5:54" ht="12" x14ac:dyDescent="0.25">
      <c r="E129" s="114">
        <f t="shared" si="72"/>
        <v>121</v>
      </c>
      <c r="F129" s="111">
        <f t="shared" si="65"/>
        <v>48999</v>
      </c>
      <c r="G129" s="24">
        <f t="shared" si="58"/>
        <v>0</v>
      </c>
      <c r="H129" s="24">
        <f t="shared" si="59"/>
        <v>0</v>
      </c>
      <c r="I129" s="24">
        <f t="shared" si="70"/>
        <v>146299.1</v>
      </c>
      <c r="J129" s="24">
        <f t="shared" si="55"/>
        <v>0</v>
      </c>
      <c r="K129" s="24">
        <f t="shared" si="60"/>
        <v>0</v>
      </c>
      <c r="L129" s="24">
        <f t="shared" si="66"/>
        <v>0</v>
      </c>
      <c r="M129" s="24">
        <f t="shared" si="78"/>
        <v>0</v>
      </c>
      <c r="N129" s="24">
        <f t="shared" si="79"/>
        <v>0</v>
      </c>
      <c r="O129" s="24">
        <f t="shared" si="67"/>
        <v>0</v>
      </c>
      <c r="P129" s="24">
        <f t="shared" si="68"/>
        <v>0</v>
      </c>
      <c r="Q129" s="24">
        <f t="shared" si="61"/>
        <v>0</v>
      </c>
      <c r="R129" s="36">
        <f t="shared" si="76"/>
        <v>0</v>
      </c>
      <c r="S129" s="36">
        <f t="shared" si="69"/>
        <v>0</v>
      </c>
      <c r="T129" s="2">
        <f t="shared" si="94"/>
        <v>0</v>
      </c>
      <c r="U129" s="34">
        <f t="shared" si="85"/>
        <v>0</v>
      </c>
      <c r="V129" s="57">
        <f t="shared" si="95"/>
        <v>58455</v>
      </c>
      <c r="W129" s="16">
        <f t="shared" si="96"/>
        <v>80</v>
      </c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60"/>
      <c r="AI129" s="2">
        <f t="shared" si="81"/>
        <v>0</v>
      </c>
      <c r="AJ129" s="34">
        <f t="shared" si="86"/>
        <v>0</v>
      </c>
      <c r="AK129" s="57">
        <f t="shared" si="87"/>
        <v>58455</v>
      </c>
      <c r="AM129" s="109">
        <f t="shared" si="74"/>
        <v>121</v>
      </c>
      <c r="AN129" s="110">
        <f t="shared" si="62"/>
        <v>48999</v>
      </c>
      <c r="AO129" s="105">
        <f t="shared" si="83"/>
        <v>0</v>
      </c>
      <c r="AP129" s="105">
        <f t="shared" si="63"/>
        <v>0</v>
      </c>
      <c r="AQ129" s="105">
        <f t="shared" si="88"/>
        <v>0</v>
      </c>
      <c r="AR129" s="105">
        <f t="shared" si="77"/>
        <v>0</v>
      </c>
      <c r="AS129" s="105">
        <f t="shared" si="89"/>
        <v>0</v>
      </c>
      <c r="AT129" s="105">
        <f t="shared" si="90"/>
        <v>0</v>
      </c>
      <c r="AU129" s="105">
        <f t="shared" si="91"/>
        <v>0</v>
      </c>
      <c r="AV129" s="105">
        <f t="shared" si="92"/>
        <v>0</v>
      </c>
      <c r="AW129" s="105">
        <f t="shared" si="93"/>
        <v>0</v>
      </c>
      <c r="AX129" s="108">
        <f t="shared" si="75"/>
        <v>0</v>
      </c>
      <c r="AY129" s="108">
        <f t="shared" si="64"/>
        <v>0</v>
      </c>
      <c r="BB129" s="2" t="e">
        <f t="shared" si="82"/>
        <v>#VALUE!</v>
      </c>
    </row>
    <row r="130" spans="5:54" ht="12" x14ac:dyDescent="0.25">
      <c r="E130" s="114">
        <f t="shared" si="72"/>
        <v>122</v>
      </c>
      <c r="F130" s="111">
        <f t="shared" si="65"/>
        <v>49027</v>
      </c>
      <c r="G130" s="24">
        <f t="shared" si="58"/>
        <v>0</v>
      </c>
      <c r="H130" s="24">
        <f t="shared" si="59"/>
        <v>0</v>
      </c>
      <c r="I130" s="24">
        <f t="shared" si="70"/>
        <v>146299.1</v>
      </c>
      <c r="J130" s="24">
        <f t="shared" si="55"/>
        <v>0</v>
      </c>
      <c r="K130" s="24">
        <f t="shared" si="60"/>
        <v>0</v>
      </c>
      <c r="L130" s="24">
        <f t="shared" si="66"/>
        <v>0</v>
      </c>
      <c r="M130" s="24">
        <f t="shared" si="78"/>
        <v>0</v>
      </c>
      <c r="N130" s="24">
        <f t="shared" si="79"/>
        <v>0</v>
      </c>
      <c r="O130" s="24">
        <f t="shared" si="67"/>
        <v>0</v>
      </c>
      <c r="P130" s="24">
        <f t="shared" si="68"/>
        <v>0</v>
      </c>
      <c r="Q130" s="24">
        <f t="shared" si="61"/>
        <v>0</v>
      </c>
      <c r="R130" s="36">
        <f t="shared" si="76"/>
        <v>0</v>
      </c>
      <c r="S130" s="36">
        <f t="shared" si="69"/>
        <v>0</v>
      </c>
      <c r="T130" s="2">
        <f t="shared" si="94"/>
        <v>0</v>
      </c>
      <c r="U130" s="34">
        <f t="shared" si="85"/>
        <v>0</v>
      </c>
      <c r="V130" s="57">
        <f t="shared" si="95"/>
        <v>58455</v>
      </c>
      <c r="W130" s="16">
        <f t="shared" si="96"/>
        <v>81</v>
      </c>
      <c r="X130" s="16"/>
      <c r="Y130" s="16"/>
      <c r="Z130" s="16"/>
      <c r="AA130" s="16"/>
      <c r="AB130" s="16"/>
      <c r="AC130" s="16"/>
      <c r="AD130" s="16"/>
      <c r="AE130" s="16"/>
      <c r="AF130" s="16"/>
      <c r="AI130" s="2">
        <f t="shared" si="81"/>
        <v>0</v>
      </c>
      <c r="AJ130" s="34">
        <f t="shared" si="86"/>
        <v>0</v>
      </c>
      <c r="AK130" s="57">
        <f t="shared" si="87"/>
        <v>58455</v>
      </c>
      <c r="BB130" s="2" t="e">
        <f t="shared" si="82"/>
        <v>#VALUE!</v>
      </c>
    </row>
    <row r="131" spans="5:54" ht="12" x14ac:dyDescent="0.25">
      <c r="E131" s="114">
        <f t="shared" si="72"/>
        <v>123</v>
      </c>
      <c r="F131" s="111">
        <f t="shared" si="65"/>
        <v>49058</v>
      </c>
      <c r="G131" s="24">
        <f t="shared" si="58"/>
        <v>0</v>
      </c>
      <c r="H131" s="24">
        <f t="shared" si="59"/>
        <v>0</v>
      </c>
      <c r="I131" s="24">
        <f t="shared" si="70"/>
        <v>146299.1</v>
      </c>
      <c r="J131" s="24">
        <f t="shared" si="55"/>
        <v>0</v>
      </c>
      <c r="K131" s="24">
        <f t="shared" si="60"/>
        <v>0</v>
      </c>
      <c r="L131" s="24">
        <f t="shared" si="66"/>
        <v>0</v>
      </c>
      <c r="M131" s="24">
        <f t="shared" si="78"/>
        <v>0</v>
      </c>
      <c r="N131" s="24">
        <f t="shared" si="79"/>
        <v>0</v>
      </c>
      <c r="O131" s="24">
        <f t="shared" si="67"/>
        <v>0</v>
      </c>
      <c r="P131" s="24">
        <f t="shared" si="68"/>
        <v>0</v>
      </c>
      <c r="Q131" s="24">
        <f t="shared" si="61"/>
        <v>0</v>
      </c>
      <c r="R131" s="36">
        <f t="shared" si="76"/>
        <v>0</v>
      </c>
      <c r="S131" s="36">
        <f t="shared" si="69"/>
        <v>0</v>
      </c>
      <c r="T131" s="2">
        <f t="shared" si="94"/>
        <v>0</v>
      </c>
      <c r="U131" s="34">
        <f t="shared" si="85"/>
        <v>0</v>
      </c>
      <c r="V131" s="57">
        <f t="shared" si="95"/>
        <v>58455</v>
      </c>
      <c r="W131" s="16">
        <f t="shared" si="96"/>
        <v>82</v>
      </c>
      <c r="X131" s="16"/>
      <c r="Y131" s="16"/>
      <c r="Z131" s="16"/>
      <c r="AA131" s="16"/>
      <c r="AB131" s="33"/>
      <c r="AC131" s="33"/>
      <c r="AD131" s="33"/>
      <c r="AE131" s="33"/>
      <c r="AI131" s="2">
        <f t="shared" si="81"/>
        <v>0</v>
      </c>
      <c r="AJ131" s="34">
        <f t="shared" si="86"/>
        <v>0</v>
      </c>
      <c r="AK131" s="57">
        <f t="shared" si="87"/>
        <v>58455</v>
      </c>
      <c r="AM131" s="28"/>
      <c r="AN131" s="29" t="s">
        <v>7</v>
      </c>
      <c r="AO131" s="30">
        <f>(SUM(AO9:AO129)-IF(CODE(C18)=209,BN58,0))</f>
        <v>449798.10000000003</v>
      </c>
      <c r="AP131" s="30">
        <f>(SUM(AP9:AP129)-IF(CODE(D18)=209,BO58,0))</f>
        <v>146299.1</v>
      </c>
      <c r="AQ131" s="30">
        <f>SUM(AQ9:AQ129)</f>
        <v>303498.99999999994</v>
      </c>
      <c r="AR131" s="105">
        <f>IF(AT131&gt;$D$29,$D$29-AP131,IF(AY110=0,0,AV131)+BN158)</f>
        <v>0</v>
      </c>
      <c r="AS131" s="31"/>
      <c r="AT131" s="31"/>
      <c r="AU131" s="31"/>
      <c r="AV131" s="31"/>
      <c r="AW131" s="31"/>
      <c r="BB131" s="2" t="e">
        <f t="shared" si="82"/>
        <v>#VALUE!</v>
      </c>
    </row>
    <row r="132" spans="5:54" x14ac:dyDescent="0.25">
      <c r="E132" s="114">
        <f t="shared" si="72"/>
        <v>124</v>
      </c>
      <c r="F132" s="111">
        <f t="shared" si="65"/>
        <v>49088</v>
      </c>
      <c r="G132" s="24">
        <f t="shared" si="58"/>
        <v>0</v>
      </c>
      <c r="H132" s="24">
        <f t="shared" si="59"/>
        <v>0</v>
      </c>
      <c r="I132" s="24">
        <f t="shared" si="70"/>
        <v>146299.1</v>
      </c>
      <c r="J132" s="24">
        <f t="shared" si="55"/>
        <v>0</v>
      </c>
      <c r="K132" s="24">
        <f t="shared" si="60"/>
        <v>0</v>
      </c>
      <c r="L132" s="24">
        <f t="shared" si="66"/>
        <v>0</v>
      </c>
      <c r="M132" s="24">
        <f t="shared" si="78"/>
        <v>0</v>
      </c>
      <c r="N132" s="24">
        <f t="shared" si="79"/>
        <v>0</v>
      </c>
      <c r="O132" s="24">
        <f t="shared" si="67"/>
        <v>0</v>
      </c>
      <c r="P132" s="24">
        <f t="shared" si="68"/>
        <v>0</v>
      </c>
      <c r="Q132" s="24">
        <f t="shared" si="61"/>
        <v>0</v>
      </c>
      <c r="R132" s="36">
        <f t="shared" si="76"/>
        <v>0</v>
      </c>
      <c r="S132" s="36">
        <f t="shared" si="69"/>
        <v>0</v>
      </c>
      <c r="T132" s="2">
        <f t="shared" si="94"/>
        <v>0</v>
      </c>
      <c r="U132" s="34">
        <f t="shared" si="85"/>
        <v>0</v>
      </c>
      <c r="V132" s="57">
        <f t="shared" si="95"/>
        <v>58455</v>
      </c>
      <c r="W132" s="16">
        <f t="shared" si="96"/>
        <v>83</v>
      </c>
      <c r="AI132" s="2">
        <f t="shared" si="81"/>
        <v>0</v>
      </c>
      <c r="AJ132" s="34">
        <f t="shared" si="86"/>
        <v>0</v>
      </c>
      <c r="AK132" s="57">
        <f t="shared" si="87"/>
        <v>58455</v>
      </c>
      <c r="BB132" s="2" t="e">
        <f t="shared" si="82"/>
        <v>#VALUE!</v>
      </c>
    </row>
    <row r="133" spans="5:54" x14ac:dyDescent="0.25">
      <c r="E133" s="114">
        <f t="shared" si="72"/>
        <v>125</v>
      </c>
      <c r="F133" s="111">
        <f t="shared" si="65"/>
        <v>49119</v>
      </c>
      <c r="G133" s="24">
        <f t="shared" si="58"/>
        <v>0</v>
      </c>
      <c r="H133" s="24">
        <f t="shared" si="59"/>
        <v>0</v>
      </c>
      <c r="I133" s="24">
        <f t="shared" si="70"/>
        <v>146299.1</v>
      </c>
      <c r="J133" s="24">
        <f t="shared" ref="J133:J159" si="97">IF(AND(E133=$C$10,$C$22&lt;&gt;"Нет"),MIN((I133-I133/$C$19*$C$23),Q132+H133-G132),0)</f>
        <v>0</v>
      </c>
      <c r="K133" s="24">
        <f t="shared" si="60"/>
        <v>0</v>
      </c>
      <c r="L133" s="24">
        <f t="shared" si="66"/>
        <v>0</v>
      </c>
      <c r="M133" s="24">
        <f t="shared" si="78"/>
        <v>0</v>
      </c>
      <c r="N133" s="24">
        <f t="shared" si="79"/>
        <v>0</v>
      </c>
      <c r="O133" s="24">
        <f t="shared" si="67"/>
        <v>0</v>
      </c>
      <c r="P133" s="24">
        <f t="shared" si="68"/>
        <v>0</v>
      </c>
      <c r="Q133" s="24">
        <f t="shared" si="61"/>
        <v>0</v>
      </c>
      <c r="R133" s="36">
        <f t="shared" si="76"/>
        <v>0</v>
      </c>
      <c r="S133" s="36">
        <f t="shared" si="69"/>
        <v>0</v>
      </c>
      <c r="T133" s="2">
        <f t="shared" si="94"/>
        <v>0</v>
      </c>
      <c r="U133" s="34">
        <f t="shared" si="85"/>
        <v>0</v>
      </c>
      <c r="V133" s="57">
        <f t="shared" si="95"/>
        <v>58455</v>
      </c>
      <c r="W133" s="16">
        <f t="shared" si="96"/>
        <v>84</v>
      </c>
      <c r="AI133" s="2">
        <f t="shared" si="81"/>
        <v>0</v>
      </c>
      <c r="AJ133" s="34">
        <f t="shared" si="86"/>
        <v>0</v>
      </c>
      <c r="AK133" s="57">
        <f t="shared" si="87"/>
        <v>58455</v>
      </c>
      <c r="BB133" s="2" t="e">
        <f t="shared" si="82"/>
        <v>#VALUE!</v>
      </c>
    </row>
    <row r="134" spans="5:54" x14ac:dyDescent="0.25">
      <c r="E134" s="114">
        <f t="shared" si="72"/>
        <v>126</v>
      </c>
      <c r="F134" s="111">
        <f t="shared" si="65"/>
        <v>49149</v>
      </c>
      <c r="G134" s="24">
        <f t="shared" si="58"/>
        <v>0</v>
      </c>
      <c r="H134" s="24">
        <f t="shared" si="59"/>
        <v>0</v>
      </c>
      <c r="I134" s="24">
        <f t="shared" si="70"/>
        <v>146299.1</v>
      </c>
      <c r="J134" s="24">
        <f t="shared" si="97"/>
        <v>0</v>
      </c>
      <c r="K134" s="24">
        <f t="shared" si="60"/>
        <v>0</v>
      </c>
      <c r="L134" s="24">
        <f t="shared" si="66"/>
        <v>0</v>
      </c>
      <c r="M134" s="24">
        <f t="shared" si="78"/>
        <v>0</v>
      </c>
      <c r="N134" s="24">
        <f t="shared" si="79"/>
        <v>0</v>
      </c>
      <c r="O134" s="24">
        <f t="shared" si="67"/>
        <v>0</v>
      </c>
      <c r="P134" s="24">
        <f t="shared" si="68"/>
        <v>0</v>
      </c>
      <c r="Q134" s="24">
        <f t="shared" si="61"/>
        <v>0</v>
      </c>
      <c r="R134" s="36">
        <f t="shared" si="76"/>
        <v>0</v>
      </c>
      <c r="S134" s="36">
        <f t="shared" si="69"/>
        <v>0</v>
      </c>
      <c r="T134" s="2">
        <f t="shared" si="94"/>
        <v>0</v>
      </c>
      <c r="U134" s="34">
        <f t="shared" si="85"/>
        <v>0</v>
      </c>
      <c r="V134" s="57">
        <f t="shared" si="95"/>
        <v>58455</v>
      </c>
      <c r="W134" s="16">
        <f t="shared" si="96"/>
        <v>85</v>
      </c>
      <c r="AI134" s="2">
        <f t="shared" si="81"/>
        <v>0</v>
      </c>
      <c r="AJ134" s="34">
        <f t="shared" si="86"/>
        <v>0</v>
      </c>
      <c r="AK134" s="57">
        <f t="shared" si="87"/>
        <v>58455</v>
      </c>
      <c r="BB134" s="2" t="e">
        <f t="shared" si="82"/>
        <v>#VALUE!</v>
      </c>
    </row>
    <row r="135" spans="5:54" x14ac:dyDescent="0.25">
      <c r="E135" s="114">
        <f t="shared" si="72"/>
        <v>127</v>
      </c>
      <c r="F135" s="111">
        <f t="shared" si="65"/>
        <v>49180</v>
      </c>
      <c r="G135" s="24">
        <f t="shared" si="58"/>
        <v>0</v>
      </c>
      <c r="H135" s="24">
        <f t="shared" si="59"/>
        <v>0</v>
      </c>
      <c r="I135" s="24">
        <f t="shared" si="70"/>
        <v>146299.1</v>
      </c>
      <c r="J135" s="24">
        <f t="shared" si="97"/>
        <v>0</v>
      </c>
      <c r="K135" s="24">
        <f t="shared" si="60"/>
        <v>0</v>
      </c>
      <c r="L135" s="24">
        <f t="shared" si="66"/>
        <v>0</v>
      </c>
      <c r="M135" s="24">
        <f t="shared" si="78"/>
        <v>0</v>
      </c>
      <c r="N135" s="24">
        <f t="shared" si="79"/>
        <v>0</v>
      </c>
      <c r="O135" s="24">
        <f t="shared" si="67"/>
        <v>0</v>
      </c>
      <c r="P135" s="24">
        <f t="shared" si="68"/>
        <v>0</v>
      </c>
      <c r="Q135" s="24">
        <f t="shared" si="61"/>
        <v>0</v>
      </c>
      <c r="R135" s="36">
        <f t="shared" si="76"/>
        <v>0</v>
      </c>
      <c r="S135" s="36">
        <f t="shared" si="69"/>
        <v>0</v>
      </c>
      <c r="T135" s="2">
        <f t="shared" si="94"/>
        <v>0</v>
      </c>
      <c r="U135" s="34">
        <f t="shared" si="85"/>
        <v>0</v>
      </c>
      <c r="V135" s="57">
        <f t="shared" si="95"/>
        <v>58455</v>
      </c>
      <c r="W135" s="16">
        <f t="shared" si="96"/>
        <v>86</v>
      </c>
      <c r="AI135" s="2">
        <f t="shared" si="81"/>
        <v>0</v>
      </c>
      <c r="AJ135" s="34">
        <f t="shared" si="86"/>
        <v>0</v>
      </c>
      <c r="AK135" s="57">
        <f t="shared" si="87"/>
        <v>58455</v>
      </c>
      <c r="BB135" s="2" t="e">
        <f t="shared" si="82"/>
        <v>#VALUE!</v>
      </c>
    </row>
    <row r="136" spans="5:54" x14ac:dyDescent="0.25">
      <c r="E136" s="114">
        <f t="shared" si="72"/>
        <v>128</v>
      </c>
      <c r="F136" s="111">
        <f t="shared" si="65"/>
        <v>49211</v>
      </c>
      <c r="G136" s="24">
        <f t="shared" si="58"/>
        <v>0</v>
      </c>
      <c r="H136" s="24">
        <f t="shared" si="59"/>
        <v>0</v>
      </c>
      <c r="I136" s="24">
        <f t="shared" si="70"/>
        <v>146299.1</v>
      </c>
      <c r="J136" s="24">
        <f t="shared" si="97"/>
        <v>0</v>
      </c>
      <c r="K136" s="24">
        <f t="shared" si="60"/>
        <v>0</v>
      </c>
      <c r="L136" s="24">
        <f t="shared" si="66"/>
        <v>0</v>
      </c>
      <c r="M136" s="24">
        <f t="shared" si="78"/>
        <v>0</v>
      </c>
      <c r="N136" s="24">
        <f t="shared" si="79"/>
        <v>0</v>
      </c>
      <c r="O136" s="24">
        <f t="shared" si="67"/>
        <v>0</v>
      </c>
      <c r="P136" s="24">
        <f t="shared" si="68"/>
        <v>0</v>
      </c>
      <c r="Q136" s="24">
        <f t="shared" si="61"/>
        <v>0</v>
      </c>
      <c r="R136" s="36">
        <f t="shared" si="76"/>
        <v>0</v>
      </c>
      <c r="S136" s="36">
        <f t="shared" si="69"/>
        <v>0</v>
      </c>
      <c r="T136" s="2">
        <f t="shared" si="94"/>
        <v>0</v>
      </c>
      <c r="U136" s="34">
        <f t="shared" si="85"/>
        <v>0</v>
      </c>
      <c r="V136" s="57">
        <f t="shared" si="95"/>
        <v>58455</v>
      </c>
      <c r="W136" s="16">
        <f t="shared" si="96"/>
        <v>87</v>
      </c>
      <c r="AI136" s="2">
        <f t="shared" si="81"/>
        <v>0</v>
      </c>
      <c r="AJ136" s="34">
        <f t="shared" si="86"/>
        <v>0</v>
      </c>
      <c r="AK136" s="57">
        <f t="shared" si="87"/>
        <v>58455</v>
      </c>
      <c r="BB136" s="2" t="e">
        <f t="shared" si="82"/>
        <v>#VALUE!</v>
      </c>
    </row>
    <row r="137" spans="5:54" x14ac:dyDescent="0.25">
      <c r="E137" s="114">
        <f t="shared" si="72"/>
        <v>129</v>
      </c>
      <c r="F137" s="111">
        <f t="shared" si="65"/>
        <v>49241</v>
      </c>
      <c r="G137" s="24">
        <f t="shared" ref="G137:G159" si="98">IF(AND(E137&gt;=$T$14,E137&lt;=$T$14+5),$T$15,IF(AND(Q136+L137+H137&gt;G136,G136&lt;&gt;0),$C$29,IF(Q136=0,0,Q136+L137+H137+H138)))+IF(AND(E137=$C$10,$C$22&lt;&gt;"Нет"),MIN((I137-I137/$C$19*$C$23),Q136+H137-G136),0)</f>
        <v>0</v>
      </c>
      <c r="H137" s="24">
        <f t="shared" ref="H137:H159" si="99">IF(AND(E137&gt;=$T$14,E137&lt;=$T$14+5),0,IF($C$9&gt;$AC$52,ROUND(Q136*$C$19*((F137-DATE(YEAR(F137),MONTH(F137),1)+1)/(DATE(YEAR(F137)+1,1,1)-DATE(YEAR(F137),1,1))+(EOMONTH(F136,0)-F136)/(DATE(YEAR(F136)+1,1,1)-DATE(YEAR(F136),1,1))),2),0))</f>
        <v>0</v>
      </c>
      <c r="I137" s="24">
        <f t="shared" si="70"/>
        <v>146299.1</v>
      </c>
      <c r="J137" s="24">
        <f t="shared" si="97"/>
        <v>0</v>
      </c>
      <c r="K137" s="24">
        <f t="shared" ref="K137:K159" si="100">IF(S137=0,0,IF(S137=1,Q136,IF(Q136+L137+H137&gt;G136,G137-H137-L137,Q136)))</f>
        <v>0</v>
      </c>
      <c r="L137" s="24">
        <f t="shared" si="66"/>
        <v>0</v>
      </c>
      <c r="M137" s="24">
        <f t="shared" si="78"/>
        <v>0</v>
      </c>
      <c r="N137" s="24">
        <f t="shared" si="79"/>
        <v>0</v>
      </c>
      <c r="O137" s="24">
        <f t="shared" si="67"/>
        <v>0</v>
      </c>
      <c r="P137" s="24">
        <f t="shared" si="68"/>
        <v>0</v>
      </c>
      <c r="Q137" s="24">
        <f t="shared" ref="Q137:Q159" si="101">IF(OR(S137=1,Q136=0),0,Q136-K137)</f>
        <v>0</v>
      </c>
      <c r="R137" s="36">
        <f t="shared" si="76"/>
        <v>0</v>
      </c>
      <c r="S137" s="36">
        <f t="shared" si="69"/>
        <v>0</v>
      </c>
      <c r="T137" s="2">
        <f t="shared" si="94"/>
        <v>0</v>
      </c>
      <c r="U137" s="34">
        <f t="shared" si="85"/>
        <v>0</v>
      </c>
      <c r="V137" s="57">
        <f t="shared" si="95"/>
        <v>58455</v>
      </c>
      <c r="W137" s="16">
        <f t="shared" si="96"/>
        <v>88</v>
      </c>
      <c r="AI137" s="2">
        <f t="shared" si="81"/>
        <v>0</v>
      </c>
      <c r="AJ137" s="34">
        <f t="shared" si="86"/>
        <v>0</v>
      </c>
      <c r="AK137" s="57">
        <f t="shared" si="87"/>
        <v>58455</v>
      </c>
      <c r="BB137" s="2" t="e">
        <f t="shared" si="82"/>
        <v>#VALUE!</v>
      </c>
    </row>
    <row r="138" spans="5:54" x14ac:dyDescent="0.25">
      <c r="E138" s="114">
        <f t="shared" si="72"/>
        <v>130</v>
      </c>
      <c r="F138" s="111">
        <f t="shared" ref="F138:F160" si="102">IF(DAY($AA$55)=29,DATE(YEAR($F$8),MONTH($F$8)+E138,26),IF(DAY($AA$55)=30,DATE(YEAR($F$8),MONTH($F$8)+E138,27),IF(DAY($AA$55)=31,DATE(YEAR($F$8),MONTH($F$8)+E138,28),DATE(YEAR($F$8),MONTH($F$8)+E138,DAY($F$8)))))</f>
        <v>49272</v>
      </c>
      <c r="G138" s="24">
        <f t="shared" si="98"/>
        <v>0</v>
      </c>
      <c r="H138" s="24">
        <f t="shared" si="99"/>
        <v>0</v>
      </c>
      <c r="I138" s="24">
        <f t="shared" si="70"/>
        <v>146299.1</v>
      </c>
      <c r="J138" s="24">
        <f t="shared" si="97"/>
        <v>0</v>
      </c>
      <c r="K138" s="24">
        <f t="shared" si="100"/>
        <v>0</v>
      </c>
      <c r="L138" s="24">
        <f t="shared" ref="L138:L159" si="103">IF(N138&gt;$C$29,$C$29-H138,IF(S138=0,0,O138))</f>
        <v>0</v>
      </c>
      <c r="M138" s="24">
        <f t="shared" si="78"/>
        <v>0</v>
      </c>
      <c r="N138" s="24">
        <f t="shared" si="79"/>
        <v>0</v>
      </c>
      <c r="O138" s="24">
        <f t="shared" ref="O138:O156" si="104">IF(S138=0,0,0)</f>
        <v>0</v>
      </c>
      <c r="P138" s="24">
        <f t="shared" ref="P138:P159" si="105">IF(S138=0,0,0)</f>
        <v>0</v>
      </c>
      <c r="Q138" s="24">
        <f t="shared" si="101"/>
        <v>0</v>
      </c>
      <c r="R138" s="36">
        <f t="shared" si="76"/>
        <v>0</v>
      </c>
      <c r="S138" s="36">
        <f t="shared" ref="S138:S159" si="106">R138</f>
        <v>0</v>
      </c>
      <c r="T138" s="2">
        <f t="shared" si="94"/>
        <v>0</v>
      </c>
      <c r="U138" s="34">
        <f t="shared" si="85"/>
        <v>0</v>
      </c>
      <c r="V138" s="57">
        <f t="shared" si="95"/>
        <v>58455</v>
      </c>
      <c r="W138" s="16">
        <f t="shared" si="96"/>
        <v>89</v>
      </c>
      <c r="AI138" s="2">
        <f t="shared" si="81"/>
        <v>0</v>
      </c>
      <c r="AJ138" s="34">
        <f t="shared" si="86"/>
        <v>0</v>
      </c>
      <c r="AK138" s="57">
        <f t="shared" si="87"/>
        <v>58455</v>
      </c>
      <c r="BB138" s="2" t="e">
        <f t="shared" si="82"/>
        <v>#VALUE!</v>
      </c>
    </row>
    <row r="139" spans="5:54" x14ac:dyDescent="0.25">
      <c r="E139" s="114">
        <f t="shared" si="72"/>
        <v>131</v>
      </c>
      <c r="F139" s="111">
        <f t="shared" si="102"/>
        <v>49302</v>
      </c>
      <c r="G139" s="24">
        <f t="shared" si="98"/>
        <v>0</v>
      </c>
      <c r="H139" s="24">
        <f t="shared" si="99"/>
        <v>0</v>
      </c>
      <c r="I139" s="24">
        <f t="shared" ref="I139:I159" si="107">H139+I138</f>
        <v>146299.1</v>
      </c>
      <c r="J139" s="24">
        <f t="shared" si="97"/>
        <v>0</v>
      </c>
      <c r="K139" s="24">
        <f t="shared" si="100"/>
        <v>0</v>
      </c>
      <c r="L139" s="24">
        <f t="shared" si="103"/>
        <v>0</v>
      </c>
      <c r="M139" s="24">
        <f t="shared" si="78"/>
        <v>0</v>
      </c>
      <c r="N139" s="24">
        <f t="shared" si="79"/>
        <v>0</v>
      </c>
      <c r="O139" s="24">
        <f t="shared" si="104"/>
        <v>0</v>
      </c>
      <c r="P139" s="24">
        <f t="shared" si="105"/>
        <v>0</v>
      </c>
      <c r="Q139" s="24">
        <f t="shared" si="101"/>
        <v>0</v>
      </c>
      <c r="R139" s="36">
        <f t="shared" si="76"/>
        <v>0</v>
      </c>
      <c r="S139" s="36">
        <f t="shared" si="106"/>
        <v>0</v>
      </c>
      <c r="T139" s="2">
        <f t="shared" si="94"/>
        <v>0</v>
      </c>
      <c r="U139" s="34">
        <f t="shared" si="85"/>
        <v>0</v>
      </c>
      <c r="V139" s="57">
        <f t="shared" si="95"/>
        <v>58455</v>
      </c>
      <c r="W139" s="16">
        <f t="shared" si="96"/>
        <v>90</v>
      </c>
      <c r="AI139" s="2">
        <f t="shared" si="81"/>
        <v>0</v>
      </c>
      <c r="AJ139" s="34">
        <f t="shared" si="86"/>
        <v>0</v>
      </c>
      <c r="AK139" s="57">
        <f t="shared" si="87"/>
        <v>58455</v>
      </c>
      <c r="BB139" s="2" t="e">
        <f t="shared" si="82"/>
        <v>#VALUE!</v>
      </c>
    </row>
    <row r="140" spans="5:54" x14ac:dyDescent="0.25">
      <c r="E140" s="114">
        <f t="shared" ref="E140:E159" si="108">E139+1</f>
        <v>132</v>
      </c>
      <c r="F140" s="111">
        <f t="shared" si="102"/>
        <v>49333</v>
      </c>
      <c r="G140" s="24">
        <f t="shared" si="98"/>
        <v>0</v>
      </c>
      <c r="H140" s="24">
        <f t="shared" si="99"/>
        <v>0</v>
      </c>
      <c r="I140" s="24">
        <f t="shared" si="107"/>
        <v>146299.1</v>
      </c>
      <c r="J140" s="24">
        <f t="shared" si="97"/>
        <v>0</v>
      </c>
      <c r="K140" s="24">
        <f t="shared" si="100"/>
        <v>0</v>
      </c>
      <c r="L140" s="24">
        <f t="shared" si="103"/>
        <v>0</v>
      </c>
      <c r="M140" s="24">
        <f t="shared" si="78"/>
        <v>0</v>
      </c>
      <c r="N140" s="24">
        <f t="shared" si="79"/>
        <v>0</v>
      </c>
      <c r="O140" s="24">
        <f t="shared" si="104"/>
        <v>0</v>
      </c>
      <c r="P140" s="24">
        <f t="shared" si="105"/>
        <v>0</v>
      </c>
      <c r="Q140" s="24">
        <f t="shared" si="101"/>
        <v>0</v>
      </c>
      <c r="R140" s="36">
        <f t="shared" si="76"/>
        <v>0</v>
      </c>
      <c r="S140" s="36">
        <f t="shared" si="106"/>
        <v>0</v>
      </c>
      <c r="T140" s="2">
        <f t="shared" si="94"/>
        <v>0</v>
      </c>
      <c r="U140" s="34">
        <f t="shared" si="85"/>
        <v>0</v>
      </c>
      <c r="V140" s="57">
        <f t="shared" si="95"/>
        <v>58455</v>
      </c>
      <c r="W140" s="16">
        <f t="shared" si="96"/>
        <v>91</v>
      </c>
      <c r="AI140" s="2">
        <f t="shared" si="81"/>
        <v>0</v>
      </c>
      <c r="AJ140" s="34">
        <f t="shared" si="86"/>
        <v>0</v>
      </c>
      <c r="AK140" s="57">
        <f t="shared" si="87"/>
        <v>58455</v>
      </c>
      <c r="BB140" s="2" t="e">
        <f t="shared" si="82"/>
        <v>#VALUE!</v>
      </c>
    </row>
    <row r="141" spans="5:54" x14ac:dyDescent="0.25">
      <c r="E141" s="114">
        <f t="shared" si="108"/>
        <v>133</v>
      </c>
      <c r="F141" s="111">
        <f t="shared" si="102"/>
        <v>49364</v>
      </c>
      <c r="G141" s="24">
        <f t="shared" si="98"/>
        <v>0</v>
      </c>
      <c r="H141" s="24">
        <f t="shared" si="99"/>
        <v>0</v>
      </c>
      <c r="I141" s="24">
        <f t="shared" si="107"/>
        <v>146299.1</v>
      </c>
      <c r="J141" s="24">
        <f t="shared" si="97"/>
        <v>0</v>
      </c>
      <c r="K141" s="24">
        <f t="shared" si="100"/>
        <v>0</v>
      </c>
      <c r="L141" s="24">
        <f t="shared" si="103"/>
        <v>0</v>
      </c>
      <c r="M141" s="24">
        <f t="shared" si="78"/>
        <v>0</v>
      </c>
      <c r="N141" s="24">
        <f t="shared" si="79"/>
        <v>0</v>
      </c>
      <c r="O141" s="24">
        <f t="shared" si="104"/>
        <v>0</v>
      </c>
      <c r="P141" s="24">
        <f t="shared" si="105"/>
        <v>0</v>
      </c>
      <c r="Q141" s="24">
        <f t="shared" si="101"/>
        <v>0</v>
      </c>
      <c r="R141" s="36">
        <f t="shared" si="76"/>
        <v>0</v>
      </c>
      <c r="S141" s="36">
        <f t="shared" si="106"/>
        <v>0</v>
      </c>
      <c r="T141" s="2">
        <f t="shared" si="94"/>
        <v>0</v>
      </c>
      <c r="U141" s="34">
        <f t="shared" si="85"/>
        <v>0</v>
      </c>
      <c r="V141" s="57">
        <f t="shared" si="95"/>
        <v>58455</v>
      </c>
      <c r="W141" s="16">
        <f t="shared" si="96"/>
        <v>92</v>
      </c>
      <c r="AI141" s="2">
        <f t="shared" si="81"/>
        <v>0</v>
      </c>
      <c r="AJ141" s="34">
        <f t="shared" si="86"/>
        <v>0</v>
      </c>
      <c r="AK141" s="57">
        <f t="shared" si="87"/>
        <v>58455</v>
      </c>
      <c r="BB141" s="2" t="e">
        <f t="shared" si="82"/>
        <v>#VALUE!</v>
      </c>
    </row>
    <row r="142" spans="5:54" x14ac:dyDescent="0.25">
      <c r="E142" s="114">
        <f t="shared" si="108"/>
        <v>134</v>
      </c>
      <c r="F142" s="111">
        <f t="shared" si="102"/>
        <v>49392</v>
      </c>
      <c r="G142" s="24">
        <f t="shared" si="98"/>
        <v>0</v>
      </c>
      <c r="H142" s="24">
        <f t="shared" si="99"/>
        <v>0</v>
      </c>
      <c r="I142" s="24">
        <f t="shared" si="107"/>
        <v>146299.1</v>
      </c>
      <c r="J142" s="24">
        <f t="shared" si="97"/>
        <v>0</v>
      </c>
      <c r="K142" s="24">
        <f t="shared" si="100"/>
        <v>0</v>
      </c>
      <c r="L142" s="24">
        <f t="shared" si="103"/>
        <v>0</v>
      </c>
      <c r="M142" s="24">
        <f t="shared" si="78"/>
        <v>0</v>
      </c>
      <c r="N142" s="24">
        <f t="shared" si="79"/>
        <v>0</v>
      </c>
      <c r="O142" s="24">
        <f t="shared" si="104"/>
        <v>0</v>
      </c>
      <c r="P142" s="24">
        <f t="shared" si="105"/>
        <v>0</v>
      </c>
      <c r="Q142" s="24">
        <f t="shared" si="101"/>
        <v>0</v>
      </c>
      <c r="R142" s="36">
        <f t="shared" ref="R142:R159" si="109">IF((R141-1)&lt;0,0,R141-1)</f>
        <v>0</v>
      </c>
      <c r="S142" s="36">
        <f t="shared" si="106"/>
        <v>0</v>
      </c>
      <c r="T142" s="2">
        <f t="shared" si="94"/>
        <v>0</v>
      </c>
      <c r="U142" s="34">
        <f t="shared" si="85"/>
        <v>0</v>
      </c>
      <c r="V142" s="57">
        <f t="shared" si="95"/>
        <v>58455</v>
      </c>
      <c r="W142" s="16">
        <f t="shared" si="96"/>
        <v>93</v>
      </c>
      <c r="AI142" s="2">
        <f t="shared" si="81"/>
        <v>0</v>
      </c>
      <c r="AJ142" s="34">
        <f t="shared" si="86"/>
        <v>0</v>
      </c>
      <c r="AK142" s="57">
        <f t="shared" si="87"/>
        <v>58455</v>
      </c>
      <c r="BB142" s="2" t="e">
        <f t="shared" si="82"/>
        <v>#VALUE!</v>
      </c>
    </row>
    <row r="143" spans="5:54" x14ac:dyDescent="0.25">
      <c r="E143" s="114">
        <f t="shared" si="108"/>
        <v>135</v>
      </c>
      <c r="F143" s="111">
        <f t="shared" si="102"/>
        <v>49423</v>
      </c>
      <c r="G143" s="24">
        <f t="shared" si="98"/>
        <v>0</v>
      </c>
      <c r="H143" s="24">
        <f t="shared" si="99"/>
        <v>0</v>
      </c>
      <c r="I143" s="24">
        <f t="shared" si="107"/>
        <v>146299.1</v>
      </c>
      <c r="J143" s="24">
        <f t="shared" si="97"/>
        <v>0</v>
      </c>
      <c r="K143" s="24">
        <f t="shared" si="100"/>
        <v>0</v>
      </c>
      <c r="L143" s="24">
        <f t="shared" si="103"/>
        <v>0</v>
      </c>
      <c r="M143" s="24">
        <f t="shared" si="78"/>
        <v>0</v>
      </c>
      <c r="N143" s="24">
        <f t="shared" si="79"/>
        <v>0</v>
      </c>
      <c r="O143" s="24">
        <f t="shared" si="104"/>
        <v>0</v>
      </c>
      <c r="P143" s="24">
        <f t="shared" si="105"/>
        <v>0</v>
      </c>
      <c r="Q143" s="24">
        <f t="shared" si="101"/>
        <v>0</v>
      </c>
      <c r="R143" s="36">
        <f t="shared" si="109"/>
        <v>0</v>
      </c>
      <c r="S143" s="36">
        <f t="shared" si="106"/>
        <v>0</v>
      </c>
      <c r="T143" s="2">
        <f t="shared" si="94"/>
        <v>0</v>
      </c>
      <c r="U143" s="34">
        <f t="shared" si="85"/>
        <v>0</v>
      </c>
      <c r="V143" s="57">
        <f t="shared" si="95"/>
        <v>58455</v>
      </c>
      <c r="W143" s="16">
        <f t="shared" si="96"/>
        <v>94</v>
      </c>
      <c r="AI143" s="2">
        <f t="shared" si="81"/>
        <v>0</v>
      </c>
      <c r="AJ143" s="34">
        <f t="shared" si="86"/>
        <v>0</v>
      </c>
      <c r="AK143" s="57">
        <f t="shared" si="87"/>
        <v>58455</v>
      </c>
      <c r="BB143" s="2" t="e">
        <f t="shared" si="82"/>
        <v>#VALUE!</v>
      </c>
    </row>
    <row r="144" spans="5:54" x14ac:dyDescent="0.25">
      <c r="E144" s="114">
        <f t="shared" si="108"/>
        <v>136</v>
      </c>
      <c r="F144" s="111">
        <f t="shared" si="102"/>
        <v>49453</v>
      </c>
      <c r="G144" s="24">
        <f t="shared" si="98"/>
        <v>0</v>
      </c>
      <c r="H144" s="24">
        <f t="shared" si="99"/>
        <v>0</v>
      </c>
      <c r="I144" s="24">
        <f t="shared" si="107"/>
        <v>146299.1</v>
      </c>
      <c r="J144" s="24">
        <f t="shared" si="97"/>
        <v>0</v>
      </c>
      <c r="K144" s="24">
        <f t="shared" si="100"/>
        <v>0</v>
      </c>
      <c r="L144" s="24">
        <f t="shared" si="103"/>
        <v>0</v>
      </c>
      <c r="M144" s="24">
        <f t="shared" si="78"/>
        <v>0</v>
      </c>
      <c r="N144" s="24">
        <f t="shared" si="79"/>
        <v>0</v>
      </c>
      <c r="O144" s="24">
        <f t="shared" si="104"/>
        <v>0</v>
      </c>
      <c r="P144" s="24">
        <f t="shared" si="105"/>
        <v>0</v>
      </c>
      <c r="Q144" s="24">
        <f t="shared" si="101"/>
        <v>0</v>
      </c>
      <c r="R144" s="36">
        <f t="shared" si="109"/>
        <v>0</v>
      </c>
      <c r="S144" s="36">
        <f t="shared" si="106"/>
        <v>0</v>
      </c>
      <c r="T144" s="2">
        <f t="shared" si="94"/>
        <v>0</v>
      </c>
      <c r="U144" s="34">
        <f t="shared" si="85"/>
        <v>0</v>
      </c>
      <c r="V144" s="57">
        <f t="shared" si="95"/>
        <v>58455</v>
      </c>
      <c r="W144" s="16">
        <f t="shared" si="96"/>
        <v>95</v>
      </c>
      <c r="AI144" s="2">
        <f t="shared" si="81"/>
        <v>0</v>
      </c>
      <c r="AJ144" s="34">
        <f t="shared" si="86"/>
        <v>0</v>
      </c>
      <c r="AK144" s="57">
        <f t="shared" si="87"/>
        <v>58455</v>
      </c>
      <c r="BB144" s="2" t="e">
        <f t="shared" si="82"/>
        <v>#VALUE!</v>
      </c>
    </row>
    <row r="145" spans="5:54" x14ac:dyDescent="0.25">
      <c r="E145" s="114">
        <f t="shared" si="108"/>
        <v>137</v>
      </c>
      <c r="F145" s="111">
        <f t="shared" si="102"/>
        <v>49484</v>
      </c>
      <c r="G145" s="24">
        <f t="shared" si="98"/>
        <v>0</v>
      </c>
      <c r="H145" s="24">
        <f t="shared" si="99"/>
        <v>0</v>
      </c>
      <c r="I145" s="24">
        <f t="shared" si="107"/>
        <v>146299.1</v>
      </c>
      <c r="J145" s="24">
        <f t="shared" si="97"/>
        <v>0</v>
      </c>
      <c r="K145" s="24">
        <f t="shared" si="100"/>
        <v>0</v>
      </c>
      <c r="L145" s="24">
        <f t="shared" si="103"/>
        <v>0</v>
      </c>
      <c r="M145" s="24">
        <f t="shared" si="78"/>
        <v>0</v>
      </c>
      <c r="N145" s="24">
        <f t="shared" si="79"/>
        <v>0</v>
      </c>
      <c r="O145" s="24">
        <f t="shared" si="104"/>
        <v>0</v>
      </c>
      <c r="P145" s="24">
        <f t="shared" si="105"/>
        <v>0</v>
      </c>
      <c r="Q145" s="24">
        <f t="shared" si="101"/>
        <v>0</v>
      </c>
      <c r="R145" s="36">
        <f t="shared" si="109"/>
        <v>0</v>
      </c>
      <c r="S145" s="36">
        <f t="shared" si="106"/>
        <v>0</v>
      </c>
      <c r="T145" s="2">
        <f t="shared" si="94"/>
        <v>0</v>
      </c>
      <c r="U145" s="34">
        <f t="shared" si="85"/>
        <v>0</v>
      </c>
      <c r="V145" s="57">
        <f t="shared" si="95"/>
        <v>58455</v>
      </c>
      <c r="W145" s="16">
        <f t="shared" si="96"/>
        <v>96</v>
      </c>
      <c r="AI145" s="2">
        <f t="shared" si="81"/>
        <v>0</v>
      </c>
      <c r="AJ145" s="34">
        <f t="shared" si="86"/>
        <v>0</v>
      </c>
      <c r="AK145" s="57">
        <f t="shared" si="87"/>
        <v>58455</v>
      </c>
      <c r="BB145" s="2" t="e">
        <f t="shared" si="82"/>
        <v>#VALUE!</v>
      </c>
    </row>
    <row r="146" spans="5:54" x14ac:dyDescent="0.25">
      <c r="E146" s="114">
        <f t="shared" si="108"/>
        <v>138</v>
      </c>
      <c r="F146" s="111">
        <f t="shared" si="102"/>
        <v>49514</v>
      </c>
      <c r="G146" s="24">
        <f t="shared" si="98"/>
        <v>0</v>
      </c>
      <c r="H146" s="24">
        <f t="shared" si="99"/>
        <v>0</v>
      </c>
      <c r="I146" s="24">
        <f t="shared" si="107"/>
        <v>146299.1</v>
      </c>
      <c r="J146" s="24">
        <f t="shared" si="97"/>
        <v>0</v>
      </c>
      <c r="K146" s="24">
        <f t="shared" si="100"/>
        <v>0</v>
      </c>
      <c r="L146" s="24">
        <f t="shared" si="103"/>
        <v>0</v>
      </c>
      <c r="M146" s="24">
        <f t="shared" si="78"/>
        <v>0</v>
      </c>
      <c r="N146" s="24">
        <f t="shared" si="79"/>
        <v>0</v>
      </c>
      <c r="O146" s="24">
        <f t="shared" si="104"/>
        <v>0</v>
      </c>
      <c r="P146" s="24">
        <f t="shared" si="105"/>
        <v>0</v>
      </c>
      <c r="Q146" s="24">
        <f t="shared" si="101"/>
        <v>0</v>
      </c>
      <c r="R146" s="36">
        <f t="shared" si="109"/>
        <v>0</v>
      </c>
      <c r="S146" s="36">
        <f t="shared" si="106"/>
        <v>0</v>
      </c>
      <c r="T146" s="2">
        <f t="shared" si="94"/>
        <v>0</v>
      </c>
      <c r="U146" s="34">
        <f t="shared" si="85"/>
        <v>0</v>
      </c>
      <c r="V146" s="57">
        <f t="shared" si="95"/>
        <v>58455</v>
      </c>
      <c r="W146" s="16">
        <f t="shared" si="96"/>
        <v>97</v>
      </c>
      <c r="AI146" s="2">
        <f t="shared" si="81"/>
        <v>0</v>
      </c>
      <c r="AJ146" s="34">
        <f t="shared" si="86"/>
        <v>0</v>
      </c>
      <c r="AK146" s="57">
        <f t="shared" si="87"/>
        <v>58455</v>
      </c>
      <c r="BB146" s="2" t="e">
        <f t="shared" si="82"/>
        <v>#VALUE!</v>
      </c>
    </row>
    <row r="147" spans="5:54" x14ac:dyDescent="0.25">
      <c r="E147" s="114">
        <f t="shared" si="108"/>
        <v>139</v>
      </c>
      <c r="F147" s="111">
        <f t="shared" si="102"/>
        <v>49545</v>
      </c>
      <c r="G147" s="24">
        <f t="shared" si="98"/>
        <v>0</v>
      </c>
      <c r="H147" s="24">
        <f t="shared" si="99"/>
        <v>0</v>
      </c>
      <c r="I147" s="24">
        <f t="shared" si="107"/>
        <v>146299.1</v>
      </c>
      <c r="J147" s="24">
        <f t="shared" si="97"/>
        <v>0</v>
      </c>
      <c r="K147" s="24">
        <f t="shared" si="100"/>
        <v>0</v>
      </c>
      <c r="L147" s="24">
        <f t="shared" si="103"/>
        <v>0</v>
      </c>
      <c r="M147" s="24">
        <f t="shared" si="78"/>
        <v>0</v>
      </c>
      <c r="N147" s="24">
        <f t="shared" si="79"/>
        <v>0</v>
      </c>
      <c r="O147" s="24">
        <f t="shared" si="104"/>
        <v>0</v>
      </c>
      <c r="P147" s="24">
        <f t="shared" si="105"/>
        <v>0</v>
      </c>
      <c r="Q147" s="24">
        <f t="shared" si="101"/>
        <v>0</v>
      </c>
      <c r="R147" s="36">
        <f t="shared" si="109"/>
        <v>0</v>
      </c>
      <c r="S147" s="36">
        <f t="shared" si="106"/>
        <v>0</v>
      </c>
      <c r="T147" s="2">
        <f t="shared" si="94"/>
        <v>0</v>
      </c>
      <c r="U147" s="34">
        <f t="shared" si="85"/>
        <v>0</v>
      </c>
      <c r="V147" s="57">
        <f t="shared" si="95"/>
        <v>58455</v>
      </c>
      <c r="W147" s="16">
        <f t="shared" si="96"/>
        <v>98</v>
      </c>
      <c r="AI147" s="2">
        <f t="shared" si="81"/>
        <v>0</v>
      </c>
      <c r="AJ147" s="34">
        <f t="shared" si="86"/>
        <v>0</v>
      </c>
      <c r="AK147" s="57">
        <f t="shared" si="87"/>
        <v>58455</v>
      </c>
      <c r="BB147" s="2" t="e">
        <f t="shared" si="82"/>
        <v>#VALUE!</v>
      </c>
    </row>
    <row r="148" spans="5:54" x14ac:dyDescent="0.25">
      <c r="E148" s="114">
        <f t="shared" si="108"/>
        <v>140</v>
      </c>
      <c r="F148" s="111">
        <f t="shared" si="102"/>
        <v>49576</v>
      </c>
      <c r="G148" s="24">
        <f t="shared" si="98"/>
        <v>0</v>
      </c>
      <c r="H148" s="24">
        <f t="shared" si="99"/>
        <v>0</v>
      </c>
      <c r="I148" s="24">
        <f t="shared" si="107"/>
        <v>146299.1</v>
      </c>
      <c r="J148" s="24">
        <f t="shared" si="97"/>
        <v>0</v>
      </c>
      <c r="K148" s="24">
        <f t="shared" si="100"/>
        <v>0</v>
      </c>
      <c r="L148" s="24">
        <f t="shared" si="103"/>
        <v>0</v>
      </c>
      <c r="M148" s="24">
        <f t="shared" si="78"/>
        <v>0</v>
      </c>
      <c r="N148" s="24">
        <f t="shared" si="79"/>
        <v>0</v>
      </c>
      <c r="O148" s="24">
        <f t="shared" si="104"/>
        <v>0</v>
      </c>
      <c r="P148" s="24">
        <f t="shared" si="105"/>
        <v>0</v>
      </c>
      <c r="Q148" s="24">
        <f t="shared" si="101"/>
        <v>0</v>
      </c>
      <c r="R148" s="36">
        <f t="shared" si="109"/>
        <v>0</v>
      </c>
      <c r="S148" s="36">
        <f t="shared" si="106"/>
        <v>0</v>
      </c>
      <c r="T148" s="2">
        <f t="shared" si="94"/>
        <v>0</v>
      </c>
      <c r="U148" s="34">
        <f t="shared" si="85"/>
        <v>0</v>
      </c>
      <c r="V148" s="57">
        <f t="shared" si="95"/>
        <v>58455</v>
      </c>
      <c r="W148" s="16">
        <f t="shared" si="96"/>
        <v>99</v>
      </c>
      <c r="AI148" s="2">
        <f t="shared" si="81"/>
        <v>0</v>
      </c>
      <c r="AJ148" s="34">
        <f t="shared" si="86"/>
        <v>0</v>
      </c>
      <c r="AK148" s="57">
        <f t="shared" si="87"/>
        <v>58455</v>
      </c>
      <c r="BB148" s="2" t="e">
        <f t="shared" si="82"/>
        <v>#VALUE!</v>
      </c>
    </row>
    <row r="149" spans="5:54" x14ac:dyDescent="0.25">
      <c r="E149" s="114">
        <f t="shared" si="108"/>
        <v>141</v>
      </c>
      <c r="F149" s="111">
        <f t="shared" si="102"/>
        <v>49606</v>
      </c>
      <c r="G149" s="24">
        <f t="shared" si="98"/>
        <v>0</v>
      </c>
      <c r="H149" s="24">
        <f t="shared" si="99"/>
        <v>0</v>
      </c>
      <c r="I149" s="24">
        <f t="shared" si="107"/>
        <v>146299.1</v>
      </c>
      <c r="J149" s="24">
        <f t="shared" si="97"/>
        <v>0</v>
      </c>
      <c r="K149" s="24">
        <f t="shared" si="100"/>
        <v>0</v>
      </c>
      <c r="L149" s="24">
        <f t="shared" si="103"/>
        <v>0</v>
      </c>
      <c r="M149" s="24">
        <f t="shared" si="78"/>
        <v>0</v>
      </c>
      <c r="N149" s="24">
        <f t="shared" si="79"/>
        <v>0</v>
      </c>
      <c r="O149" s="24">
        <f t="shared" si="104"/>
        <v>0</v>
      </c>
      <c r="P149" s="24">
        <f t="shared" si="105"/>
        <v>0</v>
      </c>
      <c r="Q149" s="24">
        <f t="shared" si="101"/>
        <v>0</v>
      </c>
      <c r="R149" s="36">
        <f t="shared" si="109"/>
        <v>0</v>
      </c>
      <c r="S149" s="36">
        <f t="shared" si="106"/>
        <v>0</v>
      </c>
      <c r="T149" s="2">
        <f t="shared" si="94"/>
        <v>0</v>
      </c>
      <c r="U149" s="34">
        <f t="shared" si="85"/>
        <v>0</v>
      </c>
      <c r="V149" s="57">
        <f t="shared" si="95"/>
        <v>58455</v>
      </c>
      <c r="W149" s="16">
        <f t="shared" si="96"/>
        <v>100</v>
      </c>
      <c r="AI149" s="2">
        <f t="shared" si="81"/>
        <v>0</v>
      </c>
      <c r="AJ149" s="34">
        <f t="shared" si="86"/>
        <v>0</v>
      </c>
      <c r="AK149" s="57">
        <f t="shared" si="87"/>
        <v>58455</v>
      </c>
      <c r="BB149" s="2" t="e">
        <f t="shared" si="82"/>
        <v>#VALUE!</v>
      </c>
    </row>
    <row r="150" spans="5:54" x14ac:dyDescent="0.25">
      <c r="E150" s="114">
        <f t="shared" si="108"/>
        <v>142</v>
      </c>
      <c r="F150" s="111">
        <f t="shared" si="102"/>
        <v>49637</v>
      </c>
      <c r="G150" s="24">
        <f t="shared" si="98"/>
        <v>0</v>
      </c>
      <c r="H150" s="24">
        <f t="shared" si="99"/>
        <v>0</v>
      </c>
      <c r="I150" s="24">
        <f t="shared" si="107"/>
        <v>146299.1</v>
      </c>
      <c r="J150" s="24">
        <f t="shared" si="97"/>
        <v>0</v>
      </c>
      <c r="K150" s="24">
        <f t="shared" si="100"/>
        <v>0</v>
      </c>
      <c r="L150" s="24">
        <f t="shared" si="103"/>
        <v>0</v>
      </c>
      <c r="M150" s="24">
        <f t="shared" si="78"/>
        <v>0</v>
      </c>
      <c r="N150" s="24">
        <f t="shared" si="79"/>
        <v>0</v>
      </c>
      <c r="O150" s="24">
        <f t="shared" si="104"/>
        <v>0</v>
      </c>
      <c r="P150" s="24">
        <f t="shared" si="105"/>
        <v>0</v>
      </c>
      <c r="Q150" s="24">
        <f t="shared" si="101"/>
        <v>0</v>
      </c>
      <c r="R150" s="36">
        <f t="shared" si="109"/>
        <v>0</v>
      </c>
      <c r="S150" s="36">
        <f t="shared" si="106"/>
        <v>0</v>
      </c>
      <c r="T150" s="2">
        <f t="shared" si="94"/>
        <v>0</v>
      </c>
      <c r="U150" s="34">
        <f t="shared" si="85"/>
        <v>0</v>
      </c>
      <c r="V150" s="57">
        <f t="shared" si="95"/>
        <v>58455</v>
      </c>
      <c r="W150" s="16">
        <f t="shared" si="96"/>
        <v>101</v>
      </c>
      <c r="AI150" s="35">
        <f>SUM(AI50:AI149)</f>
        <v>146302.53</v>
      </c>
      <c r="AJ150" s="35">
        <f>SUM(AJ50:AJ149)</f>
        <v>449798.10000000003</v>
      </c>
      <c r="AK150" s="154">
        <f>XIRR(AJ48:AJ149,AK48:AK149)*12</f>
        <v>0.28760451078414923</v>
      </c>
      <c r="BB150" s="2" t="e">
        <f t="shared" si="82"/>
        <v>#VALUE!</v>
      </c>
    </row>
    <row r="151" spans="5:54" x14ac:dyDescent="0.25">
      <c r="E151" s="114">
        <f t="shared" si="108"/>
        <v>143</v>
      </c>
      <c r="F151" s="111">
        <f t="shared" si="102"/>
        <v>49667</v>
      </c>
      <c r="G151" s="24">
        <f t="shared" si="98"/>
        <v>0</v>
      </c>
      <c r="H151" s="24">
        <f t="shared" si="99"/>
        <v>0</v>
      </c>
      <c r="I151" s="24">
        <f t="shared" si="107"/>
        <v>146299.1</v>
      </c>
      <c r="J151" s="24">
        <f t="shared" si="97"/>
        <v>0</v>
      </c>
      <c r="K151" s="24">
        <f t="shared" si="100"/>
        <v>0</v>
      </c>
      <c r="L151" s="24">
        <f t="shared" si="103"/>
        <v>0</v>
      </c>
      <c r="M151" s="24">
        <f t="shared" ref="M151:M159" si="110">O150-L150</f>
        <v>0</v>
      </c>
      <c r="N151" s="24">
        <f t="shared" ref="N151:N159" si="111">H151+O151</f>
        <v>0</v>
      </c>
      <c r="O151" s="24">
        <f t="shared" si="104"/>
        <v>0</v>
      </c>
      <c r="P151" s="24">
        <f t="shared" si="105"/>
        <v>0</v>
      </c>
      <c r="Q151" s="24">
        <f t="shared" si="101"/>
        <v>0</v>
      </c>
      <c r="R151" s="36">
        <f t="shared" si="109"/>
        <v>0</v>
      </c>
      <c r="S151" s="36">
        <f t="shared" si="106"/>
        <v>0</v>
      </c>
      <c r="T151" s="2">
        <f t="shared" si="94"/>
        <v>0</v>
      </c>
      <c r="U151" s="34">
        <f t="shared" si="85"/>
        <v>0</v>
      </c>
      <c r="V151" s="57">
        <f t="shared" si="95"/>
        <v>58455</v>
      </c>
      <c r="W151" s="16">
        <f t="shared" si="96"/>
        <v>102</v>
      </c>
      <c r="BB151" s="2" t="e">
        <f t="shared" si="82"/>
        <v>#VALUE!</v>
      </c>
    </row>
    <row r="152" spans="5:54" x14ac:dyDescent="0.25">
      <c r="E152" s="114">
        <f t="shared" si="108"/>
        <v>144</v>
      </c>
      <c r="F152" s="111">
        <f t="shared" si="102"/>
        <v>49698</v>
      </c>
      <c r="G152" s="24">
        <f t="shared" si="98"/>
        <v>0</v>
      </c>
      <c r="H152" s="24">
        <f t="shared" si="99"/>
        <v>0</v>
      </c>
      <c r="I152" s="24">
        <f t="shared" si="107"/>
        <v>146299.1</v>
      </c>
      <c r="J152" s="24">
        <f t="shared" si="97"/>
        <v>0</v>
      </c>
      <c r="K152" s="24">
        <f t="shared" si="100"/>
        <v>0</v>
      </c>
      <c r="L152" s="24">
        <f t="shared" si="103"/>
        <v>0</v>
      </c>
      <c r="M152" s="24">
        <f t="shared" si="110"/>
        <v>0</v>
      </c>
      <c r="N152" s="24">
        <f t="shared" si="111"/>
        <v>0</v>
      </c>
      <c r="O152" s="24">
        <f t="shared" si="104"/>
        <v>0</v>
      </c>
      <c r="P152" s="24">
        <f t="shared" si="105"/>
        <v>0</v>
      </c>
      <c r="Q152" s="24">
        <f t="shared" si="101"/>
        <v>0</v>
      </c>
      <c r="R152" s="36">
        <f t="shared" si="109"/>
        <v>0</v>
      </c>
      <c r="S152" s="36">
        <f t="shared" si="106"/>
        <v>0</v>
      </c>
      <c r="T152" s="2">
        <f t="shared" si="94"/>
        <v>0</v>
      </c>
      <c r="U152" s="34">
        <f t="shared" si="85"/>
        <v>0</v>
      </c>
      <c r="V152" s="57">
        <f t="shared" si="95"/>
        <v>58455</v>
      </c>
      <c r="W152" s="16">
        <f t="shared" si="96"/>
        <v>103</v>
      </c>
      <c r="BB152" s="2" t="e">
        <f t="shared" si="82"/>
        <v>#VALUE!</v>
      </c>
    </row>
    <row r="153" spans="5:54" x14ac:dyDescent="0.25">
      <c r="E153" s="114">
        <f t="shared" si="108"/>
        <v>145</v>
      </c>
      <c r="F153" s="111">
        <f t="shared" si="102"/>
        <v>49729</v>
      </c>
      <c r="G153" s="24">
        <f t="shared" si="98"/>
        <v>0</v>
      </c>
      <c r="H153" s="24">
        <f t="shared" si="99"/>
        <v>0</v>
      </c>
      <c r="I153" s="24">
        <f t="shared" si="107"/>
        <v>146299.1</v>
      </c>
      <c r="J153" s="24">
        <f t="shared" si="97"/>
        <v>0</v>
      </c>
      <c r="K153" s="24">
        <f t="shared" si="100"/>
        <v>0</v>
      </c>
      <c r="L153" s="24">
        <f t="shared" si="103"/>
        <v>0</v>
      </c>
      <c r="M153" s="24">
        <f t="shared" si="110"/>
        <v>0</v>
      </c>
      <c r="N153" s="24">
        <f t="shared" si="111"/>
        <v>0</v>
      </c>
      <c r="O153" s="24">
        <f t="shared" si="104"/>
        <v>0</v>
      </c>
      <c r="P153" s="24">
        <f t="shared" si="105"/>
        <v>0</v>
      </c>
      <c r="Q153" s="24">
        <f t="shared" si="101"/>
        <v>0</v>
      </c>
      <c r="R153" s="36">
        <f t="shared" si="109"/>
        <v>0</v>
      </c>
      <c r="S153" s="36">
        <f t="shared" si="106"/>
        <v>0</v>
      </c>
      <c r="T153" s="2">
        <f t="shared" si="94"/>
        <v>0</v>
      </c>
      <c r="U153" s="34">
        <f t="shared" si="85"/>
        <v>0</v>
      </c>
      <c r="V153" s="57">
        <f t="shared" si="95"/>
        <v>58455</v>
      </c>
      <c r="W153" s="16">
        <f t="shared" si="96"/>
        <v>104</v>
      </c>
      <c r="BB153" s="2" t="e">
        <f>IF(AND(E158&gt;=$T$14,E158&lt;=$T$14+5),0,IF($C$9&gt;$AC$52,ROUND(AW107*IF($D$23="",0,$D$23)/(DATEVALUE(CONCATENATE("01/01/",YEAR(AN108)+1))-DATEVALUE(CONCATENATE("01/01/",YEAR(AN108))))*(AN108-AN107),2),0))</f>
        <v>#VALUE!</v>
      </c>
    </row>
    <row r="154" spans="5:54" x14ac:dyDescent="0.25">
      <c r="E154" s="114">
        <f t="shared" si="108"/>
        <v>146</v>
      </c>
      <c r="F154" s="111">
        <f t="shared" si="102"/>
        <v>49758</v>
      </c>
      <c r="G154" s="24">
        <f t="shared" si="98"/>
        <v>0</v>
      </c>
      <c r="H154" s="24">
        <f t="shared" si="99"/>
        <v>0</v>
      </c>
      <c r="I154" s="24">
        <f t="shared" si="107"/>
        <v>146299.1</v>
      </c>
      <c r="J154" s="24">
        <f t="shared" si="97"/>
        <v>0</v>
      </c>
      <c r="K154" s="24">
        <f t="shared" si="100"/>
        <v>0</v>
      </c>
      <c r="L154" s="24">
        <f t="shared" si="103"/>
        <v>0</v>
      </c>
      <c r="M154" s="24">
        <f t="shared" si="110"/>
        <v>0</v>
      </c>
      <c r="N154" s="24">
        <f t="shared" si="111"/>
        <v>0</v>
      </c>
      <c r="O154" s="24">
        <f t="shared" si="104"/>
        <v>0</v>
      </c>
      <c r="P154" s="24">
        <f t="shared" si="105"/>
        <v>0</v>
      </c>
      <c r="Q154" s="24">
        <f t="shared" si="101"/>
        <v>0</v>
      </c>
      <c r="R154" s="36">
        <f t="shared" si="109"/>
        <v>0</v>
      </c>
      <c r="S154" s="36">
        <f t="shared" si="106"/>
        <v>0</v>
      </c>
      <c r="T154" s="2">
        <f t="shared" si="94"/>
        <v>0</v>
      </c>
      <c r="U154" s="34">
        <f t="shared" si="85"/>
        <v>0</v>
      </c>
      <c r="V154" s="57">
        <f t="shared" si="95"/>
        <v>58455</v>
      </c>
      <c r="W154" s="16">
        <f t="shared" si="96"/>
        <v>105</v>
      </c>
      <c r="BB154" s="2" t="e">
        <f>IF(AND(E159&gt;=$T$14,E159&lt;=$T$14+5),0,IF($C$9&gt;$AC$52,ROUND(AW108*IF($D$23="",0,$D$23)/(DATEVALUE(CONCATENATE("01/01/",YEAR(AN109)+1))-DATEVALUE(CONCATENATE("01/01/",YEAR(AN109))))*(AN109-AN108),2),0))</f>
        <v>#VALUE!</v>
      </c>
    </row>
    <row r="155" spans="5:54" x14ac:dyDescent="0.25">
      <c r="E155" s="114">
        <f t="shared" si="108"/>
        <v>147</v>
      </c>
      <c r="F155" s="111">
        <f t="shared" si="102"/>
        <v>49789</v>
      </c>
      <c r="G155" s="24">
        <f t="shared" si="98"/>
        <v>0</v>
      </c>
      <c r="H155" s="24">
        <f t="shared" si="99"/>
        <v>0</v>
      </c>
      <c r="I155" s="24">
        <f t="shared" si="107"/>
        <v>146299.1</v>
      </c>
      <c r="J155" s="24">
        <f t="shared" si="97"/>
        <v>0</v>
      </c>
      <c r="K155" s="24">
        <f t="shared" si="100"/>
        <v>0</v>
      </c>
      <c r="L155" s="24">
        <f t="shared" si="103"/>
        <v>0</v>
      </c>
      <c r="M155" s="24">
        <f t="shared" si="110"/>
        <v>0</v>
      </c>
      <c r="N155" s="24">
        <f t="shared" si="111"/>
        <v>0</v>
      </c>
      <c r="O155" s="24">
        <f t="shared" si="104"/>
        <v>0</v>
      </c>
      <c r="P155" s="24">
        <f t="shared" si="105"/>
        <v>0</v>
      </c>
      <c r="Q155" s="24">
        <f t="shared" si="101"/>
        <v>0</v>
      </c>
      <c r="R155" s="36">
        <f t="shared" si="109"/>
        <v>0</v>
      </c>
      <c r="S155" s="36">
        <f t="shared" si="106"/>
        <v>0</v>
      </c>
      <c r="T155" s="2">
        <f t="shared" si="94"/>
        <v>0</v>
      </c>
      <c r="U155" s="34">
        <f t="shared" si="85"/>
        <v>0</v>
      </c>
      <c r="V155" s="57">
        <f t="shared" si="95"/>
        <v>58455</v>
      </c>
      <c r="W155" s="16">
        <f t="shared" si="96"/>
        <v>106</v>
      </c>
      <c r="BB155" s="35" t="e">
        <f>SUM(BB55:BB154)</f>
        <v>#VALUE!</v>
      </c>
    </row>
    <row r="156" spans="5:54" x14ac:dyDescent="0.25">
      <c r="E156" s="114">
        <f t="shared" si="108"/>
        <v>148</v>
      </c>
      <c r="F156" s="111">
        <f t="shared" si="102"/>
        <v>49819</v>
      </c>
      <c r="G156" s="24">
        <f t="shared" si="98"/>
        <v>0</v>
      </c>
      <c r="H156" s="24">
        <f t="shared" si="99"/>
        <v>0</v>
      </c>
      <c r="I156" s="24">
        <f t="shared" si="107"/>
        <v>146299.1</v>
      </c>
      <c r="J156" s="24">
        <f t="shared" si="97"/>
        <v>0</v>
      </c>
      <c r="K156" s="24">
        <f t="shared" si="100"/>
        <v>0</v>
      </c>
      <c r="L156" s="24">
        <f t="shared" si="103"/>
        <v>0</v>
      </c>
      <c r="M156" s="24">
        <f t="shared" si="110"/>
        <v>0</v>
      </c>
      <c r="N156" s="24">
        <f t="shared" si="111"/>
        <v>0</v>
      </c>
      <c r="O156" s="24">
        <f t="shared" si="104"/>
        <v>0</v>
      </c>
      <c r="P156" s="24">
        <f t="shared" si="105"/>
        <v>0</v>
      </c>
      <c r="Q156" s="24">
        <f t="shared" si="101"/>
        <v>0</v>
      </c>
      <c r="R156" s="36">
        <f t="shared" si="109"/>
        <v>0</v>
      </c>
      <c r="S156" s="36">
        <f t="shared" si="106"/>
        <v>0</v>
      </c>
      <c r="T156" s="2">
        <f t="shared" si="94"/>
        <v>0</v>
      </c>
      <c r="U156" s="34">
        <f t="shared" si="85"/>
        <v>0</v>
      </c>
      <c r="V156" s="57">
        <f t="shared" si="95"/>
        <v>58455</v>
      </c>
      <c r="W156" s="16">
        <f t="shared" si="96"/>
        <v>107</v>
      </c>
    </row>
    <row r="157" spans="5:54" x14ac:dyDescent="0.25">
      <c r="E157" s="114">
        <f t="shared" si="108"/>
        <v>149</v>
      </c>
      <c r="F157" s="111">
        <f t="shared" si="102"/>
        <v>49850</v>
      </c>
      <c r="G157" s="24">
        <f t="shared" si="98"/>
        <v>0</v>
      </c>
      <c r="H157" s="24">
        <f t="shared" si="99"/>
        <v>0</v>
      </c>
      <c r="I157" s="24">
        <f t="shared" si="107"/>
        <v>146299.1</v>
      </c>
      <c r="J157" s="24">
        <f t="shared" si="97"/>
        <v>0</v>
      </c>
      <c r="K157" s="24">
        <f t="shared" si="100"/>
        <v>0</v>
      </c>
      <c r="L157" s="24">
        <f t="shared" si="103"/>
        <v>0</v>
      </c>
      <c r="M157" s="24">
        <f t="shared" si="110"/>
        <v>0</v>
      </c>
      <c r="N157" s="24">
        <f t="shared" si="111"/>
        <v>0</v>
      </c>
      <c r="O157" s="24">
        <f>IF(S157=0,0,0)</f>
        <v>0</v>
      </c>
      <c r="P157" s="24">
        <f t="shared" si="105"/>
        <v>0</v>
      </c>
      <c r="Q157" s="24">
        <f t="shared" si="101"/>
        <v>0</v>
      </c>
      <c r="R157" s="36">
        <f t="shared" si="109"/>
        <v>0</v>
      </c>
      <c r="S157" s="36">
        <f t="shared" si="106"/>
        <v>0</v>
      </c>
      <c r="T157" s="2">
        <f t="shared" si="94"/>
        <v>0</v>
      </c>
      <c r="U157" s="34">
        <f t="shared" si="85"/>
        <v>0</v>
      </c>
      <c r="V157" s="57">
        <f t="shared" si="95"/>
        <v>58455</v>
      </c>
      <c r="W157" s="16">
        <f t="shared" si="96"/>
        <v>108</v>
      </c>
    </row>
    <row r="158" spans="5:54" x14ac:dyDescent="0.25">
      <c r="E158" s="114">
        <f t="shared" si="108"/>
        <v>150</v>
      </c>
      <c r="F158" s="111">
        <f t="shared" si="102"/>
        <v>49880</v>
      </c>
      <c r="G158" s="24">
        <f t="shared" si="98"/>
        <v>0</v>
      </c>
      <c r="H158" s="24">
        <f t="shared" si="99"/>
        <v>0</v>
      </c>
      <c r="I158" s="24">
        <f t="shared" si="107"/>
        <v>146299.1</v>
      </c>
      <c r="J158" s="24">
        <f t="shared" si="97"/>
        <v>0</v>
      </c>
      <c r="K158" s="24">
        <f t="shared" si="100"/>
        <v>0</v>
      </c>
      <c r="L158" s="24">
        <f t="shared" si="103"/>
        <v>0</v>
      </c>
      <c r="M158" s="24">
        <f t="shared" si="110"/>
        <v>0</v>
      </c>
      <c r="N158" s="24">
        <f t="shared" si="111"/>
        <v>0</v>
      </c>
      <c r="O158" s="24">
        <f>IF(S158=0,0,0)</f>
        <v>0</v>
      </c>
      <c r="P158" s="24">
        <f t="shared" si="105"/>
        <v>0</v>
      </c>
      <c r="Q158" s="24">
        <f t="shared" si="101"/>
        <v>0</v>
      </c>
      <c r="R158" s="36">
        <f t="shared" si="109"/>
        <v>0</v>
      </c>
      <c r="S158" s="36">
        <f t="shared" si="106"/>
        <v>0</v>
      </c>
      <c r="T158" s="2">
        <f t="shared" si="94"/>
        <v>0</v>
      </c>
      <c r="U158" s="34">
        <f t="shared" si="85"/>
        <v>0</v>
      </c>
      <c r="V158" s="57">
        <f t="shared" si="95"/>
        <v>58455</v>
      </c>
      <c r="W158" s="16">
        <f t="shared" si="96"/>
        <v>109</v>
      </c>
    </row>
    <row r="159" spans="5:54" x14ac:dyDescent="0.25">
      <c r="E159" s="114">
        <f t="shared" si="108"/>
        <v>151</v>
      </c>
      <c r="F159" s="111">
        <f t="shared" si="102"/>
        <v>49911</v>
      </c>
      <c r="G159" s="24">
        <f t="shared" si="98"/>
        <v>0</v>
      </c>
      <c r="H159" s="24">
        <f t="shared" si="99"/>
        <v>0</v>
      </c>
      <c r="I159" s="24">
        <f t="shared" si="107"/>
        <v>146299.1</v>
      </c>
      <c r="J159" s="24">
        <f t="shared" si="97"/>
        <v>0</v>
      </c>
      <c r="K159" s="24">
        <f t="shared" si="100"/>
        <v>0</v>
      </c>
      <c r="L159" s="24">
        <f t="shared" si="103"/>
        <v>0</v>
      </c>
      <c r="M159" s="24">
        <f t="shared" si="110"/>
        <v>0</v>
      </c>
      <c r="N159" s="24">
        <f t="shared" si="111"/>
        <v>0</v>
      </c>
      <c r="O159" s="24">
        <f>IF(S159=0,0,0)</f>
        <v>0</v>
      </c>
      <c r="P159" s="24">
        <f t="shared" si="105"/>
        <v>0</v>
      </c>
      <c r="Q159" s="24">
        <f t="shared" si="101"/>
        <v>0</v>
      </c>
      <c r="R159" s="36">
        <f t="shared" si="109"/>
        <v>0</v>
      </c>
      <c r="S159" s="36">
        <f t="shared" si="106"/>
        <v>0</v>
      </c>
      <c r="T159" s="2">
        <f t="shared" si="94"/>
        <v>0</v>
      </c>
      <c r="U159" s="34">
        <f t="shared" si="85"/>
        <v>0</v>
      </c>
      <c r="V159" s="57">
        <f t="shared" si="95"/>
        <v>58455</v>
      </c>
      <c r="W159" s="16">
        <f t="shared" si="96"/>
        <v>110</v>
      </c>
    </row>
    <row r="160" spans="5:54" x14ac:dyDescent="0.25">
      <c r="E160" s="28"/>
      <c r="F160" s="111">
        <f t="shared" si="102"/>
        <v>45315</v>
      </c>
      <c r="G160" s="30">
        <f>(SUM(G9:G159)-IF(CODE(C18)=209,AF52,0))</f>
        <v>449798.10000000003</v>
      </c>
      <c r="H160" s="30">
        <f>(SUM(H9:H159)-IF(CODE(D18)=209,AG52,0))</f>
        <v>146299.1</v>
      </c>
      <c r="I160" s="30"/>
      <c r="J160" s="30" t="e">
        <f>SUM(J9:J159)</f>
        <v>#VALUE!</v>
      </c>
      <c r="K160" s="30">
        <f>SUM(K9:K159)</f>
        <v>303498.99999999994</v>
      </c>
      <c r="L160" s="31">
        <f>SUM(L9:L159)</f>
        <v>0</v>
      </c>
      <c r="M160" s="31"/>
      <c r="N160" s="31"/>
      <c r="O160" s="31"/>
      <c r="P160" s="31"/>
      <c r="Q160" s="31"/>
      <c r="R160" s="31"/>
      <c r="S160" s="51"/>
      <c r="T160" s="2">
        <f t="shared" si="94"/>
        <v>0</v>
      </c>
      <c r="U160" s="34">
        <f t="shared" si="85"/>
        <v>0</v>
      </c>
      <c r="V160" s="57">
        <f t="shared" si="95"/>
        <v>58455</v>
      </c>
      <c r="W160" s="16">
        <f t="shared" si="96"/>
        <v>111</v>
      </c>
    </row>
    <row r="161" spans="20:23" x14ac:dyDescent="0.25">
      <c r="T161" s="2">
        <f t="shared" si="94"/>
        <v>0</v>
      </c>
      <c r="U161" s="34">
        <f t="shared" si="85"/>
        <v>0</v>
      </c>
      <c r="V161" s="57">
        <f t="shared" si="95"/>
        <v>58455</v>
      </c>
      <c r="W161" s="16">
        <f t="shared" si="96"/>
        <v>112</v>
      </c>
    </row>
    <row r="162" spans="20:23" x14ac:dyDescent="0.25">
      <c r="T162" s="2">
        <f t="shared" si="94"/>
        <v>0</v>
      </c>
      <c r="U162" s="34">
        <f t="shared" si="85"/>
        <v>0</v>
      </c>
      <c r="V162" s="57">
        <f t="shared" si="95"/>
        <v>58455</v>
      </c>
      <c r="W162" s="16">
        <f t="shared" si="96"/>
        <v>113</v>
      </c>
    </row>
    <row r="163" spans="20:23" x14ac:dyDescent="0.25">
      <c r="T163" s="2">
        <f t="shared" si="94"/>
        <v>0</v>
      </c>
      <c r="U163" s="34">
        <f t="shared" si="85"/>
        <v>0</v>
      </c>
      <c r="V163" s="57">
        <f t="shared" si="95"/>
        <v>58455</v>
      </c>
      <c r="W163" s="16">
        <f t="shared" si="96"/>
        <v>114</v>
      </c>
    </row>
    <row r="164" spans="20:23" x14ac:dyDescent="0.25">
      <c r="T164" s="2">
        <f t="shared" si="94"/>
        <v>0</v>
      </c>
      <c r="U164" s="34">
        <f t="shared" si="85"/>
        <v>0</v>
      </c>
      <c r="V164" s="57">
        <f t="shared" si="95"/>
        <v>58455</v>
      </c>
      <c r="W164" s="16">
        <f t="shared" si="96"/>
        <v>115</v>
      </c>
    </row>
    <row r="165" spans="20:23" x14ac:dyDescent="0.25">
      <c r="T165" s="2">
        <f t="shared" si="94"/>
        <v>0</v>
      </c>
      <c r="U165" s="34">
        <f t="shared" si="85"/>
        <v>0</v>
      </c>
      <c r="V165" s="57">
        <f t="shared" si="95"/>
        <v>58455</v>
      </c>
      <c r="W165" s="16">
        <f t="shared" si="96"/>
        <v>116</v>
      </c>
    </row>
    <row r="166" spans="20:23" x14ac:dyDescent="0.25">
      <c r="T166" s="2">
        <f t="shared" si="94"/>
        <v>0</v>
      </c>
      <c r="U166" s="34">
        <f t="shared" si="85"/>
        <v>0</v>
      </c>
      <c r="V166" s="57">
        <f t="shared" si="95"/>
        <v>58455</v>
      </c>
      <c r="W166" s="16">
        <f t="shared" si="96"/>
        <v>117</v>
      </c>
    </row>
    <row r="167" spans="20:23" x14ac:dyDescent="0.25">
      <c r="T167" s="2">
        <f t="shared" si="94"/>
        <v>0</v>
      </c>
      <c r="U167" s="34">
        <f t="shared" si="85"/>
        <v>0</v>
      </c>
      <c r="V167" s="57">
        <f t="shared" si="95"/>
        <v>58455</v>
      </c>
      <c r="W167" s="16">
        <f t="shared" si="96"/>
        <v>118</v>
      </c>
    </row>
    <row r="168" spans="20:23" x14ac:dyDescent="0.25">
      <c r="T168" s="2">
        <f t="shared" si="94"/>
        <v>0</v>
      </c>
      <c r="U168" s="34">
        <f t="shared" si="85"/>
        <v>0</v>
      </c>
      <c r="V168" s="57">
        <f t="shared" si="95"/>
        <v>58455</v>
      </c>
      <c r="W168" s="16">
        <f t="shared" si="96"/>
        <v>119</v>
      </c>
    </row>
    <row r="169" spans="20:23" x14ac:dyDescent="0.25">
      <c r="T169" s="2">
        <f t="shared" si="94"/>
        <v>0</v>
      </c>
      <c r="U169" s="34">
        <f t="shared" si="85"/>
        <v>0</v>
      </c>
      <c r="V169" s="57">
        <f t="shared" si="95"/>
        <v>58455</v>
      </c>
      <c r="W169" s="16">
        <f t="shared" si="96"/>
        <v>120</v>
      </c>
    </row>
    <row r="170" spans="20:23" x14ac:dyDescent="0.25">
      <c r="T170" s="2">
        <f t="shared" si="94"/>
        <v>0</v>
      </c>
      <c r="U170" s="34">
        <f t="shared" si="85"/>
        <v>0</v>
      </c>
      <c r="V170" s="57">
        <f t="shared" si="95"/>
        <v>58455</v>
      </c>
      <c r="W170" s="16">
        <f t="shared" si="96"/>
        <v>121</v>
      </c>
    </row>
    <row r="171" spans="20:23" x14ac:dyDescent="0.25">
      <c r="T171" s="2">
        <f t="shared" si="94"/>
        <v>0</v>
      </c>
      <c r="U171" s="34">
        <f t="shared" si="85"/>
        <v>0</v>
      </c>
      <c r="V171" s="57">
        <f t="shared" si="95"/>
        <v>58455</v>
      </c>
      <c r="W171" s="16">
        <f t="shared" si="96"/>
        <v>122</v>
      </c>
    </row>
    <row r="172" spans="20:23" x14ac:dyDescent="0.25">
      <c r="T172" s="2">
        <f t="shared" si="94"/>
        <v>0</v>
      </c>
      <c r="U172" s="34">
        <f t="shared" si="85"/>
        <v>0</v>
      </c>
      <c r="V172" s="57">
        <f t="shared" si="95"/>
        <v>58455</v>
      </c>
      <c r="W172" s="16">
        <f t="shared" si="96"/>
        <v>123</v>
      </c>
    </row>
    <row r="173" spans="20:23" x14ac:dyDescent="0.25">
      <c r="T173" s="2">
        <f t="shared" si="94"/>
        <v>0</v>
      </c>
      <c r="U173" s="34">
        <f t="shared" si="85"/>
        <v>0</v>
      </c>
      <c r="V173" s="57">
        <f t="shared" si="95"/>
        <v>58455</v>
      </c>
      <c r="W173" s="16">
        <f t="shared" si="96"/>
        <v>124</v>
      </c>
    </row>
    <row r="174" spans="20:23" x14ac:dyDescent="0.25">
      <c r="T174" s="2">
        <f t="shared" si="94"/>
        <v>0</v>
      </c>
      <c r="U174" s="34">
        <f t="shared" si="85"/>
        <v>0</v>
      </c>
      <c r="V174" s="57">
        <f t="shared" si="95"/>
        <v>58455</v>
      </c>
      <c r="W174" s="16">
        <f t="shared" si="96"/>
        <v>125</v>
      </c>
    </row>
    <row r="175" spans="20:23" x14ac:dyDescent="0.25">
      <c r="T175" s="2">
        <f t="shared" si="94"/>
        <v>0</v>
      </c>
      <c r="U175" s="34">
        <f t="shared" ref="U175:U180" si="112">IF(U174&lt;0,0,IF(T175=0,IF(T174=0,0,$U$46),G134)-IF(AND(T175&gt;0,T176=0),$C$26,0))</f>
        <v>0</v>
      </c>
      <c r="V175" s="57">
        <f t="shared" si="95"/>
        <v>58455</v>
      </c>
      <c r="W175" s="16">
        <f t="shared" si="96"/>
        <v>126</v>
      </c>
    </row>
    <row r="176" spans="20:23" x14ac:dyDescent="0.25">
      <c r="T176" s="2">
        <f t="shared" si="94"/>
        <v>0</v>
      </c>
      <c r="U176" s="34">
        <f t="shared" si="112"/>
        <v>0</v>
      </c>
      <c r="V176" s="57">
        <f t="shared" si="95"/>
        <v>58455</v>
      </c>
      <c r="W176" s="16">
        <f t="shared" si="96"/>
        <v>127</v>
      </c>
    </row>
    <row r="177" spans="20:23" x14ac:dyDescent="0.25">
      <c r="T177" s="2">
        <f t="shared" si="94"/>
        <v>0</v>
      </c>
      <c r="U177" s="34">
        <f t="shared" si="112"/>
        <v>0</v>
      </c>
      <c r="V177" s="57">
        <f t="shared" si="95"/>
        <v>58455</v>
      </c>
      <c r="W177" s="16">
        <f t="shared" si="96"/>
        <v>128</v>
      </c>
    </row>
    <row r="178" spans="20:23" x14ac:dyDescent="0.25">
      <c r="T178" s="2">
        <f>IF(AND(E137&gt;=$T$14,E137&lt;=$T$14+5),0,IF($C$9&gt;$AC$52,ROUND(Q136*$T$46/(DATEVALUE(CONCATENATE("01/01/",YEAR(F137)+1))-DATEVALUE(CONCATENATE("01/01/",YEAR(F137))))*(F137-F136),2),0))</f>
        <v>0</v>
      </c>
      <c r="U178" s="34">
        <f t="shared" si="112"/>
        <v>0</v>
      </c>
      <c r="V178" s="57">
        <f t="shared" si="95"/>
        <v>58455</v>
      </c>
      <c r="W178" s="16">
        <f t="shared" si="96"/>
        <v>129</v>
      </c>
    </row>
    <row r="179" spans="20:23" x14ac:dyDescent="0.25">
      <c r="T179" s="2">
        <f>IF(AND(E138&gt;=$T$14,E138&lt;=$T$14+5),0,IF($C$9&gt;$AC$52,ROUND(Q137*$T$46/(DATEVALUE(CONCATENATE("01/01/",YEAR(F138)+1))-DATEVALUE(CONCATENATE("01/01/",YEAR(F138))))*(F138-F137),2),0))</f>
        <v>0</v>
      </c>
      <c r="U179" s="34">
        <f t="shared" si="112"/>
        <v>0</v>
      </c>
      <c r="V179" s="57">
        <f t="shared" ref="V179:V180" si="113">IF(T179=0,V178,V178+365)</f>
        <v>58455</v>
      </c>
      <c r="W179" s="16">
        <f t="shared" si="96"/>
        <v>130</v>
      </c>
    </row>
    <row r="180" spans="20:23" x14ac:dyDescent="0.25">
      <c r="T180" s="2">
        <f>IF(AND(E139&gt;=$T$14,E139&lt;=$T$14+5),0,IF($C$9&gt;$AC$52,ROUND(Q138*$T$46/(DATEVALUE(CONCATENATE("01/01/",YEAR(F139)+1))-DATEVALUE(CONCATENATE("01/01/",YEAR(F139))))*(F139-F138),2),0))</f>
        <v>0</v>
      </c>
      <c r="U180" s="34">
        <f t="shared" si="112"/>
        <v>0</v>
      </c>
      <c r="V180" s="57">
        <f t="shared" si="113"/>
        <v>58455</v>
      </c>
      <c r="W180" s="16">
        <f t="shared" si="96"/>
        <v>131</v>
      </c>
    </row>
    <row r="181" spans="20:23" x14ac:dyDescent="0.25">
      <c r="T181" s="35">
        <f>SUM(T50:T180)</f>
        <v>146302.53</v>
      </c>
      <c r="U181" s="35">
        <f>SUM(U50:U180)</f>
        <v>449798.10000000003</v>
      </c>
      <c r="V181" s="154">
        <f>XIRR(U48:U180,V48:V180)*12</f>
        <v>0.27864800691604613</v>
      </c>
    </row>
    <row r="182" spans="20:23" x14ac:dyDescent="0.25">
      <c r="U182" s="34"/>
      <c r="V182" s="57"/>
    </row>
    <row r="183" spans="20:23" x14ac:dyDescent="0.25">
      <c r="U183" s="34"/>
      <c r="V183" s="57"/>
    </row>
    <row r="184" spans="20:23" x14ac:dyDescent="0.25">
      <c r="U184" s="34"/>
      <c r="V184" s="57"/>
    </row>
    <row r="185" spans="20:23" x14ac:dyDescent="0.25">
      <c r="U185" s="34"/>
      <c r="V185" s="57"/>
    </row>
  </sheetData>
  <sheetProtection selectLockedCells="1"/>
  <dataConsolidate/>
  <mergeCells count="42">
    <mergeCell ref="A5:D5"/>
    <mergeCell ref="A1:D2"/>
    <mergeCell ref="A3:D3"/>
    <mergeCell ref="E3:R4"/>
    <mergeCell ref="AM3:AX4"/>
    <mergeCell ref="BD3:BJ3"/>
    <mergeCell ref="BM11:BO11"/>
    <mergeCell ref="A6:B6"/>
    <mergeCell ref="BD6:BJ6"/>
    <mergeCell ref="BM6:BO6"/>
    <mergeCell ref="A7:B7"/>
    <mergeCell ref="BD7:BD8"/>
    <mergeCell ref="BE7:BE8"/>
    <mergeCell ref="BH7:BH8"/>
    <mergeCell ref="BI7:BI8"/>
    <mergeCell ref="BJ7:BJ8"/>
    <mergeCell ref="A8:B8"/>
    <mergeCell ref="A9:B9"/>
    <mergeCell ref="A10:B10"/>
    <mergeCell ref="BD10:BD11"/>
    <mergeCell ref="BE10:BE11"/>
    <mergeCell ref="A11:A12"/>
    <mergeCell ref="BM21:BO21"/>
    <mergeCell ref="A22:A27"/>
    <mergeCell ref="A13:D13"/>
    <mergeCell ref="BD13:BD14"/>
    <mergeCell ref="BE13:BE14"/>
    <mergeCell ref="A15:D15"/>
    <mergeCell ref="BM16:BO16"/>
    <mergeCell ref="A17:B17"/>
    <mergeCell ref="BD33:BD35"/>
    <mergeCell ref="A18:B18"/>
    <mergeCell ref="A19:B19"/>
    <mergeCell ref="A20:B20"/>
    <mergeCell ref="A21:B21"/>
    <mergeCell ref="X83:Y83"/>
    <mergeCell ref="X92:Y92"/>
    <mergeCell ref="A28:B28"/>
    <mergeCell ref="A29:B29"/>
    <mergeCell ref="A30:B30"/>
    <mergeCell ref="A31:B31"/>
    <mergeCell ref="A32:B32"/>
  </mergeCells>
  <dataValidations count="4">
    <dataValidation type="list" allowBlank="1" showInputMessage="1" showErrorMessage="1" sqref="C18:D18" xr:uid="{00000000-0002-0000-0600-000000000000}">
      <formula1>$T$3:$X$3</formula1>
    </dataValidation>
    <dataValidation type="list" allowBlank="1" showInputMessage="1" showErrorMessage="1" sqref="D11" xr:uid="{00000000-0002-0000-0600-000001000000}">
      <formula1>$V$33:$W$33</formula1>
    </dataValidation>
    <dataValidation type="list" allowBlank="1" showInputMessage="1" showErrorMessage="1" sqref="B33:B35 D22" xr:uid="{00000000-0002-0000-0600-000002000000}">
      <formula1>$Z$30:$AA$30</formula1>
    </dataValidation>
    <dataValidation type="list" allowBlank="1" showInputMessage="1" showErrorMessage="1" sqref="D8" xr:uid="{00000000-0002-0000-0600-000003000000}">
      <formula1>$AA$60:$AH$60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6" orientation="portrait" r:id="rId1"/>
  <colBreaks count="1" manualBreakCount="1">
    <brk id="4" max="10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U154"/>
  <sheetViews>
    <sheetView showGridLines="0" view="pageBreakPreview" zoomScale="70" zoomScaleNormal="90" zoomScaleSheetLayoutView="70" workbookViewId="0">
      <selection activeCell="C7" sqref="C7:D7"/>
    </sheetView>
  </sheetViews>
  <sheetFormatPr defaultColWidth="8.6640625" defaultRowHeight="13.2" x14ac:dyDescent="0.25"/>
  <cols>
    <col min="1" max="1" width="38" style="2" customWidth="1"/>
    <col min="2" max="2" width="36.6640625" style="2" customWidth="1"/>
    <col min="3" max="3" width="25.44140625" style="1" customWidth="1"/>
    <col min="4" max="4" width="24.6640625" style="1" customWidth="1"/>
    <col min="5" max="5" width="25" style="1" customWidth="1"/>
    <col min="6" max="6" width="5.44140625" style="1" customWidth="1"/>
    <col min="7" max="7" width="7.6640625" style="1" customWidth="1"/>
    <col min="8" max="9" width="10.6640625" style="1" customWidth="1"/>
    <col min="10" max="10" width="16.33203125" style="1" hidden="1" customWidth="1"/>
    <col min="11" max="11" width="15.44140625" style="1" customWidth="1"/>
    <col min="12" max="12" width="14" style="2" customWidth="1"/>
    <col min="13" max="13" width="14.109375" style="1" customWidth="1"/>
    <col min="14" max="16" width="15" style="3" hidden="1" customWidth="1"/>
    <col min="17" max="17" width="17.109375" style="3" hidden="1" customWidth="1"/>
    <col min="18" max="18" width="15" style="3" hidden="1" customWidth="1"/>
    <col min="19" max="20" width="14" style="2" customWidth="1"/>
    <col min="21" max="21" width="11.109375" style="2" hidden="1" customWidth="1"/>
    <col min="22" max="22" width="11.44140625" style="44" hidden="1" customWidth="1"/>
    <col min="23" max="23" width="17.6640625" style="2" hidden="1" customWidth="1"/>
    <col min="24" max="24" width="18.33203125" style="2" hidden="1" customWidth="1"/>
    <col min="25" max="25" width="13.109375" style="2" hidden="1" customWidth="1"/>
    <col min="26" max="26" width="20" style="2" hidden="1" customWidth="1"/>
    <col min="27" max="27" width="19.6640625" style="2" hidden="1" customWidth="1"/>
    <col min="28" max="28" width="20.88671875" style="2" hidden="1" customWidth="1"/>
    <col min="29" max="29" width="33.6640625" style="2" hidden="1" customWidth="1"/>
    <col min="30" max="30" width="19" style="2" hidden="1" customWidth="1"/>
    <col min="31" max="31" width="32.44140625" style="3" hidden="1" customWidth="1"/>
    <col min="32" max="32" width="31.109375" style="3" hidden="1" customWidth="1"/>
    <col min="33" max="33" width="14.44140625" style="3" hidden="1" customWidth="1"/>
    <col min="34" max="34" width="17" style="3" hidden="1" customWidth="1"/>
    <col min="35" max="35" width="13.44140625" style="2" hidden="1" customWidth="1"/>
    <col min="36" max="36" width="14.44140625" style="2" hidden="1" customWidth="1"/>
    <col min="37" max="37" width="14.44140625" style="57" hidden="1" customWidth="1"/>
    <col min="38" max="41" width="14.44140625" style="2" hidden="1" customWidth="1"/>
    <col min="42" max="42" width="7.6640625" style="2" customWidth="1"/>
    <col min="43" max="44" width="14.44140625" style="2" customWidth="1"/>
    <col min="45" max="45" width="14.44140625" style="2" hidden="1" customWidth="1"/>
    <col min="46" max="46" width="14.44140625" style="2" customWidth="1"/>
    <col min="47" max="47" width="13.6640625" style="2" customWidth="1"/>
    <col min="48" max="48" width="15.6640625" style="2" customWidth="1"/>
    <col min="49" max="49" width="12" style="2" hidden="1" customWidth="1"/>
    <col min="50" max="51" width="13.6640625" style="2" hidden="1" customWidth="1"/>
    <col min="52" max="52" width="10.6640625" style="2" hidden="1" customWidth="1"/>
    <col min="53" max="58" width="8.6640625" style="2" hidden="1" customWidth="1"/>
    <col min="59" max="59" width="14" style="2" customWidth="1"/>
    <col min="60" max="60" width="8.6640625" style="2" hidden="1" customWidth="1"/>
    <col min="61" max="61" width="11.44140625" style="2" hidden="1" customWidth="1"/>
    <col min="62" max="62" width="1.33203125" style="1" customWidth="1"/>
    <col min="63" max="64" width="1.109375" style="2" customWidth="1"/>
    <col min="65" max="65" width="3.6640625" style="2" customWidth="1"/>
    <col min="66" max="66" width="24.109375" style="2" customWidth="1"/>
    <col min="67" max="67" width="3.6640625" style="2" customWidth="1"/>
    <col min="68" max="68" width="41.44140625" style="2" customWidth="1"/>
    <col min="69" max="69" width="4.44140625" style="2" customWidth="1"/>
    <col min="70" max="70" width="18" style="2" customWidth="1"/>
    <col min="71" max="71" width="4.6640625" style="2" customWidth="1"/>
    <col min="72" max="72" width="7.6640625" style="2" customWidth="1"/>
    <col min="73" max="84" width="8.6640625" style="2" customWidth="1"/>
    <col min="85" max="16384" width="8.6640625" style="2"/>
  </cols>
  <sheetData>
    <row r="1" spans="1:72" ht="12.75" customHeight="1" x14ac:dyDescent="0.4">
      <c r="A1" s="855" t="s">
        <v>475</v>
      </c>
      <c r="B1" s="856"/>
      <c r="C1" s="856"/>
      <c r="D1" s="856"/>
      <c r="E1" s="857"/>
      <c r="F1" s="227"/>
      <c r="G1" s="2"/>
      <c r="H1" s="2"/>
      <c r="I1" s="2"/>
      <c r="J1" s="2"/>
      <c r="K1" s="2"/>
      <c r="M1" s="2"/>
      <c r="N1" s="2"/>
      <c r="O1" s="2"/>
      <c r="P1" s="2"/>
      <c r="Q1" s="2"/>
      <c r="R1" s="2"/>
      <c r="V1" s="2"/>
      <c r="AE1" s="2"/>
      <c r="AF1" s="2"/>
      <c r="AG1" s="2"/>
      <c r="AH1" s="2"/>
      <c r="AK1" s="62" t="s">
        <v>52</v>
      </c>
      <c r="AL1" s="86" t="str">
        <f>IF($C$12=$AG$3,$AG$4,IF($C$12=$AH$3,$AH$4,IF($C$12=$AI$3,$AI$4,IF($C$12=$AJ$3,$AJ$4,IF($C$12=$AK$3,$AK$4,IF($C$12=$AL$3,$AL$4,""))))))</f>
        <v/>
      </c>
      <c r="AN1" s="65"/>
      <c r="BJ1" s="2"/>
    </row>
    <row r="2" spans="1:72" ht="34.950000000000003" customHeight="1" x14ac:dyDescent="0.4">
      <c r="A2" s="872"/>
      <c r="B2" s="873"/>
      <c r="C2" s="873"/>
      <c r="D2" s="873"/>
      <c r="E2" s="874"/>
      <c r="F2" s="227"/>
      <c r="G2" s="2"/>
      <c r="H2" s="2"/>
      <c r="I2" s="2"/>
      <c r="J2" s="2"/>
      <c r="K2" s="2"/>
      <c r="M2" s="2"/>
      <c r="N2" s="2"/>
      <c r="O2" s="2"/>
      <c r="P2" s="2"/>
      <c r="Q2" s="2"/>
      <c r="R2" s="2"/>
      <c r="V2" s="2"/>
      <c r="AE2" s="2" t="s">
        <v>47</v>
      </c>
      <c r="AF2" s="2"/>
      <c r="AG2" s="2"/>
      <c r="AH2" s="2"/>
      <c r="BJ2" s="2"/>
    </row>
    <row r="3" spans="1:72" ht="25.95" customHeight="1" x14ac:dyDescent="0.3">
      <c r="A3" s="864" t="s">
        <v>196</v>
      </c>
      <c r="B3" s="865"/>
      <c r="C3" s="865"/>
      <c r="D3" s="865"/>
      <c r="E3" s="866"/>
      <c r="F3" s="675"/>
      <c r="G3" s="943" t="str">
        <f>CONCATENATE("ГРАФИК ПЛАТЕЖЕЙ - ТАРИФ СУПЕРСМАРТ",IF(C16="Да"," + ГАРАНТИРОВАННАЯ СТАВКА",""))</f>
        <v>ГРАФИК ПЛАТЕЖЕЙ - ТАРИФ СУПЕРСМАРТ + ГАРАНТИРОВАННАЯ СТАВКА</v>
      </c>
      <c r="H3" s="943"/>
      <c r="I3" s="943"/>
      <c r="J3" s="943"/>
      <c r="K3" s="943"/>
      <c r="L3" s="943"/>
      <c r="M3" s="943"/>
      <c r="N3" s="943"/>
      <c r="O3" s="943"/>
      <c r="P3" s="943"/>
      <c r="Q3" s="943"/>
      <c r="R3" s="943"/>
      <c r="S3" s="943"/>
      <c r="T3" s="943"/>
      <c r="U3" s="943"/>
      <c r="V3" s="146"/>
      <c r="W3" s="63" t="s">
        <v>33</v>
      </c>
      <c r="X3" s="63" t="s">
        <v>159</v>
      </c>
      <c r="Y3" s="63" t="s">
        <v>72</v>
      </c>
      <c r="Z3" s="63" t="s">
        <v>73</v>
      </c>
      <c r="AA3" s="63" t="s">
        <v>74</v>
      </c>
      <c r="AB3" s="63" t="s">
        <v>375</v>
      </c>
      <c r="AC3" s="63" t="s">
        <v>159</v>
      </c>
      <c r="AD3" s="63"/>
      <c r="AE3" s="63"/>
      <c r="AF3" s="63"/>
      <c r="AG3" s="87"/>
      <c r="AH3" s="87"/>
      <c r="AI3" s="87"/>
      <c r="AJ3" s="87"/>
      <c r="AK3" s="87"/>
      <c r="AL3" s="87"/>
      <c r="AM3" s="63"/>
      <c r="AN3" s="63"/>
      <c r="AO3" s="63"/>
      <c r="AP3" s="875" t="s">
        <v>355</v>
      </c>
      <c r="AQ3" s="875"/>
      <c r="AR3" s="875"/>
      <c r="AS3" s="875"/>
      <c r="AT3" s="875"/>
      <c r="AU3" s="875"/>
      <c r="AV3" s="875"/>
      <c r="AW3" s="875"/>
      <c r="AX3" s="875"/>
      <c r="AY3" s="875"/>
      <c r="AZ3" s="875"/>
      <c r="BA3" s="875"/>
      <c r="BB3" s="875"/>
      <c r="BC3" s="875"/>
      <c r="BD3" s="875"/>
      <c r="BE3" s="875"/>
      <c r="BF3" s="875"/>
      <c r="BG3" s="875"/>
      <c r="BH3" s="875"/>
      <c r="BI3" s="102"/>
      <c r="BJ3" s="102"/>
      <c r="BK3" s="102"/>
      <c r="BN3" s="826" t="s">
        <v>94</v>
      </c>
      <c r="BO3" s="826"/>
      <c r="BP3" s="826"/>
      <c r="BQ3" s="826"/>
      <c r="BR3" s="826"/>
      <c r="BS3" s="826"/>
      <c r="BT3" s="826"/>
    </row>
    <row r="4" spans="1:72" ht="13.5" hidden="1" customHeight="1" x14ac:dyDescent="0.2">
      <c r="A4" s="187"/>
      <c r="B4" s="185"/>
      <c r="C4" s="521"/>
      <c r="D4" s="185"/>
      <c r="E4" s="188"/>
      <c r="F4" s="228"/>
      <c r="G4" s="943"/>
      <c r="H4" s="943"/>
      <c r="I4" s="943"/>
      <c r="J4" s="943"/>
      <c r="K4" s="943"/>
      <c r="L4" s="943"/>
      <c r="M4" s="943"/>
      <c r="N4" s="943"/>
      <c r="O4" s="943"/>
      <c r="P4" s="943"/>
      <c r="Q4" s="943"/>
      <c r="R4" s="943"/>
      <c r="S4" s="943"/>
      <c r="T4" s="943"/>
      <c r="U4" s="943"/>
      <c r="V4" s="146"/>
      <c r="W4" s="15">
        <v>0.29899999999999999</v>
      </c>
      <c r="X4" s="15">
        <v>0.29899999999999999</v>
      </c>
      <c r="Y4" s="15">
        <v>0.29899999999999999</v>
      </c>
      <c r="Z4" s="15">
        <v>0.29899999999999999</v>
      </c>
      <c r="AA4" s="15">
        <v>0.29899999999999999</v>
      </c>
      <c r="AB4" s="15">
        <v>0.16900000000000001</v>
      </c>
      <c r="AC4" s="63" t="s">
        <v>72</v>
      </c>
      <c r="AD4" s="147"/>
      <c r="AE4" s="147"/>
      <c r="AF4" s="147"/>
      <c r="AG4" s="148"/>
      <c r="AH4" s="148"/>
      <c r="AI4" s="148"/>
      <c r="AJ4" s="148"/>
      <c r="AK4" s="148"/>
      <c r="AL4" s="148"/>
      <c r="AM4" s="147"/>
      <c r="AN4" s="147"/>
      <c r="AO4" s="147"/>
      <c r="AP4" s="875"/>
      <c r="AQ4" s="875"/>
      <c r="AR4" s="875"/>
      <c r="AS4" s="875"/>
      <c r="AT4" s="875"/>
      <c r="AU4" s="875"/>
      <c r="AV4" s="875"/>
      <c r="AW4" s="875"/>
      <c r="AX4" s="875"/>
      <c r="AY4" s="875"/>
      <c r="AZ4" s="875"/>
      <c r="BA4" s="875"/>
      <c r="BB4" s="875"/>
      <c r="BC4" s="875"/>
      <c r="BD4" s="875"/>
      <c r="BE4" s="875"/>
      <c r="BF4" s="875"/>
      <c r="BG4" s="875"/>
      <c r="BH4" s="875"/>
      <c r="BI4" s="102"/>
      <c r="BJ4" s="102"/>
      <c r="BK4" s="102"/>
      <c r="BL4" s="57"/>
    </row>
    <row r="5" spans="1:72" ht="13.5" hidden="1" customHeight="1" x14ac:dyDescent="0.2">
      <c r="A5" s="869"/>
      <c r="B5" s="870"/>
      <c r="C5" s="870"/>
      <c r="D5" s="870"/>
      <c r="E5" s="871"/>
      <c r="F5" s="229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49"/>
      <c r="W5" s="15">
        <v>0.129</v>
      </c>
      <c r="X5" s="15">
        <v>0.129</v>
      </c>
      <c r="Y5" s="15">
        <v>0.129</v>
      </c>
      <c r="Z5" s="15">
        <v>0.129</v>
      </c>
      <c r="AA5" s="15">
        <v>0.129</v>
      </c>
      <c r="AB5" s="15">
        <v>0.19900000000000001</v>
      </c>
      <c r="AC5" s="63" t="s">
        <v>73</v>
      </c>
      <c r="AD5" s="147"/>
      <c r="AE5" s="147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2"/>
      <c r="BJ5" s="668"/>
      <c r="BK5" s="102"/>
      <c r="BL5" s="57"/>
    </row>
    <row r="6" spans="1:72" ht="25.95" customHeight="1" thickBot="1" x14ac:dyDescent="0.3">
      <c r="A6" s="839" t="s">
        <v>164</v>
      </c>
      <c r="B6" s="839"/>
      <c r="C6" s="839" t="s">
        <v>165</v>
      </c>
      <c r="D6" s="839"/>
      <c r="E6" s="189" t="s">
        <v>166</v>
      </c>
      <c r="F6" s="230"/>
      <c r="G6" s="825" t="s">
        <v>148</v>
      </c>
      <c r="H6" s="825" t="s">
        <v>187</v>
      </c>
      <c r="I6" s="825" t="s">
        <v>188</v>
      </c>
      <c r="J6" s="238"/>
      <c r="K6" s="825" t="s">
        <v>194</v>
      </c>
      <c r="L6" s="825" t="s">
        <v>191</v>
      </c>
      <c r="M6" s="825" t="s">
        <v>192</v>
      </c>
      <c r="N6" s="238"/>
      <c r="O6" s="238"/>
      <c r="P6" s="238"/>
      <c r="Q6" s="238"/>
      <c r="R6" s="238"/>
      <c r="S6" s="825" t="s">
        <v>193</v>
      </c>
      <c r="T6" s="825" t="s">
        <v>289</v>
      </c>
      <c r="U6" s="195"/>
      <c r="V6" s="49"/>
      <c r="W6" s="15">
        <v>0.13900000000000001</v>
      </c>
      <c r="X6" s="15">
        <v>0.13900000000000001</v>
      </c>
      <c r="Y6" s="15">
        <v>0.13900000000000001</v>
      </c>
      <c r="Z6" s="15">
        <v>0.13900000000000001</v>
      </c>
      <c r="AA6" s="15">
        <v>0.13900000000000001</v>
      </c>
      <c r="AB6" s="15">
        <v>0.17899999999999999</v>
      </c>
      <c r="AC6" s="63" t="s">
        <v>74</v>
      </c>
      <c r="AD6" s="147"/>
      <c r="AE6" s="147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878" t="s">
        <v>148</v>
      </c>
      <c r="AQ6" s="878" t="s">
        <v>187</v>
      </c>
      <c r="AR6" s="878" t="s">
        <v>188</v>
      </c>
      <c r="AS6" s="543"/>
      <c r="AT6" s="878" t="s">
        <v>194</v>
      </c>
      <c r="AU6" s="878" t="s">
        <v>191</v>
      </c>
      <c r="AV6" s="878" t="s">
        <v>192</v>
      </c>
      <c r="AW6" s="528"/>
      <c r="AX6" s="528"/>
      <c r="AY6" s="528"/>
      <c r="AZ6" s="528"/>
      <c r="BA6" s="528"/>
      <c r="BB6" s="528"/>
      <c r="BC6" s="528"/>
      <c r="BD6" s="528"/>
      <c r="BE6" s="528"/>
      <c r="BF6" s="528"/>
      <c r="BG6" s="878" t="s">
        <v>193</v>
      </c>
      <c r="BH6" s="103"/>
      <c r="BI6" s="102"/>
      <c r="BJ6" s="668"/>
      <c r="BK6" s="102"/>
      <c r="BL6" s="57"/>
      <c r="BN6" s="827" t="s">
        <v>95</v>
      </c>
      <c r="BO6" s="827"/>
      <c r="BP6" s="827"/>
      <c r="BQ6" s="827"/>
      <c r="BR6" s="827"/>
      <c r="BS6" s="827"/>
      <c r="BT6" s="827"/>
    </row>
    <row r="7" spans="1:72" ht="28.5" customHeight="1" x14ac:dyDescent="0.6">
      <c r="A7" s="841" t="s">
        <v>200</v>
      </c>
      <c r="B7" s="841"/>
      <c r="C7" s="862">
        <v>1100000</v>
      </c>
      <c r="D7" s="862"/>
      <c r="E7" s="510"/>
      <c r="F7" s="231"/>
      <c r="G7" s="825"/>
      <c r="H7" s="825"/>
      <c r="I7" s="825"/>
      <c r="J7" s="570" t="s">
        <v>189</v>
      </c>
      <c r="K7" s="825"/>
      <c r="L7" s="825"/>
      <c r="M7" s="825"/>
      <c r="N7" s="237" t="s">
        <v>36</v>
      </c>
      <c r="O7" s="237" t="s">
        <v>39</v>
      </c>
      <c r="P7" s="237" t="s">
        <v>38</v>
      </c>
      <c r="Q7" s="570" t="s">
        <v>195</v>
      </c>
      <c r="R7" s="669" t="s">
        <v>40</v>
      </c>
      <c r="S7" s="825"/>
      <c r="T7" s="825"/>
      <c r="U7" s="196" t="s">
        <v>32</v>
      </c>
      <c r="V7" s="150" t="s">
        <v>31</v>
      </c>
      <c r="W7" s="15">
        <v>0.14899999999999999</v>
      </c>
      <c r="X7" s="15">
        <v>0.14899999999999999</v>
      </c>
      <c r="Y7" s="15">
        <v>0.14899999999999999</v>
      </c>
      <c r="Z7" s="15">
        <v>0.14899999999999999</v>
      </c>
      <c r="AA7" s="15">
        <v>0.14899999999999999</v>
      </c>
      <c r="AB7" s="15">
        <v>0.20899999999999999</v>
      </c>
      <c r="AC7" s="101"/>
      <c r="AD7" s="147"/>
      <c r="AE7" s="147"/>
      <c r="AF7" s="101"/>
      <c r="AG7" s="101"/>
      <c r="AH7" s="101"/>
      <c r="AI7" s="101"/>
      <c r="AJ7" s="101"/>
      <c r="AK7" s="101"/>
      <c r="AL7" s="101"/>
      <c r="AM7" s="101"/>
      <c r="AN7" s="101"/>
      <c r="AO7" s="151">
        <f>SUM(AO9:AO108)</f>
        <v>84</v>
      </c>
      <c r="AP7" s="878"/>
      <c r="AQ7" s="878"/>
      <c r="AR7" s="878"/>
      <c r="AS7" s="672" t="s">
        <v>156</v>
      </c>
      <c r="AT7" s="878"/>
      <c r="AU7" s="878"/>
      <c r="AV7" s="878"/>
      <c r="AW7" s="676" t="s">
        <v>36</v>
      </c>
      <c r="AX7" s="676" t="s">
        <v>39</v>
      </c>
      <c r="AY7" s="676" t="s">
        <v>38</v>
      </c>
      <c r="AZ7" s="676" t="s">
        <v>158</v>
      </c>
      <c r="BA7" s="676" t="s">
        <v>40</v>
      </c>
      <c r="BB7" s="676"/>
      <c r="BC7" s="676"/>
      <c r="BD7" s="676"/>
      <c r="BE7" s="676"/>
      <c r="BF7" s="676"/>
      <c r="BG7" s="878"/>
      <c r="BH7" s="163" t="s">
        <v>32</v>
      </c>
      <c r="BI7" s="104" t="s">
        <v>31</v>
      </c>
      <c r="BJ7" s="153">
        <f>BJ8</f>
        <v>44591</v>
      </c>
      <c r="BK7" s="108">
        <f>K8</f>
        <v>-1427039</v>
      </c>
      <c r="BL7" s="61"/>
      <c r="BN7" s="830" t="s">
        <v>84</v>
      </c>
      <c r="BO7" s="828" t="s">
        <v>85</v>
      </c>
      <c r="BP7" s="127" t="s">
        <v>86</v>
      </c>
      <c r="BQ7" s="124" t="s">
        <v>88</v>
      </c>
      <c r="BR7" s="834" t="s">
        <v>9</v>
      </c>
      <c r="BS7" s="836" t="s">
        <v>89</v>
      </c>
      <c r="BT7" s="832">
        <v>1</v>
      </c>
    </row>
    <row r="8" spans="1:72" ht="18" customHeight="1" thickBot="1" x14ac:dyDescent="0.65">
      <c r="A8" s="841" t="s">
        <v>276</v>
      </c>
      <c r="B8" s="841"/>
      <c r="C8" s="502" t="s">
        <v>367</v>
      </c>
      <c r="D8" s="215" t="str">
        <f>C8</f>
        <v>Максимум  плюс/ Забота плюс</v>
      </c>
      <c r="E8" s="510"/>
      <c r="F8" s="231"/>
      <c r="G8" s="253"/>
      <c r="H8" s="240">
        <f>C9</f>
        <v>44591</v>
      </c>
      <c r="I8" s="240"/>
      <c r="J8" s="240"/>
      <c r="K8" s="241">
        <f>-C23</f>
        <v>-1427039</v>
      </c>
      <c r="L8" s="242"/>
      <c r="M8" s="243"/>
      <c r="N8" s="243"/>
      <c r="O8" s="243"/>
      <c r="P8" s="243"/>
      <c r="Q8" s="243"/>
      <c r="R8" s="243"/>
      <c r="S8" s="239">
        <f>C23</f>
        <v>1427039</v>
      </c>
      <c r="T8" s="466"/>
      <c r="U8" s="197"/>
      <c r="V8" s="36"/>
      <c r="W8" s="15">
        <v>0.159</v>
      </c>
      <c r="X8" s="15">
        <v>0.159</v>
      </c>
      <c r="Y8" s="15">
        <v>0.159</v>
      </c>
      <c r="Z8" s="15">
        <v>0.159</v>
      </c>
      <c r="AA8" s="15">
        <v>0.159</v>
      </c>
      <c r="AB8" s="15">
        <v>0.22900000000000001</v>
      </c>
      <c r="AC8" s="15"/>
      <c r="AD8" s="147">
        <f>IF(OR($C$8="Гарантия стандарт",$C$8="Гарантия пакет"),AB5,W4)</f>
        <v>0.29899999999999999</v>
      </c>
      <c r="AE8" s="147">
        <f>IF(OR($D$8="Гарантия стандарт",$D$8="Гарантия пакет"),AB5,W4)</f>
        <v>0.29899999999999999</v>
      </c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548"/>
      <c r="AQ8" s="549">
        <f>C9</f>
        <v>44591</v>
      </c>
      <c r="AR8" s="549"/>
      <c r="AS8" s="549"/>
      <c r="AT8" s="550">
        <f>-D23</f>
        <v>-1389199</v>
      </c>
      <c r="AU8" s="546"/>
      <c r="AV8" s="551"/>
      <c r="AW8" s="551"/>
      <c r="AX8" s="551"/>
      <c r="AY8" s="551"/>
      <c r="AZ8" s="551"/>
      <c r="BA8" s="551"/>
      <c r="BB8" s="551"/>
      <c r="BC8" s="551"/>
      <c r="BD8" s="551"/>
      <c r="BE8" s="551"/>
      <c r="BF8" s="551"/>
      <c r="BG8" s="552">
        <f>D23</f>
        <v>1389199</v>
      </c>
      <c r="BH8" s="106"/>
      <c r="BI8" s="108"/>
      <c r="BJ8" s="22">
        <f>H8</f>
        <v>44591</v>
      </c>
      <c r="BK8" s="104">
        <f>$C$25</f>
        <v>194040</v>
      </c>
      <c r="BN8" s="831"/>
      <c r="BO8" s="829"/>
      <c r="BP8" s="671" t="s">
        <v>87</v>
      </c>
      <c r="BQ8" s="126" t="s">
        <v>88</v>
      </c>
      <c r="BR8" s="835"/>
      <c r="BS8" s="837"/>
      <c r="BT8" s="833"/>
    </row>
    <row r="9" spans="1:72" ht="16.95" customHeight="1" thickBot="1" x14ac:dyDescent="0.3">
      <c r="A9" s="841" t="s">
        <v>199</v>
      </c>
      <c r="B9" s="841"/>
      <c r="C9" s="842">
        <v>44591</v>
      </c>
      <c r="D9" s="842"/>
      <c r="E9" s="510"/>
      <c r="F9" s="231"/>
      <c r="G9" s="244">
        <f>1</f>
        <v>1</v>
      </c>
      <c r="H9" s="245">
        <f>IF((OR(DAY($AD$54)=29,DAY($AD$54)=30,DAY($AD$54)=31)),(EDATE($C$9-28,G9+1)),EDATE($C$9,G9))</f>
        <v>44622</v>
      </c>
      <c r="I9" s="246">
        <f>IF(AND($W$11=1,G9&gt;=$W$11,),0%,$C$11)</f>
        <v>0.17899999999999999</v>
      </c>
      <c r="J9" s="242">
        <f t="shared" ref="J9:J73" si="0">K9+Q9</f>
        <v>29910</v>
      </c>
      <c r="K9" s="242">
        <f>IF(G9&gt;$C$10,0,ROUNDUP($S$8*$C$11/12/((1-(1+$C$11/12)^(0-$C$10))),0))</f>
        <v>29910</v>
      </c>
      <c r="L9" s="242">
        <f>S8*($C$11/365*(H9-H8))</f>
        <v>21694.902495890412</v>
      </c>
      <c r="M9" s="242">
        <f>K9-L9</f>
        <v>8215.097504109588</v>
      </c>
      <c r="N9" s="242">
        <f t="shared" ref="N9:N72" si="1">IF(P9-Q9&gt;$C$24,$C$24-L9,IF(V9=0,0,R9)+$AI$51)</f>
        <v>0</v>
      </c>
      <c r="O9" s="242">
        <v>0</v>
      </c>
      <c r="P9" s="242">
        <f>L9+Q9</f>
        <v>21694.902495890412</v>
      </c>
      <c r="Q9" s="242">
        <f t="shared" ref="Q9:Q72" si="2">IF(V9=0,0,0)</f>
        <v>0</v>
      </c>
      <c r="R9" s="242">
        <f>IF(V9=0,0,0)</f>
        <v>0</v>
      </c>
      <c r="S9" s="242">
        <f>S8-M9-T9</f>
        <v>1418823.9024958904</v>
      </c>
      <c r="T9" s="467"/>
      <c r="U9" s="198">
        <f>C10</f>
        <v>84</v>
      </c>
      <c r="V9" s="36">
        <f>U9</f>
        <v>84</v>
      </c>
      <c r="W9" s="15">
        <v>0.19900000000000001</v>
      </c>
      <c r="X9" s="15">
        <v>0.19900000000000001</v>
      </c>
      <c r="Y9" s="15">
        <v>0.19900000000000001</v>
      </c>
      <c r="Z9" s="15">
        <v>0.19900000000000001</v>
      </c>
      <c r="AA9" s="15">
        <v>0.19900000000000001</v>
      </c>
      <c r="AB9" s="15">
        <v>0.25900000000000001</v>
      </c>
      <c r="AC9" s="132"/>
      <c r="AD9" s="147">
        <f>IF(OR($C$8="Гарантия стандарт",$C$8="Гарантия пакет"),AB6,W5)</f>
        <v>0.129</v>
      </c>
      <c r="AE9" s="147">
        <f>IF(OR($D$8="Гарантия стандарт",$D$8="Гарантия пакет"),AB6,W5)</f>
        <v>0.129</v>
      </c>
      <c r="AF9" s="15"/>
      <c r="AG9" s="15"/>
      <c r="AH9" s="15"/>
      <c r="AI9" s="15"/>
      <c r="AJ9" s="15"/>
      <c r="AK9" s="15"/>
      <c r="AL9" s="15"/>
      <c r="AM9" s="15"/>
      <c r="AN9" s="15"/>
      <c r="AO9" s="130">
        <f>IF(OR(AT9="",AT9=0),0,1)</f>
        <v>1</v>
      </c>
      <c r="AP9" s="553">
        <f>1</f>
        <v>1</v>
      </c>
      <c r="AQ9" s="554">
        <f>IF((OR(DAY($AD$54)=29,DAY($AD$54)=30,DAY($AD$54)=31)),(EDATE($C$9-28,AP9+1)),EDATE($C$9,AP9))</f>
        <v>44622</v>
      </c>
      <c r="AR9" s="555">
        <f t="shared" ref="AR9:AR14" si="3">$D$13</f>
        <v>0.17899999999999999</v>
      </c>
      <c r="AS9" s="546">
        <f>AT9+AZ9</f>
        <v>29117</v>
      </c>
      <c r="AT9" s="546">
        <f>IF(AP9&gt;$C$10,0,ROUNDUP($BG$8*$C$11/12/((1-(1+$C$11/12)^(0-$C$10))),0))</f>
        <v>29117</v>
      </c>
      <c r="AU9" s="546">
        <f>BG8*($C$11/365*(AQ9-AQ8))</f>
        <v>21119.630824657535</v>
      </c>
      <c r="AV9" s="546">
        <f>IF(BI9=0,0,IF(BI9=1,BG8,IF(BG8+AW9+AU9&gt;AT8,AT9-AU9-AW9,BG8)))</f>
        <v>7997.3691753424646</v>
      </c>
      <c r="AW9" s="546">
        <f t="shared" ref="AW9:AW72" si="4">IF(AY9-AZ9&gt;$D$24,$D$24-AU9,IF(BI9=0,0,BA9)+BX57)</f>
        <v>0</v>
      </c>
      <c r="AX9" s="546"/>
      <c r="AY9" s="546">
        <f>AU9+AZ9</f>
        <v>21119.630824657535</v>
      </c>
      <c r="AZ9" s="546">
        <f t="shared" ref="AZ9:AZ20" si="5">IF($D$16="Нет",0,IF($D$17="Серебряный",1800,IF($D$17="Золотой",2500,IF($D$17="Платиновый",3500,""))))</f>
        <v>0</v>
      </c>
      <c r="BA9" s="546">
        <f>IF(BI9=0,0,0)</f>
        <v>0</v>
      </c>
      <c r="BB9" s="546"/>
      <c r="BC9" s="546"/>
      <c r="BD9" s="546"/>
      <c r="BE9" s="546"/>
      <c r="BF9" s="546"/>
      <c r="BG9" s="546">
        <f>IF(OR(BI9=1,BG8=0),0,BG8-AV9)</f>
        <v>1381201.6308246576</v>
      </c>
      <c r="BH9" s="108">
        <f>C10</f>
        <v>84</v>
      </c>
      <c r="BI9" s="108">
        <f>BH9</f>
        <v>84</v>
      </c>
      <c r="BJ9" s="22">
        <f>H9</f>
        <v>44622</v>
      </c>
      <c r="BK9" s="108">
        <f t="shared" ref="BK9:BK72" si="6">K9</f>
        <v>29910</v>
      </c>
    </row>
    <row r="10" spans="1:72" ht="18" customHeight="1" x14ac:dyDescent="0.25">
      <c r="A10" s="846" t="s">
        <v>198</v>
      </c>
      <c r="B10" s="846"/>
      <c r="C10" s="840">
        <v>84</v>
      </c>
      <c r="D10" s="840"/>
      <c r="E10" s="510"/>
      <c r="F10" s="231"/>
      <c r="G10" s="244">
        <f>G9+1</f>
        <v>2</v>
      </c>
      <c r="H10" s="245">
        <f t="shared" ref="H10:H73" si="7">IF((OR(DAY($AD$54)=29,DAY($AD$54)=30,DAY($AD$54)=31)),(EDATE($C$9-28,G10+1)),EDATE($C$9,G10))</f>
        <v>44653</v>
      </c>
      <c r="I10" s="246">
        <f>IF(AND($W$11=1,G10&gt;=$W$11,G10&lt;=$W$11+0),0%,$C$11)</f>
        <v>0.17899999999999999</v>
      </c>
      <c r="J10" s="242">
        <f t="shared" si="0"/>
        <v>29910</v>
      </c>
      <c r="K10" s="242">
        <f>IF(G10&gt;$C$10,0,IF(T9=0,K9,ROUNDUP(S9*$C$11/12/((1-(1+$C$11/12)^(0-($C$10-G10)))),0)))</f>
        <v>29910</v>
      </c>
      <c r="L10" s="242">
        <f t="shared" ref="L10:L73" si="8">S9*($C$11/365*(H10-H9))</f>
        <v>21570.010506711496</v>
      </c>
      <c r="M10" s="242">
        <f>IF(S9=0,0,IF(S9+L10&gt;K9,K10-L10,S9))</f>
        <v>8339.9894932885036</v>
      </c>
      <c r="N10" s="242">
        <f t="shared" si="1"/>
        <v>0</v>
      </c>
      <c r="O10" s="242">
        <v>0</v>
      </c>
      <c r="P10" s="242">
        <f>L10+Q10</f>
        <v>21570.010506711496</v>
      </c>
      <c r="Q10" s="242">
        <f t="shared" si="2"/>
        <v>0</v>
      </c>
      <c r="R10" s="242">
        <f t="shared" ref="R10:R73" si="9">IF(V10=0,0,0)</f>
        <v>0</v>
      </c>
      <c r="S10" s="242">
        <f t="shared" ref="S10:S73" si="10">S9-M10-T10</f>
        <v>1410483.9130026018</v>
      </c>
      <c r="T10" s="467"/>
      <c r="U10" s="198">
        <f>IF((U9-1)&lt;0,0,U9-1)</f>
        <v>83</v>
      </c>
      <c r="V10" s="36">
        <f t="shared" ref="V10:V73" si="11">U10</f>
        <v>83</v>
      </c>
      <c r="W10" s="54">
        <f>ROUND(S8*0%,-2)</f>
        <v>0</v>
      </c>
      <c r="X10" s="54">
        <f>ROUND(S8*0.5%,0)</f>
        <v>7135</v>
      </c>
      <c r="Y10" s="15"/>
      <c r="Z10" s="15"/>
      <c r="AA10" s="15"/>
      <c r="AB10" s="15"/>
      <c r="AC10" s="15"/>
      <c r="AD10" s="147">
        <f>IF(OR($C$8="Гарантия стандарт",$C$8="Гарантия пакет"),AB7,W6)</f>
        <v>0.13900000000000001</v>
      </c>
      <c r="AE10" s="147">
        <f>IF(OR($D$8="Гарантия стандарт",$D$8="Гарантия пакет"),AB7,W6)</f>
        <v>0.13900000000000001</v>
      </c>
      <c r="AF10" s="15"/>
      <c r="AG10" s="15"/>
      <c r="AH10" s="15"/>
      <c r="AI10" s="15"/>
      <c r="AJ10" s="15"/>
      <c r="AK10" s="15"/>
      <c r="AL10" s="15"/>
      <c r="AM10" s="15"/>
      <c r="AN10" s="15"/>
      <c r="AO10" s="130">
        <f t="shared" ref="AO10:AO73" si="12">IF(OR(AT10="",AT10=0),0,1)</f>
        <v>1</v>
      </c>
      <c r="AP10" s="553">
        <f>AP9+1</f>
        <v>2</v>
      </c>
      <c r="AQ10" s="554">
        <f t="shared" ref="AQ10:AQ73" si="13">IF((OR(DAY($AD$54)=29,DAY($AD$54)=30,DAY($AD$54)=31)),(EDATE($C$9-28,AP10+1)),EDATE($C$9,AP10))</f>
        <v>44653</v>
      </c>
      <c r="AR10" s="555">
        <f t="shared" si="3"/>
        <v>0.17899999999999999</v>
      </c>
      <c r="AS10" s="546">
        <f t="shared" ref="AS10:AS73" si="14">AT10+AZ10</f>
        <v>29117</v>
      </c>
      <c r="AT10" s="546">
        <f t="shared" ref="AT10:AT73" si="15">IF(AP10&gt;$C$10,0,ROUNDUP($BG$8*$C$11/12/((1-(1+$C$11/12)^(0-$C$10))),0))</f>
        <v>29117</v>
      </c>
      <c r="AU10" s="546">
        <f t="shared" ref="AU10:AU73" si="16">BG9*($C$11/365*(AQ10-AQ9))</f>
        <v>20998.04890259185</v>
      </c>
      <c r="AV10" s="546">
        <f t="shared" ref="AV10:AV73" si="17">IF(BI10=0,0,IF(BI10=1,BG9,IF(BG9+AW10+AU10&gt;AT9,AT10-AU10-AW10,BG9)))</f>
        <v>8118.9510974081495</v>
      </c>
      <c r="AW10" s="546">
        <f t="shared" si="4"/>
        <v>0</v>
      </c>
      <c r="AX10" s="546">
        <v>0</v>
      </c>
      <c r="AY10" s="546">
        <f t="shared" ref="AY10:AY85" si="18">AU10+AZ10</f>
        <v>20998.04890259185</v>
      </c>
      <c r="AZ10" s="546">
        <f t="shared" si="5"/>
        <v>0</v>
      </c>
      <c r="BA10" s="546">
        <f t="shared" ref="BA10:BA18" si="19">IF(BI10=0,0,0)</f>
        <v>0</v>
      </c>
      <c r="BB10" s="546"/>
      <c r="BC10" s="546"/>
      <c r="BD10" s="546"/>
      <c r="BE10" s="546"/>
      <c r="BF10" s="546"/>
      <c r="BG10" s="546">
        <f t="shared" ref="BG10:BG73" si="20">IF(OR(BI10=1,BG9=0),0,BG9-AV10)</f>
        <v>1373082.6797272495</v>
      </c>
      <c r="BH10" s="108">
        <f>IF((BH9-1)&lt;0,0,BH9-1)</f>
        <v>83</v>
      </c>
      <c r="BI10" s="108">
        <f>BH10</f>
        <v>83</v>
      </c>
      <c r="BJ10" s="22">
        <f>H10</f>
        <v>44653</v>
      </c>
      <c r="BK10" s="108">
        <f t="shared" si="6"/>
        <v>29910</v>
      </c>
      <c r="BN10" s="830" t="s">
        <v>90</v>
      </c>
      <c r="BO10" s="828" t="s">
        <v>85</v>
      </c>
      <c r="BP10" s="129" t="s">
        <v>84</v>
      </c>
    </row>
    <row r="11" spans="1:72" ht="18" customHeight="1" thickBot="1" x14ac:dyDescent="0.3">
      <c r="A11" s="882" t="s">
        <v>172</v>
      </c>
      <c r="B11" s="882"/>
      <c r="C11" s="577">
        <v>0.17899999999999999</v>
      </c>
      <c r="D11" s="578">
        <f>C11</f>
        <v>0.17899999999999999</v>
      </c>
      <c r="E11" s="514"/>
      <c r="F11" s="232"/>
      <c r="G11" s="244">
        <f>G10+1</f>
        <v>3</v>
      </c>
      <c r="H11" s="245">
        <f t="shared" si="7"/>
        <v>44683</v>
      </c>
      <c r="I11" s="246">
        <f>IF(AND($W$11=1,G11&gt;=$W$11,G11&lt;=$W$11+0),0%,$C$11)</f>
        <v>0.17899999999999999</v>
      </c>
      <c r="J11" s="242">
        <f t="shared" si="0"/>
        <v>29910</v>
      </c>
      <c r="K11" s="242">
        <f t="shared" ref="K11:K74" si="21">IF(G11&gt;$C$10,0,IF(T10=0,K10,ROUNDUP(S10*$C$11/12/((1-(1+$C$11/12)^(0-($C$10-G11)))),0)))</f>
        <v>29910</v>
      </c>
      <c r="L11" s="242">
        <f t="shared" si="8"/>
        <v>20751.503048832798</v>
      </c>
      <c r="M11" s="242">
        <f t="shared" ref="M11:M74" si="22">IF(S10=0,0,IF(S10+L11&gt;K10,K11-L11,S10))</f>
        <v>9158.4969511672025</v>
      </c>
      <c r="N11" s="242">
        <f t="shared" si="1"/>
        <v>0</v>
      </c>
      <c r="O11" s="242">
        <v>0</v>
      </c>
      <c r="P11" s="242">
        <f t="shared" ref="P11:P85" si="23">L11+Q11</f>
        <v>20751.503048832798</v>
      </c>
      <c r="Q11" s="242">
        <f t="shared" si="2"/>
        <v>0</v>
      </c>
      <c r="R11" s="242">
        <f t="shared" si="9"/>
        <v>0</v>
      </c>
      <c r="S11" s="242">
        <f t="shared" si="10"/>
        <v>1401325.4160514346</v>
      </c>
      <c r="T11" s="467"/>
      <c r="U11" s="198">
        <f>IF((U10-1)&lt;0,0,U10-1)</f>
        <v>82</v>
      </c>
      <c r="V11" s="36">
        <f t="shared" si="11"/>
        <v>82</v>
      </c>
      <c r="W11" s="130">
        <f>IF($C$8="Нет",0,1)</f>
        <v>1</v>
      </c>
      <c r="X11" s="15"/>
      <c r="Y11" s="15"/>
      <c r="Z11" s="15"/>
      <c r="AA11" s="15"/>
      <c r="AB11" s="15"/>
      <c r="AC11" s="15"/>
      <c r="AD11" s="147"/>
      <c r="AE11" s="147"/>
      <c r="AF11" s="15"/>
      <c r="AG11" s="15"/>
      <c r="AH11" s="15"/>
      <c r="AI11" s="15"/>
      <c r="AJ11" s="15"/>
      <c r="AK11" s="15"/>
      <c r="AL11" s="15"/>
      <c r="AM11" s="3"/>
      <c r="AN11" s="175"/>
      <c r="AO11" s="130">
        <f t="shared" si="12"/>
        <v>1</v>
      </c>
      <c r="AP11" s="553">
        <f>AP10+1</f>
        <v>3</v>
      </c>
      <c r="AQ11" s="554">
        <f t="shared" si="13"/>
        <v>44683</v>
      </c>
      <c r="AR11" s="555">
        <f t="shared" si="3"/>
        <v>0.17899999999999999</v>
      </c>
      <c r="AS11" s="546">
        <f t="shared" si="14"/>
        <v>29117</v>
      </c>
      <c r="AT11" s="546">
        <f t="shared" si="15"/>
        <v>29117</v>
      </c>
      <c r="AU11" s="546">
        <f t="shared" si="16"/>
        <v>20201.243808589945</v>
      </c>
      <c r="AV11" s="546">
        <f>IF(BI11=0,0,IF(BI11=1,BG10,IF(BG10+AW11+AU11&gt;AT10,AT11-AU11-AW11,BG10)))</f>
        <v>8915.7561914100552</v>
      </c>
      <c r="AW11" s="546">
        <f t="shared" si="4"/>
        <v>0</v>
      </c>
      <c r="AX11" s="546">
        <v>0</v>
      </c>
      <c r="AY11" s="546">
        <f t="shared" si="18"/>
        <v>20201.243808589945</v>
      </c>
      <c r="AZ11" s="546">
        <f t="shared" si="5"/>
        <v>0</v>
      </c>
      <c r="BA11" s="546">
        <f t="shared" si="19"/>
        <v>0</v>
      </c>
      <c r="BB11" s="546"/>
      <c r="BC11" s="546"/>
      <c r="BD11" s="546"/>
      <c r="BE11" s="546"/>
      <c r="BF11" s="546"/>
      <c r="BG11" s="546">
        <f>IF(OR(BI11=1,BG10=0),0,BG10-AV11)</f>
        <v>1364166.9235358394</v>
      </c>
      <c r="BH11" s="108">
        <f>IF((BH10-1)&lt;0,0,BH10-1)</f>
        <v>82</v>
      </c>
      <c r="BI11" s="108">
        <f t="shared" ref="BI11:BI74" si="24">BH11</f>
        <v>82</v>
      </c>
      <c r="BJ11" s="22">
        <f t="shared" ref="BJ11:BJ74" si="25">H11</f>
        <v>44683</v>
      </c>
      <c r="BK11" s="108">
        <f t="shared" si="6"/>
        <v>29910</v>
      </c>
      <c r="BN11" s="831"/>
      <c r="BO11" s="829"/>
      <c r="BP11" s="670" t="s">
        <v>91</v>
      </c>
    </row>
    <row r="12" spans="1:72" ht="18" customHeight="1" thickBot="1" x14ac:dyDescent="0.3">
      <c r="A12" s="882" t="s">
        <v>173</v>
      </c>
      <c r="B12" s="882"/>
      <c r="C12" s="504" t="s">
        <v>33</v>
      </c>
      <c r="D12" s="218" t="str">
        <f>C12</f>
        <v>Базовый</v>
      </c>
      <c r="E12" s="514"/>
      <c r="F12" s="232"/>
      <c r="G12" s="244">
        <f t="shared" ref="G12:G75" si="26">G11+1</f>
        <v>4</v>
      </c>
      <c r="H12" s="245">
        <f t="shared" si="7"/>
        <v>44714</v>
      </c>
      <c r="I12" s="246">
        <f>IF(AND($W$11=1,G12&gt;=$W$11,G12&lt;=$W$11+0),0%,$C$11)</f>
        <v>0.17899999999999999</v>
      </c>
      <c r="J12" s="242">
        <f t="shared" si="0"/>
        <v>29910</v>
      </c>
      <c r="K12" s="242">
        <f t="shared" si="21"/>
        <v>29910</v>
      </c>
      <c r="L12" s="242">
        <f t="shared" si="8"/>
        <v>21303.985571697016</v>
      </c>
      <c r="M12" s="242">
        <f t="shared" si="22"/>
        <v>8606.014428302984</v>
      </c>
      <c r="N12" s="242">
        <f t="shared" si="1"/>
        <v>0</v>
      </c>
      <c r="O12" s="242">
        <v>0</v>
      </c>
      <c r="P12" s="242">
        <f t="shared" si="23"/>
        <v>21303.985571697016</v>
      </c>
      <c r="Q12" s="242">
        <f t="shared" si="2"/>
        <v>0</v>
      </c>
      <c r="R12" s="242">
        <f t="shared" si="9"/>
        <v>0</v>
      </c>
      <c r="S12" s="242">
        <f t="shared" si="10"/>
        <v>1392719.4016231317</v>
      </c>
      <c r="T12" s="467"/>
      <c r="U12" s="198">
        <f t="shared" ref="U12:U75" si="27">IF((U11-1)&lt;0,0,U11-1)</f>
        <v>81</v>
      </c>
      <c r="V12" s="36">
        <f t="shared" si="11"/>
        <v>81</v>
      </c>
      <c r="W12" s="15"/>
      <c r="X12" s="15"/>
      <c r="Y12" s="15"/>
      <c r="Z12" s="15"/>
      <c r="AA12" s="15"/>
      <c r="AB12" s="15"/>
      <c r="AC12" s="15"/>
      <c r="AD12" s="147">
        <f>IF(OR($C$8="Гарантия стандарт",$C$8="Гарантия пакет"),#REF!,W7)</f>
        <v>0.14899999999999999</v>
      </c>
      <c r="AE12" s="147">
        <f>IF(OR($D$8="Гарантия стандарт",$D$8="Гарантия пакет"),#REF!,W7)</f>
        <v>0.14899999999999999</v>
      </c>
      <c r="AF12" s="15"/>
      <c r="AG12" s="15"/>
      <c r="AH12" s="15"/>
      <c r="AI12" s="15"/>
      <c r="AJ12" s="15"/>
      <c r="AK12" s="15"/>
      <c r="AL12" s="15"/>
      <c r="AN12" s="57"/>
      <c r="AO12" s="130">
        <f t="shared" si="12"/>
        <v>1</v>
      </c>
      <c r="AP12" s="553">
        <f t="shared" ref="AP12:AP75" si="28">AP11+1</f>
        <v>4</v>
      </c>
      <c r="AQ12" s="554">
        <f t="shared" si="13"/>
        <v>44714</v>
      </c>
      <c r="AR12" s="555">
        <f t="shared" si="3"/>
        <v>0.17899999999999999</v>
      </c>
      <c r="AS12" s="546">
        <f t="shared" si="14"/>
        <v>29117</v>
      </c>
      <c r="AT12" s="546">
        <f t="shared" si="15"/>
        <v>29117</v>
      </c>
      <c r="AU12" s="546">
        <f t="shared" si="16"/>
        <v>20739.074681370887</v>
      </c>
      <c r="AV12" s="546">
        <f t="shared" si="17"/>
        <v>8377.9253186291135</v>
      </c>
      <c r="AW12" s="546">
        <f t="shared" si="4"/>
        <v>0</v>
      </c>
      <c r="AX12" s="546">
        <v>0</v>
      </c>
      <c r="AY12" s="546">
        <f t="shared" si="18"/>
        <v>20739.074681370887</v>
      </c>
      <c r="AZ12" s="546">
        <f t="shared" si="5"/>
        <v>0</v>
      </c>
      <c r="BA12" s="546">
        <f t="shared" si="19"/>
        <v>0</v>
      </c>
      <c r="BB12" s="546"/>
      <c r="BC12" s="546"/>
      <c r="BD12" s="546"/>
      <c r="BE12" s="546"/>
      <c r="BF12" s="546"/>
      <c r="BG12" s="546">
        <f t="shared" si="20"/>
        <v>1355788.9982172104</v>
      </c>
      <c r="BH12" s="108">
        <f t="shared" ref="BH12:BH75" si="29">IF((BH11-1)&lt;0,0,BH11-1)</f>
        <v>81</v>
      </c>
      <c r="BI12" s="108">
        <f t="shared" si="24"/>
        <v>81</v>
      </c>
      <c r="BJ12" s="22">
        <f t="shared" si="25"/>
        <v>44714</v>
      </c>
      <c r="BK12" s="108">
        <f t="shared" si="6"/>
        <v>29910</v>
      </c>
    </row>
    <row r="13" spans="1:72" ht="18" customHeight="1" x14ac:dyDescent="0.25">
      <c r="A13" s="882" t="s">
        <v>171</v>
      </c>
      <c r="B13" s="892"/>
      <c r="C13" s="360">
        <f>C11</f>
        <v>0.17899999999999999</v>
      </c>
      <c r="D13" s="217">
        <f>D11</f>
        <v>0.17899999999999999</v>
      </c>
      <c r="E13" s="514"/>
      <c r="F13" s="232"/>
      <c r="G13" s="244">
        <f t="shared" si="26"/>
        <v>5</v>
      </c>
      <c r="H13" s="245">
        <f t="shared" si="7"/>
        <v>44744</v>
      </c>
      <c r="I13" s="246">
        <f>IF(AND($W$11=1,G13&gt;=$W$11,G13&lt;=$W$11+0),0%,$C$11)</f>
        <v>0.17899999999999999</v>
      </c>
      <c r="J13" s="242">
        <f t="shared" si="0"/>
        <v>29910</v>
      </c>
      <c r="K13" s="242">
        <f t="shared" si="21"/>
        <v>29910</v>
      </c>
      <c r="L13" s="242">
        <f t="shared" si="8"/>
        <v>20490.145717030733</v>
      </c>
      <c r="M13" s="242">
        <f t="shared" si="22"/>
        <v>9419.8542829692669</v>
      </c>
      <c r="N13" s="242">
        <f t="shared" si="1"/>
        <v>0</v>
      </c>
      <c r="O13" s="242">
        <v>0</v>
      </c>
      <c r="P13" s="242">
        <f t="shared" si="23"/>
        <v>20490.145717030733</v>
      </c>
      <c r="Q13" s="242">
        <f t="shared" si="2"/>
        <v>0</v>
      </c>
      <c r="R13" s="242">
        <f t="shared" si="9"/>
        <v>0</v>
      </c>
      <c r="S13" s="242">
        <f t="shared" si="10"/>
        <v>1383299.5473401623</v>
      </c>
      <c r="T13" s="467"/>
      <c r="U13" s="198">
        <f>IF((U12-1)&lt;0,0,U12-1)</f>
        <v>80</v>
      </c>
      <c r="V13" s="36">
        <f>U13</f>
        <v>80</v>
      </c>
      <c r="W13" s="15"/>
      <c r="X13" s="15"/>
      <c r="Y13" s="15"/>
      <c r="Z13" s="15"/>
      <c r="AA13" s="15"/>
      <c r="AB13" s="15"/>
      <c r="AC13" s="15"/>
      <c r="AD13" s="62" t="e">
        <f>INDEX(AD4:AD12,MATCH(C11,$W$4:$W$7,0))</f>
        <v>#N/A</v>
      </c>
      <c r="AE13" s="62" t="e">
        <f>INDEX(AE4:AE12,MATCH(D13,$W$4:$W$7,0))</f>
        <v>#N/A</v>
      </c>
      <c r="AF13" s="15"/>
      <c r="AG13" s="15"/>
      <c r="AH13" s="15"/>
      <c r="AI13" s="15"/>
      <c r="AJ13" s="15"/>
      <c r="AK13" s="15"/>
      <c r="AL13" s="15"/>
      <c r="AO13" s="130">
        <f t="shared" si="12"/>
        <v>1</v>
      </c>
      <c r="AP13" s="553">
        <f>AP12+1</f>
        <v>5</v>
      </c>
      <c r="AQ13" s="554">
        <f t="shared" si="13"/>
        <v>44744</v>
      </c>
      <c r="AR13" s="555">
        <f t="shared" si="3"/>
        <v>0.17899999999999999</v>
      </c>
      <c r="AS13" s="546">
        <f t="shared" si="14"/>
        <v>29117</v>
      </c>
      <c r="AT13" s="546">
        <f t="shared" si="15"/>
        <v>29117</v>
      </c>
      <c r="AU13" s="546">
        <f t="shared" si="16"/>
        <v>19946.813480620327</v>
      </c>
      <c r="AV13" s="546">
        <f t="shared" si="17"/>
        <v>9170.186519379673</v>
      </c>
      <c r="AW13" s="546">
        <f t="shared" si="4"/>
        <v>0</v>
      </c>
      <c r="AX13" s="546">
        <v>0</v>
      </c>
      <c r="AY13" s="546">
        <f t="shared" si="18"/>
        <v>19946.813480620327</v>
      </c>
      <c r="AZ13" s="546">
        <f t="shared" si="5"/>
        <v>0</v>
      </c>
      <c r="BA13" s="546">
        <f t="shared" si="19"/>
        <v>0</v>
      </c>
      <c r="BB13" s="546"/>
      <c r="BC13" s="546"/>
      <c r="BD13" s="546"/>
      <c r="BE13" s="546"/>
      <c r="BF13" s="546"/>
      <c r="BG13" s="546">
        <f t="shared" si="20"/>
        <v>1346618.8116978307</v>
      </c>
      <c r="BH13" s="108">
        <f t="shared" si="29"/>
        <v>80</v>
      </c>
      <c r="BI13" s="108">
        <f t="shared" si="24"/>
        <v>80</v>
      </c>
      <c r="BJ13" s="22">
        <f t="shared" si="25"/>
        <v>44744</v>
      </c>
      <c r="BK13" s="108">
        <f t="shared" si="6"/>
        <v>29910</v>
      </c>
      <c r="BN13" s="830" t="s">
        <v>92</v>
      </c>
      <c r="BO13" s="828" t="s">
        <v>85</v>
      </c>
      <c r="BP13" s="129" t="s">
        <v>90</v>
      </c>
    </row>
    <row r="14" spans="1:72" ht="19.5" customHeight="1" thickBot="1" x14ac:dyDescent="0.3">
      <c r="A14" s="879" t="s">
        <v>168</v>
      </c>
      <c r="B14" s="419" t="s">
        <v>102</v>
      </c>
      <c r="C14" s="568" t="s">
        <v>47</v>
      </c>
      <c r="D14" s="218" t="str">
        <f>C14</f>
        <v>Да</v>
      </c>
      <c r="E14" s="510"/>
      <c r="F14" s="231"/>
      <c r="G14" s="244">
        <f t="shared" si="26"/>
        <v>6</v>
      </c>
      <c r="H14" s="245">
        <f t="shared" si="7"/>
        <v>44775</v>
      </c>
      <c r="I14" s="246">
        <f>IF(AND($W$11=1,G14&gt;=$W$11,G14&lt;=$W$11+0),0%,$C$11)</f>
        <v>0.17899999999999999</v>
      </c>
      <c r="J14" s="242">
        <f t="shared" si="0"/>
        <v>29910</v>
      </c>
      <c r="K14" s="242">
        <f t="shared" si="21"/>
        <v>29910</v>
      </c>
      <c r="L14" s="242">
        <f t="shared" si="8"/>
        <v>21029.942981344004</v>
      </c>
      <c r="M14" s="242">
        <f t="shared" si="22"/>
        <v>8880.0570186559962</v>
      </c>
      <c r="N14" s="242">
        <f t="shared" si="1"/>
        <v>0</v>
      </c>
      <c r="O14" s="242">
        <v>0</v>
      </c>
      <c r="P14" s="242">
        <f t="shared" si="23"/>
        <v>21029.942981344004</v>
      </c>
      <c r="Q14" s="242">
        <f t="shared" si="2"/>
        <v>0</v>
      </c>
      <c r="R14" s="242">
        <f t="shared" si="9"/>
        <v>0</v>
      </c>
      <c r="S14" s="242">
        <f t="shared" si="10"/>
        <v>1374419.4903215063</v>
      </c>
      <c r="T14" s="242"/>
      <c r="U14" s="198">
        <f>IF((U13-1)&lt;0,0,U13-1)</f>
        <v>79</v>
      </c>
      <c r="V14" s="36">
        <f t="shared" si="11"/>
        <v>79</v>
      </c>
      <c r="W14" s="565">
        <v>0.19900000000000001</v>
      </c>
      <c r="X14" s="565">
        <v>0.19900000000000001</v>
      </c>
      <c r="Y14" s="565">
        <v>0.19900000000000001</v>
      </c>
      <c r="Z14" s="565">
        <v>0.19900000000000001</v>
      </c>
      <c r="AA14" s="565">
        <v>0.19900000000000001</v>
      </c>
      <c r="AB14" s="15"/>
      <c r="AC14" s="15"/>
      <c r="AE14" s="15">
        <f>IF(OR(D$8="Гарантия стандарт",D$8="Гарантия пакет"),AE13,D13)</f>
        <v>0.17899999999999999</v>
      </c>
      <c r="AF14" s="15"/>
      <c r="AG14" s="15"/>
      <c r="AH14" s="15"/>
      <c r="AI14" s="15"/>
      <c r="AJ14" s="15"/>
      <c r="AK14" s="15"/>
      <c r="AL14" s="15"/>
      <c r="AN14" s="57"/>
      <c r="AO14" s="130">
        <f t="shared" si="12"/>
        <v>1</v>
      </c>
      <c r="AP14" s="553">
        <f>AP13+1</f>
        <v>6</v>
      </c>
      <c r="AQ14" s="554">
        <f t="shared" si="13"/>
        <v>44775</v>
      </c>
      <c r="AR14" s="555">
        <f t="shared" si="3"/>
        <v>0.17899999999999999</v>
      </c>
      <c r="AS14" s="546">
        <f t="shared" si="14"/>
        <v>29117</v>
      </c>
      <c r="AT14" s="546">
        <f t="shared" si="15"/>
        <v>29117</v>
      </c>
      <c r="AU14" s="546">
        <f t="shared" si="16"/>
        <v>20472.29530441442</v>
      </c>
      <c r="AV14" s="546">
        <f t="shared" si="17"/>
        <v>8644.7046955855803</v>
      </c>
      <c r="AW14" s="546">
        <f t="shared" si="4"/>
        <v>0</v>
      </c>
      <c r="AX14" s="546">
        <v>0</v>
      </c>
      <c r="AY14" s="546">
        <f t="shared" si="18"/>
        <v>20472.29530441442</v>
      </c>
      <c r="AZ14" s="546">
        <f t="shared" si="5"/>
        <v>0</v>
      </c>
      <c r="BA14" s="546">
        <f t="shared" si="19"/>
        <v>0</v>
      </c>
      <c r="BB14" s="546"/>
      <c r="BC14" s="546"/>
      <c r="BD14" s="546"/>
      <c r="BE14" s="546"/>
      <c r="BF14" s="546"/>
      <c r="BG14" s="546">
        <f t="shared" si="20"/>
        <v>1337974.107002245</v>
      </c>
      <c r="BH14" s="108">
        <f t="shared" si="29"/>
        <v>79</v>
      </c>
      <c r="BI14" s="108">
        <f t="shared" si="24"/>
        <v>79</v>
      </c>
      <c r="BJ14" s="22">
        <f t="shared" si="25"/>
        <v>44775</v>
      </c>
      <c r="BK14" s="108">
        <f t="shared" si="6"/>
        <v>29910</v>
      </c>
      <c r="BN14" s="831"/>
      <c r="BO14" s="829"/>
      <c r="BP14" s="670" t="s">
        <v>93</v>
      </c>
    </row>
    <row r="15" spans="1:72" ht="20.25" customHeight="1" x14ac:dyDescent="0.25">
      <c r="A15" s="880"/>
      <c r="B15" s="418" t="s">
        <v>182</v>
      </c>
      <c r="C15" s="505">
        <f>IF(C14="нет","",AJ109)</f>
        <v>11999</v>
      </c>
      <c r="D15" s="216">
        <f>IF(D14="нет","",AJ109)</f>
        <v>11999</v>
      </c>
      <c r="E15" s="510"/>
      <c r="F15" s="231"/>
      <c r="G15" s="244">
        <f t="shared" si="26"/>
        <v>7</v>
      </c>
      <c r="H15" s="245">
        <f t="shared" si="7"/>
        <v>44806</v>
      </c>
      <c r="I15" s="246">
        <f t="shared" ref="I15:I78" si="30">IF(AND($W$11=1,G15&gt;=$W$11,G15&lt;=$W$11+5),0%,$C$11)</f>
        <v>0.17899999999999999</v>
      </c>
      <c r="J15" s="242">
        <f t="shared" si="0"/>
        <v>29910</v>
      </c>
      <c r="K15" s="242">
        <f t="shared" si="21"/>
        <v>29910</v>
      </c>
      <c r="L15" s="242">
        <f t="shared" si="8"/>
        <v>20894.941785737094</v>
      </c>
      <c r="M15" s="242">
        <f t="shared" si="22"/>
        <v>9015.0582142629064</v>
      </c>
      <c r="N15" s="242">
        <f t="shared" si="1"/>
        <v>0</v>
      </c>
      <c r="O15" s="242">
        <v>0</v>
      </c>
      <c r="P15" s="242">
        <f t="shared" si="23"/>
        <v>20894.941785737094</v>
      </c>
      <c r="Q15" s="242">
        <f t="shared" si="2"/>
        <v>0</v>
      </c>
      <c r="R15" s="242">
        <f t="shared" si="9"/>
        <v>0</v>
      </c>
      <c r="S15" s="242">
        <f t="shared" si="10"/>
        <v>1365404.4321072435</v>
      </c>
      <c r="T15" s="467"/>
      <c r="U15" s="198">
        <f t="shared" si="27"/>
        <v>78</v>
      </c>
      <c r="V15" s="36">
        <f t="shared" si="11"/>
        <v>78</v>
      </c>
      <c r="W15" s="566">
        <v>0.19900000000000001</v>
      </c>
      <c r="X15" s="566">
        <v>0.19900000000000001</v>
      </c>
      <c r="Y15" s="566">
        <v>0.19900000000000001</v>
      </c>
      <c r="Z15" s="566">
        <v>0.19900000000000001</v>
      </c>
      <c r="AA15" s="566">
        <v>0.19900000000000001</v>
      </c>
      <c r="AB15" s="15"/>
      <c r="AC15" s="15"/>
      <c r="AD15" s="15" t="str">
        <f>IF(OR(C8="Гарантия стандарт",C8="Гарантия плюс",C8="Гарантия пакет"),AD13,"")</f>
        <v/>
      </c>
      <c r="AE15" s="15" t="str">
        <f>IF(OR(D8="Гарантия стандарт",D8="Гарантия плюс",D8="Гарантия пакет"),AE13,"")</f>
        <v/>
      </c>
      <c r="AF15" s="15"/>
      <c r="AG15" s="15"/>
      <c r="AH15" s="15"/>
      <c r="AI15" s="15"/>
      <c r="AJ15" s="15"/>
      <c r="AK15" s="15"/>
      <c r="AL15" s="15"/>
      <c r="AO15" s="130">
        <f t="shared" si="12"/>
        <v>1</v>
      </c>
      <c r="AP15" s="553">
        <f t="shared" si="28"/>
        <v>7</v>
      </c>
      <c r="AQ15" s="554">
        <f t="shared" si="13"/>
        <v>44806</v>
      </c>
      <c r="AR15" s="555">
        <f t="shared" ref="AR15:AR32" si="31">IF($D$16="Да",$AM$37,$D$13)</f>
        <v>0.17899999999999999</v>
      </c>
      <c r="AS15" s="546">
        <f t="shared" si="14"/>
        <v>29117</v>
      </c>
      <c r="AT15" s="546">
        <f t="shared" si="15"/>
        <v>29117</v>
      </c>
      <c r="AU15" s="546">
        <f t="shared" si="16"/>
        <v>20340.872108919062</v>
      </c>
      <c r="AV15" s="546">
        <f t="shared" si="17"/>
        <v>8776.1278910809378</v>
      </c>
      <c r="AW15" s="546">
        <f t="shared" si="4"/>
        <v>0</v>
      </c>
      <c r="AX15" s="546">
        <v>0</v>
      </c>
      <c r="AY15" s="546">
        <f t="shared" si="18"/>
        <v>20340.872108919062</v>
      </c>
      <c r="AZ15" s="546">
        <f t="shared" si="5"/>
        <v>0</v>
      </c>
      <c r="BA15" s="546">
        <f t="shared" si="19"/>
        <v>0</v>
      </c>
      <c r="BB15" s="546"/>
      <c r="BC15" s="546"/>
      <c r="BD15" s="546"/>
      <c r="BE15" s="546"/>
      <c r="BF15" s="546"/>
      <c r="BG15" s="546">
        <f t="shared" si="20"/>
        <v>1329197.9791111641</v>
      </c>
      <c r="BH15" s="108">
        <f t="shared" si="29"/>
        <v>78</v>
      </c>
      <c r="BI15" s="108">
        <f t="shared" si="24"/>
        <v>78</v>
      </c>
      <c r="BJ15" s="22">
        <f t="shared" si="25"/>
        <v>44806</v>
      </c>
      <c r="BK15" s="108">
        <f t="shared" si="6"/>
        <v>29910</v>
      </c>
    </row>
    <row r="16" spans="1:72" ht="19.2" customHeight="1" x14ac:dyDescent="0.25">
      <c r="A16" s="881" t="s">
        <v>356</v>
      </c>
      <c r="B16" s="186" t="s">
        <v>351</v>
      </c>
      <c r="C16" s="568" t="s">
        <v>47</v>
      </c>
      <c r="D16" s="448" t="s">
        <v>178</v>
      </c>
      <c r="E16" s="514"/>
      <c r="F16" s="232"/>
      <c r="G16" s="244">
        <f t="shared" si="26"/>
        <v>8</v>
      </c>
      <c r="H16" s="245">
        <f t="shared" si="7"/>
        <v>44836</v>
      </c>
      <c r="I16" s="246">
        <f t="shared" si="30"/>
        <v>0.17899999999999999</v>
      </c>
      <c r="J16" s="242">
        <f t="shared" si="0"/>
        <v>29910</v>
      </c>
      <c r="K16" s="242">
        <f t="shared" si="21"/>
        <v>29910</v>
      </c>
      <c r="L16" s="242">
        <f t="shared" si="8"/>
        <v>20088.278905249033</v>
      </c>
      <c r="M16" s="242">
        <f t="shared" si="22"/>
        <v>9821.7210947509666</v>
      </c>
      <c r="N16" s="242">
        <f t="shared" si="1"/>
        <v>0</v>
      </c>
      <c r="O16" s="242">
        <v>0</v>
      </c>
      <c r="P16" s="242">
        <f t="shared" si="23"/>
        <v>20088.278905249033</v>
      </c>
      <c r="Q16" s="242">
        <f t="shared" si="2"/>
        <v>0</v>
      </c>
      <c r="R16" s="242">
        <f t="shared" si="9"/>
        <v>0</v>
      </c>
      <c r="S16" s="242">
        <f t="shared" si="10"/>
        <v>1355582.7110124924</v>
      </c>
      <c r="T16" s="467"/>
      <c r="U16" s="198">
        <f t="shared" si="27"/>
        <v>77</v>
      </c>
      <c r="V16" s="36">
        <f t="shared" si="11"/>
        <v>77</v>
      </c>
      <c r="W16" s="569">
        <f>IF($C$11=W4,W15,IF($C$11=W5,W15,IF($C$11=W6,W14,IF($C$11=W7,W14,IF($C$11=W8,W14,IF($C$11=W9,W14,))))))</f>
        <v>0</v>
      </c>
      <c r="X16" s="569">
        <f t="shared" ref="X16:AA16" si="32">IF($C$11=X4,X15,IF($C$11=X5,X15,IF($C$11=X6,X14,IF($C$11=X7,X14,IF($C$11=X8,X14,IF($C$11=X9,X14,))))))</f>
        <v>0</v>
      </c>
      <c r="Y16" s="569">
        <f t="shared" si="32"/>
        <v>0</v>
      </c>
      <c r="Z16" s="569">
        <f t="shared" si="32"/>
        <v>0</v>
      </c>
      <c r="AA16" s="569">
        <f t="shared" si="32"/>
        <v>0</v>
      </c>
      <c r="AB16" s="112" t="s">
        <v>365</v>
      </c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O16" s="130">
        <f t="shared" si="12"/>
        <v>1</v>
      </c>
      <c r="AP16" s="553">
        <f t="shared" si="28"/>
        <v>8</v>
      </c>
      <c r="AQ16" s="554">
        <f t="shared" si="13"/>
        <v>44836</v>
      </c>
      <c r="AR16" s="555">
        <f t="shared" si="31"/>
        <v>0.17899999999999999</v>
      </c>
      <c r="AS16" s="546">
        <f t="shared" si="14"/>
        <v>29117</v>
      </c>
      <c r="AT16" s="546">
        <f t="shared" si="15"/>
        <v>29117</v>
      </c>
      <c r="AU16" s="546">
        <f t="shared" si="16"/>
        <v>19555.597665279318</v>
      </c>
      <c r="AV16" s="546">
        <f t="shared" si="17"/>
        <v>9561.4023347206821</v>
      </c>
      <c r="AW16" s="546">
        <f t="shared" si="4"/>
        <v>0</v>
      </c>
      <c r="AX16" s="546">
        <v>0</v>
      </c>
      <c r="AY16" s="546">
        <f t="shared" si="18"/>
        <v>19555.597665279318</v>
      </c>
      <c r="AZ16" s="546">
        <f t="shared" si="5"/>
        <v>0</v>
      </c>
      <c r="BA16" s="546">
        <f t="shared" si="19"/>
        <v>0</v>
      </c>
      <c r="BB16" s="546"/>
      <c r="BC16" s="546"/>
      <c r="BD16" s="546"/>
      <c r="BE16" s="546"/>
      <c r="BF16" s="546"/>
      <c r="BG16" s="546">
        <f t="shared" si="20"/>
        <v>1319636.5767764435</v>
      </c>
      <c r="BH16" s="108">
        <f t="shared" si="29"/>
        <v>77</v>
      </c>
      <c r="BI16" s="108">
        <f t="shared" si="24"/>
        <v>77</v>
      </c>
      <c r="BJ16" s="22">
        <f t="shared" si="25"/>
        <v>44836</v>
      </c>
      <c r="BK16" s="108">
        <f t="shared" si="6"/>
        <v>29910</v>
      </c>
    </row>
    <row r="17" spans="1:393" ht="19.95" customHeight="1" x14ac:dyDescent="0.25">
      <c r="A17" s="881"/>
      <c r="B17" s="186" t="s">
        <v>352</v>
      </c>
      <c r="C17" s="545">
        <f>IF(C16="Да",IF(C11=17.9%,11%,IF((C11=20.9%)*AND(C7&gt;500000),12%,IF(C11=22.9%,12%,12%))),"")</f>
        <v>0.11</v>
      </c>
      <c r="D17" s="450" t="str">
        <f>IF(D16="Да",IF(AND($D$23&gt;=100000,$D$23&lt;200000),"Серебряный",IF(AND($D$23&gt;=200000,$D$23&lt;300000),"Золотой",IF(AND($D$23&gt;=300000,$C$7&lt;=500000),"Платиновый",""))),"")</f>
        <v/>
      </c>
      <c r="E17" s="514"/>
      <c r="F17" s="232"/>
      <c r="G17" s="244">
        <f t="shared" si="26"/>
        <v>9</v>
      </c>
      <c r="H17" s="245">
        <f t="shared" si="7"/>
        <v>44867</v>
      </c>
      <c r="I17" s="246">
        <f t="shared" si="30"/>
        <v>0.17899999999999999</v>
      </c>
      <c r="J17" s="242">
        <f t="shared" si="0"/>
        <v>29910</v>
      </c>
      <c r="K17" s="242">
        <f t="shared" si="21"/>
        <v>29910</v>
      </c>
      <c r="L17" s="242">
        <f t="shared" si="8"/>
        <v>20608.571132625537</v>
      </c>
      <c r="M17" s="242">
        <f t="shared" si="22"/>
        <v>9301.4288673744632</v>
      </c>
      <c r="N17" s="242">
        <f t="shared" si="1"/>
        <v>0</v>
      </c>
      <c r="O17" s="242">
        <v>0</v>
      </c>
      <c r="P17" s="242">
        <f t="shared" si="23"/>
        <v>20608.571132625537</v>
      </c>
      <c r="Q17" s="242">
        <f t="shared" si="2"/>
        <v>0</v>
      </c>
      <c r="R17" s="242">
        <f t="shared" si="9"/>
        <v>0</v>
      </c>
      <c r="S17" s="242">
        <f t="shared" si="10"/>
        <v>1346281.2821451179</v>
      </c>
      <c r="T17" s="467"/>
      <c r="U17" s="198">
        <f t="shared" si="27"/>
        <v>76</v>
      </c>
      <c r="V17" s="36">
        <f t="shared" si="11"/>
        <v>76</v>
      </c>
      <c r="W17" s="484">
        <f>IF($C$11=W4,W18,IF($C$11=W5,W18,IF($C$11=W6,W19,IF($C$11=W7,W20,IF($C$11=W8,W21,IF($C$11=W9,W22,))))))</f>
        <v>0</v>
      </c>
      <c r="X17" s="484">
        <f t="shared" ref="X17:AA17" si="33">IF($C$11=X4,X18,IF($C$11=X5,X18,IF($C$11=X6,X19,IF($C$11=X7,X20,IF($C$11=X8,X21,IF($C$11=X9,X22,))))))</f>
        <v>0</v>
      </c>
      <c r="Y17" s="484">
        <f t="shared" si="33"/>
        <v>0</v>
      </c>
      <c r="Z17" s="484">
        <f t="shared" si="33"/>
        <v>0</v>
      </c>
      <c r="AA17" s="484">
        <f t="shared" si="33"/>
        <v>0</v>
      </c>
      <c r="AB17" s="84">
        <v>0.129</v>
      </c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O17" s="130">
        <f t="shared" si="12"/>
        <v>1</v>
      </c>
      <c r="AP17" s="553">
        <f t="shared" si="28"/>
        <v>9</v>
      </c>
      <c r="AQ17" s="554">
        <f t="shared" si="13"/>
        <v>44867</v>
      </c>
      <c r="AR17" s="555">
        <f t="shared" si="31"/>
        <v>0.17899999999999999</v>
      </c>
      <c r="AS17" s="546">
        <f t="shared" si="14"/>
        <v>29117</v>
      </c>
      <c r="AT17" s="546">
        <f t="shared" si="15"/>
        <v>29117</v>
      </c>
      <c r="AU17" s="546">
        <f t="shared" si="16"/>
        <v>20062.091409678043</v>
      </c>
      <c r="AV17" s="546">
        <f t="shared" si="17"/>
        <v>9054.9085903219566</v>
      </c>
      <c r="AW17" s="546">
        <f t="shared" si="4"/>
        <v>0</v>
      </c>
      <c r="AX17" s="546">
        <v>0</v>
      </c>
      <c r="AY17" s="546">
        <f t="shared" si="18"/>
        <v>20062.091409678043</v>
      </c>
      <c r="AZ17" s="546">
        <f t="shared" si="5"/>
        <v>0</v>
      </c>
      <c r="BA17" s="546">
        <f t="shared" si="19"/>
        <v>0</v>
      </c>
      <c r="BB17" s="546"/>
      <c r="BC17" s="546"/>
      <c r="BD17" s="546"/>
      <c r="BE17" s="546"/>
      <c r="BF17" s="546"/>
      <c r="BG17" s="546">
        <f t="shared" si="20"/>
        <v>1310581.6681861216</v>
      </c>
      <c r="BH17" s="108">
        <f t="shared" si="29"/>
        <v>76</v>
      </c>
      <c r="BI17" s="108">
        <f t="shared" si="24"/>
        <v>76</v>
      </c>
      <c r="BJ17" s="22">
        <f t="shared" si="25"/>
        <v>44867</v>
      </c>
      <c r="BK17" s="108">
        <f t="shared" si="6"/>
        <v>29910</v>
      </c>
    </row>
    <row r="18" spans="1:393" ht="19.95" customHeight="1" x14ac:dyDescent="0.25">
      <c r="A18" s="881"/>
      <c r="B18" s="186" t="s">
        <v>353</v>
      </c>
      <c r="C18" s="508">
        <f>IF($C$16="ДА",C7*C17,"")</f>
        <v>121000</v>
      </c>
      <c r="D18" s="450" t="str">
        <f>IF($D$17="Серебряный",1800,IF($D$17="Золотой",2500,IF($D$17="Платиновый",3500,"")))</f>
        <v/>
      </c>
      <c r="E18" s="514"/>
      <c r="F18" s="232"/>
      <c r="G18" s="244">
        <f t="shared" si="26"/>
        <v>10</v>
      </c>
      <c r="H18" s="245">
        <f t="shared" si="7"/>
        <v>44897</v>
      </c>
      <c r="I18" s="246">
        <f t="shared" si="30"/>
        <v>0.17899999999999999</v>
      </c>
      <c r="J18" s="242">
        <f t="shared" si="0"/>
        <v>29910</v>
      </c>
      <c r="K18" s="242">
        <f t="shared" si="21"/>
        <v>29910</v>
      </c>
      <c r="L18" s="242">
        <f t="shared" si="8"/>
        <v>19806.93283594324</v>
      </c>
      <c r="M18" s="242">
        <f t="shared" si="22"/>
        <v>10103.06716405676</v>
      </c>
      <c r="N18" s="242">
        <f t="shared" si="1"/>
        <v>0</v>
      </c>
      <c r="O18" s="242">
        <v>0</v>
      </c>
      <c r="P18" s="242">
        <f t="shared" si="23"/>
        <v>19806.93283594324</v>
      </c>
      <c r="Q18" s="242">
        <f t="shared" si="2"/>
        <v>0</v>
      </c>
      <c r="R18" s="242">
        <f t="shared" si="9"/>
        <v>0</v>
      </c>
      <c r="S18" s="242">
        <f t="shared" si="10"/>
        <v>1336178.2149810612</v>
      </c>
      <c r="T18" s="467"/>
      <c r="U18" s="198">
        <f t="shared" si="27"/>
        <v>75</v>
      </c>
      <c r="V18" s="36">
        <f t="shared" si="11"/>
        <v>75</v>
      </c>
      <c r="W18" s="565">
        <v>0.1</v>
      </c>
      <c r="X18" s="565">
        <v>0.1</v>
      </c>
      <c r="Y18" s="565">
        <v>0.1</v>
      </c>
      <c r="Z18" s="565">
        <v>0.1</v>
      </c>
      <c r="AA18" s="565">
        <v>0.1</v>
      </c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O18" s="130">
        <f t="shared" si="12"/>
        <v>1</v>
      </c>
      <c r="AP18" s="553">
        <f t="shared" si="28"/>
        <v>10</v>
      </c>
      <c r="AQ18" s="554">
        <f t="shared" si="13"/>
        <v>44897</v>
      </c>
      <c r="AR18" s="555">
        <f t="shared" si="31"/>
        <v>0.17899999999999999</v>
      </c>
      <c r="AS18" s="546">
        <f t="shared" si="14"/>
        <v>29117</v>
      </c>
      <c r="AT18" s="546">
        <f t="shared" si="15"/>
        <v>29117</v>
      </c>
      <c r="AU18" s="546">
        <f t="shared" si="16"/>
        <v>19281.708378519103</v>
      </c>
      <c r="AV18" s="546">
        <f t="shared" si="17"/>
        <v>9835.2916214808974</v>
      </c>
      <c r="AW18" s="546">
        <f t="shared" si="4"/>
        <v>0</v>
      </c>
      <c r="AX18" s="546">
        <v>0</v>
      </c>
      <c r="AY18" s="546">
        <f t="shared" si="18"/>
        <v>19281.708378519103</v>
      </c>
      <c r="AZ18" s="546">
        <f t="shared" si="5"/>
        <v>0</v>
      </c>
      <c r="BA18" s="546">
        <f t="shared" si="19"/>
        <v>0</v>
      </c>
      <c r="BB18" s="546"/>
      <c r="BC18" s="546"/>
      <c r="BD18" s="546"/>
      <c r="BE18" s="546"/>
      <c r="BF18" s="546"/>
      <c r="BG18" s="546">
        <f t="shared" si="20"/>
        <v>1300746.3765646408</v>
      </c>
      <c r="BH18" s="108">
        <f t="shared" si="29"/>
        <v>75</v>
      </c>
      <c r="BI18" s="108">
        <f t="shared" si="24"/>
        <v>75</v>
      </c>
      <c r="BJ18" s="22">
        <f t="shared" si="25"/>
        <v>44897</v>
      </c>
      <c r="BK18" s="108">
        <f t="shared" si="6"/>
        <v>29910</v>
      </c>
    </row>
    <row r="19" spans="1:393" ht="18.75" customHeight="1" x14ac:dyDescent="0.25">
      <c r="A19" s="673"/>
      <c r="B19" s="186" t="s">
        <v>364</v>
      </c>
      <c r="C19" s="567">
        <f>IF(C16="Да",IF(C11=17.9%,4%,IF((C11=18.9%)*AND(C7&gt;500000),5.9%,IF(C11=22.9%,7.9%,IF(C11=20.9%,5.9%,5.9%)))),"")</f>
        <v>0.04</v>
      </c>
      <c r="D19" s="450"/>
      <c r="E19" s="514"/>
      <c r="F19" s="233"/>
      <c r="G19" s="244">
        <f t="shared" si="26"/>
        <v>11</v>
      </c>
      <c r="H19" s="245">
        <f t="shared" si="7"/>
        <v>44928</v>
      </c>
      <c r="I19" s="246">
        <f t="shared" si="30"/>
        <v>0.17899999999999999</v>
      </c>
      <c r="J19" s="242">
        <f t="shared" si="0"/>
        <v>29910</v>
      </c>
      <c r="K19" s="242">
        <f t="shared" si="21"/>
        <v>29910</v>
      </c>
      <c r="L19" s="242">
        <f t="shared" si="8"/>
        <v>20313.569629944956</v>
      </c>
      <c r="M19" s="242">
        <f t="shared" si="22"/>
        <v>9596.4303700550445</v>
      </c>
      <c r="N19" s="242">
        <f t="shared" si="1"/>
        <v>0</v>
      </c>
      <c r="O19" s="242">
        <v>0</v>
      </c>
      <c r="P19" s="242">
        <f t="shared" si="23"/>
        <v>20313.569629944956</v>
      </c>
      <c r="Q19" s="242">
        <f t="shared" si="2"/>
        <v>0</v>
      </c>
      <c r="R19" s="242">
        <f t="shared" si="9"/>
        <v>0</v>
      </c>
      <c r="S19" s="242">
        <f t="shared" si="10"/>
        <v>1326581.784611006</v>
      </c>
      <c r="T19" s="467"/>
      <c r="U19" s="198">
        <f>IF((U18-1)&lt;0,0,U18-1)</f>
        <v>74</v>
      </c>
      <c r="V19" s="36">
        <f t="shared" si="11"/>
        <v>74</v>
      </c>
      <c r="W19" s="565">
        <v>0.1</v>
      </c>
      <c r="X19" s="565">
        <v>0.1</v>
      </c>
      <c r="Y19" s="565">
        <v>0.1</v>
      </c>
      <c r="Z19" s="565">
        <v>0.1</v>
      </c>
      <c r="AA19" s="565">
        <v>0.1</v>
      </c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O19" s="130">
        <f t="shared" si="12"/>
        <v>1</v>
      </c>
      <c r="AP19" s="553">
        <f>AP18+1</f>
        <v>11</v>
      </c>
      <c r="AQ19" s="554">
        <f t="shared" si="13"/>
        <v>44928</v>
      </c>
      <c r="AR19" s="555">
        <f t="shared" si="31"/>
        <v>0.17899999999999999</v>
      </c>
      <c r="AS19" s="546">
        <f t="shared" si="14"/>
        <v>29117</v>
      </c>
      <c r="AT19" s="546">
        <f t="shared" si="15"/>
        <v>29117</v>
      </c>
      <c r="AU19" s="546">
        <f t="shared" si="16"/>
        <v>19774.908612485458</v>
      </c>
      <c r="AV19" s="546">
        <f t="shared" si="17"/>
        <v>9342.0913875145416</v>
      </c>
      <c r="AW19" s="546">
        <f t="shared" si="4"/>
        <v>0</v>
      </c>
      <c r="AX19" s="546">
        <v>0</v>
      </c>
      <c r="AY19" s="546">
        <f t="shared" si="18"/>
        <v>19774.908612485458</v>
      </c>
      <c r="AZ19" s="546">
        <f t="shared" si="5"/>
        <v>0</v>
      </c>
      <c r="BA19" s="546">
        <f>IF(BI25=0,0,0)</f>
        <v>0</v>
      </c>
      <c r="BB19" s="546"/>
      <c r="BC19" s="546"/>
      <c r="BD19" s="546"/>
      <c r="BE19" s="546"/>
      <c r="BF19" s="546"/>
      <c r="BG19" s="546">
        <f t="shared" si="20"/>
        <v>1291404.2851771263</v>
      </c>
      <c r="BH19" s="108">
        <f t="shared" si="29"/>
        <v>74</v>
      </c>
      <c r="BI19" s="108">
        <f t="shared" si="24"/>
        <v>74</v>
      </c>
      <c r="BJ19" s="22">
        <f t="shared" si="25"/>
        <v>44928</v>
      </c>
      <c r="BK19" s="108">
        <f t="shared" si="6"/>
        <v>29910</v>
      </c>
    </row>
    <row r="20" spans="1:393" ht="16.95" customHeight="1" thickBot="1" x14ac:dyDescent="0.3">
      <c r="A20" s="893"/>
      <c r="B20" s="893"/>
      <c r="C20" s="893"/>
      <c r="D20" s="893"/>
      <c r="E20" s="893"/>
      <c r="F20" s="224"/>
      <c r="G20" s="248">
        <f t="shared" si="26"/>
        <v>12</v>
      </c>
      <c r="H20" s="581">
        <f t="shared" si="7"/>
        <v>44959</v>
      </c>
      <c r="I20" s="250">
        <f t="shared" si="30"/>
        <v>0.17899999999999999</v>
      </c>
      <c r="J20" s="252">
        <f t="shared" si="0"/>
        <v>29910</v>
      </c>
      <c r="K20" s="252">
        <f t="shared" si="21"/>
        <v>29910</v>
      </c>
      <c r="L20" s="252">
        <f t="shared" si="8"/>
        <v>20167.677596730064</v>
      </c>
      <c r="M20" s="252">
        <f t="shared" si="22"/>
        <v>9742.3224032699363</v>
      </c>
      <c r="N20" s="252">
        <f t="shared" si="1"/>
        <v>0</v>
      </c>
      <c r="O20" s="252">
        <v>0</v>
      </c>
      <c r="P20" s="252">
        <f t="shared" si="23"/>
        <v>20167.677596730064</v>
      </c>
      <c r="Q20" s="252">
        <f t="shared" si="2"/>
        <v>0</v>
      </c>
      <c r="R20" s="252">
        <f t="shared" si="9"/>
        <v>0</v>
      </c>
      <c r="S20" s="252">
        <f t="shared" si="10"/>
        <v>1316839.462207736</v>
      </c>
      <c r="T20" s="468"/>
      <c r="U20" s="198">
        <f>IF((U19-1)&lt;0,0,U19-1)</f>
        <v>73</v>
      </c>
      <c r="V20" s="36">
        <f t="shared" si="11"/>
        <v>73</v>
      </c>
      <c r="W20" s="565">
        <v>0.1</v>
      </c>
      <c r="X20" s="565">
        <v>0.1</v>
      </c>
      <c r="Y20" s="565">
        <v>0.1</v>
      </c>
      <c r="Z20" s="565">
        <v>0.1</v>
      </c>
      <c r="AA20" s="565">
        <v>0.1</v>
      </c>
      <c r="AB20" s="15">
        <v>4.9000000000000002E-2</v>
      </c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3"/>
      <c r="AN20" s="113"/>
      <c r="AO20" s="130">
        <f t="shared" si="12"/>
        <v>1</v>
      </c>
      <c r="AP20" s="556">
        <f>AP19+1</f>
        <v>12</v>
      </c>
      <c r="AQ20" s="582">
        <f t="shared" si="13"/>
        <v>44959</v>
      </c>
      <c r="AR20" s="557">
        <f t="shared" si="31"/>
        <v>0.17899999999999999</v>
      </c>
      <c r="AS20" s="547">
        <f t="shared" si="14"/>
        <v>29117</v>
      </c>
      <c r="AT20" s="547">
        <f t="shared" si="15"/>
        <v>29117</v>
      </c>
      <c r="AU20" s="547">
        <f t="shared" si="16"/>
        <v>19632.883228624312</v>
      </c>
      <c r="AV20" s="547">
        <f t="shared" si="17"/>
        <v>9484.1167713756877</v>
      </c>
      <c r="AW20" s="547">
        <f t="shared" si="4"/>
        <v>0</v>
      </c>
      <c r="AX20" s="547">
        <v>0</v>
      </c>
      <c r="AY20" s="547">
        <f t="shared" si="18"/>
        <v>19632.883228624312</v>
      </c>
      <c r="AZ20" s="547">
        <f t="shared" si="5"/>
        <v>0</v>
      </c>
      <c r="BA20" s="547">
        <f t="shared" ref="BA20:BA83" si="34">IF(BI26=0,0,0)</f>
        <v>0</v>
      </c>
      <c r="BB20" s="547"/>
      <c r="BC20" s="547"/>
      <c r="BD20" s="547"/>
      <c r="BE20" s="547"/>
      <c r="BF20" s="547"/>
      <c r="BG20" s="547">
        <f t="shared" si="20"/>
        <v>1281920.1684057505</v>
      </c>
      <c r="BH20" s="108">
        <f t="shared" si="29"/>
        <v>73</v>
      </c>
      <c r="BI20" s="108">
        <f t="shared" si="24"/>
        <v>73</v>
      </c>
      <c r="BJ20" s="22">
        <f t="shared" si="25"/>
        <v>44959</v>
      </c>
      <c r="BK20" s="108">
        <f t="shared" si="6"/>
        <v>29910</v>
      </c>
    </row>
    <row r="21" spans="1:393" ht="12.75" customHeight="1" x14ac:dyDescent="0.25">
      <c r="A21" s="888"/>
      <c r="B21" s="888"/>
      <c r="C21" s="888"/>
      <c r="D21" s="888"/>
      <c r="E21" s="888"/>
      <c r="F21" s="224"/>
      <c r="G21" s="244">
        <f t="shared" si="26"/>
        <v>13</v>
      </c>
      <c r="H21" s="245">
        <f t="shared" si="7"/>
        <v>44987</v>
      </c>
      <c r="I21" s="246">
        <f t="shared" si="30"/>
        <v>0.17899999999999999</v>
      </c>
      <c r="J21" s="242">
        <f>K21+Q21</f>
        <v>29910</v>
      </c>
      <c r="K21" s="242">
        <f t="shared" si="21"/>
        <v>29910</v>
      </c>
      <c r="L21" s="242">
        <f t="shared" si="8"/>
        <v>18082.1900947539</v>
      </c>
      <c r="M21" s="242">
        <f t="shared" si="22"/>
        <v>11827.8099052461</v>
      </c>
      <c r="N21" s="242">
        <f t="shared" si="1"/>
        <v>0</v>
      </c>
      <c r="O21" s="242">
        <v>0</v>
      </c>
      <c r="P21" s="242">
        <f t="shared" si="23"/>
        <v>18082.1900947539</v>
      </c>
      <c r="Q21" s="242">
        <f t="shared" si="2"/>
        <v>0</v>
      </c>
      <c r="R21" s="242">
        <f t="shared" si="9"/>
        <v>0</v>
      </c>
      <c r="S21" s="242">
        <f t="shared" si="10"/>
        <v>1305011.6523024898</v>
      </c>
      <c r="T21" s="467"/>
      <c r="U21" s="198">
        <f>IF((U20-1)&lt;0,0,U20-1)</f>
        <v>72</v>
      </c>
      <c r="V21" s="36">
        <f t="shared" si="11"/>
        <v>72</v>
      </c>
      <c r="W21" s="565">
        <v>0.1</v>
      </c>
      <c r="X21" s="565">
        <v>0.1</v>
      </c>
      <c r="Y21" s="565">
        <v>0.1</v>
      </c>
      <c r="Z21" s="565">
        <v>0.1</v>
      </c>
      <c r="AA21" s="565">
        <v>0.1</v>
      </c>
      <c r="AB21" s="115"/>
      <c r="AC21" s="84">
        <v>0.129</v>
      </c>
      <c r="AD21" s="84">
        <v>0.129</v>
      </c>
      <c r="AE21" s="84">
        <v>0.129</v>
      </c>
      <c r="AF21" s="84">
        <v>0.129</v>
      </c>
      <c r="AG21" s="84">
        <v>0.129</v>
      </c>
      <c r="AH21" s="84">
        <v>0.129</v>
      </c>
      <c r="AI21" s="84">
        <v>0.129</v>
      </c>
      <c r="AJ21" s="84">
        <v>0.129</v>
      </c>
      <c r="AK21" s="84">
        <v>0.129</v>
      </c>
      <c r="AL21" s="84">
        <v>0.129</v>
      </c>
      <c r="AM21" s="3"/>
      <c r="AN21" s="3"/>
      <c r="AO21" s="130">
        <f t="shared" si="12"/>
        <v>1</v>
      </c>
      <c r="AP21" s="553">
        <f>AP20+1</f>
        <v>13</v>
      </c>
      <c r="AQ21" s="554">
        <f t="shared" si="13"/>
        <v>44987</v>
      </c>
      <c r="AR21" s="555">
        <f t="shared" si="31"/>
        <v>0.17899999999999999</v>
      </c>
      <c r="AS21" s="546">
        <f t="shared" si="14"/>
        <v>29117</v>
      </c>
      <c r="AT21" s="546">
        <f t="shared" si="15"/>
        <v>29117</v>
      </c>
      <c r="AU21" s="546">
        <f t="shared" si="16"/>
        <v>17602.695572738688</v>
      </c>
      <c r="AV21" s="546">
        <f t="shared" si="17"/>
        <v>11514.304427261312</v>
      </c>
      <c r="AW21" s="546">
        <f t="shared" si="4"/>
        <v>0</v>
      </c>
      <c r="AX21" s="546">
        <v>0</v>
      </c>
      <c r="AY21" s="546">
        <f t="shared" si="18"/>
        <v>17602.695572738688</v>
      </c>
      <c r="AZ21" s="546">
        <f t="shared" ref="AZ21:AZ84" si="35">IF(BI27=0,0,0)</f>
        <v>0</v>
      </c>
      <c r="BA21" s="546">
        <f t="shared" si="34"/>
        <v>0</v>
      </c>
      <c r="BB21" s="546"/>
      <c r="BC21" s="546"/>
      <c r="BD21" s="546"/>
      <c r="BE21" s="546"/>
      <c r="BF21" s="546"/>
      <c r="BG21" s="546">
        <f t="shared" si="20"/>
        <v>1270405.8639784893</v>
      </c>
      <c r="BH21" s="108">
        <f t="shared" si="29"/>
        <v>72</v>
      </c>
      <c r="BI21" s="108">
        <f t="shared" si="24"/>
        <v>72</v>
      </c>
      <c r="BJ21" s="22">
        <f t="shared" si="25"/>
        <v>44987</v>
      </c>
      <c r="BK21" s="108">
        <f t="shared" si="6"/>
        <v>29910</v>
      </c>
    </row>
    <row r="22" spans="1:393" ht="34.200000000000003" customHeight="1" x14ac:dyDescent="0.25">
      <c r="A22" s="894" t="s">
        <v>350</v>
      </c>
      <c r="B22" s="894"/>
      <c r="C22" s="895"/>
      <c r="D22" s="678"/>
      <c r="E22" s="678"/>
      <c r="F22" s="225"/>
      <c r="G22" s="244">
        <f t="shared" si="26"/>
        <v>14</v>
      </c>
      <c r="H22" s="245">
        <f t="shared" si="7"/>
        <v>45018</v>
      </c>
      <c r="I22" s="246">
        <f t="shared" si="30"/>
        <v>0.17899999999999999</v>
      </c>
      <c r="J22" s="242">
        <f t="shared" si="0"/>
        <v>29910</v>
      </c>
      <c r="K22" s="242">
        <f t="shared" si="21"/>
        <v>29910</v>
      </c>
      <c r="L22" s="242">
        <f t="shared" si="8"/>
        <v>19839.752489387716</v>
      </c>
      <c r="M22" s="242">
        <f t="shared" si="22"/>
        <v>10070.247510612284</v>
      </c>
      <c r="N22" s="242">
        <f t="shared" si="1"/>
        <v>0</v>
      </c>
      <c r="O22" s="242">
        <v>0</v>
      </c>
      <c r="P22" s="242">
        <f t="shared" si="23"/>
        <v>19839.752489387716</v>
      </c>
      <c r="Q22" s="242">
        <f t="shared" si="2"/>
        <v>0</v>
      </c>
      <c r="R22" s="242">
        <f t="shared" si="9"/>
        <v>0</v>
      </c>
      <c r="S22" s="242">
        <f t="shared" si="10"/>
        <v>1294941.4047918776</v>
      </c>
      <c r="T22" s="467"/>
      <c r="U22" s="198">
        <f t="shared" si="27"/>
        <v>71</v>
      </c>
      <c r="V22" s="36">
        <f t="shared" si="11"/>
        <v>71</v>
      </c>
      <c r="W22" s="565">
        <v>0.1</v>
      </c>
      <c r="X22" s="565">
        <v>0.1</v>
      </c>
      <c r="Y22" s="565">
        <v>0.1</v>
      </c>
      <c r="Z22" s="565">
        <v>0.1</v>
      </c>
      <c r="AA22" s="565">
        <v>0.1</v>
      </c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O22" s="130">
        <f t="shared" si="12"/>
        <v>1</v>
      </c>
      <c r="AP22" s="553">
        <f t="shared" si="28"/>
        <v>14</v>
      </c>
      <c r="AQ22" s="554">
        <f t="shared" si="13"/>
        <v>45018</v>
      </c>
      <c r="AR22" s="555">
        <f t="shared" si="31"/>
        <v>0.17899999999999999</v>
      </c>
      <c r="AS22" s="546">
        <f t="shared" si="14"/>
        <v>29117</v>
      </c>
      <c r="AT22" s="546">
        <f t="shared" si="15"/>
        <v>29117</v>
      </c>
      <c r="AU22" s="546">
        <f t="shared" si="16"/>
        <v>19313.649696483939</v>
      </c>
      <c r="AV22" s="546">
        <f t="shared" si="17"/>
        <v>9803.3503035160611</v>
      </c>
      <c r="AW22" s="546">
        <f t="shared" si="4"/>
        <v>0</v>
      </c>
      <c r="AX22" s="546">
        <v>0</v>
      </c>
      <c r="AY22" s="546">
        <f t="shared" si="18"/>
        <v>19313.649696483939</v>
      </c>
      <c r="AZ22" s="546">
        <f t="shared" si="35"/>
        <v>0</v>
      </c>
      <c r="BA22" s="546">
        <f t="shared" si="34"/>
        <v>0</v>
      </c>
      <c r="BB22" s="546"/>
      <c r="BC22" s="546"/>
      <c r="BD22" s="546"/>
      <c r="BE22" s="546"/>
      <c r="BF22" s="546"/>
      <c r="BG22" s="546">
        <f t="shared" si="20"/>
        <v>1260602.5136749733</v>
      </c>
      <c r="BH22" s="108">
        <f t="shared" si="29"/>
        <v>71</v>
      </c>
      <c r="BI22" s="108">
        <f t="shared" si="24"/>
        <v>71</v>
      </c>
      <c r="BJ22" s="22">
        <f t="shared" si="25"/>
        <v>45018</v>
      </c>
      <c r="BK22" s="108">
        <f t="shared" si="6"/>
        <v>29910</v>
      </c>
    </row>
    <row r="23" spans="1:393" ht="19.2" customHeight="1" x14ac:dyDescent="0.25">
      <c r="A23" s="896" t="str">
        <f>IF(AND($C$8&lt;&gt;"Нет",$D$8&lt;&gt;"Нет",$C$14&lt;&gt;"Нет",$C$16&lt;&gt;"Нет"),"Сумма кредита с ФЗ + услуга ГС + Всё под контролем, руб.",IF(AND($C$8&lt;&gt;"Нет",$D$8&lt;&gt;"Нет",$C$14&lt;&gt;"Да",$C$16&lt;&gt;"Да"),"Сумма кредита с учетом Финансовой защиты, руб.",IF(AND($C$8&lt;&gt;"Нет",$D$8&lt;&gt;"Нет",$C$14&lt;&gt;"Да",$C$16&lt;&gt;"Нет"),"Сумма кредита с учетом Финансовой защиты + услуга ГС, руб.",IF(AND($C$8&lt;&gt;"Нет",$D$8&lt;&gt;"Нет",$C$14&lt;&gt;"Да",$C$16&lt;&gt;"Нет"),"Сумма кредита с учетом Финансовой защиты + Всё под контролем, руб.",IF(AND($C$8&lt;&gt;"Нет",$D$8&lt;&gt;"Нет",$C$14&lt;&gt;"Нет",$C$16&lt;&gt;"Да"),"Сумма кредита с ФЗ + Всё под контролем, руб.",IF(AND($C$8&lt;&gt;"Да",$D$8&lt;&gt;"Да",$C$14&lt;&gt;"Да",$C$16&lt;&gt;"Нет"),"Сумма кредита с учетом услуги ГС, руб.",IF(AND($C$8&lt;&gt;"Да",$D$8&lt;&gt;"Да",$C$14&lt;&gt;"Нет",$C$16&lt;&gt;"Нет"),"Сумма кредита с учетом пакета услуг Всё под контролем + услуги ГС, руб.","Сумма кредита, руб.")))))))</f>
        <v>Сумма кредита с ФЗ + услуга ГС + Всё под контролем, руб.</v>
      </c>
      <c r="B23" s="896"/>
      <c r="C23" s="358">
        <f>$C$7+(IF($C$8="Нет",0,IF($C$25&lt;&gt;"",$C$25,0))+IF(C14="Нет",0,IF(C14="Да",C15,0))+IF(C16="Нет",0,IF(C16="Да",C18,0)))</f>
        <v>1427039</v>
      </c>
      <c r="D23" s="355">
        <f>$C$7+(IF($D$8="Нет",0,IF($D$25&lt;&gt;"",$D$25,0))+IF(D14="Нет",0,IF(D14="Да",D15,0)))</f>
        <v>1389199</v>
      </c>
      <c r="E23" s="224">
        <f>C23-D23</f>
        <v>37840</v>
      </c>
      <c r="F23" s="226"/>
      <c r="G23" s="244">
        <f t="shared" si="26"/>
        <v>15</v>
      </c>
      <c r="H23" s="245">
        <f t="shared" si="7"/>
        <v>45048</v>
      </c>
      <c r="I23" s="246">
        <f t="shared" si="30"/>
        <v>0.17899999999999999</v>
      </c>
      <c r="J23" s="242">
        <f t="shared" si="0"/>
        <v>29910</v>
      </c>
      <c r="K23" s="242">
        <f t="shared" si="21"/>
        <v>29910</v>
      </c>
      <c r="L23" s="242">
        <f t="shared" si="8"/>
        <v>19051.603681458582</v>
      </c>
      <c r="M23" s="242">
        <f t="shared" si="22"/>
        <v>10858.396318541418</v>
      </c>
      <c r="N23" s="242">
        <f t="shared" si="1"/>
        <v>0</v>
      </c>
      <c r="O23" s="242">
        <v>0</v>
      </c>
      <c r="P23" s="242">
        <f t="shared" si="23"/>
        <v>19051.603681458582</v>
      </c>
      <c r="Q23" s="242">
        <f t="shared" si="2"/>
        <v>0</v>
      </c>
      <c r="R23" s="242">
        <f t="shared" si="9"/>
        <v>0</v>
      </c>
      <c r="S23" s="242">
        <f t="shared" si="10"/>
        <v>1284083.0084733362</v>
      </c>
      <c r="T23" s="467"/>
      <c r="U23" s="198">
        <f t="shared" si="27"/>
        <v>70</v>
      </c>
      <c r="V23" s="36">
        <f t="shared" si="11"/>
        <v>70</v>
      </c>
      <c r="W23" s="2">
        <v>1</v>
      </c>
      <c r="X23" s="2">
        <v>1</v>
      </c>
      <c r="Y23" s="3">
        <v>1</v>
      </c>
      <c r="Z23" s="2">
        <v>1</v>
      </c>
      <c r="AA23" s="3">
        <v>1</v>
      </c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O23" s="130">
        <f t="shared" si="12"/>
        <v>1</v>
      </c>
      <c r="AP23" s="553">
        <f t="shared" si="28"/>
        <v>15</v>
      </c>
      <c r="AQ23" s="554">
        <f t="shared" si="13"/>
        <v>45048</v>
      </c>
      <c r="AR23" s="555">
        <f t="shared" si="31"/>
        <v>0.17899999999999999</v>
      </c>
      <c r="AS23" s="546">
        <f t="shared" si="14"/>
        <v>29117</v>
      </c>
      <c r="AT23" s="546">
        <f t="shared" si="15"/>
        <v>29117</v>
      </c>
      <c r="AU23" s="546">
        <f t="shared" si="16"/>
        <v>18546.398625848236</v>
      </c>
      <c r="AV23" s="546">
        <f t="shared" si="17"/>
        <v>10570.601374151764</v>
      </c>
      <c r="AW23" s="546">
        <f t="shared" si="4"/>
        <v>0</v>
      </c>
      <c r="AX23" s="546">
        <v>0</v>
      </c>
      <c r="AY23" s="546">
        <f t="shared" si="18"/>
        <v>18546.398625848236</v>
      </c>
      <c r="AZ23" s="546">
        <f t="shared" si="35"/>
        <v>0</v>
      </c>
      <c r="BA23" s="546">
        <f t="shared" si="34"/>
        <v>0</v>
      </c>
      <c r="BB23" s="546"/>
      <c r="BC23" s="546"/>
      <c r="BD23" s="546"/>
      <c r="BE23" s="546"/>
      <c r="BF23" s="546"/>
      <c r="BG23" s="546">
        <f t="shared" si="20"/>
        <v>1250031.9123008216</v>
      </c>
      <c r="BH23" s="108">
        <f t="shared" si="29"/>
        <v>70</v>
      </c>
      <c r="BI23" s="108">
        <f t="shared" si="24"/>
        <v>70</v>
      </c>
      <c r="BJ23" s="22">
        <f t="shared" si="25"/>
        <v>45048</v>
      </c>
      <c r="BK23" s="108">
        <f t="shared" si="6"/>
        <v>29910</v>
      </c>
    </row>
    <row r="24" spans="1:393" ht="18" customHeight="1" x14ac:dyDescent="0.25">
      <c r="A24" s="852" t="str">
        <f>IF(AND($C$8&lt;&gt;"Нет",$D$8&lt;&gt;"Нет",$C$14&lt;&gt;"Нет",$C$16&lt;&gt;"Нет"),"Платеж с ФЗ + услуга ГС + Всё под контролем, руб.",IF(AND($C$8&lt;&gt;"Нет",$D$8&lt;&gt;"Нет",$C$14&lt;&gt;"Да",$C$16&lt;&gt;"Да"),"Платеж с учетом Финансовой защиты, руб.",IF(AND($C$8&lt;&gt;"Нет",$D$8&lt;&gt;"Нет",$C$14&lt;&gt;"Да",$C$16&lt;&gt;"Нет"),"Платеж с учетом Финансовой защиты + услуга ГС, руб.",IF(AND($C$8&lt;&gt;"Нет",$D$8&lt;&gt;"Нет",$C$14&lt;&gt;"Да",$C$16&lt;&gt;"Нет"),"Платеж с учетом Финансовой защиты + Всё под контролем, руб.",IF(AND($C$8&lt;&gt;"Нет",$D$8&lt;&gt;"Нет",$C$14&lt;&gt;"Нет",$C$16&lt;&gt;"Да"),"Платеж с ФЗ + Всё под контролем, руб.",IF(AND($C$8&lt;&gt;"Да",$D$8&lt;&gt;"Да",$C$14&lt;&gt;"Да",$C$16&lt;&gt;"Нет"),"Платеж с учетом услуги ГС, руб.",IF(AND($C$8&lt;&gt;"Да",$D$8&lt;&gt;"Да",$C$14&lt;&gt;"Нет",$C$16&lt;&gt;"Нет"),"Платеж с учетом пакета услуг Всё под контролем + услуги ГС, руб.","Платеж, руб.")))))))</f>
        <v>Платеж с ФЗ + услуга ГС + Всё под контролем, руб.</v>
      </c>
      <c r="B24" s="852"/>
      <c r="C24" s="358">
        <f>K9</f>
        <v>29910</v>
      </c>
      <c r="D24" s="355">
        <f>AT9</f>
        <v>29117</v>
      </c>
      <c r="E24" s="224">
        <f>C24-D24</f>
        <v>793</v>
      </c>
      <c r="F24" s="226"/>
      <c r="G24" s="244">
        <f t="shared" si="26"/>
        <v>16</v>
      </c>
      <c r="H24" s="245">
        <f t="shared" si="7"/>
        <v>45079</v>
      </c>
      <c r="I24" s="246">
        <f t="shared" si="30"/>
        <v>0.17899999999999999</v>
      </c>
      <c r="J24" s="242">
        <f t="shared" si="0"/>
        <v>29910</v>
      </c>
      <c r="K24" s="242">
        <f t="shared" si="21"/>
        <v>29910</v>
      </c>
      <c r="L24" s="242">
        <f t="shared" si="8"/>
        <v>19521.579764434366</v>
      </c>
      <c r="M24" s="242">
        <f t="shared" si="22"/>
        <v>10388.420235565634</v>
      </c>
      <c r="N24" s="242">
        <f t="shared" si="1"/>
        <v>0</v>
      </c>
      <c r="O24" s="242">
        <v>0</v>
      </c>
      <c r="P24" s="242">
        <f t="shared" si="23"/>
        <v>19521.579764434366</v>
      </c>
      <c r="Q24" s="242">
        <f t="shared" si="2"/>
        <v>0</v>
      </c>
      <c r="R24" s="242">
        <f t="shared" si="9"/>
        <v>0</v>
      </c>
      <c r="S24" s="242">
        <f t="shared" si="10"/>
        <v>1273694.5882377706</v>
      </c>
      <c r="T24" s="467"/>
      <c r="U24" s="198">
        <f t="shared" si="27"/>
        <v>69</v>
      </c>
      <c r="V24" s="36">
        <f t="shared" si="11"/>
        <v>69</v>
      </c>
      <c r="AB24" s="3">
        <v>1</v>
      </c>
      <c r="AC24" s="15">
        <v>4.9000000000000002E-2</v>
      </c>
      <c r="AD24" s="15">
        <v>4.9000000000000002E-2</v>
      </c>
      <c r="AE24" s="15">
        <v>4.9000000000000002E-2</v>
      </c>
      <c r="AF24" s="80">
        <v>6.9000000000000006E-2</v>
      </c>
      <c r="AG24" s="80">
        <v>6.9000000000000006E-2</v>
      </c>
      <c r="AH24" s="80">
        <v>6.9000000000000006E-2</v>
      </c>
      <c r="AI24" s="80">
        <v>6.9000000000000006E-2</v>
      </c>
      <c r="AJ24" s="80">
        <v>6.9000000000000006E-2</v>
      </c>
      <c r="AK24" s="80">
        <v>6.9000000000000006E-2</v>
      </c>
      <c r="AL24" s="80">
        <v>6.9000000000000006E-2</v>
      </c>
      <c r="AO24" s="130">
        <f t="shared" si="12"/>
        <v>1</v>
      </c>
      <c r="AP24" s="553">
        <f t="shared" si="28"/>
        <v>16</v>
      </c>
      <c r="AQ24" s="554">
        <f t="shared" si="13"/>
        <v>45079</v>
      </c>
      <c r="AR24" s="555">
        <f t="shared" si="31"/>
        <v>0.17899999999999999</v>
      </c>
      <c r="AS24" s="546">
        <f t="shared" si="14"/>
        <v>29117</v>
      </c>
      <c r="AT24" s="546">
        <f t="shared" si="15"/>
        <v>29117</v>
      </c>
      <c r="AU24" s="546">
        <f t="shared" si="16"/>
        <v>19003.909811937698</v>
      </c>
      <c r="AV24" s="546">
        <f t="shared" si="17"/>
        <v>10113.090188062302</v>
      </c>
      <c r="AW24" s="546">
        <f t="shared" si="4"/>
        <v>0</v>
      </c>
      <c r="AX24" s="546">
        <v>0</v>
      </c>
      <c r="AY24" s="546">
        <f t="shared" si="18"/>
        <v>19003.909811937698</v>
      </c>
      <c r="AZ24" s="546">
        <f t="shared" si="35"/>
        <v>0</v>
      </c>
      <c r="BA24" s="546">
        <f t="shared" si="34"/>
        <v>0</v>
      </c>
      <c r="BB24" s="546"/>
      <c r="BC24" s="546"/>
      <c r="BD24" s="546"/>
      <c r="BE24" s="546"/>
      <c r="BF24" s="546"/>
      <c r="BG24" s="546">
        <f t="shared" si="20"/>
        <v>1239918.8221127593</v>
      </c>
      <c r="BH24" s="108">
        <f t="shared" si="29"/>
        <v>69</v>
      </c>
      <c r="BI24" s="108">
        <f t="shared" si="24"/>
        <v>69</v>
      </c>
      <c r="BJ24" s="22">
        <f t="shared" si="25"/>
        <v>45079</v>
      </c>
      <c r="BK24" s="108">
        <f t="shared" si="6"/>
        <v>29910</v>
      </c>
    </row>
    <row r="25" spans="1:393" ht="18" customHeight="1" x14ac:dyDescent="0.25">
      <c r="A25" s="846" t="s">
        <v>285</v>
      </c>
      <c r="B25" s="846"/>
      <c r="C25" s="331">
        <f>C27*C26*C10*0.7</f>
        <v>194040</v>
      </c>
      <c r="D25" s="357">
        <f>IF(D8="Гарантия пакет",(AH65*AH79+AI65*AI79),INDEX($AC$79:$AI$79,MATCH(D$8,$AC$59:$AJ$59,0))*D26)*$C$10</f>
        <v>277200</v>
      </c>
      <c r="E25" s="226">
        <f>C25-D25</f>
        <v>-83160</v>
      </c>
      <c r="F25" s="226"/>
      <c r="G25" s="244">
        <f t="shared" si="26"/>
        <v>17</v>
      </c>
      <c r="H25" s="245">
        <f t="shared" si="7"/>
        <v>45109</v>
      </c>
      <c r="I25" s="246">
        <f t="shared" si="30"/>
        <v>0.17899999999999999</v>
      </c>
      <c r="J25" s="242">
        <f t="shared" si="0"/>
        <v>29910</v>
      </c>
      <c r="K25" s="242">
        <f t="shared" si="21"/>
        <v>29910</v>
      </c>
      <c r="L25" s="242">
        <f t="shared" si="8"/>
        <v>18739.013531059802</v>
      </c>
      <c r="M25" s="242">
        <f t="shared" si="22"/>
        <v>11170.986468940198</v>
      </c>
      <c r="N25" s="242">
        <f t="shared" si="1"/>
        <v>0</v>
      </c>
      <c r="O25" s="242">
        <v>0</v>
      </c>
      <c r="P25" s="242">
        <f t="shared" si="23"/>
        <v>18739.013531059802</v>
      </c>
      <c r="Q25" s="242">
        <f t="shared" si="2"/>
        <v>0</v>
      </c>
      <c r="R25" s="242">
        <f t="shared" si="9"/>
        <v>0</v>
      </c>
      <c r="S25" s="242">
        <f t="shared" si="10"/>
        <v>1262523.6017688303</v>
      </c>
      <c r="T25" s="467"/>
      <c r="U25" s="198">
        <f t="shared" si="27"/>
        <v>68</v>
      </c>
      <c r="V25" s="36">
        <f t="shared" si="11"/>
        <v>68</v>
      </c>
      <c r="W25" s="2">
        <v>0</v>
      </c>
      <c r="X25" s="2">
        <v>1</v>
      </c>
      <c r="Y25" s="2">
        <v>2</v>
      </c>
      <c r="Z25" s="2">
        <v>3</v>
      </c>
      <c r="AA25" s="2">
        <v>4</v>
      </c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6"/>
      <c r="AN25" s="116"/>
      <c r="AO25" s="130">
        <f t="shared" si="12"/>
        <v>1</v>
      </c>
      <c r="AP25" s="558">
        <f t="shared" si="28"/>
        <v>17</v>
      </c>
      <c r="AQ25" s="554">
        <f t="shared" si="13"/>
        <v>45109</v>
      </c>
      <c r="AR25" s="555">
        <f t="shared" si="31"/>
        <v>0.17899999999999999</v>
      </c>
      <c r="AS25" s="546">
        <f t="shared" si="14"/>
        <v>29117</v>
      </c>
      <c r="AT25" s="546">
        <f t="shared" si="15"/>
        <v>29117</v>
      </c>
      <c r="AU25" s="546">
        <f t="shared" si="16"/>
        <v>18242.093355467172</v>
      </c>
      <c r="AV25" s="546">
        <f t="shared" si="17"/>
        <v>10874.906644532828</v>
      </c>
      <c r="AW25" s="546">
        <f t="shared" si="4"/>
        <v>0</v>
      </c>
      <c r="AX25" s="546">
        <v>0</v>
      </c>
      <c r="AY25" s="546">
        <f t="shared" si="18"/>
        <v>18242.093355467172</v>
      </c>
      <c r="AZ25" s="546">
        <f t="shared" si="35"/>
        <v>0</v>
      </c>
      <c r="BA25" s="546">
        <f t="shared" si="34"/>
        <v>0</v>
      </c>
      <c r="BB25" s="546"/>
      <c r="BC25" s="546"/>
      <c r="BD25" s="546"/>
      <c r="BE25" s="546"/>
      <c r="BF25" s="546"/>
      <c r="BG25" s="546">
        <f t="shared" si="20"/>
        <v>1229043.9154682264</v>
      </c>
      <c r="BH25" s="108">
        <f t="shared" si="29"/>
        <v>68</v>
      </c>
      <c r="BI25" s="108">
        <f t="shared" si="24"/>
        <v>68</v>
      </c>
      <c r="BJ25" s="22">
        <f t="shared" si="25"/>
        <v>45109</v>
      </c>
      <c r="BK25" s="108">
        <f t="shared" si="6"/>
        <v>29910</v>
      </c>
    </row>
    <row r="26" spans="1:393" ht="18" customHeight="1" x14ac:dyDescent="0.25">
      <c r="A26" s="846" t="s">
        <v>100</v>
      </c>
      <c r="B26" s="891"/>
      <c r="C26" s="330">
        <f>IF(C8="Нет",0,0.3%)</f>
        <v>3.0000000000000001E-3</v>
      </c>
      <c r="D26" s="356">
        <f>IF(C8="Нет",0,0.3%)</f>
        <v>3.0000000000000001E-3</v>
      </c>
      <c r="E26" s="225"/>
      <c r="F26" s="192"/>
      <c r="G26" s="244">
        <f t="shared" si="26"/>
        <v>18</v>
      </c>
      <c r="H26" s="245">
        <f t="shared" si="7"/>
        <v>45140</v>
      </c>
      <c r="I26" s="246">
        <f t="shared" si="30"/>
        <v>0.17899999999999999</v>
      </c>
      <c r="J26" s="242">
        <f t="shared" si="0"/>
        <v>29910</v>
      </c>
      <c r="K26" s="242">
        <f t="shared" si="21"/>
        <v>29910</v>
      </c>
      <c r="L26" s="242">
        <f t="shared" si="8"/>
        <v>19193.817715658191</v>
      </c>
      <c r="M26" s="242">
        <f t="shared" si="22"/>
        <v>10716.182284341809</v>
      </c>
      <c r="N26" s="242">
        <f t="shared" si="1"/>
        <v>0</v>
      </c>
      <c r="O26" s="242">
        <v>0</v>
      </c>
      <c r="P26" s="242">
        <f t="shared" si="23"/>
        <v>19193.817715658191</v>
      </c>
      <c r="Q26" s="242">
        <f t="shared" si="2"/>
        <v>0</v>
      </c>
      <c r="R26" s="242">
        <f t="shared" si="9"/>
        <v>0</v>
      </c>
      <c r="S26" s="242">
        <f t="shared" si="10"/>
        <v>1251807.4194844884</v>
      </c>
      <c r="T26" s="467"/>
      <c r="U26" s="198">
        <f t="shared" si="27"/>
        <v>67</v>
      </c>
      <c r="V26" s="36">
        <f t="shared" si="11"/>
        <v>67</v>
      </c>
      <c r="AB26" s="13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O26" s="130">
        <f t="shared" si="12"/>
        <v>1</v>
      </c>
      <c r="AP26" s="553">
        <f t="shared" si="28"/>
        <v>18</v>
      </c>
      <c r="AQ26" s="554">
        <f t="shared" si="13"/>
        <v>45140</v>
      </c>
      <c r="AR26" s="555">
        <f t="shared" si="31"/>
        <v>0.17899999999999999</v>
      </c>
      <c r="AS26" s="546">
        <f t="shared" si="14"/>
        <v>29117</v>
      </c>
      <c r="AT26" s="546">
        <f t="shared" si="15"/>
        <v>29117</v>
      </c>
      <c r="AU26" s="546">
        <f t="shared" si="16"/>
        <v>18684.834758721066</v>
      </c>
      <c r="AV26" s="546">
        <f t="shared" si="17"/>
        <v>10432.165241278934</v>
      </c>
      <c r="AW26" s="546">
        <f t="shared" si="4"/>
        <v>0</v>
      </c>
      <c r="AX26" s="546">
        <v>0</v>
      </c>
      <c r="AY26" s="546">
        <f t="shared" si="18"/>
        <v>18684.834758721066</v>
      </c>
      <c r="AZ26" s="546">
        <f t="shared" si="35"/>
        <v>0</v>
      </c>
      <c r="BA26" s="546">
        <f t="shared" si="34"/>
        <v>0</v>
      </c>
      <c r="BB26" s="546"/>
      <c r="BC26" s="546"/>
      <c r="BD26" s="546"/>
      <c r="BE26" s="546"/>
      <c r="BF26" s="546"/>
      <c r="BG26" s="546">
        <f t="shared" si="20"/>
        <v>1218611.7502269475</v>
      </c>
      <c r="BH26" s="108">
        <f t="shared" si="29"/>
        <v>67</v>
      </c>
      <c r="BI26" s="108">
        <f t="shared" si="24"/>
        <v>67</v>
      </c>
      <c r="BJ26" s="22">
        <f t="shared" si="25"/>
        <v>45140</v>
      </c>
      <c r="BK26" s="108">
        <f t="shared" si="6"/>
        <v>29910</v>
      </c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97"/>
      <c r="DW26" s="97"/>
      <c r="DX26" s="97"/>
      <c r="DY26" s="97"/>
      <c r="DZ26" s="97"/>
      <c r="EA26" s="97"/>
      <c r="EB26" s="97"/>
      <c r="EC26" s="97"/>
      <c r="ED26" s="97"/>
      <c r="EE26" s="97"/>
      <c r="EF26" s="97"/>
      <c r="EG26" s="97"/>
      <c r="EH26" s="97"/>
      <c r="EI26" s="97"/>
      <c r="EJ26" s="97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97"/>
      <c r="FC26" s="97"/>
      <c r="FD26" s="97"/>
      <c r="FE26" s="97"/>
      <c r="FF26" s="97"/>
      <c r="FG26" s="97"/>
      <c r="FH26" s="97"/>
      <c r="FI26" s="97"/>
      <c r="FJ26" s="97"/>
      <c r="FK26" s="97"/>
      <c r="FL26" s="97"/>
      <c r="FM26" s="97"/>
      <c r="FN26" s="97"/>
      <c r="FO26" s="97"/>
      <c r="FP26" s="97"/>
      <c r="FQ26" s="97"/>
      <c r="FR26" s="97"/>
      <c r="FS26" s="97"/>
      <c r="FT26" s="97"/>
      <c r="FU26" s="97"/>
      <c r="FV26" s="97"/>
      <c r="FW26" s="97"/>
      <c r="FX26" s="97"/>
      <c r="FY26" s="97"/>
      <c r="FZ26" s="97"/>
      <c r="GA26" s="97"/>
      <c r="GB26" s="97"/>
      <c r="GC26" s="97"/>
      <c r="GD26" s="97"/>
      <c r="GE26" s="97"/>
      <c r="GF26" s="97"/>
      <c r="GG26" s="97"/>
      <c r="GH26" s="97"/>
      <c r="GI26" s="97"/>
      <c r="GJ26" s="97"/>
      <c r="GK26" s="97"/>
      <c r="GL26" s="97"/>
      <c r="GM26" s="97"/>
      <c r="GN26" s="97"/>
      <c r="GO26" s="97"/>
      <c r="GP26" s="97"/>
      <c r="GQ26" s="97"/>
      <c r="GR26" s="97"/>
      <c r="GS26" s="97"/>
      <c r="GT26" s="97"/>
      <c r="GU26" s="97"/>
      <c r="GV26" s="97"/>
      <c r="GW26" s="97"/>
      <c r="GX26" s="97"/>
      <c r="GY26" s="97"/>
      <c r="GZ26" s="97"/>
      <c r="HA26" s="97"/>
      <c r="HB26" s="97"/>
      <c r="HC26" s="97"/>
      <c r="HD26" s="97"/>
      <c r="HE26" s="97"/>
      <c r="HF26" s="97"/>
      <c r="HG26" s="97"/>
      <c r="HH26" s="97"/>
      <c r="HI26" s="97"/>
      <c r="HJ26" s="97"/>
      <c r="HK26" s="97"/>
      <c r="HL26" s="97"/>
      <c r="HM26" s="97"/>
      <c r="HN26" s="97"/>
      <c r="HO26" s="97"/>
      <c r="HP26" s="97"/>
      <c r="HQ26" s="97"/>
      <c r="HR26" s="97"/>
      <c r="HS26" s="97"/>
      <c r="HT26" s="97"/>
      <c r="HU26" s="97"/>
      <c r="HV26" s="97"/>
      <c r="HW26" s="97"/>
      <c r="HX26" s="97"/>
      <c r="HY26" s="97"/>
      <c r="HZ26" s="97"/>
      <c r="IA26" s="97"/>
      <c r="IB26" s="97"/>
      <c r="IC26" s="97"/>
      <c r="ID26" s="97"/>
      <c r="IE26" s="97"/>
      <c r="IF26" s="97"/>
      <c r="IG26" s="97"/>
      <c r="IH26" s="97"/>
      <c r="II26" s="97"/>
      <c r="IJ26" s="97"/>
      <c r="IK26" s="97"/>
      <c r="IL26" s="97"/>
      <c r="IM26" s="97"/>
      <c r="IN26" s="97"/>
      <c r="IO26" s="97"/>
      <c r="IP26" s="97"/>
      <c r="IQ26" s="97"/>
      <c r="IR26" s="97"/>
      <c r="IS26" s="97"/>
      <c r="IT26" s="97"/>
      <c r="IU26" s="97"/>
      <c r="IV26" s="97"/>
      <c r="IW26" s="97"/>
      <c r="IX26" s="97"/>
      <c r="IY26" s="97"/>
      <c r="IZ26" s="97"/>
      <c r="JA26" s="97"/>
      <c r="JB26" s="97"/>
      <c r="JC26" s="97"/>
      <c r="JD26" s="97"/>
      <c r="JE26" s="97"/>
      <c r="JF26" s="97"/>
      <c r="JG26" s="97"/>
      <c r="JH26" s="97"/>
      <c r="JI26" s="97"/>
      <c r="JJ26" s="97"/>
      <c r="JK26" s="97"/>
      <c r="JL26" s="97"/>
      <c r="JM26" s="97"/>
      <c r="JN26" s="97"/>
      <c r="JO26" s="97"/>
      <c r="JP26" s="97"/>
      <c r="JQ26" s="97"/>
      <c r="JR26" s="97"/>
      <c r="JS26" s="97"/>
      <c r="JT26" s="97"/>
      <c r="JU26" s="97"/>
      <c r="JV26" s="97"/>
      <c r="JW26" s="97"/>
      <c r="JX26" s="97"/>
      <c r="JY26" s="97"/>
      <c r="JZ26" s="97"/>
      <c r="KA26" s="97"/>
      <c r="KB26" s="97"/>
      <c r="KC26" s="97"/>
      <c r="KD26" s="97"/>
      <c r="KE26" s="97"/>
      <c r="KF26" s="97"/>
      <c r="KG26" s="97"/>
      <c r="KH26" s="97"/>
      <c r="KI26" s="97"/>
      <c r="KJ26" s="97"/>
      <c r="KK26" s="97"/>
      <c r="KL26" s="97"/>
      <c r="KM26" s="97"/>
      <c r="KN26" s="97"/>
      <c r="KO26" s="97"/>
      <c r="KP26" s="97"/>
      <c r="KQ26" s="97"/>
      <c r="KR26" s="97"/>
      <c r="KS26" s="97"/>
      <c r="KT26" s="97"/>
      <c r="KU26" s="97"/>
      <c r="KV26" s="97"/>
      <c r="KW26" s="97"/>
      <c r="KX26" s="97"/>
      <c r="KY26" s="97"/>
      <c r="KZ26" s="97"/>
      <c r="LA26" s="97"/>
      <c r="LB26" s="97"/>
      <c r="LC26" s="97"/>
      <c r="LD26" s="97"/>
      <c r="LE26" s="97"/>
      <c r="LF26" s="97"/>
      <c r="LG26" s="97"/>
      <c r="LH26" s="97"/>
      <c r="LI26" s="97"/>
      <c r="LJ26" s="97"/>
      <c r="LK26" s="97"/>
      <c r="LL26" s="97"/>
      <c r="LM26" s="97"/>
      <c r="LN26" s="97"/>
      <c r="LO26" s="97"/>
      <c r="LP26" s="97"/>
      <c r="LQ26" s="97"/>
      <c r="LR26" s="97"/>
      <c r="LS26" s="97"/>
      <c r="LT26" s="97"/>
      <c r="LU26" s="97"/>
      <c r="LV26" s="97"/>
      <c r="LW26" s="97"/>
      <c r="LX26" s="97"/>
      <c r="LY26" s="97"/>
      <c r="LZ26" s="97"/>
      <c r="MA26" s="97"/>
      <c r="MB26" s="97"/>
      <c r="MC26" s="97"/>
      <c r="MD26" s="97"/>
      <c r="ME26" s="97"/>
      <c r="MF26" s="97"/>
      <c r="MG26" s="97"/>
      <c r="MH26" s="97"/>
      <c r="MI26" s="97"/>
      <c r="MJ26" s="97"/>
      <c r="MK26" s="97"/>
      <c r="ML26" s="97"/>
      <c r="MM26" s="97"/>
      <c r="MN26" s="97"/>
      <c r="MO26" s="97"/>
      <c r="MP26" s="97"/>
      <c r="MQ26" s="97"/>
      <c r="MR26" s="97"/>
      <c r="MS26" s="97"/>
      <c r="MT26" s="97"/>
      <c r="MU26" s="97"/>
      <c r="MV26" s="97"/>
      <c r="MW26" s="97"/>
      <c r="MX26" s="97"/>
      <c r="MY26" s="97"/>
      <c r="MZ26" s="97"/>
      <c r="NA26" s="97"/>
      <c r="NB26" s="97"/>
      <c r="NC26" s="97"/>
      <c r="ND26" s="97"/>
      <c r="NE26" s="97"/>
      <c r="NF26" s="97"/>
      <c r="NG26" s="97"/>
      <c r="NH26" s="97"/>
      <c r="NI26" s="97"/>
      <c r="NJ26" s="97"/>
      <c r="NK26" s="97"/>
      <c r="NL26" s="97"/>
      <c r="NM26" s="97"/>
      <c r="NN26" s="97"/>
      <c r="NO26" s="97"/>
      <c r="NP26" s="97"/>
      <c r="NQ26" s="97"/>
      <c r="NR26" s="97"/>
      <c r="NS26" s="97"/>
      <c r="NT26" s="97"/>
      <c r="NU26" s="97"/>
      <c r="NV26" s="97"/>
      <c r="NW26" s="97"/>
      <c r="NX26" s="97"/>
      <c r="NY26" s="97"/>
      <c r="NZ26" s="97"/>
      <c r="OA26" s="97"/>
      <c r="OB26" s="97"/>
      <c r="OC26" s="97"/>
    </row>
    <row r="27" spans="1:393" ht="16.95" customHeight="1" x14ac:dyDescent="0.25">
      <c r="A27" s="846" t="s">
        <v>325</v>
      </c>
      <c r="B27" s="846"/>
      <c r="C27" s="331">
        <f>IF(C8="Нет",0,C7)</f>
        <v>1100000</v>
      </c>
      <c r="D27" s="357">
        <f>IF(D8="Гарантия пакет",(AH65*AH79+AI65*AI79),INDEX($AC$79:$AI$79,MATCH(D$8,$AC$59:$AJ$59,0)))</f>
        <v>1100000</v>
      </c>
      <c r="E27" s="226">
        <f t="shared" ref="E27:E29" si="36">C27-D27</f>
        <v>0</v>
      </c>
      <c r="F27" s="192"/>
      <c r="G27" s="244">
        <f t="shared" si="26"/>
        <v>19</v>
      </c>
      <c r="H27" s="245">
        <f t="shared" si="7"/>
        <v>45171</v>
      </c>
      <c r="I27" s="246">
        <f t="shared" si="30"/>
        <v>0.17899999999999999</v>
      </c>
      <c r="J27" s="242">
        <f t="shared" si="0"/>
        <v>29910</v>
      </c>
      <c r="K27" s="242">
        <f t="shared" si="21"/>
        <v>29910</v>
      </c>
      <c r="L27" s="242">
        <f t="shared" si="8"/>
        <v>19030.902385532674</v>
      </c>
      <c r="M27" s="242">
        <f t="shared" si="22"/>
        <v>10879.097614467326</v>
      </c>
      <c r="N27" s="242">
        <f t="shared" si="1"/>
        <v>0</v>
      </c>
      <c r="O27" s="242">
        <v>0</v>
      </c>
      <c r="P27" s="242">
        <f t="shared" si="23"/>
        <v>19030.902385532674</v>
      </c>
      <c r="Q27" s="242">
        <f t="shared" si="2"/>
        <v>0</v>
      </c>
      <c r="R27" s="242">
        <f t="shared" si="9"/>
        <v>0</v>
      </c>
      <c r="S27" s="242">
        <f t="shared" si="10"/>
        <v>1240928.3218700211</v>
      </c>
      <c r="T27" s="467"/>
      <c r="U27" s="198">
        <f t="shared" si="27"/>
        <v>66</v>
      </c>
      <c r="V27" s="36">
        <f t="shared" si="11"/>
        <v>66</v>
      </c>
      <c r="W27" s="16"/>
      <c r="X27" s="16"/>
      <c r="Y27" s="57"/>
      <c r="AB27" s="13" t="s">
        <v>79</v>
      </c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O27" s="130">
        <f t="shared" si="12"/>
        <v>1</v>
      </c>
      <c r="AP27" s="553">
        <f t="shared" si="28"/>
        <v>19</v>
      </c>
      <c r="AQ27" s="554">
        <f t="shared" si="13"/>
        <v>45171</v>
      </c>
      <c r="AR27" s="555">
        <f t="shared" si="31"/>
        <v>0.17899999999999999</v>
      </c>
      <c r="AS27" s="546">
        <f t="shared" si="14"/>
        <v>29117</v>
      </c>
      <c r="AT27" s="546">
        <f t="shared" si="15"/>
        <v>29117</v>
      </c>
      <c r="AU27" s="546">
        <f t="shared" si="16"/>
        <v>18526.237265778993</v>
      </c>
      <c r="AV27" s="546">
        <f t="shared" si="17"/>
        <v>10590.762734221007</v>
      </c>
      <c r="AW27" s="546">
        <f t="shared" si="4"/>
        <v>0</v>
      </c>
      <c r="AX27" s="546">
        <v>0</v>
      </c>
      <c r="AY27" s="546">
        <f t="shared" si="18"/>
        <v>18526.237265778993</v>
      </c>
      <c r="AZ27" s="546">
        <f t="shared" si="35"/>
        <v>0</v>
      </c>
      <c r="BA27" s="546">
        <f t="shared" si="34"/>
        <v>0</v>
      </c>
      <c r="BB27" s="546"/>
      <c r="BC27" s="546"/>
      <c r="BD27" s="546"/>
      <c r="BE27" s="546"/>
      <c r="BF27" s="546"/>
      <c r="BG27" s="546">
        <f t="shared" si="20"/>
        <v>1208020.9874927264</v>
      </c>
      <c r="BH27" s="108">
        <f t="shared" si="29"/>
        <v>66</v>
      </c>
      <c r="BI27" s="108">
        <f t="shared" si="24"/>
        <v>66</v>
      </c>
      <c r="BJ27" s="22">
        <f t="shared" si="25"/>
        <v>45171</v>
      </c>
      <c r="BK27" s="108">
        <f t="shared" si="6"/>
        <v>29910</v>
      </c>
    </row>
    <row r="28" spans="1:393" ht="22.5" customHeight="1" x14ac:dyDescent="0.25">
      <c r="A28" s="846" t="s">
        <v>75</v>
      </c>
      <c r="B28" s="846"/>
      <c r="C28" s="194">
        <f>L109</f>
        <v>1090731.5644056359</v>
      </c>
      <c r="D28" s="209">
        <f>AU109</f>
        <v>1061800.5112690115</v>
      </c>
      <c r="E28" s="274">
        <f t="shared" si="36"/>
        <v>28931.053136624396</v>
      </c>
      <c r="F28" s="190"/>
      <c r="G28" s="244">
        <f t="shared" si="26"/>
        <v>20</v>
      </c>
      <c r="H28" s="245">
        <f t="shared" si="7"/>
        <v>45201</v>
      </c>
      <c r="I28" s="246">
        <f t="shared" si="30"/>
        <v>0.17899999999999999</v>
      </c>
      <c r="J28" s="242">
        <f t="shared" si="0"/>
        <v>29910</v>
      </c>
      <c r="K28" s="242">
        <f t="shared" si="21"/>
        <v>29910</v>
      </c>
      <c r="L28" s="242">
        <f t="shared" si="8"/>
        <v>18256.945447786336</v>
      </c>
      <c r="M28" s="242">
        <f t="shared" si="22"/>
        <v>11653.054552213664</v>
      </c>
      <c r="N28" s="242">
        <f t="shared" si="1"/>
        <v>0</v>
      </c>
      <c r="O28" s="242">
        <v>0</v>
      </c>
      <c r="P28" s="242">
        <f t="shared" si="23"/>
        <v>18256.945447786336</v>
      </c>
      <c r="Q28" s="242">
        <f t="shared" si="2"/>
        <v>0</v>
      </c>
      <c r="R28" s="242">
        <f t="shared" si="9"/>
        <v>0</v>
      </c>
      <c r="S28" s="242">
        <f t="shared" si="10"/>
        <v>1229275.2673178073</v>
      </c>
      <c r="T28" s="467"/>
      <c r="U28" s="198">
        <f t="shared" si="27"/>
        <v>65</v>
      </c>
      <c r="V28" s="36">
        <f t="shared" si="11"/>
        <v>65</v>
      </c>
      <c r="W28" s="16"/>
      <c r="X28" s="16"/>
      <c r="Y28" s="57" t="s">
        <v>47</v>
      </c>
      <c r="Z28" s="2" t="s">
        <v>35</v>
      </c>
      <c r="AB28" s="13" t="s">
        <v>80</v>
      </c>
      <c r="AC28" s="3">
        <v>1</v>
      </c>
      <c r="AD28" s="3">
        <v>1</v>
      </c>
      <c r="AE28" s="3">
        <v>1</v>
      </c>
      <c r="AF28" s="81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O28" s="130">
        <f t="shared" si="12"/>
        <v>1</v>
      </c>
      <c r="AP28" s="553">
        <f t="shared" si="28"/>
        <v>20</v>
      </c>
      <c r="AQ28" s="554">
        <f t="shared" si="13"/>
        <v>45201</v>
      </c>
      <c r="AR28" s="555">
        <f t="shared" si="31"/>
        <v>0.17899999999999999</v>
      </c>
      <c r="AS28" s="546">
        <f t="shared" si="14"/>
        <v>29117</v>
      </c>
      <c r="AT28" s="546">
        <f t="shared" si="15"/>
        <v>29117</v>
      </c>
      <c r="AU28" s="546">
        <f t="shared" si="16"/>
        <v>17772.801925577918</v>
      </c>
      <c r="AV28" s="546">
        <f t="shared" si="17"/>
        <v>11344.198074422082</v>
      </c>
      <c r="AW28" s="546">
        <f t="shared" si="4"/>
        <v>0</v>
      </c>
      <c r="AX28" s="546">
        <v>0</v>
      </c>
      <c r="AY28" s="546">
        <f t="shared" si="18"/>
        <v>17772.801925577918</v>
      </c>
      <c r="AZ28" s="546">
        <f t="shared" si="35"/>
        <v>0</v>
      </c>
      <c r="BA28" s="546">
        <f t="shared" si="34"/>
        <v>0</v>
      </c>
      <c r="BB28" s="546"/>
      <c r="BC28" s="546"/>
      <c r="BD28" s="546"/>
      <c r="BE28" s="546"/>
      <c r="BF28" s="546"/>
      <c r="BG28" s="546">
        <f t="shared" si="20"/>
        <v>1196676.7894183043</v>
      </c>
      <c r="BH28" s="108">
        <f t="shared" si="29"/>
        <v>65</v>
      </c>
      <c r="BI28" s="108">
        <f t="shared" si="24"/>
        <v>65</v>
      </c>
      <c r="BJ28" s="22">
        <f t="shared" si="25"/>
        <v>45201</v>
      </c>
      <c r="BK28" s="108">
        <f t="shared" si="6"/>
        <v>29910</v>
      </c>
    </row>
    <row r="29" spans="1:393" ht="19.5" customHeight="1" x14ac:dyDescent="0.25">
      <c r="A29" s="846" t="s">
        <v>354</v>
      </c>
      <c r="B29" s="846"/>
      <c r="C29" s="194">
        <f>IF(C18="",0,C28*(1-C19/C11))</f>
        <v>846992.66733175085</v>
      </c>
      <c r="D29" s="209">
        <f>IF(D18="",0,D18*12)</f>
        <v>0</v>
      </c>
      <c r="E29" s="274">
        <f t="shared" si="36"/>
        <v>846992.66733175085</v>
      </c>
      <c r="F29" s="234"/>
      <c r="G29" s="244">
        <f t="shared" si="26"/>
        <v>21</v>
      </c>
      <c r="H29" s="245">
        <f t="shared" si="7"/>
        <v>45232</v>
      </c>
      <c r="I29" s="246">
        <f t="shared" si="30"/>
        <v>0.17899999999999999</v>
      </c>
      <c r="J29" s="242">
        <f t="shared" si="0"/>
        <v>29910</v>
      </c>
      <c r="K29" s="242">
        <f t="shared" si="21"/>
        <v>29910</v>
      </c>
      <c r="L29" s="242">
        <f t="shared" si="8"/>
        <v>18688.351940675377</v>
      </c>
      <c r="M29" s="242">
        <f t="shared" si="22"/>
        <v>11221.648059324623</v>
      </c>
      <c r="N29" s="242">
        <f t="shared" si="1"/>
        <v>0</v>
      </c>
      <c r="O29" s="242">
        <v>0</v>
      </c>
      <c r="P29" s="242">
        <f t="shared" si="23"/>
        <v>18688.351940675377</v>
      </c>
      <c r="Q29" s="242">
        <f t="shared" si="2"/>
        <v>0</v>
      </c>
      <c r="R29" s="242">
        <f t="shared" si="9"/>
        <v>0</v>
      </c>
      <c r="S29" s="242">
        <f t="shared" si="10"/>
        <v>1218053.6192584827</v>
      </c>
      <c r="T29" s="467"/>
      <c r="U29" s="198">
        <f t="shared" si="27"/>
        <v>64</v>
      </c>
      <c r="V29" s="36">
        <f t="shared" si="11"/>
        <v>64</v>
      </c>
      <c r="W29" s="16"/>
      <c r="X29" s="16"/>
      <c r="Y29" s="57"/>
      <c r="AE29" s="82"/>
      <c r="AF29" s="2"/>
      <c r="AG29" s="2"/>
      <c r="AH29" s="2"/>
      <c r="AI29" s="3"/>
      <c r="AJ29" s="3"/>
      <c r="AK29" s="3"/>
      <c r="AL29" s="3"/>
      <c r="AO29" s="130">
        <f t="shared" si="12"/>
        <v>1</v>
      </c>
      <c r="AP29" s="553">
        <f t="shared" si="28"/>
        <v>21</v>
      </c>
      <c r="AQ29" s="554">
        <f t="shared" si="13"/>
        <v>45232</v>
      </c>
      <c r="AR29" s="555">
        <f t="shared" si="31"/>
        <v>0.17899999999999999</v>
      </c>
      <c r="AS29" s="546">
        <f t="shared" si="14"/>
        <v>29117</v>
      </c>
      <c r="AT29" s="546">
        <f t="shared" si="15"/>
        <v>29117</v>
      </c>
      <c r="AU29" s="546">
        <f t="shared" si="16"/>
        <v>18192.765765704578</v>
      </c>
      <c r="AV29" s="546">
        <f t="shared" si="17"/>
        <v>10924.234234295422</v>
      </c>
      <c r="AW29" s="546">
        <f t="shared" si="4"/>
        <v>0</v>
      </c>
      <c r="AX29" s="546">
        <v>0</v>
      </c>
      <c r="AY29" s="546">
        <f t="shared" si="18"/>
        <v>18192.765765704578</v>
      </c>
      <c r="AZ29" s="546">
        <f t="shared" si="35"/>
        <v>0</v>
      </c>
      <c r="BA29" s="546">
        <f t="shared" si="34"/>
        <v>0</v>
      </c>
      <c r="BB29" s="546"/>
      <c r="BC29" s="546"/>
      <c r="BD29" s="546"/>
      <c r="BE29" s="546"/>
      <c r="BF29" s="546"/>
      <c r="BG29" s="546">
        <f t="shared" si="20"/>
        <v>1185752.555184009</v>
      </c>
      <c r="BH29" s="108">
        <f t="shared" si="29"/>
        <v>64</v>
      </c>
      <c r="BI29" s="108">
        <f t="shared" si="24"/>
        <v>64</v>
      </c>
      <c r="BJ29" s="22">
        <f t="shared" si="25"/>
        <v>45232</v>
      </c>
      <c r="BK29" s="108">
        <f t="shared" si="6"/>
        <v>29910</v>
      </c>
    </row>
    <row r="30" spans="1:393" ht="35.25" customHeight="1" x14ac:dyDescent="0.25">
      <c r="A30" s="846" t="s">
        <v>157</v>
      </c>
      <c r="B30" s="846"/>
      <c r="C30" s="199">
        <f>J109-C29</f>
        <v>1665447.332668249</v>
      </c>
      <c r="D30" s="209">
        <f>AT109</f>
        <v>2445828</v>
      </c>
      <c r="E30" s="190" t="s">
        <v>358</v>
      </c>
      <c r="F30" s="235"/>
      <c r="G30" s="244">
        <f>G29+1</f>
        <v>22</v>
      </c>
      <c r="H30" s="245">
        <f t="shared" si="7"/>
        <v>45262</v>
      </c>
      <c r="I30" s="246">
        <f t="shared" si="30"/>
        <v>0.17899999999999999</v>
      </c>
      <c r="J30" s="242">
        <f t="shared" si="0"/>
        <v>29910</v>
      </c>
      <c r="K30" s="242">
        <f t="shared" si="21"/>
        <v>29910</v>
      </c>
      <c r="L30" s="242">
        <f t="shared" si="8"/>
        <v>17920.40530251521</v>
      </c>
      <c r="M30" s="242">
        <f t="shared" si="22"/>
        <v>11989.59469748479</v>
      </c>
      <c r="N30" s="242">
        <f t="shared" si="1"/>
        <v>0</v>
      </c>
      <c r="O30" s="242">
        <v>0</v>
      </c>
      <c r="P30" s="242">
        <f t="shared" si="23"/>
        <v>17920.40530251521</v>
      </c>
      <c r="Q30" s="242">
        <f t="shared" si="2"/>
        <v>0</v>
      </c>
      <c r="R30" s="242">
        <f t="shared" si="9"/>
        <v>0</v>
      </c>
      <c r="S30" s="242">
        <f t="shared" si="10"/>
        <v>1206064.024560998</v>
      </c>
      <c r="T30" s="467"/>
      <c r="U30" s="198">
        <f>IF((U29-1)&lt;0,0,U29-1)</f>
        <v>63</v>
      </c>
      <c r="V30" s="36">
        <f t="shared" si="11"/>
        <v>63</v>
      </c>
      <c r="W30" s="16"/>
      <c r="X30" s="16"/>
      <c r="Y30" s="57"/>
      <c r="AC30" s="13" t="s">
        <v>47</v>
      </c>
      <c r="AD30" s="2" t="s">
        <v>35</v>
      </c>
      <c r="AE30" s="82" t="s">
        <v>35</v>
      </c>
      <c r="AF30" s="2" t="s">
        <v>35</v>
      </c>
      <c r="AG30" s="2" t="s">
        <v>35</v>
      </c>
      <c r="AH30" s="2" t="s">
        <v>35</v>
      </c>
      <c r="AK30" s="2"/>
      <c r="AO30" s="130">
        <f t="shared" si="12"/>
        <v>1</v>
      </c>
      <c r="AP30" s="553">
        <f>AP29+1</f>
        <v>22</v>
      </c>
      <c r="AQ30" s="554">
        <f t="shared" si="13"/>
        <v>45262</v>
      </c>
      <c r="AR30" s="555">
        <f t="shared" si="31"/>
        <v>0.17899999999999999</v>
      </c>
      <c r="AS30" s="546">
        <f t="shared" si="14"/>
        <v>29117</v>
      </c>
      <c r="AT30" s="546">
        <f t="shared" si="15"/>
        <v>29117</v>
      </c>
      <c r="AU30" s="546">
        <f t="shared" si="16"/>
        <v>17445.181428323638</v>
      </c>
      <c r="AV30" s="546">
        <f>IF(BI30=0,0,IF(BI30=1,BG29,IF(BG29+AW30+AU30&gt;AT29,AT30-AU30-AW30,BG29)))</f>
        <v>11671.818571676362</v>
      </c>
      <c r="AW30" s="546">
        <f t="shared" si="4"/>
        <v>0</v>
      </c>
      <c r="AX30" s="546">
        <v>0</v>
      </c>
      <c r="AY30" s="546">
        <f t="shared" si="18"/>
        <v>17445.181428323638</v>
      </c>
      <c r="AZ30" s="546">
        <f t="shared" si="35"/>
        <v>0</v>
      </c>
      <c r="BA30" s="546">
        <f t="shared" si="34"/>
        <v>0</v>
      </c>
      <c r="BB30" s="546"/>
      <c r="BC30" s="546"/>
      <c r="BD30" s="546"/>
      <c r="BE30" s="546"/>
      <c r="BF30" s="546"/>
      <c r="BG30" s="546">
        <f>IF(OR(BI30=1,BG29=0),0,BG29-AV30)</f>
        <v>1174080.7366123328</v>
      </c>
      <c r="BH30" s="108">
        <f>IF((BH29-1)&lt;0,0,BH29-1)</f>
        <v>63</v>
      </c>
      <c r="BI30" s="108">
        <f t="shared" si="24"/>
        <v>63</v>
      </c>
      <c r="BJ30" s="22">
        <f t="shared" si="25"/>
        <v>45262</v>
      </c>
      <c r="BK30" s="108">
        <f t="shared" si="6"/>
        <v>29910</v>
      </c>
    </row>
    <row r="31" spans="1:393" ht="42" customHeight="1" x14ac:dyDescent="0.25">
      <c r="A31" s="941" t="s">
        <v>357</v>
      </c>
      <c r="B31" s="941"/>
      <c r="C31" s="518">
        <f>C28-C29</f>
        <v>243738.89707388508</v>
      </c>
      <c r="D31" s="212">
        <f>D28+D29</f>
        <v>1061800.5112690115</v>
      </c>
      <c r="E31" s="200">
        <f>D31-C31</f>
        <v>818061.61419512646</v>
      </c>
      <c r="F31" s="236"/>
      <c r="G31" s="244">
        <f t="shared" si="26"/>
        <v>23</v>
      </c>
      <c r="H31" s="245">
        <f t="shared" si="7"/>
        <v>45293</v>
      </c>
      <c r="I31" s="246">
        <f t="shared" si="30"/>
        <v>0.17899999999999999</v>
      </c>
      <c r="J31" s="242">
        <f t="shared" si="0"/>
        <v>29910</v>
      </c>
      <c r="K31" s="242">
        <f t="shared" si="21"/>
        <v>29910</v>
      </c>
      <c r="L31" s="242">
        <f t="shared" si="8"/>
        <v>18335.477458325968</v>
      </c>
      <c r="M31" s="242">
        <f t="shared" si="22"/>
        <v>11574.522541674032</v>
      </c>
      <c r="N31" s="242">
        <f t="shared" si="1"/>
        <v>0</v>
      </c>
      <c r="O31" s="242">
        <v>0</v>
      </c>
      <c r="P31" s="242">
        <f t="shared" si="23"/>
        <v>18335.477458325968</v>
      </c>
      <c r="Q31" s="242">
        <f t="shared" si="2"/>
        <v>0</v>
      </c>
      <c r="R31" s="242">
        <f t="shared" si="9"/>
        <v>0</v>
      </c>
      <c r="S31" s="242">
        <f t="shared" si="10"/>
        <v>1194489.5020193239</v>
      </c>
      <c r="T31" s="467"/>
      <c r="U31" s="198">
        <f t="shared" si="27"/>
        <v>62</v>
      </c>
      <c r="V31" s="36">
        <f t="shared" si="11"/>
        <v>62</v>
      </c>
      <c r="W31" s="16"/>
      <c r="X31" s="16"/>
      <c r="Y31" s="57"/>
      <c r="AC31" s="15">
        <f>IF(C12=W3,W17,IF(C12=Y3,Y17,IF(C12=Z3,Z17,IF(C12=AA3,AA17,IF(C12=X3,X17,)))))</f>
        <v>0</v>
      </c>
      <c r="AD31" s="15">
        <v>0</v>
      </c>
      <c r="AE31" s="2">
        <v>0</v>
      </c>
      <c r="AF31" s="2">
        <v>0</v>
      </c>
      <c r="AG31" s="2">
        <v>0</v>
      </c>
      <c r="AH31" s="2"/>
      <c r="AK31" s="2"/>
      <c r="AO31" s="130">
        <f t="shared" si="12"/>
        <v>1</v>
      </c>
      <c r="AP31" s="553">
        <f t="shared" si="28"/>
        <v>23</v>
      </c>
      <c r="AQ31" s="554">
        <f t="shared" si="13"/>
        <v>45293</v>
      </c>
      <c r="AR31" s="555">
        <f t="shared" si="31"/>
        <v>0.17899999999999999</v>
      </c>
      <c r="AS31" s="546">
        <f t="shared" si="14"/>
        <v>29117</v>
      </c>
      <c r="AT31" s="546">
        <f t="shared" si="15"/>
        <v>29117</v>
      </c>
      <c r="AU31" s="546">
        <f t="shared" si="16"/>
        <v>17849.24385605982</v>
      </c>
      <c r="AV31" s="546">
        <f t="shared" si="17"/>
        <v>11267.75614394018</v>
      </c>
      <c r="AW31" s="546">
        <f t="shared" si="4"/>
        <v>0</v>
      </c>
      <c r="AX31" s="546">
        <v>0</v>
      </c>
      <c r="AY31" s="546">
        <f t="shared" si="18"/>
        <v>17849.24385605982</v>
      </c>
      <c r="AZ31" s="546">
        <f t="shared" si="35"/>
        <v>0</v>
      </c>
      <c r="BA31" s="546">
        <f t="shared" si="34"/>
        <v>0</v>
      </c>
      <c r="BB31" s="546"/>
      <c r="BC31" s="546"/>
      <c r="BD31" s="546"/>
      <c r="BE31" s="546"/>
      <c r="BF31" s="546"/>
      <c r="BG31" s="546">
        <f t="shared" si="20"/>
        <v>1162812.9804683926</v>
      </c>
      <c r="BH31" s="108">
        <f t="shared" si="29"/>
        <v>62</v>
      </c>
      <c r="BI31" s="108">
        <f t="shared" si="24"/>
        <v>62</v>
      </c>
      <c r="BJ31" s="22">
        <f t="shared" si="25"/>
        <v>45293</v>
      </c>
      <c r="BK31" s="108">
        <f t="shared" si="6"/>
        <v>29910</v>
      </c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116"/>
      <c r="FX31" s="116"/>
      <c r="FY31" s="116"/>
      <c r="FZ31" s="116"/>
      <c r="GA31" s="116"/>
      <c r="GB31" s="116"/>
      <c r="GC31" s="116"/>
      <c r="GD31" s="116"/>
      <c r="GE31" s="116"/>
      <c r="GF31" s="116"/>
      <c r="GG31" s="116"/>
      <c r="GH31" s="116"/>
      <c r="GI31" s="116"/>
      <c r="GJ31" s="116"/>
      <c r="GK31" s="116"/>
      <c r="GL31" s="116"/>
      <c r="GM31" s="116"/>
      <c r="GN31" s="116"/>
      <c r="GO31" s="116"/>
      <c r="GP31" s="116"/>
      <c r="GQ31" s="116"/>
      <c r="GR31" s="116"/>
      <c r="GS31" s="116"/>
      <c r="GT31" s="116"/>
      <c r="GU31" s="116"/>
      <c r="GV31" s="116"/>
      <c r="GW31" s="116"/>
      <c r="GX31" s="116"/>
      <c r="GY31" s="116"/>
      <c r="GZ31" s="116"/>
      <c r="HA31" s="116"/>
      <c r="HB31" s="116"/>
      <c r="HC31" s="116"/>
      <c r="HD31" s="116"/>
      <c r="HE31" s="116"/>
      <c r="HF31" s="116"/>
      <c r="HG31" s="116"/>
      <c r="HH31" s="116"/>
      <c r="HI31" s="116"/>
      <c r="HJ31" s="116"/>
      <c r="HK31" s="116"/>
      <c r="HL31" s="116"/>
      <c r="HM31" s="116"/>
      <c r="HN31" s="116"/>
      <c r="HO31" s="116"/>
      <c r="HP31" s="116"/>
      <c r="HQ31" s="116"/>
      <c r="HR31" s="116"/>
      <c r="HS31" s="116"/>
      <c r="HT31" s="116"/>
      <c r="HU31" s="116"/>
      <c r="HV31" s="116"/>
      <c r="HW31" s="116"/>
      <c r="HX31" s="116"/>
      <c r="HY31" s="116"/>
      <c r="HZ31" s="116"/>
      <c r="IA31" s="116"/>
      <c r="IB31" s="116"/>
      <c r="IC31" s="116"/>
      <c r="ID31" s="116"/>
      <c r="IE31" s="116"/>
      <c r="IF31" s="116"/>
      <c r="IG31" s="116"/>
      <c r="IH31" s="116"/>
      <c r="II31" s="116"/>
      <c r="IJ31" s="116"/>
      <c r="IK31" s="116"/>
      <c r="IL31" s="116"/>
      <c r="IM31" s="116"/>
      <c r="IN31" s="116"/>
      <c r="IO31" s="116"/>
      <c r="IP31" s="116"/>
      <c r="IQ31" s="116"/>
      <c r="IR31" s="116"/>
      <c r="IS31" s="116"/>
      <c r="IT31" s="116"/>
      <c r="IU31" s="116"/>
      <c r="IV31" s="116"/>
      <c r="IW31" s="116"/>
      <c r="IX31" s="116"/>
      <c r="IY31" s="116"/>
      <c r="IZ31" s="116"/>
      <c r="JA31" s="116"/>
      <c r="JB31" s="116"/>
      <c r="JC31" s="116"/>
      <c r="JD31" s="116"/>
      <c r="JE31" s="116"/>
      <c r="JF31" s="116"/>
      <c r="JG31" s="116"/>
      <c r="JH31" s="116"/>
      <c r="JI31" s="116"/>
      <c r="JJ31" s="116"/>
      <c r="JK31" s="116"/>
      <c r="JL31" s="116"/>
      <c r="JM31" s="116"/>
      <c r="JN31" s="116"/>
      <c r="JO31" s="116"/>
      <c r="JP31" s="116"/>
      <c r="JQ31" s="116"/>
      <c r="JR31" s="116"/>
      <c r="JS31" s="116"/>
      <c r="JT31" s="116"/>
      <c r="JU31" s="116"/>
      <c r="JV31" s="116"/>
      <c r="JW31" s="116"/>
      <c r="JX31" s="116"/>
      <c r="JY31" s="116"/>
      <c r="JZ31" s="116"/>
      <c r="KA31" s="116"/>
      <c r="KB31" s="116"/>
      <c r="KC31" s="116"/>
      <c r="KD31" s="116"/>
      <c r="KE31" s="116"/>
      <c r="KF31" s="116"/>
      <c r="KG31" s="116"/>
      <c r="KH31" s="116"/>
      <c r="KI31" s="116"/>
      <c r="KJ31" s="116"/>
      <c r="KK31" s="116"/>
      <c r="KL31" s="116"/>
      <c r="KM31" s="116"/>
      <c r="KN31" s="116"/>
      <c r="KO31" s="116"/>
      <c r="KP31" s="116"/>
      <c r="KQ31" s="116"/>
      <c r="KR31" s="116"/>
      <c r="KS31" s="116"/>
      <c r="KT31" s="116"/>
      <c r="KU31" s="116"/>
      <c r="KV31" s="116"/>
      <c r="KW31" s="116"/>
      <c r="KX31" s="116"/>
      <c r="KY31" s="116"/>
      <c r="KZ31" s="116"/>
      <c r="LA31" s="116"/>
      <c r="LB31" s="116"/>
      <c r="LC31" s="116"/>
      <c r="LD31" s="116"/>
      <c r="LE31" s="116"/>
      <c r="LF31" s="116"/>
      <c r="LG31" s="116"/>
      <c r="LH31" s="116"/>
      <c r="LI31" s="116"/>
      <c r="LJ31" s="116"/>
      <c r="LK31" s="116"/>
      <c r="LL31" s="116"/>
      <c r="LM31" s="116"/>
      <c r="LN31" s="116"/>
      <c r="LO31" s="116"/>
      <c r="LP31" s="116"/>
      <c r="LQ31" s="116"/>
      <c r="LR31" s="116"/>
      <c r="LS31" s="116"/>
      <c r="LT31" s="116"/>
      <c r="LU31" s="116"/>
      <c r="LV31" s="116"/>
      <c r="LW31" s="116"/>
      <c r="LX31" s="116"/>
      <c r="LY31" s="116"/>
      <c r="LZ31" s="116"/>
      <c r="MA31" s="116"/>
      <c r="MB31" s="116"/>
      <c r="MC31" s="116"/>
      <c r="MD31" s="116"/>
      <c r="ME31" s="116"/>
      <c r="MF31" s="116"/>
      <c r="MG31" s="116"/>
      <c r="MH31" s="116"/>
      <c r="MI31" s="116"/>
      <c r="MJ31" s="116"/>
      <c r="MK31" s="116"/>
      <c r="ML31" s="116"/>
      <c r="MM31" s="116"/>
      <c r="MN31" s="116"/>
      <c r="MO31" s="116"/>
      <c r="MP31" s="116"/>
      <c r="MQ31" s="116"/>
      <c r="MR31" s="116"/>
      <c r="MS31" s="116"/>
      <c r="MT31" s="116"/>
      <c r="MU31" s="116"/>
      <c r="MV31" s="116"/>
      <c r="MW31" s="116"/>
      <c r="MX31" s="116"/>
      <c r="MY31" s="116"/>
      <c r="MZ31" s="116"/>
      <c r="NA31" s="116"/>
      <c r="NB31" s="116"/>
      <c r="NC31" s="116"/>
      <c r="ND31" s="116"/>
      <c r="NE31" s="116"/>
      <c r="NF31" s="116"/>
      <c r="NG31" s="116"/>
      <c r="NH31" s="116"/>
      <c r="NI31" s="116"/>
      <c r="NJ31" s="116"/>
      <c r="NK31" s="116"/>
      <c r="NL31" s="116"/>
      <c r="NM31" s="116"/>
      <c r="NN31" s="116"/>
      <c r="NO31" s="116"/>
      <c r="NP31" s="116"/>
      <c r="NQ31" s="116"/>
    </row>
    <row r="32" spans="1:393" ht="49.5" customHeight="1" thickBot="1" x14ac:dyDescent="0.3">
      <c r="A32" s="883" t="s">
        <v>175</v>
      </c>
      <c r="B32" s="884"/>
      <c r="C32" s="884"/>
      <c r="D32" s="884"/>
      <c r="E32" s="885"/>
      <c r="F32" s="674"/>
      <c r="G32" s="248">
        <f t="shared" si="26"/>
        <v>24</v>
      </c>
      <c r="H32" s="581">
        <f t="shared" si="7"/>
        <v>45324</v>
      </c>
      <c r="I32" s="250">
        <f t="shared" si="30"/>
        <v>0.17899999999999999</v>
      </c>
      <c r="J32" s="252">
        <f t="shared" si="0"/>
        <v>29910</v>
      </c>
      <c r="K32" s="252">
        <f t="shared" si="21"/>
        <v>29910</v>
      </c>
      <c r="L32" s="252">
        <f t="shared" si="8"/>
        <v>18159.513004671859</v>
      </c>
      <c r="M32" s="252">
        <f t="shared" si="22"/>
        <v>11750.486995328141</v>
      </c>
      <c r="N32" s="252">
        <f t="shared" si="1"/>
        <v>0</v>
      </c>
      <c r="O32" s="252">
        <v>0</v>
      </c>
      <c r="P32" s="252">
        <f t="shared" si="23"/>
        <v>18159.513004671859</v>
      </c>
      <c r="Q32" s="252">
        <f t="shared" si="2"/>
        <v>0</v>
      </c>
      <c r="R32" s="252">
        <f t="shared" si="9"/>
        <v>0</v>
      </c>
      <c r="S32" s="252">
        <f t="shared" si="10"/>
        <v>1182739.0150239957</v>
      </c>
      <c r="T32" s="468"/>
      <c r="U32" s="198">
        <f t="shared" si="27"/>
        <v>61</v>
      </c>
      <c r="V32" s="36">
        <f t="shared" si="11"/>
        <v>61</v>
      </c>
      <c r="W32" s="16"/>
      <c r="X32" s="16"/>
      <c r="Y32" s="57"/>
      <c r="AC32" s="15">
        <f>IF(C12=W3,W17,IF(C12=Y3,Y17,IF(C12=Z3,Z17,IF(C12=AA3,AA17,IF(C12=X3,X17,)))))</f>
        <v>0</v>
      </c>
      <c r="AD32" s="15">
        <v>0</v>
      </c>
      <c r="AE32" s="15"/>
      <c r="AF32" s="2"/>
      <c r="AG32" s="2"/>
      <c r="AH32" s="2"/>
      <c r="AK32" s="2"/>
      <c r="AN32" s="16"/>
      <c r="AO32" s="130">
        <f t="shared" si="12"/>
        <v>1</v>
      </c>
      <c r="AP32" s="556">
        <f t="shared" si="28"/>
        <v>24</v>
      </c>
      <c r="AQ32" s="582">
        <f t="shared" si="13"/>
        <v>45324</v>
      </c>
      <c r="AR32" s="557">
        <f t="shared" si="31"/>
        <v>0.17899999999999999</v>
      </c>
      <c r="AS32" s="547">
        <f t="shared" si="14"/>
        <v>29117</v>
      </c>
      <c r="AT32" s="547">
        <f t="shared" si="15"/>
        <v>29117</v>
      </c>
      <c r="AU32" s="547">
        <f t="shared" si="16"/>
        <v>17677.943092107154</v>
      </c>
      <c r="AV32" s="547">
        <f t="shared" si="17"/>
        <v>11439.056907892846</v>
      </c>
      <c r="AW32" s="547">
        <f t="shared" si="4"/>
        <v>0</v>
      </c>
      <c r="AX32" s="547">
        <v>0</v>
      </c>
      <c r="AY32" s="547">
        <f t="shared" si="18"/>
        <v>17677.943092107154</v>
      </c>
      <c r="AZ32" s="547">
        <f t="shared" si="35"/>
        <v>0</v>
      </c>
      <c r="BA32" s="547">
        <f t="shared" si="34"/>
        <v>0</v>
      </c>
      <c r="BB32" s="547"/>
      <c r="BC32" s="547"/>
      <c r="BD32" s="547"/>
      <c r="BE32" s="547"/>
      <c r="BF32" s="547"/>
      <c r="BG32" s="547">
        <f t="shared" si="20"/>
        <v>1151373.9235604997</v>
      </c>
      <c r="BH32" s="108">
        <f t="shared" si="29"/>
        <v>61</v>
      </c>
      <c r="BI32" s="108">
        <f t="shared" si="24"/>
        <v>61</v>
      </c>
      <c r="BJ32" s="22">
        <f t="shared" si="25"/>
        <v>45324</v>
      </c>
      <c r="BK32" s="108">
        <f t="shared" si="6"/>
        <v>29910</v>
      </c>
    </row>
    <row r="33" spans="1:1217" x14ac:dyDescent="0.25">
      <c r="A33" s="847" t="s">
        <v>186</v>
      </c>
      <c r="B33" s="677" t="s">
        <v>180</v>
      </c>
      <c r="C33" s="674">
        <f>C31/($C$10/12)</f>
        <v>34819.842439126442</v>
      </c>
      <c r="D33" s="674">
        <f>D31/($C$10/12)</f>
        <v>151685.7873241445</v>
      </c>
      <c r="E33" s="674">
        <f>C33-D33</f>
        <v>-116865.94488501806</v>
      </c>
      <c r="F33" s="674"/>
      <c r="G33" s="244">
        <f t="shared" si="26"/>
        <v>25</v>
      </c>
      <c r="H33" s="245">
        <f t="shared" si="7"/>
        <v>45353</v>
      </c>
      <c r="I33" s="246">
        <f t="shared" si="30"/>
        <v>0.17899999999999999</v>
      </c>
      <c r="J33" s="242">
        <f t="shared" si="0"/>
        <v>29910</v>
      </c>
      <c r="K33" s="242">
        <f t="shared" si="21"/>
        <v>29910</v>
      </c>
      <c r="L33" s="242">
        <f t="shared" si="8"/>
        <v>16820.817060245372</v>
      </c>
      <c r="M33" s="242">
        <f t="shared" si="22"/>
        <v>13089.182939754628</v>
      </c>
      <c r="N33" s="242">
        <f t="shared" si="1"/>
        <v>0</v>
      </c>
      <c r="O33" s="242">
        <v>0</v>
      </c>
      <c r="P33" s="242">
        <f t="shared" si="23"/>
        <v>16820.817060245372</v>
      </c>
      <c r="Q33" s="242">
        <f t="shared" si="2"/>
        <v>0</v>
      </c>
      <c r="R33" s="242">
        <f t="shared" si="9"/>
        <v>0</v>
      </c>
      <c r="S33" s="242">
        <f t="shared" si="10"/>
        <v>1169649.8320842411</v>
      </c>
      <c r="T33" s="467"/>
      <c r="U33" s="198">
        <f t="shared" si="27"/>
        <v>60</v>
      </c>
      <c r="V33" s="36">
        <f t="shared" si="11"/>
        <v>60</v>
      </c>
      <c r="W33" s="16"/>
      <c r="X33" s="16"/>
      <c r="Y33" s="57"/>
      <c r="AE33" s="15"/>
      <c r="AF33" s="173">
        <f>$C$24-AG33</f>
        <v>2830</v>
      </c>
      <c r="AG33" s="2">
        <f>ROUNDUP(((S20)*AG37/12*(1+AG37/12)^(U21)/((1+AG37/12)^(U21)-1)+S20/10000*IF(U21&lt;11,20,IF(U21&lt;34,0.7,IF(U21&lt;58,0.3,0.1)))*IF(AG37&lt;0.3,AG37/0.2,AG37/0.1))/AG47,0)*AG47</f>
        <v>27080</v>
      </c>
      <c r="AH33" s="16">
        <v>6000000</v>
      </c>
      <c r="AM33" s="16"/>
      <c r="AN33" s="16"/>
      <c r="AO33" s="130">
        <f t="shared" si="12"/>
        <v>1</v>
      </c>
      <c r="AP33" s="553">
        <f t="shared" si="28"/>
        <v>25</v>
      </c>
      <c r="AQ33" s="554">
        <f t="shared" si="13"/>
        <v>45353</v>
      </c>
      <c r="AR33" s="555">
        <f t="shared" ref="AR33:AR44" si="37">IF($D$16="Да",$AM$38,$D$13)</f>
        <v>0.17899999999999999</v>
      </c>
      <c r="AS33" s="546">
        <f t="shared" si="14"/>
        <v>29117</v>
      </c>
      <c r="AT33" s="546">
        <f t="shared" si="15"/>
        <v>29117</v>
      </c>
      <c r="AU33" s="546">
        <f t="shared" si="16"/>
        <v>16374.745307404257</v>
      </c>
      <c r="AV33" s="546">
        <f t="shared" si="17"/>
        <v>12742.254692595743</v>
      </c>
      <c r="AW33" s="546">
        <f t="shared" si="4"/>
        <v>0</v>
      </c>
      <c r="AX33" s="546">
        <v>0</v>
      </c>
      <c r="AY33" s="546">
        <f t="shared" si="18"/>
        <v>16374.745307404257</v>
      </c>
      <c r="AZ33" s="546">
        <f t="shared" si="35"/>
        <v>0</v>
      </c>
      <c r="BA33" s="546">
        <f t="shared" si="34"/>
        <v>0</v>
      </c>
      <c r="BB33" s="546"/>
      <c r="BC33" s="546"/>
      <c r="BD33" s="546"/>
      <c r="BE33" s="546"/>
      <c r="BF33" s="546"/>
      <c r="BG33" s="546">
        <f t="shared" si="20"/>
        <v>1138631.668867904</v>
      </c>
      <c r="BH33" s="108">
        <f t="shared" si="29"/>
        <v>60</v>
      </c>
      <c r="BI33" s="108">
        <f t="shared" si="24"/>
        <v>60</v>
      </c>
      <c r="BJ33" s="22">
        <f t="shared" si="25"/>
        <v>45353</v>
      </c>
      <c r="BK33" s="108">
        <f t="shared" si="6"/>
        <v>29910</v>
      </c>
      <c r="BN33" s="853"/>
      <c r="BP33" s="131"/>
    </row>
    <row r="34" spans="1:1217" ht="25.5" customHeight="1" x14ac:dyDescent="0.25">
      <c r="A34" s="847"/>
      <c r="B34" s="677" t="s">
        <v>181</v>
      </c>
      <c r="C34" s="201">
        <f>C33/C23</f>
        <v>2.4400063655671947E-2</v>
      </c>
      <c r="D34" s="201">
        <f>D33/D23</f>
        <v>0.10918938706703972</v>
      </c>
      <c r="E34" s="674"/>
      <c r="F34" s="674"/>
      <c r="G34" s="244">
        <f t="shared" si="26"/>
        <v>26</v>
      </c>
      <c r="H34" s="245">
        <f t="shared" si="7"/>
        <v>45384</v>
      </c>
      <c r="I34" s="246">
        <f t="shared" si="30"/>
        <v>0.17899999999999999</v>
      </c>
      <c r="J34" s="242">
        <f t="shared" si="0"/>
        <v>29910</v>
      </c>
      <c r="K34" s="242">
        <f t="shared" si="21"/>
        <v>29910</v>
      </c>
      <c r="L34" s="242">
        <f t="shared" si="8"/>
        <v>17781.881967768368</v>
      </c>
      <c r="M34" s="242">
        <f t="shared" si="22"/>
        <v>12128.118032231632</v>
      </c>
      <c r="N34" s="242">
        <f t="shared" si="1"/>
        <v>0</v>
      </c>
      <c r="O34" s="242">
        <v>0</v>
      </c>
      <c r="P34" s="242">
        <f t="shared" si="23"/>
        <v>17781.881967768368</v>
      </c>
      <c r="Q34" s="242">
        <f t="shared" si="2"/>
        <v>0</v>
      </c>
      <c r="R34" s="242">
        <f t="shared" si="9"/>
        <v>0</v>
      </c>
      <c r="S34" s="242">
        <f t="shared" si="10"/>
        <v>1157521.7140520094</v>
      </c>
      <c r="T34" s="467"/>
      <c r="U34" s="198">
        <f t="shared" si="27"/>
        <v>59</v>
      </c>
      <c r="V34" s="36">
        <f t="shared" si="11"/>
        <v>59</v>
      </c>
      <c r="W34" s="16"/>
      <c r="X34" s="16"/>
      <c r="Y34" s="57"/>
      <c r="AB34" s="2">
        <f>IF(C10 &lt;=W31,W33,IF(C10 &lt;=X31,X33,IF(C10 &lt;=Y31,Y33,IF(C10 &lt;=Z31,Z33,AA33))))</f>
        <v>0</v>
      </c>
      <c r="AE34" s="2"/>
      <c r="AF34" s="16"/>
      <c r="AG34" s="16"/>
      <c r="AH34" s="16"/>
      <c r="AM34" s="16"/>
      <c r="AN34" s="16"/>
      <c r="AO34" s="130">
        <f t="shared" si="12"/>
        <v>1</v>
      </c>
      <c r="AP34" s="553">
        <f t="shared" si="28"/>
        <v>26</v>
      </c>
      <c r="AQ34" s="554">
        <f t="shared" si="13"/>
        <v>45384</v>
      </c>
      <c r="AR34" s="555">
        <f t="shared" si="37"/>
        <v>0.17899999999999999</v>
      </c>
      <c r="AS34" s="546">
        <f t="shared" si="14"/>
        <v>29117</v>
      </c>
      <c r="AT34" s="546">
        <f t="shared" si="15"/>
        <v>29117</v>
      </c>
      <c r="AU34" s="546">
        <f t="shared" si="16"/>
        <v>17310.320905610959</v>
      </c>
      <c r="AV34" s="546">
        <f t="shared" si="17"/>
        <v>11806.679094389041</v>
      </c>
      <c r="AW34" s="546">
        <f t="shared" si="4"/>
        <v>0</v>
      </c>
      <c r="AX34" s="546">
        <v>0</v>
      </c>
      <c r="AY34" s="546">
        <f t="shared" si="18"/>
        <v>17310.320905610959</v>
      </c>
      <c r="AZ34" s="546">
        <f t="shared" si="35"/>
        <v>0</v>
      </c>
      <c r="BA34" s="546">
        <f t="shared" si="34"/>
        <v>0</v>
      </c>
      <c r="BB34" s="546"/>
      <c r="BC34" s="546"/>
      <c r="BD34" s="546"/>
      <c r="BE34" s="546"/>
      <c r="BF34" s="546"/>
      <c r="BG34" s="546">
        <f t="shared" si="20"/>
        <v>1126824.9897735149</v>
      </c>
      <c r="BH34" s="108">
        <f t="shared" si="29"/>
        <v>59</v>
      </c>
      <c r="BI34" s="108">
        <f t="shared" si="24"/>
        <v>59</v>
      </c>
      <c r="BJ34" s="22">
        <f t="shared" si="25"/>
        <v>45384</v>
      </c>
      <c r="BK34" s="108">
        <f t="shared" si="6"/>
        <v>29910</v>
      </c>
      <c r="BN34" s="853"/>
    </row>
    <row r="35" spans="1:1217" ht="31.5" customHeight="1" x14ac:dyDescent="0.25">
      <c r="A35" s="846" t="s">
        <v>177</v>
      </c>
      <c r="B35" s="846"/>
      <c r="C35" s="190">
        <f>C33/12</f>
        <v>2901.6535365938703</v>
      </c>
      <c r="D35" s="674">
        <f>D33/12</f>
        <v>12640.482277012043</v>
      </c>
      <c r="E35" s="674">
        <f>C35-D35</f>
        <v>-9738.8287404181719</v>
      </c>
      <c r="F35" s="674"/>
      <c r="G35" s="244">
        <f t="shared" si="26"/>
        <v>27</v>
      </c>
      <c r="H35" s="245">
        <f t="shared" si="7"/>
        <v>45414</v>
      </c>
      <c r="I35" s="246">
        <f t="shared" si="30"/>
        <v>0.17899999999999999</v>
      </c>
      <c r="J35" s="242">
        <f t="shared" si="0"/>
        <v>29910</v>
      </c>
      <c r="K35" s="242">
        <f t="shared" si="21"/>
        <v>29910</v>
      </c>
      <c r="L35" s="242">
        <f t="shared" si="8"/>
        <v>17029.840012217232</v>
      </c>
      <c r="M35" s="242">
        <f t="shared" si="22"/>
        <v>12880.159987782768</v>
      </c>
      <c r="N35" s="242">
        <f t="shared" si="1"/>
        <v>0</v>
      </c>
      <c r="O35" s="242">
        <v>0</v>
      </c>
      <c r="P35" s="242">
        <f t="shared" si="23"/>
        <v>17029.840012217232</v>
      </c>
      <c r="Q35" s="242">
        <f t="shared" si="2"/>
        <v>0</v>
      </c>
      <c r="R35" s="242">
        <f t="shared" si="9"/>
        <v>0</v>
      </c>
      <c r="S35" s="242">
        <f t="shared" si="10"/>
        <v>1144641.5540642266</v>
      </c>
      <c r="T35" s="467"/>
      <c r="U35" s="198">
        <f t="shared" si="27"/>
        <v>58</v>
      </c>
      <c r="V35" s="36">
        <f t="shared" si="11"/>
        <v>58</v>
      </c>
      <c r="AE35" s="15"/>
      <c r="AF35" s="47">
        <f>ROUNDUP(AH35/AH33*C7/1,0)*1</f>
        <v>2200</v>
      </c>
      <c r="AG35" s="169">
        <v>0.04</v>
      </c>
      <c r="AH35" s="16">
        <f>IF(AG35=3%,INDEX(W40:AE40,MATCH($C$11,$W$39:$AE$39,0)),IF(AG35=4%,INDEX(W37:AE37,MATCH($C$11,$W$36:$AE$36,0)),0))</f>
        <v>12000</v>
      </c>
      <c r="AL35" s="47">
        <f>ROUNDUP(AH35/AH33*C7/1,0)*1</f>
        <v>2200</v>
      </c>
      <c r="AM35" s="169">
        <v>0.04</v>
      </c>
      <c r="AN35" s="16"/>
      <c r="AO35" s="130">
        <f t="shared" si="12"/>
        <v>1</v>
      </c>
      <c r="AP35" s="553">
        <f t="shared" si="28"/>
        <v>27</v>
      </c>
      <c r="AQ35" s="554">
        <f t="shared" si="13"/>
        <v>45414</v>
      </c>
      <c r="AR35" s="555">
        <f t="shared" si="37"/>
        <v>0.17899999999999999</v>
      </c>
      <c r="AS35" s="546">
        <f t="shared" si="14"/>
        <v>29117</v>
      </c>
      <c r="AT35" s="546">
        <f t="shared" si="15"/>
        <v>29117</v>
      </c>
      <c r="AU35" s="546">
        <f t="shared" si="16"/>
        <v>16578.219712558286</v>
      </c>
      <c r="AV35" s="546">
        <f t="shared" si="17"/>
        <v>12538.780287441714</v>
      </c>
      <c r="AW35" s="546">
        <f t="shared" si="4"/>
        <v>0</v>
      </c>
      <c r="AX35" s="546">
        <v>0</v>
      </c>
      <c r="AY35" s="546">
        <f t="shared" si="18"/>
        <v>16578.219712558286</v>
      </c>
      <c r="AZ35" s="546">
        <f t="shared" si="35"/>
        <v>0</v>
      </c>
      <c r="BA35" s="546">
        <f t="shared" si="34"/>
        <v>0</v>
      </c>
      <c r="BB35" s="546"/>
      <c r="BC35" s="546"/>
      <c r="BD35" s="546"/>
      <c r="BE35" s="546"/>
      <c r="BF35" s="546"/>
      <c r="BG35" s="546">
        <f t="shared" si="20"/>
        <v>1114286.2094860731</v>
      </c>
      <c r="BH35" s="108">
        <f t="shared" si="29"/>
        <v>58</v>
      </c>
      <c r="BI35" s="108">
        <f t="shared" si="24"/>
        <v>58</v>
      </c>
      <c r="BJ35" s="22">
        <f t="shared" si="25"/>
        <v>45414</v>
      </c>
      <c r="BK35" s="108">
        <f t="shared" si="6"/>
        <v>29910</v>
      </c>
      <c r="BN35" s="853"/>
    </row>
    <row r="36" spans="1:1217" ht="21.75" customHeight="1" thickBot="1" x14ac:dyDescent="0.35">
      <c r="A36" s="843" t="s">
        <v>176</v>
      </c>
      <c r="B36" s="843"/>
      <c r="C36" s="203">
        <f>C35/30</f>
        <v>96.721784553129012</v>
      </c>
      <c r="D36" s="202">
        <f>D35/30</f>
        <v>421.34940923373478</v>
      </c>
      <c r="E36" s="202">
        <f>C36-D36</f>
        <v>-324.62762468060578</v>
      </c>
      <c r="F36" s="178"/>
      <c r="G36" s="244">
        <f t="shared" si="26"/>
        <v>28</v>
      </c>
      <c r="H36" s="245">
        <f t="shared" si="7"/>
        <v>45445</v>
      </c>
      <c r="I36" s="246">
        <f t="shared" si="30"/>
        <v>0.17899999999999999</v>
      </c>
      <c r="J36" s="242">
        <f t="shared" si="0"/>
        <v>29910</v>
      </c>
      <c r="K36" s="242">
        <f t="shared" si="21"/>
        <v>29910</v>
      </c>
      <c r="L36" s="242">
        <f t="shared" si="8"/>
        <v>17401.687626033956</v>
      </c>
      <c r="M36" s="242">
        <f t="shared" si="22"/>
        <v>12508.312373966044</v>
      </c>
      <c r="N36" s="242">
        <f t="shared" si="1"/>
        <v>0</v>
      </c>
      <c r="O36" s="242">
        <v>0</v>
      </c>
      <c r="P36" s="242">
        <f t="shared" si="23"/>
        <v>17401.687626033956</v>
      </c>
      <c r="Q36" s="242">
        <f t="shared" si="2"/>
        <v>0</v>
      </c>
      <c r="R36" s="242">
        <f t="shared" si="9"/>
        <v>0</v>
      </c>
      <c r="S36" s="242">
        <f t="shared" si="10"/>
        <v>1132133.2416902606</v>
      </c>
      <c r="T36" s="467"/>
      <c r="U36" s="198">
        <f t="shared" si="27"/>
        <v>57</v>
      </c>
      <c r="V36" s="36">
        <f t="shared" si="11"/>
        <v>57</v>
      </c>
      <c r="W36" s="15">
        <v>0.11899999999999999</v>
      </c>
      <c r="X36" s="101">
        <v>0.129</v>
      </c>
      <c r="Y36" s="484">
        <v>0.13900000000000001</v>
      </c>
      <c r="Z36" s="101">
        <v>0.14899999999999999</v>
      </c>
      <c r="AA36" s="484">
        <v>0.159</v>
      </c>
      <c r="AB36" s="15">
        <v>0.19900000000000001</v>
      </c>
      <c r="AC36" s="169">
        <v>0.17899999999999999</v>
      </c>
      <c r="AD36" s="15">
        <v>0.189</v>
      </c>
      <c r="AE36" s="15">
        <v>0.19900000000000001</v>
      </c>
      <c r="AF36" s="47">
        <f>C24</f>
        <v>29910</v>
      </c>
      <c r="AG36" s="15">
        <f>IF(OR(C$8="Гарантия стандарт",C$8="Гарантия пакет"),AD13,C11)</f>
        <v>0.17899999999999999</v>
      </c>
      <c r="AH36" s="16" t="e">
        <f>IF(AG35=3%,INDEX(W41:AE41,MATCH($C$11,$W$39:$AE$39,0)),IF(AG35=4%,INDEX(W38:AE38,MATCH($C$11,$W$36:$AE$36,0)),0))</f>
        <v>#N/A</v>
      </c>
      <c r="AI36" s="2" t="e">
        <f>INDEX(W41:AE41,MATCH($D$11,$W$39:$AE$39,0))</f>
        <v>#N/A</v>
      </c>
      <c r="AL36" s="47">
        <f>D24</f>
        <v>29117</v>
      </c>
      <c r="AM36" s="15">
        <f>IF(OR(D$8="Гарантия стандарт",D$8="Гарантия пакет"),AD13,D11)</f>
        <v>0.17899999999999999</v>
      </c>
      <c r="AN36" s="16"/>
      <c r="AO36" s="130">
        <f t="shared" si="12"/>
        <v>1</v>
      </c>
      <c r="AP36" s="553">
        <f t="shared" si="28"/>
        <v>28</v>
      </c>
      <c r="AQ36" s="554">
        <f t="shared" si="13"/>
        <v>45445</v>
      </c>
      <c r="AR36" s="555">
        <f t="shared" si="37"/>
        <v>0.17899999999999999</v>
      </c>
      <c r="AS36" s="546">
        <f t="shared" si="14"/>
        <v>29117</v>
      </c>
      <c r="AT36" s="546">
        <f t="shared" si="15"/>
        <v>29117</v>
      </c>
      <c r="AU36" s="546">
        <f t="shared" si="16"/>
        <v>16940.203223118409</v>
      </c>
      <c r="AV36" s="546">
        <f t="shared" si="17"/>
        <v>12176.796776881591</v>
      </c>
      <c r="AW36" s="546">
        <f t="shared" si="4"/>
        <v>0</v>
      </c>
      <c r="AX36" s="546">
        <v>0</v>
      </c>
      <c r="AY36" s="546">
        <f t="shared" si="18"/>
        <v>16940.203223118409</v>
      </c>
      <c r="AZ36" s="546">
        <f t="shared" si="35"/>
        <v>0</v>
      </c>
      <c r="BA36" s="546">
        <f t="shared" si="34"/>
        <v>0</v>
      </c>
      <c r="BB36" s="546"/>
      <c r="BC36" s="546"/>
      <c r="BD36" s="546"/>
      <c r="BE36" s="546"/>
      <c r="BF36" s="546"/>
      <c r="BG36" s="546">
        <f t="shared" si="20"/>
        <v>1102109.4127091914</v>
      </c>
      <c r="BH36" s="108">
        <f t="shared" si="29"/>
        <v>57</v>
      </c>
      <c r="BI36" s="108">
        <f t="shared" si="24"/>
        <v>57</v>
      </c>
      <c r="BJ36" s="22">
        <f t="shared" si="25"/>
        <v>45445</v>
      </c>
      <c r="BK36" s="108">
        <f t="shared" si="6"/>
        <v>29910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  <c r="AMK36" s="16"/>
      <c r="AML36" s="16"/>
      <c r="AMM36" s="16"/>
      <c r="AMN36" s="16"/>
      <c r="AMO36" s="16"/>
      <c r="AMP36" s="16"/>
      <c r="AMQ36" s="16"/>
      <c r="AMR36" s="16"/>
      <c r="AMS36" s="16"/>
      <c r="AMT36" s="16"/>
      <c r="AMU36" s="16"/>
      <c r="AMV36" s="16"/>
      <c r="AMW36" s="16"/>
      <c r="AMX36" s="16"/>
      <c r="AMY36" s="16"/>
      <c r="AMZ36" s="16"/>
      <c r="ANA36" s="16"/>
      <c r="ANB36" s="16"/>
      <c r="ANC36" s="16"/>
      <c r="AND36" s="16"/>
      <c r="ANE36" s="16"/>
      <c r="ANF36" s="16"/>
      <c r="ANG36" s="16"/>
      <c r="ANH36" s="16"/>
      <c r="ANI36" s="16"/>
      <c r="ANJ36" s="16"/>
      <c r="ANK36" s="16"/>
      <c r="ANL36" s="16"/>
      <c r="ANM36" s="16"/>
      <c r="ANN36" s="16"/>
      <c r="ANO36" s="16"/>
      <c r="ANP36" s="16"/>
      <c r="ANQ36" s="16"/>
      <c r="ANR36" s="16"/>
      <c r="ANS36" s="16"/>
      <c r="ANT36" s="16"/>
      <c r="ANU36" s="16"/>
      <c r="ANV36" s="16"/>
      <c r="ANW36" s="16"/>
      <c r="ANX36" s="16"/>
      <c r="ANY36" s="16"/>
      <c r="ANZ36" s="16"/>
      <c r="AOA36" s="16"/>
      <c r="AOB36" s="16"/>
      <c r="AOC36" s="16"/>
      <c r="AOD36" s="16"/>
      <c r="AOE36" s="16"/>
      <c r="AOF36" s="16"/>
      <c r="AOG36" s="16"/>
      <c r="AOH36" s="16"/>
      <c r="AOI36" s="16"/>
      <c r="AOJ36" s="16"/>
      <c r="AOK36" s="16"/>
      <c r="AOL36" s="16"/>
      <c r="AOM36" s="16"/>
      <c r="AON36" s="16"/>
      <c r="AOO36" s="16"/>
      <c r="AOP36" s="16"/>
      <c r="AOQ36" s="16"/>
      <c r="AOR36" s="16"/>
      <c r="AOS36" s="16"/>
      <c r="AOT36" s="16"/>
      <c r="AOU36" s="16"/>
      <c r="AOV36" s="16"/>
      <c r="AOW36" s="16"/>
      <c r="AOX36" s="16"/>
      <c r="AOY36" s="16"/>
      <c r="AOZ36" s="16"/>
      <c r="APA36" s="16"/>
      <c r="APB36" s="16"/>
      <c r="APC36" s="16"/>
      <c r="APD36" s="16"/>
      <c r="APE36" s="16"/>
      <c r="APF36" s="16"/>
      <c r="APG36" s="16"/>
      <c r="APH36" s="16"/>
      <c r="API36" s="16"/>
      <c r="APJ36" s="16"/>
      <c r="APK36" s="16"/>
      <c r="APL36" s="16"/>
      <c r="APM36" s="16"/>
      <c r="APN36" s="16"/>
      <c r="APO36" s="16"/>
      <c r="APP36" s="16"/>
      <c r="APQ36" s="16"/>
      <c r="APR36" s="16"/>
      <c r="APS36" s="16"/>
      <c r="APT36" s="16"/>
      <c r="APU36" s="16"/>
      <c r="APV36" s="16"/>
      <c r="APW36" s="16"/>
      <c r="APX36" s="16"/>
      <c r="APY36" s="16"/>
      <c r="APZ36" s="16"/>
      <c r="AQA36" s="16"/>
      <c r="AQB36" s="16"/>
      <c r="AQC36" s="16"/>
      <c r="AQD36" s="16"/>
      <c r="AQE36" s="16"/>
      <c r="AQF36" s="16"/>
      <c r="AQG36" s="16"/>
      <c r="AQH36" s="16"/>
      <c r="AQI36" s="16"/>
      <c r="AQJ36" s="16"/>
      <c r="AQK36" s="16"/>
      <c r="AQL36" s="16"/>
      <c r="AQM36" s="16"/>
      <c r="AQN36" s="16"/>
      <c r="AQO36" s="16"/>
      <c r="AQP36" s="16"/>
      <c r="AQQ36" s="16"/>
      <c r="AQR36" s="16"/>
      <c r="AQS36" s="16"/>
      <c r="AQT36" s="16"/>
      <c r="AQU36" s="16"/>
      <c r="AQV36" s="16"/>
      <c r="AQW36" s="16"/>
      <c r="AQX36" s="16"/>
      <c r="AQY36" s="16"/>
      <c r="AQZ36" s="16"/>
      <c r="ARA36" s="16"/>
      <c r="ARB36" s="16"/>
      <c r="ARC36" s="16"/>
      <c r="ARD36" s="16"/>
      <c r="ARE36" s="16"/>
      <c r="ARF36" s="16"/>
      <c r="ARG36" s="16"/>
      <c r="ARH36" s="16"/>
      <c r="ARI36" s="16"/>
      <c r="ARJ36" s="16"/>
      <c r="ARK36" s="16"/>
      <c r="ARL36" s="16"/>
      <c r="ARM36" s="16"/>
      <c r="ARN36" s="16"/>
      <c r="ARO36" s="16"/>
      <c r="ARP36" s="16"/>
      <c r="ARQ36" s="16"/>
      <c r="ARR36" s="16"/>
      <c r="ARS36" s="16"/>
      <c r="ART36" s="16"/>
      <c r="ARU36" s="16"/>
      <c r="ARV36" s="16"/>
      <c r="ARW36" s="16"/>
      <c r="ARX36" s="16"/>
      <c r="ARY36" s="16"/>
      <c r="ARZ36" s="16"/>
      <c r="ASA36" s="16"/>
      <c r="ASB36" s="16"/>
      <c r="ASC36" s="16"/>
      <c r="ASD36" s="16"/>
      <c r="ASE36" s="16"/>
      <c r="ASF36" s="16"/>
      <c r="ASG36" s="16"/>
      <c r="ASH36" s="16"/>
      <c r="ASI36" s="16"/>
      <c r="ASJ36" s="16"/>
      <c r="ASK36" s="16"/>
      <c r="ASL36" s="16"/>
      <c r="ASM36" s="16"/>
      <c r="ASN36" s="16"/>
      <c r="ASO36" s="16"/>
      <c r="ASP36" s="16"/>
      <c r="ASQ36" s="16"/>
      <c r="ASR36" s="16"/>
      <c r="ASS36" s="16"/>
      <c r="AST36" s="16"/>
      <c r="ASU36" s="16"/>
      <c r="ASV36" s="16"/>
      <c r="ASW36" s="16"/>
      <c r="ASX36" s="16"/>
      <c r="ASY36" s="16"/>
      <c r="ASZ36" s="16"/>
      <c r="ATA36" s="16"/>
      <c r="ATB36" s="16"/>
      <c r="ATC36" s="16"/>
      <c r="ATD36" s="16"/>
      <c r="ATE36" s="16"/>
      <c r="ATF36" s="16"/>
      <c r="ATG36" s="16"/>
      <c r="ATH36" s="16"/>
      <c r="ATI36" s="16"/>
      <c r="ATJ36" s="16"/>
      <c r="ATK36" s="16"/>
      <c r="ATL36" s="16"/>
      <c r="ATM36" s="16"/>
      <c r="ATN36" s="16"/>
      <c r="ATO36" s="16"/>
      <c r="ATP36" s="16"/>
      <c r="ATQ36" s="16"/>
      <c r="ATR36" s="16"/>
      <c r="ATS36" s="16"/>
      <c r="ATT36" s="16"/>
      <c r="ATU36" s="16"/>
    </row>
    <row r="37" spans="1:1217" s="16" customFormat="1" ht="24.75" customHeight="1" x14ac:dyDescent="0.3">
      <c r="A37" s="178"/>
      <c r="B37" s="178"/>
      <c r="C37" s="184"/>
      <c r="D37" s="178"/>
      <c r="E37" s="178"/>
      <c r="F37" s="178"/>
      <c r="G37" s="244">
        <f t="shared" si="26"/>
        <v>29</v>
      </c>
      <c r="H37" s="245">
        <f t="shared" si="7"/>
        <v>45475</v>
      </c>
      <c r="I37" s="246">
        <f t="shared" si="30"/>
        <v>0.17899999999999999</v>
      </c>
      <c r="J37" s="242">
        <f t="shared" si="0"/>
        <v>29910</v>
      </c>
      <c r="K37" s="242">
        <f t="shared" si="21"/>
        <v>29910</v>
      </c>
      <c r="L37" s="242">
        <f t="shared" si="8"/>
        <v>16656.316459936163</v>
      </c>
      <c r="M37" s="242">
        <f t="shared" si="22"/>
        <v>13253.683540063837</v>
      </c>
      <c r="N37" s="242">
        <f t="shared" si="1"/>
        <v>0</v>
      </c>
      <c r="O37" s="242">
        <v>0</v>
      </c>
      <c r="P37" s="242">
        <f t="shared" si="23"/>
        <v>16656.316459936163</v>
      </c>
      <c r="Q37" s="242">
        <f t="shared" si="2"/>
        <v>0</v>
      </c>
      <c r="R37" s="242">
        <f t="shared" si="9"/>
        <v>0</v>
      </c>
      <c r="S37" s="242">
        <f t="shared" si="10"/>
        <v>1118879.5581501967</v>
      </c>
      <c r="T37" s="467"/>
      <c r="U37" s="198">
        <f t="shared" si="27"/>
        <v>56</v>
      </c>
      <c r="V37" s="36">
        <f t="shared" si="11"/>
        <v>56</v>
      </c>
      <c r="W37" s="16">
        <f>INDEX('[1]Для Перспективы'!$B$6:$F$6,MATCH($C$10,'[1]Для Перспективы'!$B$1:$F$1,0))</f>
        <v>5500</v>
      </c>
      <c r="X37" s="16">
        <f>INDEX('[1]Для Перспективы'!$B$8:$F$8,MATCH($C$10,'[1]Для Перспективы'!$B$1:$F$1,0))</f>
        <v>11500</v>
      </c>
      <c r="Y37" s="16">
        <f>INDEX('[1]Для Перспективы'!$B$10:$F$10,MATCH($C$10,'[1]Для Перспективы'!$B$1:$F$1,0))</f>
        <v>12000</v>
      </c>
      <c r="Z37" s="16">
        <f>INDEX('[1]Для Перспективы'!$B$12:$F$12,MATCH($C$10,'[1]Для Перспективы'!$B$1:$F$1,0))</f>
        <v>12000</v>
      </c>
      <c r="AA37" s="16">
        <f>INDEX('[1]Для Перспективы'!$B$14:$F$14,MATCH($C$10,'[1]Для Перспективы'!$B$1:$F$1,0))</f>
        <v>12500</v>
      </c>
      <c r="AB37" s="16" t="e">
        <f>INDEX('[1]Для Перспективы'!$B$22:$D$22,MATCH($C$10,'[1]Для Перспективы'!$B$1:$D$1,0))</f>
        <v>#N/A</v>
      </c>
      <c r="AC37" s="16">
        <f>INDEX('[1]Для Перспективы'!$B$20:$F$20,MATCH($C$10,'[1]Для Перспективы'!$B$1:$F$1,0))</f>
        <v>12000</v>
      </c>
      <c r="AD37" s="16">
        <f>INDEX('[1]Для Перспективы'!$B$6:$F$6,MATCH($C$10,'[1]Для Перспективы'!$B$1:$F$1,0))</f>
        <v>5500</v>
      </c>
      <c r="AE37" s="16">
        <f>INDEX('[1]Для Перспективы'!$B$6:$F$6,MATCH($C$10,'[1]Для Перспективы'!$B$1:$F$1,0))</f>
        <v>5500</v>
      </c>
      <c r="AF37" s="47">
        <f>IF(AG37=AG36,AF36,AF36-$AF$35)</f>
        <v>27710</v>
      </c>
      <c r="AG37" s="169">
        <f>AG36-$AG$35</f>
        <v>0.13899999999999998</v>
      </c>
      <c r="AI37" s="2"/>
      <c r="AJ37" s="2"/>
      <c r="AK37" s="57"/>
      <c r="AL37" s="47">
        <f>AL36-$AL$35</f>
        <v>26917</v>
      </c>
      <c r="AM37" s="169">
        <f>AM36-$AM$35</f>
        <v>0.13899999999999998</v>
      </c>
      <c r="AO37" s="130">
        <f t="shared" si="12"/>
        <v>1</v>
      </c>
      <c r="AP37" s="553">
        <f t="shared" si="28"/>
        <v>29</v>
      </c>
      <c r="AQ37" s="554">
        <f t="shared" si="13"/>
        <v>45475</v>
      </c>
      <c r="AR37" s="555">
        <f t="shared" si="37"/>
        <v>0.17899999999999999</v>
      </c>
      <c r="AS37" s="546">
        <f t="shared" si="14"/>
        <v>29117</v>
      </c>
      <c r="AT37" s="546">
        <f t="shared" si="15"/>
        <v>29117</v>
      </c>
      <c r="AU37" s="546">
        <f t="shared" si="16"/>
        <v>16214.596017118789</v>
      </c>
      <c r="AV37" s="546">
        <f t="shared" si="17"/>
        <v>12902.403982881211</v>
      </c>
      <c r="AW37" s="546">
        <f t="shared" si="4"/>
        <v>0</v>
      </c>
      <c r="AX37" s="546">
        <v>0</v>
      </c>
      <c r="AY37" s="546">
        <f t="shared" si="18"/>
        <v>16214.596017118789</v>
      </c>
      <c r="AZ37" s="546">
        <f t="shared" si="35"/>
        <v>0</v>
      </c>
      <c r="BA37" s="546">
        <f t="shared" si="34"/>
        <v>0</v>
      </c>
      <c r="BB37" s="546"/>
      <c r="BC37" s="546"/>
      <c r="BD37" s="546"/>
      <c r="BE37" s="546"/>
      <c r="BF37" s="546"/>
      <c r="BG37" s="546">
        <f t="shared" si="20"/>
        <v>1089207.0087263102</v>
      </c>
      <c r="BH37" s="108">
        <f t="shared" si="29"/>
        <v>56</v>
      </c>
      <c r="BI37" s="108">
        <f t="shared" si="24"/>
        <v>56</v>
      </c>
      <c r="BJ37" s="22">
        <f t="shared" si="25"/>
        <v>45475</v>
      </c>
      <c r="BK37" s="108">
        <f t="shared" si="6"/>
        <v>29910</v>
      </c>
    </row>
    <row r="38" spans="1:1217" s="16" customFormat="1" ht="16.5" customHeight="1" x14ac:dyDescent="0.3">
      <c r="A38" s="178"/>
      <c r="B38" s="179"/>
      <c r="C38" s="524"/>
      <c r="D38" s="179"/>
      <c r="E38" s="178"/>
      <c r="F38" s="178"/>
      <c r="G38" s="244">
        <f t="shared" si="26"/>
        <v>30</v>
      </c>
      <c r="H38" s="245">
        <f t="shared" si="7"/>
        <v>45506</v>
      </c>
      <c r="I38" s="246">
        <f t="shared" si="30"/>
        <v>0.17899999999999999</v>
      </c>
      <c r="J38" s="242">
        <f t="shared" si="0"/>
        <v>29910</v>
      </c>
      <c r="K38" s="242">
        <f t="shared" si="21"/>
        <v>29910</v>
      </c>
      <c r="L38" s="242">
        <f t="shared" si="8"/>
        <v>17010.034707329978</v>
      </c>
      <c r="M38" s="242">
        <f t="shared" si="22"/>
        <v>12899.965292670022</v>
      </c>
      <c r="N38" s="242">
        <f t="shared" si="1"/>
        <v>0</v>
      </c>
      <c r="O38" s="242">
        <v>0</v>
      </c>
      <c r="P38" s="242">
        <f t="shared" si="23"/>
        <v>17010.034707329978</v>
      </c>
      <c r="Q38" s="242">
        <f t="shared" si="2"/>
        <v>0</v>
      </c>
      <c r="R38" s="242">
        <f t="shared" si="9"/>
        <v>0</v>
      </c>
      <c r="S38" s="242">
        <f t="shared" si="10"/>
        <v>1105979.5928575266</v>
      </c>
      <c r="T38" s="467"/>
      <c r="U38" s="198">
        <f t="shared" si="27"/>
        <v>55</v>
      </c>
      <c r="V38" s="36">
        <f t="shared" si="11"/>
        <v>55</v>
      </c>
      <c r="W38" s="16">
        <f>INDEX('[1]Для Перспективы'!B7:F7,MATCH($C$10,'[1]Для Перспективы'!$B$1:$F$1,0))</f>
        <v>118000</v>
      </c>
      <c r="X38" s="16">
        <f>INDEX('[1]Для Перспективы'!$B$9:$F$9,MATCH($C$10,'[1]Для Перспективы'!$B$1:$F$1,0))</f>
        <v>108900</v>
      </c>
      <c r="Y38" s="16">
        <f>INDEX('[1]Для Перспективы'!$B$11:$F$11,MATCH($C$10,'[1]Для Перспективы'!$B$1:$F$1,0))</f>
        <v>112200</v>
      </c>
      <c r="Z38" s="16">
        <f>INDEX('[1]Для Перспективы'!$B$13:$F$13,MATCH($C$10,'[1]Для Перспективы'!$B$1:$F$1,0))</f>
        <v>115500</v>
      </c>
      <c r="AA38" s="16">
        <f>INDEX('[1]Для Перспективы'!$B$15:$F$15,MATCH($C$10,'[1]Для Перспективы'!$B$1:$F$1,0))</f>
        <v>118900</v>
      </c>
      <c r="AB38" s="16" t="e">
        <f>INDEX('[1]Для Перспективы'!$B$23:$D$23,MATCH($C$10,'[1]Для Перспективы'!$B$1:$D$1,0))</f>
        <v>#N/A</v>
      </c>
      <c r="AC38" s="16" t="e">
        <f>INDEX('[1]Для Перспективы'!$B$11:$D$11,MATCH($C$10,'[1]Для Перспективы'!$B$1:$D$1,0))</f>
        <v>#N/A</v>
      </c>
      <c r="AD38" s="16" t="e">
        <f>INDEX('[1]Для Перспективы'!$B$11:$D$11,MATCH($C$10,'[1]Для Перспективы'!$B$1:$D$1,0))</f>
        <v>#N/A</v>
      </c>
      <c r="AE38" s="16" t="e">
        <f>INDEX('[1]Для Перспективы'!$G21:$I21,MATCH($C$10,'[1]Для Перспективы'!$G$1:$I$1,0))</f>
        <v>#N/A</v>
      </c>
      <c r="AF38" s="47">
        <f t="shared" ref="AF38:AF40" si="38">IF(AG38=AG37,AF37,AF37-$AF$35)</f>
        <v>27710</v>
      </c>
      <c r="AG38" s="169">
        <f>AG36-$AG$35</f>
        <v>0.13899999999999998</v>
      </c>
      <c r="AI38" s="2"/>
      <c r="AJ38" s="2"/>
      <c r="AK38" s="57"/>
      <c r="AL38" s="47">
        <f>AL36-$AL$35</f>
        <v>26917</v>
      </c>
      <c r="AM38" s="169">
        <f>AM36-$AM$35</f>
        <v>0.13899999999999998</v>
      </c>
      <c r="AN38" s="63"/>
      <c r="AO38" s="130">
        <f t="shared" si="12"/>
        <v>1</v>
      </c>
      <c r="AP38" s="553">
        <f t="shared" si="28"/>
        <v>30</v>
      </c>
      <c r="AQ38" s="554">
        <f t="shared" si="13"/>
        <v>45506</v>
      </c>
      <c r="AR38" s="555">
        <f t="shared" si="37"/>
        <v>0.17899999999999999</v>
      </c>
      <c r="AS38" s="546">
        <f t="shared" si="14"/>
        <v>29117</v>
      </c>
      <c r="AT38" s="546">
        <f t="shared" si="15"/>
        <v>29117</v>
      </c>
      <c r="AU38" s="546">
        <f t="shared" si="16"/>
        <v>16558.930661430946</v>
      </c>
      <c r="AV38" s="546">
        <f t="shared" si="17"/>
        <v>12558.069338569054</v>
      </c>
      <c r="AW38" s="546">
        <f t="shared" si="4"/>
        <v>0</v>
      </c>
      <c r="AX38" s="546">
        <v>0</v>
      </c>
      <c r="AY38" s="546">
        <f t="shared" si="18"/>
        <v>16558.930661430946</v>
      </c>
      <c r="AZ38" s="546">
        <f t="shared" si="35"/>
        <v>0</v>
      </c>
      <c r="BA38" s="546">
        <f t="shared" si="34"/>
        <v>0</v>
      </c>
      <c r="BB38" s="546"/>
      <c r="BC38" s="546"/>
      <c r="BD38" s="546"/>
      <c r="BE38" s="546"/>
      <c r="BF38" s="546"/>
      <c r="BG38" s="546">
        <f t="shared" si="20"/>
        <v>1076648.9393877413</v>
      </c>
      <c r="BH38" s="108">
        <f t="shared" si="29"/>
        <v>55</v>
      </c>
      <c r="BI38" s="108">
        <f t="shared" si="24"/>
        <v>55</v>
      </c>
      <c r="BJ38" s="22">
        <f t="shared" si="25"/>
        <v>45506</v>
      </c>
      <c r="BK38" s="108">
        <f t="shared" si="6"/>
        <v>29910</v>
      </c>
    </row>
    <row r="39" spans="1:1217" s="16" customFormat="1" ht="12" customHeight="1" x14ac:dyDescent="0.3">
      <c r="A39" s="180"/>
      <c r="B39" s="180"/>
      <c r="C39" s="524"/>
      <c r="D39" s="254"/>
      <c r="E39" s="178"/>
      <c r="F39" s="178"/>
      <c r="G39" s="244">
        <f t="shared" si="26"/>
        <v>31</v>
      </c>
      <c r="H39" s="245">
        <f t="shared" si="7"/>
        <v>45537</v>
      </c>
      <c r="I39" s="246">
        <f t="shared" si="30"/>
        <v>0.17899999999999999</v>
      </c>
      <c r="J39" s="242">
        <f t="shared" si="0"/>
        <v>29910</v>
      </c>
      <c r="K39" s="242">
        <f t="shared" si="21"/>
        <v>29910</v>
      </c>
      <c r="L39" s="242">
        <f t="shared" si="8"/>
        <v>16813.919892510727</v>
      </c>
      <c r="M39" s="242">
        <f t="shared" si="22"/>
        <v>13096.080107489273</v>
      </c>
      <c r="N39" s="242">
        <f t="shared" si="1"/>
        <v>0</v>
      </c>
      <c r="O39" s="242">
        <v>0</v>
      </c>
      <c r="P39" s="242">
        <f t="shared" si="23"/>
        <v>16813.919892510727</v>
      </c>
      <c r="Q39" s="242">
        <f t="shared" si="2"/>
        <v>0</v>
      </c>
      <c r="R39" s="242">
        <f t="shared" si="9"/>
        <v>0</v>
      </c>
      <c r="S39" s="242">
        <f t="shared" si="10"/>
        <v>1092883.5127500372</v>
      </c>
      <c r="T39" s="467"/>
      <c r="U39" s="198">
        <f t="shared" si="27"/>
        <v>54</v>
      </c>
      <c r="V39" s="36">
        <f t="shared" si="11"/>
        <v>54</v>
      </c>
      <c r="W39" s="15">
        <v>0.11899999999999999</v>
      </c>
      <c r="X39" s="101">
        <v>0.129</v>
      </c>
      <c r="Y39" s="484">
        <v>0.13900000000000001</v>
      </c>
      <c r="Z39" s="101">
        <v>0.14899999999999999</v>
      </c>
      <c r="AA39" s="484">
        <v>0.159</v>
      </c>
      <c r="AB39" s="15">
        <v>0.19900000000000001</v>
      </c>
      <c r="AC39" s="169">
        <v>0.17899999999999999</v>
      </c>
      <c r="AD39" s="15">
        <v>0.189</v>
      </c>
      <c r="AE39" s="15">
        <v>0.19900000000000001</v>
      </c>
      <c r="AF39" s="47">
        <f t="shared" si="38"/>
        <v>27710</v>
      </c>
      <c r="AG39" s="169">
        <f>AG36-$AG$35</f>
        <v>0.13899999999999998</v>
      </c>
      <c r="AI39" s="2"/>
      <c r="AJ39" s="2"/>
      <c r="AK39" s="57"/>
      <c r="AL39" s="47">
        <f>AL36-$AL$35</f>
        <v>26917</v>
      </c>
      <c r="AM39" s="169">
        <f>AM36-$AM$35</f>
        <v>0.13899999999999998</v>
      </c>
      <c r="AN39" s="15"/>
      <c r="AO39" s="130">
        <f t="shared" si="12"/>
        <v>1</v>
      </c>
      <c r="AP39" s="553">
        <f t="shared" si="28"/>
        <v>31</v>
      </c>
      <c r="AQ39" s="554">
        <f t="shared" si="13"/>
        <v>45537</v>
      </c>
      <c r="AR39" s="555">
        <f t="shared" si="37"/>
        <v>0.17899999999999999</v>
      </c>
      <c r="AS39" s="546">
        <f t="shared" si="14"/>
        <v>29117</v>
      </c>
      <c r="AT39" s="546">
        <f t="shared" si="15"/>
        <v>29117</v>
      </c>
      <c r="AU39" s="546">
        <f t="shared" si="16"/>
        <v>16368.013601815279</v>
      </c>
      <c r="AV39" s="546">
        <f t="shared" si="17"/>
        <v>12748.986398184721</v>
      </c>
      <c r="AW39" s="546">
        <f t="shared" si="4"/>
        <v>0</v>
      </c>
      <c r="AX39" s="546">
        <v>0</v>
      </c>
      <c r="AY39" s="546">
        <f t="shared" si="18"/>
        <v>16368.013601815279</v>
      </c>
      <c r="AZ39" s="546">
        <f t="shared" si="35"/>
        <v>0</v>
      </c>
      <c r="BA39" s="546">
        <f t="shared" si="34"/>
        <v>0</v>
      </c>
      <c r="BB39" s="546"/>
      <c r="BC39" s="546"/>
      <c r="BD39" s="546"/>
      <c r="BE39" s="546"/>
      <c r="BF39" s="546"/>
      <c r="BG39" s="546">
        <f t="shared" si="20"/>
        <v>1063899.9529895566</v>
      </c>
      <c r="BH39" s="108">
        <f t="shared" si="29"/>
        <v>54</v>
      </c>
      <c r="BI39" s="108">
        <f t="shared" si="24"/>
        <v>54</v>
      </c>
      <c r="BJ39" s="22">
        <f t="shared" si="25"/>
        <v>45537</v>
      </c>
      <c r="BK39" s="108">
        <f t="shared" si="6"/>
        <v>29910</v>
      </c>
    </row>
    <row r="40" spans="1:1217" s="16" customFormat="1" ht="13.95" customHeight="1" x14ac:dyDescent="0.3">
      <c r="A40" s="180"/>
      <c r="B40" s="180"/>
      <c r="C40" s="524"/>
      <c r="D40" s="254"/>
      <c r="E40" s="178"/>
      <c r="F40" s="178"/>
      <c r="G40" s="244">
        <f t="shared" si="26"/>
        <v>32</v>
      </c>
      <c r="H40" s="245">
        <f t="shared" si="7"/>
        <v>45567</v>
      </c>
      <c r="I40" s="246">
        <f t="shared" si="30"/>
        <v>0.17899999999999999</v>
      </c>
      <c r="J40" s="242">
        <f t="shared" si="0"/>
        <v>29910</v>
      </c>
      <c r="K40" s="242">
        <f t="shared" si="21"/>
        <v>29910</v>
      </c>
      <c r="L40" s="242">
        <f t="shared" si="8"/>
        <v>16078.861543747122</v>
      </c>
      <c r="M40" s="242">
        <f t="shared" si="22"/>
        <v>13831.138456252878</v>
      </c>
      <c r="N40" s="242">
        <f t="shared" si="1"/>
        <v>0</v>
      </c>
      <c r="O40" s="242">
        <v>0</v>
      </c>
      <c r="P40" s="242">
        <f t="shared" si="23"/>
        <v>16078.861543747122</v>
      </c>
      <c r="Q40" s="242">
        <f t="shared" si="2"/>
        <v>0</v>
      </c>
      <c r="R40" s="242">
        <f t="shared" si="9"/>
        <v>0</v>
      </c>
      <c r="S40" s="242">
        <f t="shared" si="10"/>
        <v>1079052.3742937844</v>
      </c>
      <c r="T40" s="467"/>
      <c r="U40" s="198">
        <f t="shared" si="27"/>
        <v>53</v>
      </c>
      <c r="V40" s="36">
        <f t="shared" si="11"/>
        <v>53</v>
      </c>
      <c r="W40" s="16">
        <f>INDEX('[1]Для Перспективы'!B2:F2,MATCH($C$10,'[1]Для Перспективы'!$B$1:$F$1,0))</f>
        <v>4000</v>
      </c>
      <c r="X40" s="16">
        <f>INDEX('[1]Для Перспективы'!B8:F8,MATCH($C$10,'[1]Для Перспективы'!$B$1:$F$1,0))</f>
        <v>11500</v>
      </c>
      <c r="Y40" s="16">
        <f>INDEX('[1]Для Перспективы'!B10:F10,MATCH($C$10,'[1]Для Перспективы'!$B$1:$F$1,0))</f>
        <v>12000</v>
      </c>
      <c r="Z40" s="16">
        <f>INDEX('[1]Для Перспективы'!B12:F12,MATCH($C$10,'[1]Для Перспективы'!$B$1:$F$1,0))</f>
        <v>12000</v>
      </c>
      <c r="AA40" s="16">
        <f>INDEX('[1]Для Перспективы'!B14:F14,MATCH($C$10,'[1]Для Перспективы'!$B$1:$F$1,0))</f>
        <v>12500</v>
      </c>
      <c r="AB40" s="16" t="e">
        <f>INDEX('[1]Для Перспективы'!B14:D14,MATCH($C$10,'[1]Для Перспективы'!$B$1:$D$1,0))</f>
        <v>#N/A</v>
      </c>
      <c r="AC40" s="16" t="e">
        <f>INDEX('[1]Для Перспективы'!B16:D16,MATCH($C$10,'[1]Для Перспективы'!$B$1:$D$1,0))</f>
        <v>#N/A</v>
      </c>
      <c r="AD40" s="16" t="e">
        <f>INDEX('[1]Для Перспективы'!B18:D18,MATCH($C$10,'[1]Для Перспективы'!$B$1:$D$1,0))</f>
        <v>#N/A</v>
      </c>
      <c r="AE40" s="16" t="e">
        <f>INDEX('[1]Для Перспективы'!B20:D20,MATCH($C$10,'[1]Для Перспективы'!$B$1:$D$1,0))</f>
        <v>#N/A</v>
      </c>
      <c r="AF40" s="47">
        <f t="shared" si="38"/>
        <v>27710</v>
      </c>
      <c r="AG40" s="169">
        <f>AG36-$AG$35</f>
        <v>0.13899999999999998</v>
      </c>
      <c r="AI40" s="2"/>
      <c r="AJ40" s="2"/>
      <c r="AK40" s="57"/>
      <c r="AL40" s="47">
        <f>AL36-$AL$35</f>
        <v>26917</v>
      </c>
      <c r="AM40" s="169">
        <f>AM36-$AM$35</f>
        <v>0.13899999999999998</v>
      </c>
      <c r="AN40" s="15"/>
      <c r="AO40" s="130">
        <f t="shared" si="12"/>
        <v>1</v>
      </c>
      <c r="AP40" s="553">
        <f t="shared" si="28"/>
        <v>32</v>
      </c>
      <c r="AQ40" s="554">
        <f t="shared" si="13"/>
        <v>45567</v>
      </c>
      <c r="AR40" s="555">
        <f t="shared" si="37"/>
        <v>0.17899999999999999</v>
      </c>
      <c r="AS40" s="546">
        <f t="shared" si="14"/>
        <v>29117</v>
      </c>
      <c r="AT40" s="546">
        <f t="shared" si="15"/>
        <v>29117</v>
      </c>
      <c r="AU40" s="546">
        <f t="shared" si="16"/>
        <v>15652.445883709366</v>
      </c>
      <c r="AV40" s="546">
        <f t="shared" si="17"/>
        <v>13464.554116290634</v>
      </c>
      <c r="AW40" s="546">
        <f t="shared" si="4"/>
        <v>0</v>
      </c>
      <c r="AX40" s="546">
        <v>0</v>
      </c>
      <c r="AY40" s="546">
        <f t="shared" si="18"/>
        <v>15652.445883709366</v>
      </c>
      <c r="AZ40" s="546">
        <f t="shared" si="35"/>
        <v>0</v>
      </c>
      <c r="BA40" s="546">
        <f t="shared" si="34"/>
        <v>0</v>
      </c>
      <c r="BB40" s="546"/>
      <c r="BC40" s="546"/>
      <c r="BD40" s="546"/>
      <c r="BE40" s="546"/>
      <c r="BF40" s="546"/>
      <c r="BG40" s="546">
        <f t="shared" si="20"/>
        <v>1050435.3988732661</v>
      </c>
      <c r="BH40" s="108">
        <f t="shared" si="29"/>
        <v>53</v>
      </c>
      <c r="BI40" s="108">
        <f t="shared" si="24"/>
        <v>53</v>
      </c>
      <c r="BJ40" s="22">
        <f t="shared" si="25"/>
        <v>45567</v>
      </c>
      <c r="BK40" s="108">
        <f t="shared" si="6"/>
        <v>29910</v>
      </c>
    </row>
    <row r="41" spans="1:1217" s="16" customFormat="1" ht="39" customHeight="1" x14ac:dyDescent="0.3">
      <c r="A41" s="180"/>
      <c r="B41" s="180"/>
      <c r="C41" s="524"/>
      <c r="D41" s="254"/>
      <c r="E41" s="178"/>
      <c r="F41" s="178"/>
      <c r="G41" s="244">
        <f t="shared" si="26"/>
        <v>33</v>
      </c>
      <c r="H41" s="245">
        <f t="shared" si="7"/>
        <v>45598</v>
      </c>
      <c r="I41" s="246">
        <f t="shared" si="30"/>
        <v>0.17899999999999999</v>
      </c>
      <c r="J41" s="242">
        <f t="shared" si="0"/>
        <v>29910</v>
      </c>
      <c r="K41" s="242">
        <f t="shared" si="21"/>
        <v>29910</v>
      </c>
      <c r="L41" s="242">
        <f t="shared" si="8"/>
        <v>16404.552397140302</v>
      </c>
      <c r="M41" s="242">
        <f t="shared" si="22"/>
        <v>13505.447602859698</v>
      </c>
      <c r="N41" s="242">
        <f t="shared" si="1"/>
        <v>0</v>
      </c>
      <c r="O41" s="242">
        <v>0</v>
      </c>
      <c r="P41" s="242">
        <f t="shared" si="23"/>
        <v>16404.552397140302</v>
      </c>
      <c r="Q41" s="242">
        <f t="shared" si="2"/>
        <v>0</v>
      </c>
      <c r="R41" s="242">
        <f t="shared" si="9"/>
        <v>0</v>
      </c>
      <c r="S41" s="242">
        <f t="shared" si="10"/>
        <v>1065546.9266909247</v>
      </c>
      <c r="T41" s="467"/>
      <c r="U41" s="198">
        <f t="shared" si="27"/>
        <v>52</v>
      </c>
      <c r="V41" s="36">
        <f t="shared" si="11"/>
        <v>52</v>
      </c>
      <c r="W41" s="16">
        <f>INDEX('[1]Для Перспективы'!B3:F3,MATCH($C$10,'[1]Для Перспективы'!$B$1:$F$1,0))</f>
        <v>128000</v>
      </c>
      <c r="X41" s="16">
        <f>INDEX('[1]Для Перспективы'!B9:F9,MATCH($C$10,'[1]Для Перспективы'!$B$1:$F$1,0))</f>
        <v>108900</v>
      </c>
      <c r="Y41" s="16">
        <f>INDEX('[1]Для Перспективы'!B11:F11,MATCH($C$10,'[1]Для Перспективы'!$B$1:$F$1,0))</f>
        <v>112200</v>
      </c>
      <c r="Z41" s="16">
        <f>INDEX('[1]Для Перспективы'!B13:F13,MATCH($C$10,'[1]Для Перспективы'!$B$1:$F$1,0))</f>
        <v>115500</v>
      </c>
      <c r="AA41" s="16">
        <f>INDEX('[1]Для Перспективы'!B15:F15,MATCH($C$10,'[1]Для Перспективы'!$B$1:$F$1,0))</f>
        <v>118900</v>
      </c>
      <c r="AB41" s="16" t="e">
        <f>INDEX('[1]Для Перспективы'!B15:D15,MATCH($C$10,'[1]Для Перспективы'!$B$1:$D$1,0))</f>
        <v>#N/A</v>
      </c>
      <c r="AC41" s="16" t="e">
        <f>INDEX('[1]Для Перспективы'!B17:D17,MATCH($C$10,'[1]Для Перспективы'!$B$1:$D$1,0))</f>
        <v>#N/A</v>
      </c>
      <c r="AD41" s="16" t="e">
        <f>INDEX('[1]Для Перспективы'!B19:D19,MATCH($C$10,'[1]Для Перспективы'!$B$1:$D$1,0))</f>
        <v>#N/A</v>
      </c>
      <c r="AE41" s="16" t="e">
        <f>INDEX('[1]Для Перспективы'!B21:D21,MATCH($C$10,'[1]Для Перспективы'!$B$1:$D$1,0))</f>
        <v>#N/A</v>
      </c>
      <c r="AF41" s="3"/>
      <c r="AG41" s="3"/>
      <c r="AH41" s="3"/>
      <c r="AI41" s="2"/>
      <c r="AJ41" s="2"/>
      <c r="AK41" s="57"/>
      <c r="AL41" s="2"/>
      <c r="AM41" s="15"/>
      <c r="AN41" s="15"/>
      <c r="AO41" s="130">
        <f t="shared" si="12"/>
        <v>1</v>
      </c>
      <c r="AP41" s="553">
        <f t="shared" si="28"/>
        <v>33</v>
      </c>
      <c r="AQ41" s="554">
        <f t="shared" si="13"/>
        <v>45598</v>
      </c>
      <c r="AR41" s="555">
        <f t="shared" si="37"/>
        <v>0.17899999999999999</v>
      </c>
      <c r="AS41" s="546">
        <f t="shared" si="14"/>
        <v>29117</v>
      </c>
      <c r="AT41" s="546">
        <f t="shared" si="15"/>
        <v>29117</v>
      </c>
      <c r="AU41" s="546">
        <f t="shared" si="16"/>
        <v>15969.495968076037</v>
      </c>
      <c r="AV41" s="546">
        <f t="shared" si="17"/>
        <v>13147.504031923963</v>
      </c>
      <c r="AW41" s="546">
        <f t="shared" si="4"/>
        <v>0</v>
      </c>
      <c r="AX41" s="546">
        <v>0</v>
      </c>
      <c r="AY41" s="546">
        <f t="shared" si="18"/>
        <v>15969.495968076037</v>
      </c>
      <c r="AZ41" s="546">
        <f t="shared" si="35"/>
        <v>0</v>
      </c>
      <c r="BA41" s="546">
        <f t="shared" si="34"/>
        <v>0</v>
      </c>
      <c r="BB41" s="546"/>
      <c r="BC41" s="546"/>
      <c r="BD41" s="546"/>
      <c r="BE41" s="546"/>
      <c r="BF41" s="546"/>
      <c r="BG41" s="546">
        <f t="shared" si="20"/>
        <v>1037287.8948413421</v>
      </c>
      <c r="BH41" s="108">
        <f t="shared" si="29"/>
        <v>52</v>
      </c>
      <c r="BI41" s="108">
        <f t="shared" si="24"/>
        <v>52</v>
      </c>
      <c r="BJ41" s="22">
        <f t="shared" si="25"/>
        <v>45598</v>
      </c>
      <c r="BK41" s="108">
        <f t="shared" si="6"/>
        <v>29910</v>
      </c>
    </row>
    <row r="42" spans="1:1217" s="16" customFormat="1" ht="18.75" customHeight="1" x14ac:dyDescent="0.3">
      <c r="A42" s="180"/>
      <c r="B42" s="180"/>
      <c r="C42" s="524"/>
      <c r="D42" s="254"/>
      <c r="E42" s="178"/>
      <c r="F42" s="178"/>
      <c r="G42" s="244">
        <f t="shared" si="26"/>
        <v>34</v>
      </c>
      <c r="H42" s="245">
        <f t="shared" si="7"/>
        <v>45628</v>
      </c>
      <c r="I42" s="246">
        <f t="shared" si="30"/>
        <v>0.17899999999999999</v>
      </c>
      <c r="J42" s="242">
        <f t="shared" si="0"/>
        <v>29910</v>
      </c>
      <c r="K42" s="242">
        <f t="shared" si="21"/>
        <v>29910</v>
      </c>
      <c r="L42" s="242">
        <f t="shared" si="8"/>
        <v>15676.676702274699</v>
      </c>
      <c r="M42" s="242">
        <f t="shared" si="22"/>
        <v>14233.323297725301</v>
      </c>
      <c r="N42" s="242">
        <f t="shared" si="1"/>
        <v>0</v>
      </c>
      <c r="O42" s="242">
        <v>0</v>
      </c>
      <c r="P42" s="242">
        <f t="shared" si="23"/>
        <v>15676.676702274699</v>
      </c>
      <c r="Q42" s="242">
        <f t="shared" si="2"/>
        <v>0</v>
      </c>
      <c r="R42" s="242">
        <f t="shared" si="9"/>
        <v>0</v>
      </c>
      <c r="S42" s="242">
        <f t="shared" si="10"/>
        <v>1051313.6033931994</v>
      </c>
      <c r="T42" s="467"/>
      <c r="U42" s="198">
        <f t="shared" si="27"/>
        <v>51</v>
      </c>
      <c r="V42" s="36">
        <f t="shared" si="11"/>
        <v>51</v>
      </c>
      <c r="W42" s="2"/>
      <c r="X42" s="18">
        <f>K8</f>
        <v>-1427039</v>
      </c>
      <c r="Y42" s="57">
        <f>H8</f>
        <v>44591</v>
      </c>
      <c r="Z42" s="2"/>
      <c r="AA42" s="2"/>
      <c r="AB42" s="2"/>
      <c r="AF42" s="2"/>
      <c r="AG42" s="2"/>
      <c r="AH42" s="2"/>
      <c r="AI42" s="2"/>
      <c r="AJ42" s="2"/>
      <c r="AK42" s="57"/>
      <c r="AL42" s="2"/>
      <c r="AM42" s="15"/>
      <c r="AN42" s="15"/>
      <c r="AO42" s="130">
        <f t="shared" si="12"/>
        <v>1</v>
      </c>
      <c r="AP42" s="553">
        <f t="shared" si="28"/>
        <v>34</v>
      </c>
      <c r="AQ42" s="554">
        <f t="shared" si="13"/>
        <v>45628</v>
      </c>
      <c r="AR42" s="555">
        <f t="shared" si="37"/>
        <v>0.17899999999999999</v>
      </c>
      <c r="AS42" s="546">
        <f t="shared" si="14"/>
        <v>29117</v>
      </c>
      <c r="AT42" s="546">
        <f t="shared" si="15"/>
        <v>29117</v>
      </c>
      <c r="AU42" s="546">
        <f t="shared" si="16"/>
        <v>15260.920535063033</v>
      </c>
      <c r="AV42" s="546">
        <f t="shared" si="17"/>
        <v>13856.079464936967</v>
      </c>
      <c r="AW42" s="546">
        <f t="shared" si="4"/>
        <v>0</v>
      </c>
      <c r="AX42" s="546">
        <v>0</v>
      </c>
      <c r="AY42" s="546">
        <f t="shared" si="18"/>
        <v>15260.920535063033</v>
      </c>
      <c r="AZ42" s="546">
        <f t="shared" si="35"/>
        <v>0</v>
      </c>
      <c r="BA42" s="546">
        <f t="shared" si="34"/>
        <v>0</v>
      </c>
      <c r="BB42" s="546"/>
      <c r="BC42" s="546"/>
      <c r="BD42" s="546"/>
      <c r="BE42" s="546"/>
      <c r="BF42" s="546"/>
      <c r="BG42" s="546">
        <f t="shared" si="20"/>
        <v>1023431.8153764051</v>
      </c>
      <c r="BH42" s="108">
        <f t="shared" si="29"/>
        <v>51</v>
      </c>
      <c r="BI42" s="108">
        <f t="shared" si="24"/>
        <v>51</v>
      </c>
      <c r="BJ42" s="22">
        <f t="shared" si="25"/>
        <v>45628</v>
      </c>
      <c r="BK42" s="108">
        <f t="shared" si="6"/>
        <v>29910</v>
      </c>
    </row>
    <row r="43" spans="1:1217" s="16" customFormat="1" ht="13.8" x14ac:dyDescent="0.3">
      <c r="A43" s="180"/>
      <c r="B43" s="180"/>
      <c r="C43" s="524"/>
      <c r="D43" s="254"/>
      <c r="E43" s="178"/>
      <c r="F43" s="178"/>
      <c r="G43" s="244">
        <f t="shared" si="26"/>
        <v>35</v>
      </c>
      <c r="H43" s="245">
        <f t="shared" si="7"/>
        <v>45659</v>
      </c>
      <c r="I43" s="246">
        <f t="shared" si="30"/>
        <v>0.17899999999999999</v>
      </c>
      <c r="J43" s="242">
        <f t="shared" si="0"/>
        <v>29910</v>
      </c>
      <c r="K43" s="242">
        <f t="shared" si="21"/>
        <v>29910</v>
      </c>
      <c r="L43" s="242">
        <f t="shared" si="8"/>
        <v>15982.847082818804</v>
      </c>
      <c r="M43" s="242">
        <f t="shared" si="22"/>
        <v>13927.152917181196</v>
      </c>
      <c r="N43" s="242">
        <f t="shared" si="1"/>
        <v>0</v>
      </c>
      <c r="O43" s="242">
        <v>0</v>
      </c>
      <c r="P43" s="242">
        <f t="shared" si="23"/>
        <v>15982.847082818804</v>
      </c>
      <c r="Q43" s="242">
        <f t="shared" si="2"/>
        <v>0</v>
      </c>
      <c r="R43" s="242">
        <f t="shared" si="9"/>
        <v>0</v>
      </c>
      <c r="S43" s="242">
        <f t="shared" si="10"/>
        <v>1037386.4504760182</v>
      </c>
      <c r="T43" s="467"/>
      <c r="U43" s="198">
        <f t="shared" si="27"/>
        <v>50</v>
      </c>
      <c r="V43" s="36">
        <f t="shared" si="11"/>
        <v>50</v>
      </c>
      <c r="X43" s="34">
        <f>IF(OR(C8="Гарантия стандарт",C8="Гарантия пакет"),AH65*AH79*$C$10,0)</f>
        <v>0</v>
      </c>
      <c r="Y43" s="57">
        <f>H8</f>
        <v>44591</v>
      </c>
      <c r="Z43" s="5" t="s">
        <v>11</v>
      </c>
      <c r="AA43" s="4"/>
      <c r="AB43" s="37"/>
      <c r="AF43" s="2"/>
      <c r="AG43" s="2"/>
      <c r="AH43" s="2"/>
      <c r="AI43" s="2"/>
      <c r="AJ43" s="2"/>
      <c r="AK43" s="57"/>
      <c r="AL43" s="2"/>
      <c r="AM43" s="15"/>
      <c r="AN43" s="15"/>
      <c r="AO43" s="130">
        <f t="shared" si="12"/>
        <v>1</v>
      </c>
      <c r="AP43" s="553">
        <f t="shared" si="28"/>
        <v>35</v>
      </c>
      <c r="AQ43" s="554">
        <f t="shared" si="13"/>
        <v>45659</v>
      </c>
      <c r="AR43" s="555">
        <f t="shared" si="37"/>
        <v>0.17899999999999999</v>
      </c>
      <c r="AS43" s="546">
        <f t="shared" si="14"/>
        <v>29117</v>
      </c>
      <c r="AT43" s="546">
        <f t="shared" si="15"/>
        <v>29117</v>
      </c>
      <c r="AU43" s="546">
        <f t="shared" si="16"/>
        <v>15558.967516503211</v>
      </c>
      <c r="AV43" s="546">
        <f t="shared" si="17"/>
        <v>13558.032483496789</v>
      </c>
      <c r="AW43" s="546">
        <f t="shared" si="4"/>
        <v>0</v>
      </c>
      <c r="AX43" s="546">
        <v>0</v>
      </c>
      <c r="AY43" s="546">
        <f t="shared" si="18"/>
        <v>15558.967516503211</v>
      </c>
      <c r="AZ43" s="546">
        <f t="shared" si="35"/>
        <v>0</v>
      </c>
      <c r="BA43" s="546">
        <f t="shared" si="34"/>
        <v>0</v>
      </c>
      <c r="BB43" s="546"/>
      <c r="BC43" s="546"/>
      <c r="BD43" s="546"/>
      <c r="BE43" s="546"/>
      <c r="BF43" s="546"/>
      <c r="BG43" s="546">
        <f t="shared" si="20"/>
        <v>1009873.7828929083</v>
      </c>
      <c r="BH43" s="108">
        <f t="shared" si="29"/>
        <v>50</v>
      </c>
      <c r="BI43" s="108">
        <f t="shared" si="24"/>
        <v>50</v>
      </c>
      <c r="BJ43" s="22">
        <f t="shared" si="25"/>
        <v>45659</v>
      </c>
      <c r="BK43" s="108">
        <f t="shared" si="6"/>
        <v>29910</v>
      </c>
    </row>
    <row r="44" spans="1:1217" s="16" customFormat="1" ht="15.75" customHeight="1" thickBot="1" x14ac:dyDescent="0.35">
      <c r="A44" s="180"/>
      <c r="B44" s="180"/>
      <c r="C44" s="524"/>
      <c r="D44" s="254"/>
      <c r="E44" s="178"/>
      <c r="F44" s="178"/>
      <c r="G44" s="248">
        <f t="shared" si="26"/>
        <v>36</v>
      </c>
      <c r="H44" s="581">
        <f t="shared" si="7"/>
        <v>45690</v>
      </c>
      <c r="I44" s="250">
        <f t="shared" si="30"/>
        <v>0.17899999999999999</v>
      </c>
      <c r="J44" s="252">
        <f t="shared" si="0"/>
        <v>29910</v>
      </c>
      <c r="K44" s="252">
        <f t="shared" si="21"/>
        <v>29910</v>
      </c>
      <c r="L44" s="252">
        <f t="shared" si="8"/>
        <v>15771.116201894316</v>
      </c>
      <c r="M44" s="252">
        <f t="shared" si="22"/>
        <v>14138.883798105684</v>
      </c>
      <c r="N44" s="252">
        <f t="shared" si="1"/>
        <v>0</v>
      </c>
      <c r="O44" s="252">
        <v>0</v>
      </c>
      <c r="P44" s="252">
        <f t="shared" si="23"/>
        <v>15771.116201894316</v>
      </c>
      <c r="Q44" s="252">
        <f t="shared" si="2"/>
        <v>0</v>
      </c>
      <c r="R44" s="252">
        <f t="shared" si="9"/>
        <v>0</v>
      </c>
      <c r="S44" s="252">
        <f t="shared" si="10"/>
        <v>1023247.5666779126</v>
      </c>
      <c r="T44" s="468"/>
      <c r="U44" s="198">
        <f t="shared" si="27"/>
        <v>49</v>
      </c>
      <c r="V44" s="36">
        <f t="shared" si="11"/>
        <v>49</v>
      </c>
      <c r="W44" s="2">
        <f>IF(AND(G9&gt;=$W$11,G9&lt;=$W$11+5),0,IF($C$9&gt;$AF$51,ROUND(S8*#REF!/(DATEVALUE(CONCATENATE("01/01/",YEAR(H9)+1))-DATEVALUE(CONCATENATE("01/01/",YEAR(H9))))*(H9-H8),2),0))</f>
        <v>0</v>
      </c>
      <c r="X44" s="34">
        <f>K9</f>
        <v>29910</v>
      </c>
      <c r="Y44" s="57">
        <f>Y43+365</f>
        <v>44956</v>
      </c>
      <c r="Z44" s="8" t="s">
        <v>10</v>
      </c>
      <c r="AA44" s="8"/>
      <c r="AB44" s="37"/>
      <c r="AF44" s="3"/>
      <c r="AG44" s="3"/>
      <c r="AH44" s="3"/>
      <c r="AI44" s="2"/>
      <c r="AJ44" s="2"/>
      <c r="AK44" s="57"/>
      <c r="AL44" s="2"/>
      <c r="AM44" s="15"/>
      <c r="AN44" s="3"/>
      <c r="AO44" s="130">
        <f t="shared" si="12"/>
        <v>1</v>
      </c>
      <c r="AP44" s="556">
        <f t="shared" si="28"/>
        <v>36</v>
      </c>
      <c r="AQ44" s="582">
        <f t="shared" si="13"/>
        <v>45690</v>
      </c>
      <c r="AR44" s="557">
        <f t="shared" si="37"/>
        <v>0.17899999999999999</v>
      </c>
      <c r="AS44" s="547">
        <f t="shared" si="14"/>
        <v>29117</v>
      </c>
      <c r="AT44" s="547">
        <f t="shared" si="15"/>
        <v>29117</v>
      </c>
      <c r="AU44" s="547">
        <f t="shared" si="16"/>
        <v>15352.848277459585</v>
      </c>
      <c r="AV44" s="547">
        <f t="shared" si="17"/>
        <v>13764.151722540415</v>
      </c>
      <c r="AW44" s="547">
        <f t="shared" si="4"/>
        <v>0</v>
      </c>
      <c r="AX44" s="547">
        <v>0</v>
      </c>
      <c r="AY44" s="547">
        <f t="shared" si="18"/>
        <v>15352.848277459585</v>
      </c>
      <c r="AZ44" s="547">
        <f t="shared" si="35"/>
        <v>0</v>
      </c>
      <c r="BA44" s="547">
        <f t="shared" si="34"/>
        <v>0</v>
      </c>
      <c r="BB44" s="547"/>
      <c r="BC44" s="547"/>
      <c r="BD44" s="547"/>
      <c r="BE44" s="547"/>
      <c r="BF44" s="547"/>
      <c r="BG44" s="547">
        <f t="shared" si="20"/>
        <v>996109.63117036794</v>
      </c>
      <c r="BH44" s="108">
        <f t="shared" si="29"/>
        <v>49</v>
      </c>
      <c r="BI44" s="108">
        <f t="shared" si="24"/>
        <v>49</v>
      </c>
      <c r="BJ44" s="22">
        <f t="shared" si="25"/>
        <v>45690</v>
      </c>
      <c r="BK44" s="108">
        <f t="shared" si="6"/>
        <v>29910</v>
      </c>
    </row>
    <row r="45" spans="1:1217" s="16" customFormat="1" ht="16.95" customHeight="1" x14ac:dyDescent="0.3">
      <c r="A45" s="180"/>
      <c r="B45" s="180"/>
      <c r="C45" s="524"/>
      <c r="D45" s="178"/>
      <c r="E45" s="178"/>
      <c r="F45" s="178"/>
      <c r="G45" s="244">
        <f t="shared" si="26"/>
        <v>37</v>
      </c>
      <c r="H45" s="245">
        <f t="shared" si="7"/>
        <v>45718</v>
      </c>
      <c r="I45" s="246">
        <f t="shared" si="30"/>
        <v>0.17899999999999999</v>
      </c>
      <c r="J45" s="242">
        <f t="shared" si="0"/>
        <v>29910</v>
      </c>
      <c r="K45" s="242">
        <f t="shared" si="21"/>
        <v>29910</v>
      </c>
      <c r="L45" s="242">
        <f t="shared" si="8"/>
        <v>14050.730970382734</v>
      </c>
      <c r="M45" s="242">
        <f t="shared" si="22"/>
        <v>15859.269029617266</v>
      </c>
      <c r="N45" s="242">
        <f t="shared" si="1"/>
        <v>0</v>
      </c>
      <c r="O45" s="242">
        <v>0</v>
      </c>
      <c r="P45" s="242">
        <f t="shared" si="23"/>
        <v>14050.730970382734</v>
      </c>
      <c r="Q45" s="242">
        <f t="shared" si="2"/>
        <v>0</v>
      </c>
      <c r="R45" s="242">
        <f t="shared" si="9"/>
        <v>0</v>
      </c>
      <c r="S45" s="242">
        <f t="shared" si="10"/>
        <v>1007388.2976482953</v>
      </c>
      <c r="T45" s="467"/>
      <c r="U45" s="198">
        <f t="shared" si="27"/>
        <v>48</v>
      </c>
      <c r="V45" s="36">
        <f t="shared" si="11"/>
        <v>48</v>
      </c>
      <c r="W45" s="2">
        <f>IF(AND(G10&gt;=$W$11,G10&lt;=$W$11+5),0,IF($C$9&gt;$AF$51,ROUND(S9*#REF!/(DATEVALUE(CONCATENATE("01/01/",YEAR(H10)+1))-DATEVALUE(CONCATENATE("01/01/",YEAR(H10))))*(H10-H9),2),0))</f>
        <v>0</v>
      </c>
      <c r="X45" s="34">
        <f>IF(K10 &gt; 0, K10, 0)</f>
        <v>29910</v>
      </c>
      <c r="Y45" s="57">
        <f t="shared" ref="Y45:Y108" si="39">Y44+365</f>
        <v>45321</v>
      </c>
      <c r="Z45" s="8" t="s">
        <v>8</v>
      </c>
      <c r="AA45" s="8"/>
      <c r="AB45" s="37"/>
      <c r="AF45" s="3"/>
      <c r="AG45" s="3"/>
      <c r="AH45" s="3"/>
      <c r="AI45" s="2"/>
      <c r="AJ45" s="2"/>
      <c r="AK45" s="57"/>
      <c r="AL45" s="2"/>
      <c r="AM45" s="3"/>
      <c r="AO45" s="130">
        <f t="shared" si="12"/>
        <v>1</v>
      </c>
      <c r="AP45" s="553">
        <f t="shared" si="28"/>
        <v>37</v>
      </c>
      <c r="AQ45" s="554">
        <f t="shared" si="13"/>
        <v>45718</v>
      </c>
      <c r="AR45" s="555">
        <f t="shared" ref="AR45:AR56" si="40">IF($D$16="Да",$AM$39,$D$13)</f>
        <v>0.17899999999999999</v>
      </c>
      <c r="AS45" s="546">
        <f t="shared" si="14"/>
        <v>29117</v>
      </c>
      <c r="AT45" s="546">
        <f t="shared" si="15"/>
        <v>29117</v>
      </c>
      <c r="AU45" s="546">
        <f t="shared" si="16"/>
        <v>13678.086223084614</v>
      </c>
      <c r="AV45" s="546">
        <f t="shared" si="17"/>
        <v>15438.913776915386</v>
      </c>
      <c r="AW45" s="546">
        <f t="shared" si="4"/>
        <v>0</v>
      </c>
      <c r="AX45" s="546">
        <v>0</v>
      </c>
      <c r="AY45" s="546">
        <f t="shared" si="18"/>
        <v>13678.086223084614</v>
      </c>
      <c r="AZ45" s="546">
        <f t="shared" si="35"/>
        <v>0</v>
      </c>
      <c r="BA45" s="546">
        <f t="shared" si="34"/>
        <v>0</v>
      </c>
      <c r="BB45" s="546"/>
      <c r="BC45" s="546"/>
      <c r="BD45" s="546"/>
      <c r="BE45" s="546"/>
      <c r="BF45" s="546"/>
      <c r="BG45" s="546">
        <f t="shared" si="20"/>
        <v>980670.71739345253</v>
      </c>
      <c r="BH45" s="108">
        <f t="shared" si="29"/>
        <v>48</v>
      </c>
      <c r="BI45" s="108">
        <f t="shared" si="24"/>
        <v>48</v>
      </c>
      <c r="BJ45" s="22">
        <f t="shared" si="25"/>
        <v>45718</v>
      </c>
      <c r="BK45" s="108">
        <f t="shared" si="6"/>
        <v>29910</v>
      </c>
    </row>
    <row r="46" spans="1:1217" s="16" customFormat="1" ht="41.25" customHeight="1" x14ac:dyDescent="0.3">
      <c r="A46" s="180"/>
      <c r="B46" s="180"/>
      <c r="C46" s="524"/>
      <c r="D46" s="178"/>
      <c r="E46" s="178"/>
      <c r="F46" s="178"/>
      <c r="G46" s="244">
        <f t="shared" si="26"/>
        <v>38</v>
      </c>
      <c r="H46" s="245">
        <f t="shared" si="7"/>
        <v>45749</v>
      </c>
      <c r="I46" s="246">
        <f t="shared" si="30"/>
        <v>0.17899999999999999</v>
      </c>
      <c r="J46" s="242">
        <f t="shared" si="0"/>
        <v>29910</v>
      </c>
      <c r="K46" s="242">
        <f t="shared" si="21"/>
        <v>29910</v>
      </c>
      <c r="L46" s="242">
        <f t="shared" si="8"/>
        <v>15315.062092192851</v>
      </c>
      <c r="M46" s="242">
        <f t="shared" si="22"/>
        <v>14594.937907807149</v>
      </c>
      <c r="N46" s="242">
        <f t="shared" si="1"/>
        <v>0</v>
      </c>
      <c r="O46" s="242">
        <v>0</v>
      </c>
      <c r="P46" s="242">
        <f t="shared" si="23"/>
        <v>15315.062092192851</v>
      </c>
      <c r="Q46" s="242">
        <f t="shared" si="2"/>
        <v>0</v>
      </c>
      <c r="R46" s="242">
        <f t="shared" si="9"/>
        <v>0</v>
      </c>
      <c r="S46" s="242">
        <f t="shared" si="10"/>
        <v>992793.35974048811</v>
      </c>
      <c r="T46" s="467"/>
      <c r="U46" s="198">
        <f t="shared" si="27"/>
        <v>47</v>
      </c>
      <c r="V46" s="36">
        <f t="shared" si="11"/>
        <v>47</v>
      </c>
      <c r="W46" s="2">
        <f>IF(AND(G11&gt;=$W$11,G11&lt;=$W$11+5),0,IF($C$9&gt;$AF$51,ROUND(S10*#REF!/(DATEVALUE(CONCATENATE("01/01/",YEAR(H11)+1))-DATEVALUE(CONCATENATE("01/01/",YEAR(H11))))*(H11-H10),2),0))</f>
        <v>0</v>
      </c>
      <c r="X46" s="34">
        <f t="shared" ref="X46:X109" si="41">IF(K11 &gt; 0, K11, 0)</f>
        <v>29910</v>
      </c>
      <c r="Y46" s="57">
        <f t="shared" si="39"/>
        <v>45686</v>
      </c>
      <c r="Z46" s="5" t="s">
        <v>1</v>
      </c>
      <c r="AA46" s="8"/>
      <c r="AB46" s="40"/>
      <c r="AC46" s="2"/>
      <c r="AD46" s="2"/>
      <c r="AE46" s="3"/>
      <c r="AF46" s="3"/>
      <c r="AG46" s="3"/>
      <c r="AH46" s="3"/>
      <c r="AI46" s="2"/>
      <c r="AJ46" s="2"/>
      <c r="AK46" s="57"/>
      <c r="AL46" s="2"/>
      <c r="AM46" s="18">
        <f>AT8</f>
        <v>-1389199</v>
      </c>
      <c r="AN46" s="57">
        <f>AQ8</f>
        <v>44591</v>
      </c>
      <c r="AO46" s="130">
        <f t="shared" si="12"/>
        <v>1</v>
      </c>
      <c r="AP46" s="553">
        <f t="shared" si="28"/>
        <v>38</v>
      </c>
      <c r="AQ46" s="554">
        <f t="shared" si="13"/>
        <v>45749</v>
      </c>
      <c r="AR46" s="555">
        <f t="shared" si="40"/>
        <v>0.17899999999999999</v>
      </c>
      <c r="AS46" s="546">
        <f t="shared" si="14"/>
        <v>29117</v>
      </c>
      <c r="AT46" s="546">
        <f t="shared" si="15"/>
        <v>29117</v>
      </c>
      <c r="AU46" s="546">
        <f t="shared" si="16"/>
        <v>14908.881673469228</v>
      </c>
      <c r="AV46" s="546">
        <f t="shared" si="17"/>
        <v>14208.118326530772</v>
      </c>
      <c r="AW46" s="546">
        <f t="shared" si="4"/>
        <v>0</v>
      </c>
      <c r="AX46" s="546">
        <v>0</v>
      </c>
      <c r="AY46" s="546">
        <f t="shared" si="18"/>
        <v>14908.881673469228</v>
      </c>
      <c r="AZ46" s="546">
        <f t="shared" si="35"/>
        <v>0</v>
      </c>
      <c r="BA46" s="546">
        <f t="shared" si="34"/>
        <v>0</v>
      </c>
      <c r="BB46" s="546"/>
      <c r="BC46" s="546"/>
      <c r="BD46" s="546"/>
      <c r="BE46" s="546"/>
      <c r="BF46" s="546"/>
      <c r="BG46" s="546">
        <f t="shared" si="20"/>
        <v>966462.59906692174</v>
      </c>
      <c r="BH46" s="108">
        <f t="shared" si="29"/>
        <v>47</v>
      </c>
      <c r="BI46" s="108">
        <f t="shared" si="24"/>
        <v>47</v>
      </c>
      <c r="BJ46" s="22">
        <f t="shared" si="25"/>
        <v>45749</v>
      </c>
      <c r="BK46" s="108">
        <f t="shared" si="6"/>
        <v>29910</v>
      </c>
    </row>
    <row r="47" spans="1:1217" s="16" customFormat="1" ht="30.75" customHeight="1" x14ac:dyDescent="0.3">
      <c r="A47" s="178"/>
      <c r="B47" s="178"/>
      <c r="C47" s="184"/>
      <c r="D47" s="181"/>
      <c r="E47" s="178"/>
      <c r="F47" s="178"/>
      <c r="G47" s="244">
        <f t="shared" si="26"/>
        <v>39</v>
      </c>
      <c r="H47" s="245">
        <f t="shared" si="7"/>
        <v>45779</v>
      </c>
      <c r="I47" s="246">
        <f t="shared" si="30"/>
        <v>0.17899999999999999</v>
      </c>
      <c r="J47" s="242">
        <f t="shared" si="0"/>
        <v>29910</v>
      </c>
      <c r="K47" s="242">
        <f t="shared" si="21"/>
        <v>29910</v>
      </c>
      <c r="L47" s="242">
        <f t="shared" si="8"/>
        <v>14606.302306318961</v>
      </c>
      <c r="M47" s="242">
        <f t="shared" si="22"/>
        <v>15303.697693681039</v>
      </c>
      <c r="N47" s="242">
        <f t="shared" si="1"/>
        <v>0</v>
      </c>
      <c r="O47" s="242">
        <v>0</v>
      </c>
      <c r="P47" s="242">
        <f t="shared" si="23"/>
        <v>14606.302306318961</v>
      </c>
      <c r="Q47" s="242">
        <f t="shared" si="2"/>
        <v>0</v>
      </c>
      <c r="R47" s="242">
        <f t="shared" si="9"/>
        <v>0</v>
      </c>
      <c r="S47" s="242">
        <f t="shared" si="10"/>
        <v>977489.66204680712</v>
      </c>
      <c r="T47" s="467"/>
      <c r="U47" s="198">
        <f t="shared" si="27"/>
        <v>46</v>
      </c>
      <c r="V47" s="36">
        <f t="shared" si="11"/>
        <v>46</v>
      </c>
      <c r="W47" s="2">
        <f>IF(AND(G12&gt;=$W$11,G12&lt;=$W$11+5),0,IF($C$9&gt;$AF$51,ROUND(S11*#REF!/(DATEVALUE(CONCATENATE("01/01/",YEAR(H12)+1))-DATEVALUE(CONCATENATE("01/01/",YEAR(H12))))*(H12-H11),2),0))</f>
        <v>0</v>
      </c>
      <c r="X47" s="34">
        <f t="shared" si="41"/>
        <v>29910</v>
      </c>
      <c r="Y47" s="57">
        <f t="shared" si="39"/>
        <v>46051</v>
      </c>
      <c r="Z47" s="5" t="s">
        <v>42</v>
      </c>
      <c r="AA47" s="8"/>
      <c r="AB47" s="17">
        <f>AC51/C7</f>
        <v>1.2234799999999999</v>
      </c>
      <c r="AC47" s="38">
        <v>0</v>
      </c>
      <c r="AD47" s="1" t="s">
        <v>20</v>
      </c>
      <c r="AE47" s="6" t="s">
        <v>15</v>
      </c>
      <c r="AF47" s="6"/>
      <c r="AG47" s="6">
        <f>IF(S8&gt;=200000,10,1)</f>
        <v>10</v>
      </c>
      <c r="AH47" s="27">
        <v>41274</v>
      </c>
      <c r="AI47" s="2">
        <v>6</v>
      </c>
      <c r="AJ47" s="2"/>
      <c r="AK47" s="2"/>
      <c r="AM47" s="34">
        <f>IF(OR(D8="Гарантия стандарт",D8="Гарантия пакет"),AH65*AH79*$C$10,0)</f>
        <v>0</v>
      </c>
      <c r="AN47" s="57">
        <f>AQ8</f>
        <v>44591</v>
      </c>
      <c r="AO47" s="130">
        <f t="shared" si="12"/>
        <v>1</v>
      </c>
      <c r="AP47" s="553">
        <f t="shared" si="28"/>
        <v>39</v>
      </c>
      <c r="AQ47" s="554">
        <f t="shared" si="13"/>
        <v>45779</v>
      </c>
      <c r="AR47" s="555">
        <f t="shared" si="40"/>
        <v>0.17899999999999999</v>
      </c>
      <c r="AS47" s="546">
        <f t="shared" si="14"/>
        <v>29117</v>
      </c>
      <c r="AT47" s="546">
        <f t="shared" si="15"/>
        <v>29117</v>
      </c>
      <c r="AU47" s="546">
        <f t="shared" si="16"/>
        <v>14218.915498601013</v>
      </c>
      <c r="AV47" s="546">
        <f t="shared" si="17"/>
        <v>14898.084501398987</v>
      </c>
      <c r="AW47" s="546">
        <f t="shared" si="4"/>
        <v>0</v>
      </c>
      <c r="AX47" s="546">
        <v>0</v>
      </c>
      <c r="AY47" s="546">
        <f t="shared" si="18"/>
        <v>14218.915498601013</v>
      </c>
      <c r="AZ47" s="546">
        <f t="shared" si="35"/>
        <v>0</v>
      </c>
      <c r="BA47" s="546">
        <f t="shared" si="34"/>
        <v>0</v>
      </c>
      <c r="BB47" s="546"/>
      <c r="BC47" s="546"/>
      <c r="BD47" s="546"/>
      <c r="BE47" s="546"/>
      <c r="BF47" s="546"/>
      <c r="BG47" s="546">
        <f t="shared" si="20"/>
        <v>951564.51456552278</v>
      </c>
      <c r="BH47" s="108">
        <f t="shared" si="29"/>
        <v>46</v>
      </c>
      <c r="BI47" s="108">
        <f t="shared" si="24"/>
        <v>46</v>
      </c>
      <c r="BJ47" s="22">
        <f t="shared" si="25"/>
        <v>45779</v>
      </c>
      <c r="BK47" s="108">
        <f t="shared" si="6"/>
        <v>29910</v>
      </c>
    </row>
    <row r="48" spans="1:1217" s="16" customFormat="1" ht="44.25" customHeight="1" x14ac:dyDescent="0.3">
      <c r="A48" s="178"/>
      <c r="B48" s="178"/>
      <c r="C48" s="524"/>
      <c r="D48" s="182"/>
      <c r="E48" s="178"/>
      <c r="F48" s="178"/>
      <c r="G48" s="244">
        <f t="shared" si="26"/>
        <v>40</v>
      </c>
      <c r="H48" s="245">
        <f t="shared" si="7"/>
        <v>45810</v>
      </c>
      <c r="I48" s="246">
        <f t="shared" si="30"/>
        <v>0.17899999999999999</v>
      </c>
      <c r="J48" s="242">
        <f t="shared" si="0"/>
        <v>29910</v>
      </c>
      <c r="K48" s="242">
        <f t="shared" si="21"/>
        <v>29910</v>
      </c>
      <c r="L48" s="242">
        <f t="shared" si="8"/>
        <v>14860.520916980091</v>
      </c>
      <c r="M48" s="242">
        <f t="shared" si="22"/>
        <v>15049.479083019909</v>
      </c>
      <c r="N48" s="242">
        <f t="shared" si="1"/>
        <v>0</v>
      </c>
      <c r="O48" s="242">
        <v>0</v>
      </c>
      <c r="P48" s="242">
        <f t="shared" si="23"/>
        <v>14860.520916980091</v>
      </c>
      <c r="Q48" s="242">
        <f t="shared" si="2"/>
        <v>0</v>
      </c>
      <c r="R48" s="242">
        <f t="shared" si="9"/>
        <v>0</v>
      </c>
      <c r="S48" s="242">
        <f t="shared" si="10"/>
        <v>962440.18296378723</v>
      </c>
      <c r="T48" s="467"/>
      <c r="U48" s="198">
        <f t="shared" si="27"/>
        <v>45</v>
      </c>
      <c r="V48" s="36">
        <f t="shared" si="11"/>
        <v>45</v>
      </c>
      <c r="W48" s="2">
        <f>IF(AND(G13&gt;=$W$11,G13&lt;=$W$11+5),0,IF($C$9&gt;$AF$51,ROUND(S12*#REF!/(DATEVALUE(CONCATENATE("01/01/",YEAR(H13)+1))-DATEVALUE(CONCATENATE("01/01/",YEAR(H13))))*(H13-H12),2),0))</f>
        <v>0</v>
      </c>
      <c r="X48" s="34">
        <f t="shared" si="41"/>
        <v>29910</v>
      </c>
      <c r="Y48" s="57">
        <f t="shared" si="39"/>
        <v>46416</v>
      </c>
      <c r="Z48" s="5"/>
      <c r="AA48" s="8"/>
      <c r="AB48" s="17">
        <f>IF(C8=AC59,AC65,IF(C8=AD59,AD65,IF(C8=AF59,AF65,IF(C8=AG59,AG65,IF(C8=AE59,AE65,IF(C8=AH59,AH65,IF(C8=AI59,AI65,IF(C8=AJ59,AJ65,Y23))))))))</f>
        <v>2E-3</v>
      </c>
      <c r="AC48" s="39">
        <f>C7*(1-AC47)</f>
        <v>1100000</v>
      </c>
      <c r="AD48" s="9" t="s">
        <v>29</v>
      </c>
      <c r="AE48" s="2" t="s">
        <v>17</v>
      </c>
      <c r="AF48" s="2"/>
      <c r="AG48" s="2">
        <v>7.4000000000000003E-3</v>
      </c>
      <c r="AH48" s="59">
        <v>41750</v>
      </c>
      <c r="AI48" s="2">
        <v>72</v>
      </c>
      <c r="AJ48" s="2"/>
      <c r="AK48" s="2"/>
      <c r="AL48" s="2" t="e">
        <f>IF(AND(Y5&gt;=$W$11,Y5&lt;=$W$11+5),0,IF($C$9&gt;$AF$51,ROUND(AI8*#REF!/(DATEVALUE(CONCATENATE("01/01/",YEAR(Z5)+1))-DATEVALUE(CONCATENATE("01/01/",YEAR(Z5))))*(Z5-Z4),2),0))</f>
        <v>#REF!</v>
      </c>
      <c r="AM48" s="34">
        <f>AT9</f>
        <v>29117</v>
      </c>
      <c r="AN48" s="57">
        <f>AN47+365</f>
        <v>44956</v>
      </c>
      <c r="AO48" s="130">
        <f t="shared" si="12"/>
        <v>1</v>
      </c>
      <c r="AP48" s="553">
        <f t="shared" si="28"/>
        <v>40</v>
      </c>
      <c r="AQ48" s="554">
        <f t="shared" si="13"/>
        <v>45810</v>
      </c>
      <c r="AR48" s="555">
        <f t="shared" si="40"/>
        <v>0.17899999999999999</v>
      </c>
      <c r="AS48" s="546">
        <f t="shared" si="14"/>
        <v>29117</v>
      </c>
      <c r="AT48" s="546">
        <f t="shared" si="15"/>
        <v>29117</v>
      </c>
      <c r="AU48" s="546">
        <f t="shared" si="16"/>
        <v>14466.387647463249</v>
      </c>
      <c r="AV48" s="546">
        <f t="shared" si="17"/>
        <v>14650.612352536751</v>
      </c>
      <c r="AW48" s="546">
        <f t="shared" si="4"/>
        <v>0</v>
      </c>
      <c r="AX48" s="546">
        <v>0</v>
      </c>
      <c r="AY48" s="546">
        <f t="shared" si="18"/>
        <v>14466.387647463249</v>
      </c>
      <c r="AZ48" s="546">
        <f t="shared" si="35"/>
        <v>0</v>
      </c>
      <c r="BA48" s="546">
        <f t="shared" si="34"/>
        <v>0</v>
      </c>
      <c r="BB48" s="546"/>
      <c r="BC48" s="546"/>
      <c r="BD48" s="546"/>
      <c r="BE48" s="546"/>
      <c r="BF48" s="546"/>
      <c r="BG48" s="546">
        <f t="shared" si="20"/>
        <v>936913.90221298602</v>
      </c>
      <c r="BH48" s="108">
        <f t="shared" si="29"/>
        <v>45</v>
      </c>
      <c r="BI48" s="108">
        <f t="shared" si="24"/>
        <v>45</v>
      </c>
      <c r="BJ48" s="22">
        <f t="shared" si="25"/>
        <v>45810</v>
      </c>
      <c r="BK48" s="108">
        <f t="shared" si="6"/>
        <v>29910</v>
      </c>
    </row>
    <row r="49" spans="1:64" s="16" customFormat="1" ht="55.2" customHeight="1" x14ac:dyDescent="0.3">
      <c r="A49" s="178"/>
      <c r="B49" s="178"/>
      <c r="C49" s="524"/>
      <c r="D49" s="182"/>
      <c r="E49" s="180"/>
      <c r="F49" s="180"/>
      <c r="G49" s="244">
        <f t="shared" si="26"/>
        <v>41</v>
      </c>
      <c r="H49" s="245">
        <f t="shared" si="7"/>
        <v>45840</v>
      </c>
      <c r="I49" s="246">
        <f t="shared" si="30"/>
        <v>0.17899999999999999</v>
      </c>
      <c r="J49" s="242">
        <f t="shared" si="0"/>
        <v>29910</v>
      </c>
      <c r="K49" s="242">
        <f t="shared" si="21"/>
        <v>29910</v>
      </c>
      <c r="L49" s="242">
        <f t="shared" si="8"/>
        <v>14159.736390453527</v>
      </c>
      <c r="M49" s="242">
        <f t="shared" si="22"/>
        <v>15750.263609546473</v>
      </c>
      <c r="N49" s="242">
        <f t="shared" si="1"/>
        <v>0</v>
      </c>
      <c r="O49" s="242">
        <v>0</v>
      </c>
      <c r="P49" s="242">
        <f t="shared" si="23"/>
        <v>14159.736390453527</v>
      </c>
      <c r="Q49" s="242">
        <f t="shared" si="2"/>
        <v>0</v>
      </c>
      <c r="R49" s="242">
        <f t="shared" si="9"/>
        <v>0</v>
      </c>
      <c r="S49" s="242">
        <f t="shared" si="10"/>
        <v>946689.91935424076</v>
      </c>
      <c r="T49" s="467"/>
      <c r="U49" s="198">
        <f t="shared" si="27"/>
        <v>44</v>
      </c>
      <c r="V49" s="36">
        <f t="shared" si="11"/>
        <v>44</v>
      </c>
      <c r="W49" s="2">
        <f>IF(AND(G14&gt;=$W$11,G14&lt;=$W$11+5),0,IF($C$9&gt;$AF$51,ROUND(S13*#REF!/(DATEVALUE(CONCATENATE("01/01/",YEAR(H14)+1))-DATEVALUE(CONCATENATE("01/01/",YEAR(H14))))*(H14-H13),2),0))</f>
        <v>0</v>
      </c>
      <c r="X49" s="34">
        <f t="shared" si="41"/>
        <v>29910</v>
      </c>
      <c r="Y49" s="57">
        <f t="shared" si="39"/>
        <v>46781</v>
      </c>
      <c r="Z49" s="2"/>
      <c r="AA49" s="2"/>
      <c r="AB49" s="15">
        <f>IF(D8=AC59,AC65,IF(D8=AD59,AD65,IF(D8=AF59,AF65,IF(D8=AG59,AG65,IF(D8=AE59,AE65,IF(D8=AH59,AH65,IF(D8=AI59,AI65,Y23)))))))</f>
        <v>2E-3</v>
      </c>
      <c r="AC49" s="41">
        <f>ROUNDUP(C7*AD49,0)</f>
        <v>0</v>
      </c>
      <c r="AD49" s="12">
        <v>0</v>
      </c>
      <c r="AE49" s="1">
        <v>15000</v>
      </c>
      <c r="AF49" s="53">
        <v>41365</v>
      </c>
      <c r="AG49" s="1">
        <v>500</v>
      </c>
      <c r="AH49" s="2">
        <f>ROUNDUP(($AD$55)/AG47,0)*AG47</f>
        <v>29910</v>
      </c>
      <c r="AI49" s="2"/>
      <c r="AJ49" s="2"/>
      <c r="AK49" s="2"/>
      <c r="AL49" s="2" t="e">
        <f>IF(AND(Y6&gt;=$W$11,Y6&lt;=$W$11+5),0,IF($C$9&gt;$AF$51,ROUND(AI9*#REF!/(DATEVALUE(CONCATENATE("01/01/",YEAR(Z6)+1))-DATEVALUE(CONCATENATE("01/01/",YEAR(Z6))))*(Z6-Z5),2),0))</f>
        <v>#REF!</v>
      </c>
      <c r="AM49" s="34">
        <f>AT10</f>
        <v>29117</v>
      </c>
      <c r="AN49" s="57">
        <f t="shared" ref="AN49:AN112" si="42">AN48+365</f>
        <v>45321</v>
      </c>
      <c r="AO49" s="130">
        <f t="shared" si="12"/>
        <v>1</v>
      </c>
      <c r="AP49" s="553">
        <f t="shared" si="28"/>
        <v>41</v>
      </c>
      <c r="AQ49" s="554">
        <f t="shared" si="13"/>
        <v>45840</v>
      </c>
      <c r="AR49" s="555">
        <f t="shared" si="40"/>
        <v>0.17899999999999999</v>
      </c>
      <c r="AS49" s="546">
        <f t="shared" si="14"/>
        <v>29117</v>
      </c>
      <c r="AT49" s="546">
        <f t="shared" si="15"/>
        <v>29117</v>
      </c>
      <c r="AU49" s="546">
        <f t="shared" si="16"/>
        <v>13784.185355845848</v>
      </c>
      <c r="AV49" s="546">
        <f t="shared" si="17"/>
        <v>15332.814644154152</v>
      </c>
      <c r="AW49" s="546">
        <f t="shared" si="4"/>
        <v>0</v>
      </c>
      <c r="AX49" s="546">
        <v>0</v>
      </c>
      <c r="AY49" s="546">
        <f t="shared" si="18"/>
        <v>13784.185355845848</v>
      </c>
      <c r="AZ49" s="546">
        <f t="shared" si="35"/>
        <v>0</v>
      </c>
      <c r="BA49" s="546">
        <f t="shared" si="34"/>
        <v>0</v>
      </c>
      <c r="BB49" s="546"/>
      <c r="BC49" s="546"/>
      <c r="BD49" s="546"/>
      <c r="BE49" s="546"/>
      <c r="BF49" s="546"/>
      <c r="BG49" s="546">
        <f t="shared" si="20"/>
        <v>921581.08756883186</v>
      </c>
      <c r="BH49" s="108">
        <f t="shared" si="29"/>
        <v>44</v>
      </c>
      <c r="BI49" s="108">
        <f t="shared" si="24"/>
        <v>44</v>
      </c>
      <c r="BJ49" s="22">
        <f t="shared" si="25"/>
        <v>45840</v>
      </c>
      <c r="BK49" s="108">
        <f t="shared" si="6"/>
        <v>29910</v>
      </c>
    </row>
    <row r="50" spans="1:64" s="16" customFormat="1" ht="55.5" customHeight="1" thickBot="1" x14ac:dyDescent="0.35">
      <c r="A50" s="178"/>
      <c r="B50" s="178"/>
      <c r="C50" s="524"/>
      <c r="D50" s="182"/>
      <c r="E50" s="180"/>
      <c r="F50" s="180"/>
      <c r="G50" s="244">
        <f t="shared" si="26"/>
        <v>42</v>
      </c>
      <c r="H50" s="245">
        <f t="shared" si="7"/>
        <v>45871</v>
      </c>
      <c r="I50" s="246">
        <f t="shared" si="30"/>
        <v>0.17899999999999999</v>
      </c>
      <c r="J50" s="242">
        <f t="shared" si="0"/>
        <v>29910</v>
      </c>
      <c r="K50" s="242">
        <f t="shared" si="21"/>
        <v>29910</v>
      </c>
      <c r="L50" s="242">
        <f t="shared" si="8"/>
        <v>14392.280445196389</v>
      </c>
      <c r="M50" s="242">
        <f t="shared" si="22"/>
        <v>15517.719554803611</v>
      </c>
      <c r="N50" s="242">
        <f t="shared" si="1"/>
        <v>0</v>
      </c>
      <c r="O50" s="242">
        <v>0</v>
      </c>
      <c r="P50" s="242">
        <f t="shared" si="23"/>
        <v>14392.280445196389</v>
      </c>
      <c r="Q50" s="242">
        <f t="shared" si="2"/>
        <v>0</v>
      </c>
      <c r="R50" s="242">
        <f t="shared" si="9"/>
        <v>0</v>
      </c>
      <c r="S50" s="242">
        <f t="shared" si="10"/>
        <v>931172.19979943719</v>
      </c>
      <c r="T50" s="467"/>
      <c r="U50" s="198">
        <f t="shared" si="27"/>
        <v>43</v>
      </c>
      <c r="V50" s="36">
        <f t="shared" si="11"/>
        <v>43</v>
      </c>
      <c r="W50" s="2" t="e">
        <f>IF(AND(G15&gt;=$W$11,G15&lt;=$W$11+5),0,IF($C$9&gt;$AF$51,ROUND(S14*#REF!/(DATEVALUE(CONCATENATE("01/01/",YEAR(H15)+1))-DATEVALUE(CONCATENATE("01/01/",YEAR(H15))))*(H15-H14),2),0))</f>
        <v>#REF!</v>
      </c>
      <c r="X50" s="34">
        <f t="shared" si="41"/>
        <v>29910</v>
      </c>
      <c r="Y50" s="57">
        <f t="shared" si="39"/>
        <v>47146</v>
      </c>
      <c r="Z50" s="6" t="s">
        <v>0</v>
      </c>
      <c r="AA50" s="6"/>
      <c r="AB50" s="6"/>
      <c r="AC50" s="42">
        <v>24</v>
      </c>
      <c r="AD50" s="14"/>
      <c r="AE50" s="1">
        <f>IF(C9&lt;AF49,300000,1000000)</f>
        <v>1000000</v>
      </c>
      <c r="AF50" s="53">
        <v>41501</v>
      </c>
      <c r="AG50" s="53">
        <v>41882</v>
      </c>
      <c r="AH50" s="2" t="e">
        <f>IF(C9&gt;AG50,XIRR(X43:X122,Y43:Y122)*12,XIRR(X43:X121,H8:H86))</f>
        <v>#NUM!</v>
      </c>
      <c r="AI50" s="2"/>
      <c r="AJ50" s="2"/>
      <c r="AK50" s="2"/>
      <c r="AL50" s="2" t="e">
        <f>IF(AND(#REF!&gt;=$W$11,#REF!&lt;=$W$11+5),0,IF($C$9&gt;$AF$51,ROUND(AI10*#REF!/(DATEVALUE(CONCATENATE("01/01/",YEAR(#REF!)+1))-DATEVALUE(CONCATENATE("01/01/",YEAR(#REF!))))*(#REF!-Z6),2),0))</f>
        <v>#REF!</v>
      </c>
      <c r="AM50" s="34">
        <f t="shared" ref="AM50:AM113" si="43">AT11</f>
        <v>29117</v>
      </c>
      <c r="AN50" s="57">
        <f t="shared" si="42"/>
        <v>45686</v>
      </c>
      <c r="AO50" s="130">
        <f t="shared" si="12"/>
        <v>1</v>
      </c>
      <c r="AP50" s="553">
        <f t="shared" si="28"/>
        <v>42</v>
      </c>
      <c r="AQ50" s="554">
        <f t="shared" si="13"/>
        <v>45871</v>
      </c>
      <c r="AR50" s="555">
        <f t="shared" si="40"/>
        <v>0.17899999999999999</v>
      </c>
      <c r="AS50" s="546">
        <f t="shared" si="14"/>
        <v>29117</v>
      </c>
      <c r="AT50" s="546">
        <f t="shared" si="15"/>
        <v>29117</v>
      </c>
      <c r="AU50" s="546">
        <f t="shared" si="16"/>
        <v>14010.557410738214</v>
      </c>
      <c r="AV50" s="546">
        <f t="shared" si="17"/>
        <v>15106.442589261786</v>
      </c>
      <c r="AW50" s="546">
        <f t="shared" si="4"/>
        <v>0</v>
      </c>
      <c r="AX50" s="546">
        <v>0</v>
      </c>
      <c r="AY50" s="546">
        <f t="shared" si="18"/>
        <v>14010.557410738214</v>
      </c>
      <c r="AZ50" s="546">
        <f t="shared" si="35"/>
        <v>0</v>
      </c>
      <c r="BA50" s="546">
        <f t="shared" si="34"/>
        <v>0</v>
      </c>
      <c r="BB50" s="546"/>
      <c r="BC50" s="546"/>
      <c r="BD50" s="546"/>
      <c r="BE50" s="546"/>
      <c r="BF50" s="546"/>
      <c r="BG50" s="546">
        <f t="shared" si="20"/>
        <v>906474.64497957006</v>
      </c>
      <c r="BH50" s="108">
        <f t="shared" si="29"/>
        <v>43</v>
      </c>
      <c r="BI50" s="108">
        <f t="shared" si="24"/>
        <v>43</v>
      </c>
      <c r="BJ50" s="22">
        <f t="shared" si="25"/>
        <v>45871</v>
      </c>
      <c r="BK50" s="108">
        <f t="shared" si="6"/>
        <v>29910</v>
      </c>
    </row>
    <row r="51" spans="1:64" s="16" customFormat="1" ht="19.5" customHeight="1" x14ac:dyDescent="0.3">
      <c r="A51" s="178"/>
      <c r="B51" s="178"/>
      <c r="C51" s="524"/>
      <c r="D51" s="182"/>
      <c r="E51" s="178"/>
      <c r="F51" s="178"/>
      <c r="G51" s="244">
        <f t="shared" si="26"/>
        <v>43</v>
      </c>
      <c r="H51" s="245">
        <f t="shared" si="7"/>
        <v>45902</v>
      </c>
      <c r="I51" s="246">
        <f t="shared" si="30"/>
        <v>0.17899999999999999</v>
      </c>
      <c r="J51" s="242">
        <f t="shared" si="0"/>
        <v>29910</v>
      </c>
      <c r="K51" s="242">
        <f t="shared" si="21"/>
        <v>29910</v>
      </c>
      <c r="L51" s="242">
        <f t="shared" si="8"/>
        <v>14156.368593663225</v>
      </c>
      <c r="M51" s="242">
        <f t="shared" si="22"/>
        <v>15753.631406336775</v>
      </c>
      <c r="N51" s="242">
        <f t="shared" si="1"/>
        <v>0</v>
      </c>
      <c r="O51" s="242">
        <v>0</v>
      </c>
      <c r="P51" s="242">
        <f t="shared" si="23"/>
        <v>14156.368593663225</v>
      </c>
      <c r="Q51" s="242">
        <f t="shared" si="2"/>
        <v>0</v>
      </c>
      <c r="R51" s="242">
        <f t="shared" si="9"/>
        <v>0</v>
      </c>
      <c r="S51" s="242">
        <f t="shared" si="10"/>
        <v>915418.5683931004</v>
      </c>
      <c r="T51" s="467"/>
      <c r="U51" s="198">
        <f t="shared" si="27"/>
        <v>42</v>
      </c>
      <c r="V51" s="36">
        <f t="shared" si="11"/>
        <v>42</v>
      </c>
      <c r="W51" s="2" t="e">
        <f>IF(AND(G16&gt;=$W$11,G16&lt;=$W$11+5),0,IF($C$9&gt;$AF$51,ROUND(S15*#REF!/(DATEVALUE(CONCATENATE("01/01/",YEAR(H16)+1))-DATEVALUE(CONCATENATE("01/01/",YEAR(H16))))*(H16-H15),2),0))</f>
        <v>#REF!</v>
      </c>
      <c r="X51" s="34">
        <f t="shared" si="41"/>
        <v>29910</v>
      </c>
      <c r="Y51" s="57">
        <f t="shared" si="39"/>
        <v>47511</v>
      </c>
      <c r="Z51" s="11" t="s">
        <v>18</v>
      </c>
      <c r="AA51" s="11"/>
      <c r="AB51" s="11"/>
      <c r="AC51" s="42">
        <f>(D30-C7)</f>
        <v>1345828</v>
      </c>
      <c r="AD51" s="58"/>
      <c r="AE51" s="53">
        <v>41632</v>
      </c>
      <c r="AF51" s="53">
        <v>41820</v>
      </c>
      <c r="AG51" s="53">
        <v>41857</v>
      </c>
      <c r="AH51" s="46">
        <v>41991</v>
      </c>
      <c r="AI51" s="18">
        <v>0</v>
      </c>
      <c r="AJ51" s="3"/>
      <c r="AK51" s="3"/>
      <c r="AL51" s="2" t="e">
        <f>IF(AND(Y7&gt;=$W$11,Y7&lt;=$W$11+5),0,IF($C$9&gt;$AF$51,ROUND(AI11*#REF!/(DATEVALUE(CONCATENATE("01/01/",YEAR(Z7)+1))-DATEVALUE(CONCATENATE("01/01/",YEAR(Z7))))*(Z7-#REF!),2),0))</f>
        <v>#REF!</v>
      </c>
      <c r="AM51" s="34">
        <f t="shared" si="43"/>
        <v>29117</v>
      </c>
      <c r="AN51" s="57">
        <f t="shared" si="42"/>
        <v>46051</v>
      </c>
      <c r="AO51" s="130">
        <f t="shared" si="12"/>
        <v>1</v>
      </c>
      <c r="AP51" s="553">
        <f t="shared" si="28"/>
        <v>43</v>
      </c>
      <c r="AQ51" s="554">
        <f t="shared" si="13"/>
        <v>45902</v>
      </c>
      <c r="AR51" s="555">
        <f t="shared" si="40"/>
        <v>0.17899999999999999</v>
      </c>
      <c r="AS51" s="546">
        <f t="shared" si="14"/>
        <v>29117</v>
      </c>
      <c r="AT51" s="546">
        <f t="shared" si="15"/>
        <v>29117</v>
      </c>
      <c r="AU51" s="546">
        <f t="shared" si="16"/>
        <v>13780.898095867491</v>
      </c>
      <c r="AV51" s="546">
        <f t="shared" si="17"/>
        <v>15336.101904132509</v>
      </c>
      <c r="AW51" s="546">
        <f t="shared" si="4"/>
        <v>0</v>
      </c>
      <c r="AX51" s="546">
        <v>0</v>
      </c>
      <c r="AY51" s="546">
        <f t="shared" si="18"/>
        <v>13780.898095867491</v>
      </c>
      <c r="AZ51" s="546">
        <f t="shared" si="35"/>
        <v>0</v>
      </c>
      <c r="BA51" s="546">
        <f t="shared" si="34"/>
        <v>0</v>
      </c>
      <c r="BB51" s="546"/>
      <c r="BC51" s="546"/>
      <c r="BD51" s="546"/>
      <c r="BE51" s="546"/>
      <c r="BF51" s="546"/>
      <c r="BG51" s="546">
        <f t="shared" si="20"/>
        <v>891138.54307543754</v>
      </c>
      <c r="BH51" s="108">
        <f t="shared" si="29"/>
        <v>42</v>
      </c>
      <c r="BI51" s="108">
        <f t="shared" si="24"/>
        <v>42</v>
      </c>
      <c r="BJ51" s="22">
        <f t="shared" si="25"/>
        <v>45902</v>
      </c>
      <c r="BK51" s="108">
        <f t="shared" si="6"/>
        <v>29910</v>
      </c>
    </row>
    <row r="52" spans="1:64" s="16" customFormat="1" ht="24" customHeight="1" x14ac:dyDescent="0.3">
      <c r="A52" s="178"/>
      <c r="B52" s="178"/>
      <c r="C52" s="524"/>
      <c r="D52" s="178"/>
      <c r="E52" s="178"/>
      <c r="F52" s="178"/>
      <c r="G52" s="244">
        <f t="shared" si="26"/>
        <v>44</v>
      </c>
      <c r="H52" s="245">
        <f t="shared" si="7"/>
        <v>45932</v>
      </c>
      <c r="I52" s="246">
        <f t="shared" si="30"/>
        <v>0.17899999999999999</v>
      </c>
      <c r="J52" s="242">
        <f t="shared" si="0"/>
        <v>29910</v>
      </c>
      <c r="K52" s="242">
        <f t="shared" si="21"/>
        <v>29910</v>
      </c>
      <c r="L52" s="242">
        <f t="shared" si="8"/>
        <v>13467.938937728628</v>
      </c>
      <c r="M52" s="242">
        <f t="shared" si="22"/>
        <v>16442.061062271372</v>
      </c>
      <c r="N52" s="242">
        <f t="shared" si="1"/>
        <v>0</v>
      </c>
      <c r="O52" s="242">
        <v>0</v>
      </c>
      <c r="P52" s="242">
        <f t="shared" si="23"/>
        <v>13467.938937728628</v>
      </c>
      <c r="Q52" s="242">
        <f t="shared" si="2"/>
        <v>0</v>
      </c>
      <c r="R52" s="242">
        <f t="shared" si="9"/>
        <v>0</v>
      </c>
      <c r="S52" s="242">
        <f t="shared" si="10"/>
        <v>898976.50733082904</v>
      </c>
      <c r="T52" s="467"/>
      <c r="U52" s="198">
        <f t="shared" si="27"/>
        <v>41</v>
      </c>
      <c r="V52" s="36">
        <f t="shared" si="11"/>
        <v>41</v>
      </c>
      <c r="W52" s="2" t="e">
        <f>IF(AND(G17&gt;=$W$11,G17&lt;=$W$11+5),0,IF($C$9&gt;$AF$51,ROUND(S16*#REF!/(DATEVALUE(CONCATENATE("01/01/",YEAR(H17)+1))-DATEVALUE(CONCATENATE("01/01/",YEAR(H17))))*(H17-H16),2),0))</f>
        <v>#REF!</v>
      </c>
      <c r="X52" s="34">
        <f t="shared" si="41"/>
        <v>29910</v>
      </c>
      <c r="Y52" s="57">
        <f t="shared" si="39"/>
        <v>47876</v>
      </c>
      <c r="Z52" s="3" t="s">
        <v>22</v>
      </c>
      <c r="AA52" s="3"/>
      <c r="AB52" s="3"/>
      <c r="AC52" s="42"/>
      <c r="AD52" s="58"/>
      <c r="AE52" s="53">
        <v>42124</v>
      </c>
      <c r="AF52" s="53"/>
      <c r="AG52" s="53"/>
      <c r="AH52" s="46"/>
      <c r="AI52" s="2"/>
      <c r="AJ52" s="3"/>
      <c r="AK52" s="3"/>
      <c r="AL52" s="2" t="e">
        <f>IF(AND(Y8&gt;=$W$11,Y8&lt;=$W$11+5),0,IF($C$9&gt;$AF$51,ROUND(AI12*#REF!/(DATEVALUE(CONCATENATE("01/01/",YEAR(Z8)+1))-DATEVALUE(CONCATENATE("01/01/",YEAR(Z8))))*(Z8-Z7),2),0))</f>
        <v>#REF!</v>
      </c>
      <c r="AM52" s="34">
        <f t="shared" si="43"/>
        <v>29117</v>
      </c>
      <c r="AN52" s="57">
        <f t="shared" si="42"/>
        <v>46416</v>
      </c>
      <c r="AO52" s="130">
        <f t="shared" si="12"/>
        <v>1</v>
      </c>
      <c r="AP52" s="553">
        <f t="shared" si="28"/>
        <v>44</v>
      </c>
      <c r="AQ52" s="554">
        <f t="shared" si="13"/>
        <v>45932</v>
      </c>
      <c r="AR52" s="555">
        <f t="shared" si="40"/>
        <v>0.17899999999999999</v>
      </c>
      <c r="AS52" s="546">
        <f t="shared" si="14"/>
        <v>29117</v>
      </c>
      <c r="AT52" s="546">
        <f t="shared" si="15"/>
        <v>29117</v>
      </c>
      <c r="AU52" s="546">
        <f t="shared" si="16"/>
        <v>13110.723222781095</v>
      </c>
      <c r="AV52" s="546">
        <f t="shared" si="17"/>
        <v>16006.276777218905</v>
      </c>
      <c r="AW52" s="546">
        <f t="shared" si="4"/>
        <v>0</v>
      </c>
      <c r="AX52" s="546">
        <v>0</v>
      </c>
      <c r="AY52" s="546">
        <f t="shared" si="18"/>
        <v>13110.723222781095</v>
      </c>
      <c r="AZ52" s="546">
        <f t="shared" si="35"/>
        <v>0</v>
      </c>
      <c r="BA52" s="546">
        <f t="shared" si="34"/>
        <v>0</v>
      </c>
      <c r="BB52" s="546"/>
      <c r="BC52" s="546"/>
      <c r="BD52" s="546"/>
      <c r="BE52" s="546"/>
      <c r="BF52" s="546"/>
      <c r="BG52" s="546">
        <f t="shared" si="20"/>
        <v>875132.26629821863</v>
      </c>
      <c r="BH52" s="108">
        <f t="shared" si="29"/>
        <v>41</v>
      </c>
      <c r="BI52" s="108">
        <f t="shared" si="24"/>
        <v>41</v>
      </c>
      <c r="BJ52" s="22">
        <f t="shared" si="25"/>
        <v>45932</v>
      </c>
      <c r="BK52" s="108">
        <f t="shared" si="6"/>
        <v>29910</v>
      </c>
    </row>
    <row r="53" spans="1:64" s="16" customFormat="1" ht="24" customHeight="1" x14ac:dyDescent="0.3">
      <c r="A53" s="178"/>
      <c r="B53" s="178"/>
      <c r="C53" s="524"/>
      <c r="D53" s="178"/>
      <c r="E53" s="178"/>
      <c r="F53" s="178"/>
      <c r="G53" s="244">
        <f t="shared" si="26"/>
        <v>45</v>
      </c>
      <c r="H53" s="245">
        <f t="shared" si="7"/>
        <v>45963</v>
      </c>
      <c r="I53" s="246">
        <f t="shared" si="30"/>
        <v>0.17899999999999999</v>
      </c>
      <c r="J53" s="242">
        <f t="shared" si="0"/>
        <v>29910</v>
      </c>
      <c r="K53" s="242">
        <f t="shared" si="21"/>
        <v>29910</v>
      </c>
      <c r="L53" s="242">
        <f t="shared" si="8"/>
        <v>13666.905860763754</v>
      </c>
      <c r="M53" s="242">
        <f t="shared" si="22"/>
        <v>16243.094139236246</v>
      </c>
      <c r="N53" s="242">
        <f t="shared" si="1"/>
        <v>0</v>
      </c>
      <c r="O53" s="242">
        <v>0</v>
      </c>
      <c r="P53" s="242">
        <f t="shared" si="23"/>
        <v>13666.905860763754</v>
      </c>
      <c r="Q53" s="242">
        <f t="shared" si="2"/>
        <v>0</v>
      </c>
      <c r="R53" s="242">
        <f t="shared" si="9"/>
        <v>0</v>
      </c>
      <c r="S53" s="242">
        <f t="shared" si="10"/>
        <v>882733.41319159279</v>
      </c>
      <c r="T53" s="467"/>
      <c r="U53" s="198">
        <f t="shared" si="27"/>
        <v>40</v>
      </c>
      <c r="V53" s="36">
        <f t="shared" si="11"/>
        <v>40</v>
      </c>
      <c r="W53" s="2" t="e">
        <f>IF(AND(G18&gt;=$W$11,G18&lt;=$W$11+5),0,IF($C$9&gt;$AF$51,ROUND(S17*#REF!/(DATEVALUE(CONCATENATE("01/01/",YEAR(H18)+1))-DATEVALUE(CONCATENATE("01/01/",YEAR(H18))))*(H18-H17),2),0))</f>
        <v>#REF!</v>
      </c>
      <c r="X53" s="34">
        <f t="shared" si="41"/>
        <v>29910</v>
      </c>
      <c r="Y53" s="57">
        <f t="shared" si="39"/>
        <v>48241</v>
      </c>
      <c r="Z53" s="3"/>
      <c r="AA53" s="3"/>
      <c r="AB53" s="3"/>
      <c r="AC53" s="2"/>
      <c r="AD53" s="2"/>
      <c r="AE53" s="2"/>
      <c r="AF53" s="2"/>
      <c r="AG53" s="2"/>
      <c r="AH53" s="2"/>
      <c r="AI53" s="2"/>
      <c r="AJ53" s="2"/>
      <c r="AK53" s="2"/>
      <c r="AL53" s="2" t="e">
        <f>IF(AND(Y9&gt;=$W$11,Y9&lt;=$W$11+5),0,IF($C$9&gt;$AF$51,ROUND(AI13*#REF!/(DATEVALUE(CONCATENATE("01/01/",YEAR(Z9)+1))-DATEVALUE(CONCATENATE("01/01/",YEAR(Z9))))*(Z9-Z8),2),0))</f>
        <v>#REF!</v>
      </c>
      <c r="AM53" s="34">
        <f t="shared" si="43"/>
        <v>29117</v>
      </c>
      <c r="AN53" s="57">
        <f t="shared" si="42"/>
        <v>46781</v>
      </c>
      <c r="AO53" s="130">
        <f t="shared" si="12"/>
        <v>1</v>
      </c>
      <c r="AP53" s="553">
        <f t="shared" si="28"/>
        <v>45</v>
      </c>
      <c r="AQ53" s="554">
        <f t="shared" si="13"/>
        <v>45963</v>
      </c>
      <c r="AR53" s="555">
        <f t="shared" si="40"/>
        <v>0.17899999999999999</v>
      </c>
      <c r="AS53" s="546">
        <f t="shared" si="14"/>
        <v>29117</v>
      </c>
      <c r="AT53" s="546">
        <f t="shared" si="15"/>
        <v>29117</v>
      </c>
      <c r="AU53" s="546">
        <f t="shared" si="16"/>
        <v>13304.408070380316</v>
      </c>
      <c r="AV53" s="546">
        <f t="shared" si="17"/>
        <v>15812.591929619684</v>
      </c>
      <c r="AW53" s="546">
        <f t="shared" si="4"/>
        <v>0</v>
      </c>
      <c r="AX53" s="546">
        <v>0</v>
      </c>
      <c r="AY53" s="546">
        <f t="shared" si="18"/>
        <v>13304.408070380316</v>
      </c>
      <c r="AZ53" s="546">
        <f t="shared" si="35"/>
        <v>0</v>
      </c>
      <c r="BA53" s="546">
        <f t="shared" si="34"/>
        <v>0</v>
      </c>
      <c r="BB53" s="546"/>
      <c r="BC53" s="546"/>
      <c r="BD53" s="546"/>
      <c r="BE53" s="546"/>
      <c r="BF53" s="546"/>
      <c r="BG53" s="546">
        <f t="shared" si="20"/>
        <v>859319.67436859896</v>
      </c>
      <c r="BH53" s="108">
        <f t="shared" si="29"/>
        <v>40</v>
      </c>
      <c r="BI53" s="108">
        <f t="shared" si="24"/>
        <v>40</v>
      </c>
      <c r="BJ53" s="22">
        <f t="shared" si="25"/>
        <v>45963</v>
      </c>
      <c r="BK53" s="108">
        <f t="shared" si="6"/>
        <v>29910</v>
      </c>
    </row>
    <row r="54" spans="1:64" s="16" customFormat="1" ht="24" customHeight="1" x14ac:dyDescent="0.3">
      <c r="A54" s="178"/>
      <c r="B54" s="178"/>
      <c r="C54" s="184"/>
      <c r="D54" s="178"/>
      <c r="E54" s="178"/>
      <c r="F54" s="178"/>
      <c r="G54" s="244">
        <f t="shared" si="26"/>
        <v>46</v>
      </c>
      <c r="H54" s="245">
        <f t="shared" si="7"/>
        <v>45993</v>
      </c>
      <c r="I54" s="246">
        <f t="shared" si="30"/>
        <v>0.17899999999999999</v>
      </c>
      <c r="J54" s="242">
        <f t="shared" si="0"/>
        <v>29910</v>
      </c>
      <c r="K54" s="242">
        <f t="shared" si="21"/>
        <v>29910</v>
      </c>
      <c r="L54" s="242">
        <f t="shared" si="8"/>
        <v>12987.064188599597</v>
      </c>
      <c r="M54" s="242">
        <f t="shared" si="22"/>
        <v>16922.935811400403</v>
      </c>
      <c r="N54" s="242">
        <f t="shared" si="1"/>
        <v>0</v>
      </c>
      <c r="O54" s="242">
        <v>0</v>
      </c>
      <c r="P54" s="242">
        <f t="shared" si="23"/>
        <v>12987.064188599597</v>
      </c>
      <c r="Q54" s="242">
        <f t="shared" si="2"/>
        <v>0</v>
      </c>
      <c r="R54" s="242">
        <f t="shared" si="9"/>
        <v>0</v>
      </c>
      <c r="S54" s="242">
        <f t="shared" si="10"/>
        <v>865810.47738019237</v>
      </c>
      <c r="T54" s="467"/>
      <c r="U54" s="198">
        <f t="shared" si="27"/>
        <v>39</v>
      </c>
      <c r="V54" s="36">
        <f t="shared" si="11"/>
        <v>39</v>
      </c>
      <c r="W54" s="2" t="e">
        <f>IF(AND(G19&gt;=$W$11,G19&lt;=$W$11+5),0,IF($C$9&gt;$AF$51,ROUND(S18*#REF!/(DATEVALUE(CONCATENATE("01/01/",YEAR(H19)+1))-DATEVALUE(CONCATENATE("01/01/",YEAR(H19))))*(H19-H18),2),0))</f>
        <v>#REF!</v>
      </c>
      <c r="X54" s="34">
        <f t="shared" si="41"/>
        <v>29910</v>
      </c>
      <c r="Y54" s="57">
        <f t="shared" si="39"/>
        <v>48606</v>
      </c>
      <c r="Z54" s="2"/>
      <c r="AA54" s="2"/>
      <c r="AB54" s="2"/>
      <c r="AC54" s="1"/>
      <c r="AD54" s="7">
        <f>H8</f>
        <v>44591</v>
      </c>
      <c r="AE54" s="47">
        <f>(C23+AI51)*AG36/12*(1+AG36/12)^(C10)/((1+AG36/12)^(C10)-1)+C23/10000*IF(C10&lt;11,20,IF(C10&lt;20,2.5,IF(C10&lt;37,1.5,IF(C10&lt;60,0.7,0.5))))*IF(AG36&lt;0.3,AG36/0.2,AG36/0.1)</f>
        <v>29973.549413807177</v>
      </c>
      <c r="AF54" s="2"/>
      <c r="AG54" s="47">
        <f>(D23+AI51)*AE14/12*(1+AE14/12)^(C10)/((1+AE14/12)^(C10)-1)+D23/10000*IF(C10&lt;11,20,IF(C10&lt;20,2.5,IF(C10&lt;37,1.5,IF(C10&lt;60,0.7,0.5))))*IF(AE14&lt;0.3,AE14/0.2,AE14/0.1)</f>
        <v>29178.757463609272</v>
      </c>
      <c r="AH54" s="2"/>
      <c r="AI54" s="2"/>
      <c r="AJ54" s="2"/>
      <c r="AK54" s="2"/>
      <c r="AL54" s="2" t="e">
        <f>IF(AND(Y10&gt;=$W$11,Y10&lt;=$W$11+5),0,IF($C$9&gt;$AF$51,ROUND(AI14*#REF!/(DATEVALUE(CONCATENATE("01/01/",YEAR(Z10)+1))-DATEVALUE(CONCATENATE("01/01/",YEAR(Z10))))*(Z10-Z9),2),0))</f>
        <v>#REF!</v>
      </c>
      <c r="AM54" s="34">
        <f t="shared" si="43"/>
        <v>29117</v>
      </c>
      <c r="AN54" s="57">
        <f t="shared" si="42"/>
        <v>47146</v>
      </c>
      <c r="AO54" s="130">
        <f t="shared" si="12"/>
        <v>1</v>
      </c>
      <c r="AP54" s="553">
        <f t="shared" si="28"/>
        <v>46</v>
      </c>
      <c r="AQ54" s="554">
        <f t="shared" si="13"/>
        <v>45993</v>
      </c>
      <c r="AR54" s="555">
        <f t="shared" si="40"/>
        <v>0.17899999999999999</v>
      </c>
      <c r="AS54" s="546">
        <f t="shared" si="14"/>
        <v>29117</v>
      </c>
      <c r="AT54" s="546">
        <f t="shared" si="15"/>
        <v>29117</v>
      </c>
      <c r="AU54" s="546">
        <f t="shared" si="16"/>
        <v>12642.593565368154</v>
      </c>
      <c r="AV54" s="546">
        <f t="shared" si="17"/>
        <v>16474.406434631848</v>
      </c>
      <c r="AW54" s="546">
        <f t="shared" si="4"/>
        <v>0</v>
      </c>
      <c r="AX54" s="546">
        <v>0</v>
      </c>
      <c r="AY54" s="546">
        <f t="shared" si="18"/>
        <v>12642.593565368154</v>
      </c>
      <c r="AZ54" s="546">
        <f t="shared" si="35"/>
        <v>0</v>
      </c>
      <c r="BA54" s="546">
        <f t="shared" si="34"/>
        <v>0</v>
      </c>
      <c r="BB54" s="546"/>
      <c r="BC54" s="546"/>
      <c r="BD54" s="546"/>
      <c r="BE54" s="546"/>
      <c r="BF54" s="546"/>
      <c r="BG54" s="546">
        <f t="shared" si="20"/>
        <v>842845.26793396706</v>
      </c>
      <c r="BH54" s="108">
        <f t="shared" si="29"/>
        <v>39</v>
      </c>
      <c r="BI54" s="108">
        <f t="shared" si="24"/>
        <v>39</v>
      </c>
      <c r="BJ54" s="22">
        <f t="shared" si="25"/>
        <v>45993</v>
      </c>
      <c r="BK54" s="108">
        <f t="shared" si="6"/>
        <v>29910</v>
      </c>
      <c r="BL54" s="2">
        <f>IF(AND(G9&gt;=$W$11,G9&lt;=$W$11+5),0,IF($C$9&gt;$AF$51,ROUND(BG8*IF(#REF!="",0,#REF!)/(DATEVALUE(CONCATENATE("01/01/",YEAR(AQ9)+1))-DATEVALUE(CONCATENATE("01/01/",YEAR(AQ9))))*(AQ9-AQ8),2),0))</f>
        <v>0</v>
      </c>
    </row>
    <row r="55" spans="1:64" s="16" customFormat="1" x14ac:dyDescent="0.3">
      <c r="A55" s="178"/>
      <c r="B55" s="178"/>
      <c r="C55" s="184"/>
      <c r="D55" s="178"/>
      <c r="E55" s="178"/>
      <c r="F55" s="178"/>
      <c r="G55" s="244">
        <f t="shared" si="26"/>
        <v>47</v>
      </c>
      <c r="H55" s="245">
        <f t="shared" si="7"/>
        <v>46024</v>
      </c>
      <c r="I55" s="246">
        <f t="shared" si="30"/>
        <v>0.17899999999999999</v>
      </c>
      <c r="J55" s="242">
        <f t="shared" si="0"/>
        <v>29910</v>
      </c>
      <c r="K55" s="242">
        <f t="shared" si="21"/>
        <v>29910</v>
      </c>
      <c r="L55" s="242">
        <f t="shared" si="8"/>
        <v>13162.691339678597</v>
      </c>
      <c r="M55" s="242">
        <f t="shared" si="22"/>
        <v>16747.308660321403</v>
      </c>
      <c r="N55" s="242">
        <f t="shared" si="1"/>
        <v>0</v>
      </c>
      <c r="O55" s="242">
        <v>0</v>
      </c>
      <c r="P55" s="242">
        <f t="shared" si="23"/>
        <v>13162.691339678597</v>
      </c>
      <c r="Q55" s="242">
        <f t="shared" si="2"/>
        <v>0</v>
      </c>
      <c r="R55" s="242">
        <f t="shared" si="9"/>
        <v>0</v>
      </c>
      <c r="S55" s="242">
        <f t="shared" si="10"/>
        <v>849063.16871987097</v>
      </c>
      <c r="T55" s="467"/>
      <c r="U55" s="198">
        <f t="shared" si="27"/>
        <v>38</v>
      </c>
      <c r="V55" s="36">
        <f t="shared" si="11"/>
        <v>38</v>
      </c>
      <c r="W55" s="2" t="e">
        <f>IF(AND(G20&gt;=$W$11,G20&lt;=$W$11+5),0,IF($C$9&gt;$AF$51,ROUND(S19*#REF!/(DATEVALUE(CONCATENATE("01/01/",YEAR(H20)+1))-DATEVALUE(CONCATENATE("01/01/",YEAR(H20))))*(H20-H19),2),0))</f>
        <v>#REF!</v>
      </c>
      <c r="X55" s="34">
        <f t="shared" si="41"/>
        <v>29910</v>
      </c>
      <c r="Y55" s="57">
        <f t="shared" si="39"/>
        <v>48971</v>
      </c>
      <c r="AA55" s="170" t="s">
        <v>134</v>
      </c>
      <c r="AD55" s="47">
        <f>IF(DAY(C9)&lt;4,AE54,IF(DAY(C9)&gt;28,AE56,AE55))</f>
        <v>29909.689418557176</v>
      </c>
      <c r="AE55" s="47">
        <f>(C23+AI51)*AG36/12*(1+AG36/12)^(C10)/((1+AG36/12)^(C10)-1)+C23/10000*IF(C10&lt;11,20,IF(C10&lt;34,0.7,IF(C10&lt;58,0.3,0.1)))*IF(AG36&lt;0.3,AG36/0.2,AG36/0.1)</f>
        <v>29922.461417607177</v>
      </c>
      <c r="AF55" s="13">
        <f>IF(DAY(C9)&lt;4,AG54,IF(DAY(C9)&gt;28,AG56,AG55))</f>
        <v>29116.590808359273</v>
      </c>
      <c r="AG55" s="156">
        <f>(D23+AI51)*AE14/12*(1+AE14/12)^(C10)/((1+AE14/12)^(C10)-1)+D23/10000*IF(C10&lt;11,20,IF(C10&lt;34,0.7,IF(C10&lt;58,0.3,0.1)))*IF(AE14&lt;0.3,AE14/0.2,AE14/0.1)</f>
        <v>29129.024139409274</v>
      </c>
      <c r="AH55" s="2"/>
      <c r="AI55" s="2"/>
      <c r="AJ55" s="2"/>
      <c r="AK55" s="2"/>
      <c r="AL55" s="2" t="e">
        <f>IF(AND(Y11&gt;=$W$11,Y11&lt;=$W$11+5),0,IF($C$9&gt;$AF$51,ROUND(AI15*#REF!/(DATEVALUE(CONCATENATE("01/01/",YEAR(Z11)+1))-DATEVALUE(CONCATENATE("01/01/",YEAR(Z11))))*(Z11-Z10),2),0))</f>
        <v>#REF!</v>
      </c>
      <c r="AM55" s="34">
        <f t="shared" si="43"/>
        <v>29117</v>
      </c>
      <c r="AN55" s="57">
        <f t="shared" si="42"/>
        <v>47511</v>
      </c>
      <c r="AO55" s="130">
        <f t="shared" si="12"/>
        <v>1</v>
      </c>
      <c r="AP55" s="553">
        <f t="shared" si="28"/>
        <v>47</v>
      </c>
      <c r="AQ55" s="554">
        <f t="shared" si="13"/>
        <v>46024</v>
      </c>
      <c r="AR55" s="555">
        <f t="shared" si="40"/>
        <v>0.17899999999999999</v>
      </c>
      <c r="AS55" s="546">
        <f t="shared" si="14"/>
        <v>29117</v>
      </c>
      <c r="AT55" s="546">
        <f t="shared" si="15"/>
        <v>29117</v>
      </c>
      <c r="AU55" s="546">
        <f t="shared" si="16"/>
        <v>12813.557237713927</v>
      </c>
      <c r="AV55" s="546">
        <f t="shared" si="17"/>
        <v>16303.442762286073</v>
      </c>
      <c r="AW55" s="546">
        <f t="shared" si="4"/>
        <v>0</v>
      </c>
      <c r="AX55" s="546">
        <v>0</v>
      </c>
      <c r="AY55" s="546">
        <f t="shared" si="18"/>
        <v>12813.557237713927</v>
      </c>
      <c r="AZ55" s="546">
        <f t="shared" si="35"/>
        <v>0</v>
      </c>
      <c r="BA55" s="546">
        <f t="shared" si="34"/>
        <v>0</v>
      </c>
      <c r="BB55" s="546"/>
      <c r="BC55" s="546"/>
      <c r="BD55" s="546"/>
      <c r="BE55" s="546"/>
      <c r="BF55" s="546"/>
      <c r="BG55" s="546">
        <f t="shared" si="20"/>
        <v>826541.825171681</v>
      </c>
      <c r="BH55" s="108">
        <f t="shared" si="29"/>
        <v>38</v>
      </c>
      <c r="BI55" s="108">
        <f t="shared" si="24"/>
        <v>38</v>
      </c>
      <c r="BJ55" s="22">
        <f t="shared" si="25"/>
        <v>46024</v>
      </c>
      <c r="BK55" s="108">
        <f t="shared" si="6"/>
        <v>29910</v>
      </c>
      <c r="BL55" s="2">
        <f>IF(AND(G10&gt;=$W$11,G10&lt;=$W$11+5),0,IF($C$9&gt;$AF$51,ROUND(BG9*IF(#REF!="",0,#REF!)/(DATEVALUE(CONCATENATE("01/01/",YEAR(AQ10)+1))-DATEVALUE(CONCATENATE("01/01/",YEAR(AQ10))))*(AQ10-AQ9),2),0))</f>
        <v>0</v>
      </c>
    </row>
    <row r="56" spans="1:64" s="16" customFormat="1" ht="13.8" thickBot="1" x14ac:dyDescent="0.35">
      <c r="A56" s="178"/>
      <c r="B56" s="178"/>
      <c r="C56" s="184"/>
      <c r="D56" s="178"/>
      <c r="E56" s="178"/>
      <c r="F56" s="178"/>
      <c r="G56" s="248">
        <f t="shared" si="26"/>
        <v>48</v>
      </c>
      <c r="H56" s="581">
        <f t="shared" si="7"/>
        <v>46055</v>
      </c>
      <c r="I56" s="250">
        <f t="shared" si="30"/>
        <v>0.17899999999999999</v>
      </c>
      <c r="J56" s="252">
        <f t="shared" si="0"/>
        <v>29910</v>
      </c>
      <c r="K56" s="252">
        <f t="shared" si="21"/>
        <v>29910</v>
      </c>
      <c r="L56" s="252">
        <f t="shared" si="8"/>
        <v>12908.086365004285</v>
      </c>
      <c r="M56" s="252">
        <f t="shared" si="22"/>
        <v>17001.913634995715</v>
      </c>
      <c r="N56" s="252">
        <f t="shared" si="1"/>
        <v>0</v>
      </c>
      <c r="O56" s="252">
        <v>0</v>
      </c>
      <c r="P56" s="252">
        <f t="shared" si="23"/>
        <v>12908.086365004285</v>
      </c>
      <c r="Q56" s="252">
        <f t="shared" si="2"/>
        <v>0</v>
      </c>
      <c r="R56" s="252">
        <f t="shared" si="9"/>
        <v>0</v>
      </c>
      <c r="S56" s="252">
        <f t="shared" si="10"/>
        <v>832061.25508487527</v>
      </c>
      <c r="T56" s="468"/>
      <c r="U56" s="198">
        <f t="shared" si="27"/>
        <v>37</v>
      </c>
      <c r="V56" s="36">
        <f t="shared" si="11"/>
        <v>37</v>
      </c>
      <c r="W56" s="2" t="e">
        <f>IF(AND(G21&gt;=$W$11,G21&lt;=$W$11+5),0,IF($C$9&gt;$AF$51,ROUND(S20*#REF!/(DATEVALUE(CONCATENATE("01/01/",YEAR(H21)+1))-DATEVALUE(CONCATENATE("01/01/",YEAR(H21))))*(H21-H20),2),0))</f>
        <v>#REF!</v>
      </c>
      <c r="X56" s="34">
        <f t="shared" si="41"/>
        <v>29910</v>
      </c>
      <c r="Y56" s="57">
        <f t="shared" si="39"/>
        <v>49336</v>
      </c>
      <c r="AA56" s="171">
        <v>20000</v>
      </c>
      <c r="AB56" s="133" t="s">
        <v>135</v>
      </c>
      <c r="AC56" s="118">
        <f>ROUNDUP(AD56/AG47,0)*AG47</f>
        <v>25750</v>
      </c>
      <c r="AD56" s="13">
        <f>(C23+AI51)*AC57/12*(1+AC57/12)^(C10+AD57)/((1+AC57/12)^(C10+AD57)-1)+10*C23/100000*IF(C10+AD57&lt;24,4,IF(C10+AD57&lt;36,3,IF(C10+AD57&lt;48,2,IF(C10+AD57&lt;60,1.5,1))))*AC57/0.2</f>
        <v>25749.05009276608</v>
      </c>
      <c r="AE56" s="47">
        <f>(C23+AI51)*AG36/12*(1+AG36/12)^(C10)/((1+AG36/12)^(C10)-1)+C23/10000*IF(C10&lt;11,20,IF(C10&lt;34,0.7,IF(C10&lt;48,0.3,0)))*IF(AG36&lt;0.3,AG36/0.2,AG36/0.1)</f>
        <v>29909.689418557176</v>
      </c>
      <c r="AF56" s="13">
        <f>(D23+AI51)*AF57/12*(1+AF57/12)^(C10+AD57)/((1+AF57/12)^(C10+AD57)-1)+10*D23/100000*IF(C10+AD57&lt;24,4,IF(C10+AD57&lt;36,3,IF(C10+AD57&lt;48,2,IF(C10+AD57&lt;60,1.5,1))))*AF57/0.2</f>
        <v>25066.27684304391</v>
      </c>
      <c r="AG56" s="157">
        <f>(D23+AI51)*AE14/12*(1+AE14/12)^(C10)/((1+AE14/12)^(C10)-1)+D23/10000*IF(C10&lt;11,20,IF(C10&lt;34,0.7,IF(C10&lt;48,0.3,0)))*IF(AE14&lt;0.3,AE14/0.2,AE14/0.1)</f>
        <v>29116.590808359273</v>
      </c>
      <c r="AH56" s="2"/>
      <c r="AI56" s="2"/>
      <c r="AJ56" s="2"/>
      <c r="AK56" s="2"/>
      <c r="AL56" s="2" t="e">
        <f>IF(AND(Y12&gt;=$W$11,Y12&lt;=$W$11+5),0,IF($C$9&gt;$AF$51,ROUND(AI16*#REF!/(DATEVALUE(CONCATENATE("01/01/",YEAR(Z12)+1))-DATEVALUE(CONCATENATE("01/01/",YEAR(Z12))))*(Z12-Z11),2),0))</f>
        <v>#REF!</v>
      </c>
      <c r="AM56" s="34">
        <f t="shared" si="43"/>
        <v>29117</v>
      </c>
      <c r="AN56" s="57">
        <f t="shared" si="42"/>
        <v>47876</v>
      </c>
      <c r="AO56" s="130">
        <f t="shared" si="12"/>
        <v>1</v>
      </c>
      <c r="AP56" s="556">
        <f t="shared" si="28"/>
        <v>48</v>
      </c>
      <c r="AQ56" s="582">
        <f t="shared" si="13"/>
        <v>46055</v>
      </c>
      <c r="AR56" s="557">
        <f t="shared" si="40"/>
        <v>0.17899999999999999</v>
      </c>
      <c r="AS56" s="547">
        <f t="shared" si="14"/>
        <v>29117</v>
      </c>
      <c r="AT56" s="547">
        <f t="shared" si="15"/>
        <v>29117</v>
      </c>
      <c r="AU56" s="547">
        <f t="shared" si="16"/>
        <v>12565.700240760707</v>
      </c>
      <c r="AV56" s="547">
        <f t="shared" si="17"/>
        <v>16551.299759239293</v>
      </c>
      <c r="AW56" s="547">
        <f t="shared" si="4"/>
        <v>0</v>
      </c>
      <c r="AX56" s="547">
        <v>0</v>
      </c>
      <c r="AY56" s="547">
        <f t="shared" si="18"/>
        <v>12565.700240760707</v>
      </c>
      <c r="AZ56" s="547">
        <f t="shared" si="35"/>
        <v>0</v>
      </c>
      <c r="BA56" s="547">
        <f t="shared" si="34"/>
        <v>0</v>
      </c>
      <c r="BB56" s="547"/>
      <c r="BC56" s="547"/>
      <c r="BD56" s="547"/>
      <c r="BE56" s="547"/>
      <c r="BF56" s="547"/>
      <c r="BG56" s="547">
        <f t="shared" si="20"/>
        <v>809990.5254124417</v>
      </c>
      <c r="BH56" s="108">
        <f t="shared" si="29"/>
        <v>37</v>
      </c>
      <c r="BI56" s="108">
        <f t="shared" si="24"/>
        <v>37</v>
      </c>
      <c r="BJ56" s="22">
        <f t="shared" si="25"/>
        <v>46055</v>
      </c>
      <c r="BK56" s="108">
        <f t="shared" si="6"/>
        <v>29910</v>
      </c>
      <c r="BL56" s="2">
        <f>IF(AND(G11&gt;=$W$11,G11&lt;=$W$11+5),0,IF($C$9&gt;$AF$51,ROUND(BG10*IF(#REF!="",0,#REF!)/(DATEVALUE(CONCATENATE("01/01/",YEAR(AQ11)+1))-DATEVALUE(CONCATENATE("01/01/",YEAR(AQ11))))*(AQ11-AQ10),2),0))</f>
        <v>0</v>
      </c>
    </row>
    <row r="57" spans="1:64" s="16" customFormat="1" x14ac:dyDescent="0.3">
      <c r="A57" s="178"/>
      <c r="B57" s="178"/>
      <c r="C57" s="184"/>
      <c r="D57" s="178"/>
      <c r="E57" s="178"/>
      <c r="F57" s="178"/>
      <c r="G57" s="244">
        <f t="shared" si="26"/>
        <v>49</v>
      </c>
      <c r="H57" s="245">
        <f t="shared" si="7"/>
        <v>46083</v>
      </c>
      <c r="I57" s="246">
        <f t="shared" si="30"/>
        <v>0.17899999999999999</v>
      </c>
      <c r="J57" s="242">
        <f t="shared" si="0"/>
        <v>29910</v>
      </c>
      <c r="K57" s="242">
        <f t="shared" si="21"/>
        <v>29910</v>
      </c>
      <c r="L57" s="242">
        <f t="shared" si="8"/>
        <v>11425.454823247657</v>
      </c>
      <c r="M57" s="242">
        <f t="shared" si="22"/>
        <v>18484.545176752341</v>
      </c>
      <c r="N57" s="242">
        <f t="shared" si="1"/>
        <v>0</v>
      </c>
      <c r="O57" s="242">
        <v>0</v>
      </c>
      <c r="P57" s="242">
        <f t="shared" si="23"/>
        <v>11425.454823247657</v>
      </c>
      <c r="Q57" s="242">
        <f t="shared" si="2"/>
        <v>0</v>
      </c>
      <c r="R57" s="242">
        <f t="shared" si="9"/>
        <v>0</v>
      </c>
      <c r="S57" s="242">
        <f t="shared" si="10"/>
        <v>813576.7099081229</v>
      </c>
      <c r="T57" s="467"/>
      <c r="U57" s="198">
        <f t="shared" si="27"/>
        <v>36</v>
      </c>
      <c r="V57" s="36">
        <f t="shared" si="11"/>
        <v>36</v>
      </c>
      <c r="W57" s="2" t="e">
        <f>IF(AND(G22&gt;=$W$11,G22&lt;=$W$11+5),0,IF($C$9&gt;$AF$51,ROUND(S21*#REF!/(DATEVALUE(CONCATENATE("01/01/",YEAR(H22)+1))-DATEVALUE(CONCATENATE("01/01/",YEAR(H22))))*(H22-H21),2),0))</f>
        <v>#REF!</v>
      </c>
      <c r="X57" s="34">
        <f t="shared" si="41"/>
        <v>29910</v>
      </c>
      <c r="Y57" s="57">
        <f t="shared" si="39"/>
        <v>49701</v>
      </c>
      <c r="AA57" s="171">
        <v>200000</v>
      </c>
      <c r="AB57" s="171">
        <v>200000</v>
      </c>
      <c r="AC57" s="15">
        <f>IF(C9&gt;AH48,C11,C11+0.05)</f>
        <v>0.17899999999999999</v>
      </c>
      <c r="AD57" s="2">
        <f xml:space="preserve"> IF(C9&gt;AH48,36,24)</f>
        <v>36</v>
      </c>
      <c r="AE57" s="44">
        <f>(C23+AI51)*AG36/12*(1+AG36/12)^(C10)/((1+AG36/12)^(C10)-1)</f>
        <v>29909.689418557176</v>
      </c>
      <c r="AF57" s="15">
        <f>IF(C9&gt;AH48,D13,D13+0.05)</f>
        <v>0.17899999999999999</v>
      </c>
      <c r="AG57" s="118">
        <f>(D23+AI51)*AE14/12*(1+AE14/12)^(C10)/((1+AE14/12)^(C10)-1)</f>
        <v>29116.590808359273</v>
      </c>
      <c r="AH57" s="2"/>
      <c r="AI57" s="2"/>
      <c r="AJ57" s="2"/>
      <c r="AK57" s="2"/>
      <c r="AL57" s="2" t="e">
        <f>IF(AND(Y13&gt;=$W$11,Y13&lt;=$W$11+5),0,IF($C$9&gt;$AF$51,ROUND(AI17*#REF!/(DATEVALUE(CONCATENATE("01/01/",YEAR(Z13)+1))-DATEVALUE(CONCATENATE("01/01/",YEAR(Z13))))*(Z13-Z12),2),0))</f>
        <v>#REF!</v>
      </c>
      <c r="AM57" s="34">
        <f t="shared" si="43"/>
        <v>29117</v>
      </c>
      <c r="AN57" s="57">
        <f t="shared" si="42"/>
        <v>48241</v>
      </c>
      <c r="AO57" s="130">
        <f t="shared" si="12"/>
        <v>1</v>
      </c>
      <c r="AP57" s="553">
        <f t="shared" si="28"/>
        <v>49</v>
      </c>
      <c r="AQ57" s="554">
        <f t="shared" si="13"/>
        <v>46083</v>
      </c>
      <c r="AR57" s="555">
        <f t="shared" ref="AR57:AR108" si="44">IF($D$16="Да",$AM$40,$D$13)</f>
        <v>0.17899999999999999</v>
      </c>
      <c r="AS57" s="546">
        <f t="shared" si="14"/>
        <v>29117</v>
      </c>
      <c r="AT57" s="546">
        <f t="shared" si="15"/>
        <v>29117</v>
      </c>
      <c r="AU57" s="546">
        <f t="shared" si="16"/>
        <v>11122.390447581254</v>
      </c>
      <c r="AV57" s="546">
        <f t="shared" si="17"/>
        <v>17994.609552418748</v>
      </c>
      <c r="AW57" s="546">
        <f t="shared" si="4"/>
        <v>0</v>
      </c>
      <c r="AX57" s="546">
        <v>0</v>
      </c>
      <c r="AY57" s="546">
        <f t="shared" si="18"/>
        <v>11122.390447581254</v>
      </c>
      <c r="AZ57" s="546">
        <f t="shared" si="35"/>
        <v>0</v>
      </c>
      <c r="BA57" s="546">
        <f t="shared" si="34"/>
        <v>0</v>
      </c>
      <c r="BB57" s="546"/>
      <c r="BC57" s="546"/>
      <c r="BD57" s="546"/>
      <c r="BE57" s="546"/>
      <c r="BF57" s="546"/>
      <c r="BG57" s="546">
        <f t="shared" si="20"/>
        <v>791995.915860023</v>
      </c>
      <c r="BH57" s="108">
        <f t="shared" si="29"/>
        <v>36</v>
      </c>
      <c r="BI57" s="108">
        <f t="shared" si="24"/>
        <v>36</v>
      </c>
      <c r="BJ57" s="22">
        <f t="shared" si="25"/>
        <v>46083</v>
      </c>
      <c r="BK57" s="108">
        <f t="shared" si="6"/>
        <v>29910</v>
      </c>
      <c r="BL57" s="2">
        <f>IF(AND(G12&gt;=$W$11,G12&lt;=$W$11+5),0,IF($C$9&gt;$AF$51,ROUND(BG11*IF(#REF!="",0,#REF!)/(DATEVALUE(CONCATENATE("01/01/",YEAR(AQ12)+1))-DATEVALUE(CONCATENATE("01/01/",YEAR(AQ12))))*(AQ12-AQ11),2),0))</f>
        <v>0</v>
      </c>
    </row>
    <row r="58" spans="1:64" s="16" customFormat="1" ht="15.75" customHeight="1" x14ac:dyDescent="0.3">
      <c r="A58" s="178"/>
      <c r="B58" s="178"/>
      <c r="C58" s="184"/>
      <c r="D58" s="178"/>
      <c r="E58" s="178"/>
      <c r="F58" s="178"/>
      <c r="G58" s="244">
        <f t="shared" si="26"/>
        <v>50</v>
      </c>
      <c r="H58" s="245">
        <f t="shared" si="7"/>
        <v>46114</v>
      </c>
      <c r="I58" s="246">
        <f t="shared" si="30"/>
        <v>0.17899999999999999</v>
      </c>
      <c r="J58" s="242">
        <f t="shared" si="0"/>
        <v>29910</v>
      </c>
      <c r="K58" s="242">
        <f t="shared" si="21"/>
        <v>29910</v>
      </c>
      <c r="L58" s="242">
        <f t="shared" si="8"/>
        <v>12368.594967890887</v>
      </c>
      <c r="M58" s="242">
        <f t="shared" si="22"/>
        <v>17541.405032109113</v>
      </c>
      <c r="N58" s="242">
        <f t="shared" si="1"/>
        <v>0</v>
      </c>
      <c r="O58" s="242">
        <v>0</v>
      </c>
      <c r="P58" s="242">
        <f t="shared" si="23"/>
        <v>12368.594967890887</v>
      </c>
      <c r="Q58" s="242">
        <f t="shared" si="2"/>
        <v>0</v>
      </c>
      <c r="R58" s="242">
        <f t="shared" si="9"/>
        <v>0</v>
      </c>
      <c r="S58" s="242">
        <f t="shared" si="10"/>
        <v>796035.30487601378</v>
      </c>
      <c r="T58" s="467"/>
      <c r="U58" s="198">
        <f t="shared" si="27"/>
        <v>35</v>
      </c>
      <c r="V58" s="36">
        <f t="shared" si="11"/>
        <v>35</v>
      </c>
      <c r="W58" s="2" t="e">
        <f>IF(AND(G23&gt;=$W$11,G23&lt;=$W$11+5),0,IF($C$9&gt;$AF$51,ROUND(S22*#REF!/(DATEVALUE(CONCATENATE("01/01/",YEAR(H23)+1))-DATEVALUE(CONCATENATE("01/01/",YEAR(H23))))*(H23-H22),2),0))</f>
        <v>#REF!</v>
      </c>
      <c r="X58" s="34">
        <f t="shared" si="41"/>
        <v>29910</v>
      </c>
      <c r="Y58" s="57">
        <f t="shared" si="39"/>
        <v>50066</v>
      </c>
      <c r="AA58" s="170">
        <v>600000</v>
      </c>
      <c r="AB58" s="171">
        <v>600000</v>
      </c>
      <c r="AC58" s="2"/>
      <c r="AD58" s="2"/>
      <c r="AE58" s="2"/>
      <c r="AF58" s="2"/>
      <c r="AG58" s="2"/>
      <c r="AH58" s="2"/>
      <c r="AI58" s="2"/>
      <c r="AJ58" s="2"/>
      <c r="AK58" s="2"/>
      <c r="AL58" s="2" t="e">
        <f>IF(AND(Y14&gt;=$W$11,Y14&lt;=$W$11+5),0,IF($C$9&gt;$AF$51,ROUND(AI18*#REF!/(DATEVALUE(CONCATENATE("01/01/",YEAR(Z14)+1))-DATEVALUE(CONCATENATE("01/01/",YEAR(Z14))))*(Z14-Z13),2),0))</f>
        <v>#REF!</v>
      </c>
      <c r="AM58" s="34">
        <f t="shared" si="43"/>
        <v>29117</v>
      </c>
      <c r="AN58" s="57">
        <f t="shared" si="42"/>
        <v>48606</v>
      </c>
      <c r="AO58" s="130">
        <f t="shared" si="12"/>
        <v>1</v>
      </c>
      <c r="AP58" s="553">
        <f t="shared" si="28"/>
        <v>50</v>
      </c>
      <c r="AQ58" s="554">
        <f t="shared" si="13"/>
        <v>46114</v>
      </c>
      <c r="AR58" s="555">
        <f t="shared" si="44"/>
        <v>0.17899999999999999</v>
      </c>
      <c r="AS58" s="546">
        <f t="shared" si="14"/>
        <v>29117</v>
      </c>
      <c r="AT58" s="546">
        <f t="shared" si="15"/>
        <v>29117</v>
      </c>
      <c r="AU58" s="546">
        <f t="shared" si="16"/>
        <v>12040.507772896624</v>
      </c>
      <c r="AV58" s="546">
        <f t="shared" si="17"/>
        <v>17076.492227103376</v>
      </c>
      <c r="AW58" s="546">
        <f t="shared" si="4"/>
        <v>0</v>
      </c>
      <c r="AX58" s="546">
        <v>0</v>
      </c>
      <c r="AY58" s="546">
        <f t="shared" si="18"/>
        <v>12040.507772896624</v>
      </c>
      <c r="AZ58" s="546">
        <f t="shared" si="35"/>
        <v>0</v>
      </c>
      <c r="BA58" s="546">
        <f t="shared" si="34"/>
        <v>0</v>
      </c>
      <c r="BB58" s="546"/>
      <c r="BC58" s="546"/>
      <c r="BD58" s="546"/>
      <c r="BE58" s="546"/>
      <c r="BF58" s="546"/>
      <c r="BG58" s="546">
        <f t="shared" si="20"/>
        <v>774919.42363291967</v>
      </c>
      <c r="BH58" s="108">
        <f t="shared" si="29"/>
        <v>35</v>
      </c>
      <c r="BI58" s="108">
        <f t="shared" si="24"/>
        <v>35</v>
      </c>
      <c r="BJ58" s="22">
        <f t="shared" si="25"/>
        <v>46114</v>
      </c>
      <c r="BK58" s="108">
        <f t="shared" si="6"/>
        <v>29910</v>
      </c>
      <c r="BL58" s="2">
        <f>IF(AND(G13&gt;=$W$11,G13&lt;=$W$11+5),0,IF($C$9&gt;$AF$51,ROUND(BG12*IF(#REF!="",0,#REF!)/(DATEVALUE(CONCATENATE("01/01/",YEAR(AQ13)+1))-DATEVALUE(CONCATENATE("01/01/",YEAR(AQ13))))*(AQ13-AQ12),2),0))</f>
        <v>0</v>
      </c>
    </row>
    <row r="59" spans="1:64" s="16" customFormat="1" x14ac:dyDescent="0.3">
      <c r="A59" s="178"/>
      <c r="B59" s="178"/>
      <c r="C59" s="184"/>
      <c r="D59" s="178"/>
      <c r="E59" s="178"/>
      <c r="F59" s="178"/>
      <c r="G59" s="244">
        <f t="shared" si="26"/>
        <v>51</v>
      </c>
      <c r="H59" s="245">
        <f t="shared" si="7"/>
        <v>46144</v>
      </c>
      <c r="I59" s="246">
        <f t="shared" si="30"/>
        <v>0.17899999999999999</v>
      </c>
      <c r="J59" s="242">
        <f t="shared" si="0"/>
        <v>29910</v>
      </c>
      <c r="K59" s="242">
        <f t="shared" si="21"/>
        <v>29910</v>
      </c>
      <c r="L59" s="242">
        <f t="shared" si="8"/>
        <v>11711.533115573133</v>
      </c>
      <c r="M59" s="242">
        <f t="shared" si="22"/>
        <v>18198.466884426867</v>
      </c>
      <c r="N59" s="242">
        <f t="shared" si="1"/>
        <v>0</v>
      </c>
      <c r="O59" s="242">
        <v>0</v>
      </c>
      <c r="P59" s="242">
        <f t="shared" si="23"/>
        <v>11711.533115573133</v>
      </c>
      <c r="Q59" s="242">
        <f t="shared" si="2"/>
        <v>0</v>
      </c>
      <c r="R59" s="242">
        <f t="shared" si="9"/>
        <v>0</v>
      </c>
      <c r="S59" s="242">
        <f t="shared" si="10"/>
        <v>777836.83799158689</v>
      </c>
      <c r="T59" s="467"/>
      <c r="U59" s="198">
        <f t="shared" si="27"/>
        <v>34</v>
      </c>
      <c r="V59" s="36">
        <f t="shared" si="11"/>
        <v>34</v>
      </c>
      <c r="W59" s="2" t="e">
        <f>IF(AND(G24&gt;=$W$11,G24&lt;=$W$11+5),0,IF($C$9&gt;$AF$51,ROUND(S23*#REF!/(DATEVALUE(CONCATENATE("01/01/",YEAR(H24)+1))-DATEVALUE(CONCATENATE("01/01/",YEAR(H24))))*(H24-H23),2),0))</f>
        <v>#REF!</v>
      </c>
      <c r="X59" s="34">
        <f t="shared" si="41"/>
        <v>29910</v>
      </c>
      <c r="Y59" s="57">
        <f t="shared" si="39"/>
        <v>50431</v>
      </c>
      <c r="AA59" s="171">
        <v>1000000</v>
      </c>
      <c r="AB59" s="171">
        <v>1000000</v>
      </c>
      <c r="AC59" s="144" t="s">
        <v>330</v>
      </c>
      <c r="AD59" s="144" t="s">
        <v>111</v>
      </c>
      <c r="AE59" s="145" t="s">
        <v>114</v>
      </c>
      <c r="AF59" s="144" t="s">
        <v>367</v>
      </c>
      <c r="AG59" s="2" t="s">
        <v>35</v>
      </c>
      <c r="AH59" s="144" t="s">
        <v>118</v>
      </c>
      <c r="AI59" s="144" t="s">
        <v>119</v>
      </c>
      <c r="AJ59" s="145" t="s">
        <v>120</v>
      </c>
      <c r="AK59" s="2" t="s">
        <v>35</v>
      </c>
      <c r="AL59" s="2" t="e">
        <f>IF(AND(Y15&gt;=$W$11,Y15&lt;=$W$11+5),0,IF($C$9&gt;$AF$51,ROUND(AI19*#REF!/(DATEVALUE(CONCATENATE("01/01/",YEAR(Z15)+1))-DATEVALUE(CONCATENATE("01/01/",YEAR(Z15))))*(Z15-Z14),2),0))</f>
        <v>#REF!</v>
      </c>
      <c r="AM59" s="34">
        <f t="shared" si="43"/>
        <v>29117</v>
      </c>
      <c r="AN59" s="57">
        <f t="shared" si="42"/>
        <v>48971</v>
      </c>
      <c r="AO59" s="130">
        <f t="shared" si="12"/>
        <v>1</v>
      </c>
      <c r="AP59" s="553">
        <f t="shared" si="28"/>
        <v>51</v>
      </c>
      <c r="AQ59" s="554">
        <f t="shared" si="13"/>
        <v>46144</v>
      </c>
      <c r="AR59" s="555">
        <f t="shared" si="44"/>
        <v>0.17899999999999999</v>
      </c>
      <c r="AS59" s="546">
        <f t="shared" si="14"/>
        <v>29117</v>
      </c>
      <c r="AT59" s="546">
        <f t="shared" si="15"/>
        <v>29117</v>
      </c>
      <c r="AU59" s="546">
        <f t="shared" si="16"/>
        <v>11400.869328517201</v>
      </c>
      <c r="AV59" s="546">
        <f t="shared" si="17"/>
        <v>17716.130671482799</v>
      </c>
      <c r="AW59" s="546">
        <f t="shared" si="4"/>
        <v>0</v>
      </c>
      <c r="AX59" s="546">
        <v>0</v>
      </c>
      <c r="AY59" s="546">
        <f t="shared" si="18"/>
        <v>11400.869328517201</v>
      </c>
      <c r="AZ59" s="546">
        <f t="shared" si="35"/>
        <v>0</v>
      </c>
      <c r="BA59" s="546">
        <f t="shared" si="34"/>
        <v>0</v>
      </c>
      <c r="BB59" s="546"/>
      <c r="BC59" s="546"/>
      <c r="BD59" s="546"/>
      <c r="BE59" s="546"/>
      <c r="BF59" s="546"/>
      <c r="BG59" s="546">
        <f t="shared" si="20"/>
        <v>757203.29296143691</v>
      </c>
      <c r="BH59" s="108">
        <f t="shared" si="29"/>
        <v>34</v>
      </c>
      <c r="BI59" s="108">
        <f t="shared" si="24"/>
        <v>34</v>
      </c>
      <c r="BJ59" s="22">
        <f t="shared" si="25"/>
        <v>46144</v>
      </c>
      <c r="BK59" s="108">
        <f t="shared" si="6"/>
        <v>29910</v>
      </c>
      <c r="BL59" s="2">
        <f>IF(AND(G14&gt;=$W$11,G14&lt;=$W$11+5),0,IF($C$9&gt;$AF$51,ROUND(BG13*IF(#REF!="",0,#REF!)/(DATEVALUE(CONCATENATE("01/01/",YEAR(AQ14)+1))-DATEVALUE(CONCATENATE("01/01/",YEAR(AQ14))))*(AQ14-AQ13),2),0))</f>
        <v>0</v>
      </c>
    </row>
    <row r="60" spans="1:64" s="16" customFormat="1" x14ac:dyDescent="0.3">
      <c r="A60" s="178"/>
      <c r="B60" s="178"/>
      <c r="C60" s="525"/>
      <c r="D60" s="182"/>
      <c r="E60" s="178"/>
      <c r="F60" s="178"/>
      <c r="G60" s="244">
        <f t="shared" si="26"/>
        <v>52</v>
      </c>
      <c r="H60" s="245">
        <f t="shared" si="7"/>
        <v>46175</v>
      </c>
      <c r="I60" s="246">
        <f t="shared" si="30"/>
        <v>0.17899999999999999</v>
      </c>
      <c r="J60" s="242">
        <f t="shared" si="0"/>
        <v>29910</v>
      </c>
      <c r="K60" s="242">
        <f t="shared" si="21"/>
        <v>29910</v>
      </c>
      <c r="L60" s="242">
        <f t="shared" si="8"/>
        <v>11825.250997302235</v>
      </c>
      <c r="M60" s="242">
        <f t="shared" si="22"/>
        <v>18084.749002697765</v>
      </c>
      <c r="N60" s="242">
        <f t="shared" si="1"/>
        <v>0</v>
      </c>
      <c r="O60" s="242">
        <v>0</v>
      </c>
      <c r="P60" s="242">
        <f t="shared" si="23"/>
        <v>11825.250997302235</v>
      </c>
      <c r="Q60" s="242">
        <f t="shared" si="2"/>
        <v>0</v>
      </c>
      <c r="R60" s="242">
        <f t="shared" si="9"/>
        <v>0</v>
      </c>
      <c r="S60" s="242">
        <f t="shared" si="10"/>
        <v>759752.08898888913</v>
      </c>
      <c r="T60" s="467"/>
      <c r="U60" s="198">
        <f t="shared" si="27"/>
        <v>33</v>
      </c>
      <c r="V60" s="36">
        <f t="shared" si="11"/>
        <v>33</v>
      </c>
      <c r="W60" s="2" t="e">
        <f>IF(AND(G25&gt;=$W$11,G25&lt;=$W$11+5),0,IF($C$9&gt;$AF$51,ROUND(S24*#REF!/(DATEVALUE(CONCATENATE("01/01/",YEAR(H25)+1))-DATEVALUE(CONCATENATE("01/01/",YEAR(H25))))*(H25-H24),2),0))</f>
        <v>#REF!</v>
      </c>
      <c r="X60" s="34">
        <f t="shared" si="41"/>
        <v>29910</v>
      </c>
      <c r="Y60" s="57">
        <f t="shared" si="39"/>
        <v>50796</v>
      </c>
      <c r="AA60" s="171"/>
      <c r="AB60" s="171">
        <v>3000000</v>
      </c>
      <c r="AC60" s="133" t="s">
        <v>318</v>
      </c>
      <c r="AD60" s="155"/>
      <c r="AE60" s="155"/>
      <c r="AF60" s="155"/>
      <c r="AG60" s="155"/>
      <c r="AH60" s="155"/>
      <c r="AI60" s="155"/>
      <c r="AJ60" s="155"/>
      <c r="AK60" s="2"/>
      <c r="AL60" s="2" t="e">
        <f>IF(AND(Y16&gt;=$W$11,Y16&lt;=$W$11+5),0,IF($C$9&gt;$AF$51,ROUND(AI20*#REF!/(DATEVALUE(CONCATENATE("01/01/",YEAR(Z16)+1))-DATEVALUE(CONCATENATE("01/01/",YEAR(Z16))))*(Z16-Z15),2),0))</f>
        <v>#REF!</v>
      </c>
      <c r="AM60" s="34">
        <f t="shared" si="43"/>
        <v>29117</v>
      </c>
      <c r="AN60" s="57">
        <f t="shared" si="42"/>
        <v>49336</v>
      </c>
      <c r="AO60" s="130">
        <f t="shared" si="12"/>
        <v>1</v>
      </c>
      <c r="AP60" s="553">
        <f t="shared" si="28"/>
        <v>52</v>
      </c>
      <c r="AQ60" s="554">
        <f t="shared" si="13"/>
        <v>46175</v>
      </c>
      <c r="AR60" s="555">
        <f t="shared" si="44"/>
        <v>0.17899999999999999</v>
      </c>
      <c r="AS60" s="546">
        <f t="shared" si="14"/>
        <v>29117</v>
      </c>
      <c r="AT60" s="546">
        <f t="shared" si="15"/>
        <v>29117</v>
      </c>
      <c r="AU60" s="546">
        <f t="shared" si="16"/>
        <v>11511.564582583598</v>
      </c>
      <c r="AV60" s="546">
        <f t="shared" si="17"/>
        <v>17605.435417416404</v>
      </c>
      <c r="AW60" s="546">
        <f t="shared" si="4"/>
        <v>0</v>
      </c>
      <c r="AX60" s="546">
        <v>0</v>
      </c>
      <c r="AY60" s="546">
        <f t="shared" si="18"/>
        <v>11511.564582583598</v>
      </c>
      <c r="AZ60" s="546">
        <f t="shared" si="35"/>
        <v>0</v>
      </c>
      <c r="BA60" s="546">
        <f t="shared" si="34"/>
        <v>0</v>
      </c>
      <c r="BB60" s="546"/>
      <c r="BC60" s="546"/>
      <c r="BD60" s="546"/>
      <c r="BE60" s="546"/>
      <c r="BF60" s="546"/>
      <c r="BG60" s="546">
        <f t="shared" si="20"/>
        <v>739597.85754402052</v>
      </c>
      <c r="BH60" s="108">
        <f t="shared" si="29"/>
        <v>33</v>
      </c>
      <c r="BI60" s="108">
        <f t="shared" si="24"/>
        <v>33</v>
      </c>
      <c r="BJ60" s="22">
        <f t="shared" si="25"/>
        <v>46175</v>
      </c>
      <c r="BK60" s="108">
        <f t="shared" si="6"/>
        <v>29910</v>
      </c>
      <c r="BL60" s="2" t="e">
        <f>IF(AND(G15&gt;=$W$11,G15&lt;=$W$11+5),0,IF($C$9&gt;$AF$51,ROUND(BG14*IF(#REF!="",0,#REF!)/(DATEVALUE(CONCATENATE("01/01/",YEAR(AQ15)+1))-DATEVALUE(CONCATENATE("01/01/",YEAR(AQ15))))*(AQ15-AQ14),2),0))</f>
        <v>#REF!</v>
      </c>
    </row>
    <row r="61" spans="1:64" s="16" customFormat="1" ht="15.75" customHeight="1" x14ac:dyDescent="0.3">
      <c r="A61" s="178"/>
      <c r="B61" s="178"/>
      <c r="C61" s="184"/>
      <c r="D61" s="182"/>
      <c r="E61" s="178"/>
      <c r="F61" s="178"/>
      <c r="G61" s="244">
        <f t="shared" si="26"/>
        <v>53</v>
      </c>
      <c r="H61" s="245">
        <f t="shared" si="7"/>
        <v>46205</v>
      </c>
      <c r="I61" s="246">
        <f t="shared" si="30"/>
        <v>0.17899999999999999</v>
      </c>
      <c r="J61" s="242">
        <f t="shared" si="0"/>
        <v>29910</v>
      </c>
      <c r="K61" s="242">
        <f t="shared" si="21"/>
        <v>29910</v>
      </c>
      <c r="L61" s="242">
        <f t="shared" si="8"/>
        <v>11177.722514713245</v>
      </c>
      <c r="M61" s="242">
        <f t="shared" si="22"/>
        <v>18732.277485286755</v>
      </c>
      <c r="N61" s="242">
        <f t="shared" si="1"/>
        <v>0</v>
      </c>
      <c r="O61" s="242">
        <v>0</v>
      </c>
      <c r="P61" s="242">
        <f t="shared" si="23"/>
        <v>11177.722514713245</v>
      </c>
      <c r="Q61" s="242">
        <f t="shared" si="2"/>
        <v>0</v>
      </c>
      <c r="R61" s="242">
        <f t="shared" si="9"/>
        <v>0</v>
      </c>
      <c r="S61" s="242">
        <f t="shared" si="10"/>
        <v>741019.81150360242</v>
      </c>
      <c r="T61" s="467"/>
      <c r="U61" s="198">
        <f t="shared" si="27"/>
        <v>32</v>
      </c>
      <c r="V61" s="36">
        <f t="shared" si="11"/>
        <v>32</v>
      </c>
      <c r="W61" s="2" t="e">
        <f>IF(AND(G26&gt;=$W$11,G26&lt;=$W$11+5),0,IF($C$9&gt;$AF$51,ROUND(S25*#REF!/(DATEVALUE(CONCATENATE("01/01/",YEAR(H26)+1))-DATEVALUE(CONCATENATE("01/01/",YEAR(H26))))*(H26-H25),2),0))</f>
        <v>#REF!</v>
      </c>
      <c r="X61" s="34">
        <f t="shared" si="41"/>
        <v>29910</v>
      </c>
      <c r="Y61" s="57">
        <f t="shared" si="39"/>
        <v>51161</v>
      </c>
      <c r="AB61" s="172"/>
      <c r="AC61" s="133">
        <v>3.5000000000000001E-3</v>
      </c>
      <c r="AD61" s="133">
        <v>3.5000000000000001E-3</v>
      </c>
      <c r="AE61" s="133">
        <v>2.5000000000000001E-3</v>
      </c>
      <c r="AF61" s="133">
        <v>3.5000000000000001E-3</v>
      </c>
      <c r="AG61" s="133">
        <v>0</v>
      </c>
      <c r="AH61" s="133">
        <v>1E-3</v>
      </c>
      <c r="AI61" s="133">
        <v>4.0000000000000001E-3</v>
      </c>
      <c r="AJ61" s="133">
        <v>0</v>
      </c>
      <c r="AK61" s="2"/>
      <c r="AL61" s="2" t="e">
        <f>IF(AND(Y17&gt;=$W$11,Y17&lt;=$W$11+5),0,IF($C$9&gt;$AF$51,ROUND(AI21*#REF!/(DATEVALUE(CONCATENATE("01/01/",YEAR(Z17)+1))-DATEVALUE(CONCATENATE("01/01/",YEAR(Z17))))*(Z17-Z16),2),0))</f>
        <v>#REF!</v>
      </c>
      <c r="AM61" s="34">
        <f t="shared" si="43"/>
        <v>29117</v>
      </c>
      <c r="AN61" s="57">
        <f t="shared" si="42"/>
        <v>49701</v>
      </c>
      <c r="AO61" s="130">
        <f t="shared" si="12"/>
        <v>1</v>
      </c>
      <c r="AP61" s="553">
        <f t="shared" si="28"/>
        <v>53</v>
      </c>
      <c r="AQ61" s="554">
        <f t="shared" si="13"/>
        <v>46205</v>
      </c>
      <c r="AR61" s="555">
        <f t="shared" si="44"/>
        <v>0.17899999999999999</v>
      </c>
      <c r="AS61" s="546">
        <f t="shared" si="14"/>
        <v>29117</v>
      </c>
      <c r="AT61" s="546">
        <f t="shared" si="15"/>
        <v>29117</v>
      </c>
      <c r="AU61" s="546">
        <f t="shared" si="16"/>
        <v>10881.206835647643</v>
      </c>
      <c r="AV61" s="546">
        <f t="shared" si="17"/>
        <v>18235.793164352355</v>
      </c>
      <c r="AW61" s="546">
        <f t="shared" si="4"/>
        <v>0</v>
      </c>
      <c r="AX61" s="546">
        <v>0</v>
      </c>
      <c r="AY61" s="546">
        <f t="shared" si="18"/>
        <v>10881.206835647643</v>
      </c>
      <c r="AZ61" s="546">
        <f t="shared" si="35"/>
        <v>0</v>
      </c>
      <c r="BA61" s="546">
        <f t="shared" si="34"/>
        <v>0</v>
      </c>
      <c r="BB61" s="546"/>
      <c r="BC61" s="546"/>
      <c r="BD61" s="546"/>
      <c r="BE61" s="546"/>
      <c r="BF61" s="546"/>
      <c r="BG61" s="546">
        <f t="shared" si="20"/>
        <v>721362.06437966821</v>
      </c>
      <c r="BH61" s="108">
        <f t="shared" si="29"/>
        <v>32</v>
      </c>
      <c r="BI61" s="108">
        <f t="shared" si="24"/>
        <v>32</v>
      </c>
      <c r="BJ61" s="22">
        <f t="shared" si="25"/>
        <v>46205</v>
      </c>
      <c r="BK61" s="108">
        <f t="shared" si="6"/>
        <v>29910</v>
      </c>
      <c r="BL61" s="2" t="e">
        <f>IF(AND(G16&gt;=$W$11,G16&lt;=$W$11+5),0,IF($C$9&gt;$AF$51,ROUND(BG15*IF(#REF!="",0,#REF!)/(DATEVALUE(CONCATENATE("01/01/",YEAR(AQ16)+1))-DATEVALUE(CONCATENATE("01/01/",YEAR(AQ16))))*(AQ16-AQ15),2),0))</f>
        <v>#REF!</v>
      </c>
    </row>
    <row r="62" spans="1:64" s="16" customFormat="1" x14ac:dyDescent="0.3">
      <c r="A62" s="178"/>
      <c r="B62" s="178"/>
      <c r="C62" s="184"/>
      <c r="D62" s="178"/>
      <c r="E62" s="178"/>
      <c r="F62" s="178"/>
      <c r="G62" s="244">
        <f t="shared" si="26"/>
        <v>54</v>
      </c>
      <c r="H62" s="245">
        <f t="shared" si="7"/>
        <v>46236</v>
      </c>
      <c r="I62" s="246">
        <f t="shared" si="30"/>
        <v>0.17899999999999999</v>
      </c>
      <c r="J62" s="242">
        <f t="shared" si="0"/>
        <v>29910</v>
      </c>
      <c r="K62" s="242">
        <f t="shared" si="21"/>
        <v>29910</v>
      </c>
      <c r="L62" s="242">
        <f t="shared" si="8"/>
        <v>11265.531326119151</v>
      </c>
      <c r="M62" s="242">
        <f t="shared" si="22"/>
        <v>18644.468673880849</v>
      </c>
      <c r="N62" s="242">
        <f t="shared" si="1"/>
        <v>0</v>
      </c>
      <c r="O62" s="242">
        <v>0</v>
      </c>
      <c r="P62" s="242">
        <f t="shared" si="23"/>
        <v>11265.531326119151</v>
      </c>
      <c r="Q62" s="242">
        <f t="shared" si="2"/>
        <v>0</v>
      </c>
      <c r="R62" s="242">
        <f t="shared" si="9"/>
        <v>0</v>
      </c>
      <c r="S62" s="242">
        <f t="shared" si="10"/>
        <v>722375.34282972163</v>
      </c>
      <c r="T62" s="467"/>
      <c r="U62" s="198">
        <f t="shared" si="27"/>
        <v>31</v>
      </c>
      <c r="V62" s="36">
        <f t="shared" si="11"/>
        <v>31</v>
      </c>
      <c r="W62" s="2" t="e">
        <f>IF(AND(G27&gt;=$W$11,G27&lt;=$W$11+5),0,IF($C$9&gt;$AF$51,ROUND(S26*#REF!/(DATEVALUE(CONCATENATE("01/01/",YEAR(H27)+1))-DATEVALUE(CONCATENATE("01/01/",YEAR(H27))))*(H27-H26),2),0))</f>
        <v>#REF!</v>
      </c>
      <c r="X62" s="34">
        <f t="shared" si="41"/>
        <v>29910</v>
      </c>
      <c r="Y62" s="57">
        <f t="shared" si="39"/>
        <v>51526</v>
      </c>
      <c r="AC62" s="133">
        <v>3.0000000000000001E-3</v>
      </c>
      <c r="AD62" s="133">
        <v>3.0000000000000001E-3</v>
      </c>
      <c r="AE62" s="133">
        <v>2.5000000000000001E-3</v>
      </c>
      <c r="AF62" s="133">
        <v>3.0000000000000001E-3</v>
      </c>
      <c r="AG62" s="133">
        <v>0</v>
      </c>
      <c r="AH62" s="133">
        <v>1E-3</v>
      </c>
      <c r="AI62" s="133">
        <v>4.0000000000000001E-3</v>
      </c>
      <c r="AJ62" s="133">
        <v>0</v>
      </c>
      <c r="AK62" s="2"/>
      <c r="AL62" s="2" t="e">
        <f>IF(AND(Y18&gt;=$W$11,Y18&lt;=$W$11+5),0,IF($C$9&gt;$AF$51,ROUND(AI22*#REF!/(DATEVALUE(CONCATENATE("01/01/",YEAR(Z18)+1))-DATEVALUE(CONCATENATE("01/01/",YEAR(Z18))))*(Z18-Z17),2),0))</f>
        <v>#REF!</v>
      </c>
      <c r="AM62" s="34">
        <f t="shared" si="43"/>
        <v>29117</v>
      </c>
      <c r="AN62" s="57">
        <f t="shared" si="42"/>
        <v>50066</v>
      </c>
      <c r="AO62" s="130">
        <f t="shared" si="12"/>
        <v>1</v>
      </c>
      <c r="AP62" s="553">
        <f t="shared" si="28"/>
        <v>54</v>
      </c>
      <c r="AQ62" s="554">
        <f t="shared" si="13"/>
        <v>46236</v>
      </c>
      <c r="AR62" s="555">
        <f t="shared" si="44"/>
        <v>0.17899999999999999</v>
      </c>
      <c r="AS62" s="546">
        <f t="shared" si="14"/>
        <v>29117</v>
      </c>
      <c r="AT62" s="546">
        <f t="shared" si="15"/>
        <v>29117</v>
      </c>
      <c r="AU62" s="546">
        <f t="shared" si="16"/>
        <v>10966.679712993915</v>
      </c>
      <c r="AV62" s="546">
        <f t="shared" si="17"/>
        <v>18150.320287006085</v>
      </c>
      <c r="AW62" s="546">
        <f t="shared" si="4"/>
        <v>0</v>
      </c>
      <c r="AX62" s="546">
        <v>0</v>
      </c>
      <c r="AY62" s="546">
        <f t="shared" si="18"/>
        <v>10966.679712993915</v>
      </c>
      <c r="AZ62" s="546">
        <f t="shared" si="35"/>
        <v>0</v>
      </c>
      <c r="BA62" s="546">
        <f t="shared" si="34"/>
        <v>0</v>
      </c>
      <c r="BB62" s="546"/>
      <c r="BC62" s="546"/>
      <c r="BD62" s="546"/>
      <c r="BE62" s="546"/>
      <c r="BF62" s="546"/>
      <c r="BG62" s="546">
        <f t="shared" si="20"/>
        <v>703211.74409266212</v>
      </c>
      <c r="BH62" s="108">
        <f t="shared" si="29"/>
        <v>31</v>
      </c>
      <c r="BI62" s="108">
        <f t="shared" si="24"/>
        <v>31</v>
      </c>
      <c r="BJ62" s="22">
        <f t="shared" si="25"/>
        <v>46236</v>
      </c>
      <c r="BK62" s="108">
        <f t="shared" si="6"/>
        <v>29910</v>
      </c>
      <c r="BL62" s="2" t="e">
        <f>IF(AND(G17&gt;=$W$11,G17&lt;=$W$11+5),0,IF($C$9&gt;$AF$51,ROUND(BG16*IF(#REF!="",0,#REF!)/(DATEVALUE(CONCATENATE("01/01/",YEAR(AQ17)+1))-DATEVALUE(CONCATENATE("01/01/",YEAR(AQ17))))*(AQ17-AQ16),2),0))</f>
        <v>#REF!</v>
      </c>
    </row>
    <row r="63" spans="1:64" s="16" customFormat="1" x14ac:dyDescent="0.3">
      <c r="A63" s="178"/>
      <c r="B63" s="178"/>
      <c r="C63" s="184"/>
      <c r="D63" s="178"/>
      <c r="E63" s="178"/>
      <c r="F63" s="178"/>
      <c r="G63" s="244">
        <f t="shared" si="26"/>
        <v>55</v>
      </c>
      <c r="H63" s="245">
        <f t="shared" si="7"/>
        <v>46267</v>
      </c>
      <c r="I63" s="246">
        <f t="shared" si="30"/>
        <v>0.17899999999999999</v>
      </c>
      <c r="J63" s="242">
        <f t="shared" si="0"/>
        <v>29910</v>
      </c>
      <c r="K63" s="242">
        <f t="shared" si="21"/>
        <v>29910</v>
      </c>
      <c r="L63" s="242">
        <f t="shared" si="8"/>
        <v>10982.084321540069</v>
      </c>
      <c r="M63" s="242">
        <f t="shared" si="22"/>
        <v>18927.915678459933</v>
      </c>
      <c r="N63" s="242">
        <f t="shared" si="1"/>
        <v>0</v>
      </c>
      <c r="O63" s="242">
        <v>0</v>
      </c>
      <c r="P63" s="242">
        <f t="shared" si="23"/>
        <v>10982.084321540069</v>
      </c>
      <c r="Q63" s="242">
        <f t="shared" si="2"/>
        <v>0</v>
      </c>
      <c r="R63" s="242">
        <f t="shared" si="9"/>
        <v>0</v>
      </c>
      <c r="S63" s="242">
        <f t="shared" si="10"/>
        <v>703447.42715126171</v>
      </c>
      <c r="T63" s="467"/>
      <c r="U63" s="198">
        <f t="shared" si="27"/>
        <v>30</v>
      </c>
      <c r="V63" s="36">
        <f t="shared" si="11"/>
        <v>30</v>
      </c>
      <c r="W63" s="2" t="e">
        <f>IF(AND(G28&gt;=$W$11,G28&lt;=$W$11+5),0,IF($C$9&gt;$AF$51,ROUND(S27*#REF!/(DATEVALUE(CONCATENATE("01/01/",YEAR(H28)+1))-DATEVALUE(CONCATENATE("01/01/",YEAR(H28))))*(H28-H27),2),0))</f>
        <v>#REF!</v>
      </c>
      <c r="X63" s="34">
        <f t="shared" si="41"/>
        <v>29910</v>
      </c>
      <c r="Y63" s="57">
        <f t="shared" si="39"/>
        <v>51891</v>
      </c>
      <c r="AC63" s="133">
        <v>2.5000000000000001E-3</v>
      </c>
      <c r="AD63" s="133">
        <v>2.5000000000000001E-3</v>
      </c>
      <c r="AE63" s="133">
        <v>2.5000000000000001E-3</v>
      </c>
      <c r="AF63" s="133">
        <v>2.5000000000000001E-3</v>
      </c>
      <c r="AG63" s="133">
        <v>0</v>
      </c>
      <c r="AH63" s="133">
        <v>1E-3</v>
      </c>
      <c r="AI63" s="133">
        <v>3.2000000000000002E-3</v>
      </c>
      <c r="AJ63" s="133">
        <v>0</v>
      </c>
      <c r="AL63" s="2" t="e">
        <f>IF(AND(Y19&gt;=$W$11,Y19&lt;=$W$11+5),0,IF($C$9&gt;$AF$51,ROUND(AI23*#REF!/(DATEVALUE(CONCATENATE("01/01/",YEAR(Z19)+1))-DATEVALUE(CONCATENATE("01/01/",YEAR(Z19))))*(Z19-Z18),2),0))</f>
        <v>#REF!</v>
      </c>
      <c r="AM63" s="34">
        <f t="shared" si="43"/>
        <v>29117</v>
      </c>
      <c r="AN63" s="57">
        <f t="shared" si="42"/>
        <v>50431</v>
      </c>
      <c r="AO63" s="130">
        <f t="shared" si="12"/>
        <v>1</v>
      </c>
      <c r="AP63" s="553">
        <f t="shared" si="28"/>
        <v>55</v>
      </c>
      <c r="AQ63" s="554">
        <f t="shared" si="13"/>
        <v>46267</v>
      </c>
      <c r="AR63" s="555">
        <f t="shared" si="44"/>
        <v>0.17899999999999999</v>
      </c>
      <c r="AS63" s="546">
        <f t="shared" si="14"/>
        <v>29117</v>
      </c>
      <c r="AT63" s="546">
        <f t="shared" si="15"/>
        <v>29117</v>
      </c>
      <c r="AU63" s="546">
        <f t="shared" si="16"/>
        <v>10690.745117726527</v>
      </c>
      <c r="AV63" s="546">
        <f t="shared" si="17"/>
        <v>18426.254882273475</v>
      </c>
      <c r="AW63" s="546">
        <f t="shared" si="4"/>
        <v>0</v>
      </c>
      <c r="AX63" s="546">
        <v>0</v>
      </c>
      <c r="AY63" s="546">
        <f t="shared" si="18"/>
        <v>10690.745117726527</v>
      </c>
      <c r="AZ63" s="546">
        <f t="shared" si="35"/>
        <v>0</v>
      </c>
      <c r="BA63" s="546">
        <f t="shared" si="34"/>
        <v>0</v>
      </c>
      <c r="BB63" s="546"/>
      <c r="BC63" s="546"/>
      <c r="BD63" s="546"/>
      <c r="BE63" s="546"/>
      <c r="BF63" s="546"/>
      <c r="BG63" s="546">
        <f t="shared" si="20"/>
        <v>684785.48921038862</v>
      </c>
      <c r="BH63" s="108">
        <f t="shared" si="29"/>
        <v>30</v>
      </c>
      <c r="BI63" s="108">
        <f t="shared" si="24"/>
        <v>30</v>
      </c>
      <c r="BJ63" s="22">
        <f t="shared" si="25"/>
        <v>46267</v>
      </c>
      <c r="BK63" s="108">
        <f t="shared" si="6"/>
        <v>29910</v>
      </c>
      <c r="BL63" s="2" t="e">
        <f>IF(AND(G18&gt;=$W$11,G18&lt;=$W$11+5),0,IF($C$9&gt;$AF$51,ROUND(BG17*IF(#REF!="",0,#REF!)/(DATEVALUE(CONCATENATE("01/01/",YEAR(AQ18)+1))-DATEVALUE(CONCATENATE("01/01/",YEAR(AQ18))))*(AQ18-AQ17),2),0))</f>
        <v>#REF!</v>
      </c>
    </row>
    <row r="64" spans="1:64" s="16" customFormat="1" x14ac:dyDescent="0.3">
      <c r="A64" s="178"/>
      <c r="B64" s="178"/>
      <c r="C64" s="184"/>
      <c r="D64" s="178"/>
      <c r="E64" s="178"/>
      <c r="F64" s="178"/>
      <c r="G64" s="244">
        <f t="shared" si="26"/>
        <v>56</v>
      </c>
      <c r="H64" s="245">
        <f t="shared" si="7"/>
        <v>46297</v>
      </c>
      <c r="I64" s="246">
        <f t="shared" si="30"/>
        <v>0.17899999999999999</v>
      </c>
      <c r="J64" s="242">
        <f t="shared" si="0"/>
        <v>29910</v>
      </c>
      <c r="K64" s="242">
        <f t="shared" si="21"/>
        <v>29910</v>
      </c>
      <c r="L64" s="242">
        <f t="shared" si="8"/>
        <v>10349.34981863637</v>
      </c>
      <c r="M64" s="242">
        <f t="shared" si="22"/>
        <v>19560.650181363628</v>
      </c>
      <c r="N64" s="242">
        <f t="shared" si="1"/>
        <v>0</v>
      </c>
      <c r="O64" s="242">
        <v>0</v>
      </c>
      <c r="P64" s="242">
        <f t="shared" si="23"/>
        <v>10349.34981863637</v>
      </c>
      <c r="Q64" s="242">
        <f t="shared" si="2"/>
        <v>0</v>
      </c>
      <c r="R64" s="242">
        <f t="shared" si="9"/>
        <v>0</v>
      </c>
      <c r="S64" s="242">
        <f t="shared" si="10"/>
        <v>683886.77696989803</v>
      </c>
      <c r="T64" s="467"/>
      <c r="U64" s="198">
        <f t="shared" si="27"/>
        <v>29</v>
      </c>
      <c r="V64" s="36">
        <f t="shared" si="11"/>
        <v>29</v>
      </c>
      <c r="W64" s="2" t="e">
        <f>IF(AND(G29&gt;=$W$11,G29&lt;=$W$11+5),0,IF($C$9&gt;$AF$51,ROUND(S28*#REF!/(DATEVALUE(CONCATENATE("01/01/",YEAR(H29)+1))-DATEVALUE(CONCATENATE("01/01/",YEAR(H29))))*(H29-H28),2),0))</f>
        <v>#REF!</v>
      </c>
      <c r="X64" s="34">
        <f t="shared" si="41"/>
        <v>29910</v>
      </c>
      <c r="Y64" s="57">
        <f t="shared" si="39"/>
        <v>52256</v>
      </c>
      <c r="AC64" s="133">
        <v>2E-3</v>
      </c>
      <c r="AD64" s="133">
        <v>2E-3</v>
      </c>
      <c r="AE64" s="155"/>
      <c r="AF64" s="133">
        <v>2E-3</v>
      </c>
      <c r="AG64" s="133">
        <v>0</v>
      </c>
      <c r="AH64" s="133">
        <v>1E-3</v>
      </c>
      <c r="AI64" s="133">
        <v>2E-3</v>
      </c>
      <c r="AJ64" s="133">
        <v>0</v>
      </c>
      <c r="AL64" s="2" t="e">
        <f>IF(AND(Y20&gt;=$W$11,Y20&lt;=$W$11+5),0,IF($C$9&gt;$AF$51,ROUND(AI24*#REF!/(DATEVALUE(CONCATENATE("01/01/",YEAR(Z20)+1))-DATEVALUE(CONCATENATE("01/01/",YEAR(Z20))))*(Z20-Z19),2),0))</f>
        <v>#REF!</v>
      </c>
      <c r="AM64" s="34">
        <f t="shared" si="43"/>
        <v>29117</v>
      </c>
      <c r="AN64" s="57">
        <f t="shared" si="42"/>
        <v>50796</v>
      </c>
      <c r="AO64" s="130">
        <f t="shared" si="12"/>
        <v>1</v>
      </c>
      <c r="AP64" s="553">
        <f t="shared" si="28"/>
        <v>56</v>
      </c>
      <c r="AQ64" s="554">
        <f t="shared" si="13"/>
        <v>46297</v>
      </c>
      <c r="AR64" s="555">
        <f t="shared" si="44"/>
        <v>0.17899999999999999</v>
      </c>
      <c r="AS64" s="546">
        <f t="shared" si="14"/>
        <v>29117</v>
      </c>
      <c r="AT64" s="546">
        <f t="shared" si="15"/>
        <v>29117</v>
      </c>
      <c r="AU64" s="546">
        <f t="shared" si="16"/>
        <v>10074.789252218594</v>
      </c>
      <c r="AV64" s="546">
        <f t="shared" si="17"/>
        <v>19042.210747781406</v>
      </c>
      <c r="AW64" s="546">
        <f t="shared" si="4"/>
        <v>0</v>
      </c>
      <c r="AX64" s="546">
        <v>0</v>
      </c>
      <c r="AY64" s="546">
        <f t="shared" si="18"/>
        <v>10074.789252218594</v>
      </c>
      <c r="AZ64" s="546">
        <f t="shared" si="35"/>
        <v>0</v>
      </c>
      <c r="BA64" s="546">
        <f t="shared" si="34"/>
        <v>0</v>
      </c>
      <c r="BB64" s="546"/>
      <c r="BC64" s="546"/>
      <c r="BD64" s="546"/>
      <c r="BE64" s="546"/>
      <c r="BF64" s="546"/>
      <c r="BG64" s="546">
        <f t="shared" si="20"/>
        <v>665743.27846260718</v>
      </c>
      <c r="BH64" s="108">
        <f t="shared" si="29"/>
        <v>29</v>
      </c>
      <c r="BI64" s="108">
        <f t="shared" si="24"/>
        <v>29</v>
      </c>
      <c r="BJ64" s="22">
        <f t="shared" si="25"/>
        <v>46297</v>
      </c>
      <c r="BK64" s="108">
        <f t="shared" si="6"/>
        <v>29910</v>
      </c>
      <c r="BL64" s="2" t="e">
        <f>IF(AND(G19&gt;=$W$11,G19&lt;=$W$11+5),0,IF($C$9&gt;$AF$51,ROUND(BG18*IF(#REF!="",0,#REF!)/(DATEVALUE(CONCATENATE("01/01/",YEAR(AQ19)+1))-DATEVALUE(CONCATENATE("01/01/",YEAR(AQ19))))*(AQ19-AQ18),2),0))</f>
        <v>#REF!</v>
      </c>
    </row>
    <row r="65" spans="1:64" s="16" customFormat="1" x14ac:dyDescent="0.3">
      <c r="A65" s="178"/>
      <c r="B65" s="178"/>
      <c r="C65" s="184"/>
      <c r="D65" s="178"/>
      <c r="E65" s="178"/>
      <c r="F65" s="178"/>
      <c r="G65" s="244">
        <f t="shared" si="26"/>
        <v>57</v>
      </c>
      <c r="H65" s="245">
        <f t="shared" si="7"/>
        <v>46328</v>
      </c>
      <c r="I65" s="246">
        <f t="shared" si="30"/>
        <v>0.17899999999999999</v>
      </c>
      <c r="J65" s="242">
        <f t="shared" si="0"/>
        <v>29910</v>
      </c>
      <c r="K65" s="242">
        <f t="shared" si="21"/>
        <v>29910</v>
      </c>
      <c r="L65" s="242">
        <f t="shared" si="8"/>
        <v>10396.952672345107</v>
      </c>
      <c r="M65" s="242">
        <f t="shared" si="22"/>
        <v>19513.047327654895</v>
      </c>
      <c r="N65" s="242">
        <f t="shared" si="1"/>
        <v>0</v>
      </c>
      <c r="O65" s="242">
        <v>0</v>
      </c>
      <c r="P65" s="242">
        <f t="shared" si="23"/>
        <v>10396.952672345107</v>
      </c>
      <c r="Q65" s="242">
        <f t="shared" si="2"/>
        <v>0</v>
      </c>
      <c r="R65" s="242">
        <f t="shared" si="9"/>
        <v>0</v>
      </c>
      <c r="S65" s="242">
        <f t="shared" si="10"/>
        <v>664373.72964224312</v>
      </c>
      <c r="T65" s="467"/>
      <c r="U65" s="198">
        <f t="shared" si="27"/>
        <v>28</v>
      </c>
      <c r="V65" s="36">
        <f t="shared" si="11"/>
        <v>28</v>
      </c>
      <c r="W65" s="2" t="e">
        <f>IF(AND(G30&gt;=$W$11,G30&lt;=$W$11+5),0,IF($C$9&gt;$AF$51,ROUND(S29*#REF!/(DATEVALUE(CONCATENATE("01/01/",YEAR(H30)+1))-DATEVALUE(CONCATENATE("01/01/",YEAR(H30))))*(H30-H29),2),0))</f>
        <v>#REF!</v>
      </c>
      <c r="X65" s="34">
        <f t="shared" si="41"/>
        <v>29910</v>
      </c>
      <c r="Y65" s="57">
        <f t="shared" si="39"/>
        <v>52621</v>
      </c>
      <c r="AB65" s="2"/>
      <c r="AC65" s="66">
        <f>IF(AC79&gt;$AA$59,AC64,IF(AC79&gt;$AA$58,AC63,IF(AC79&gt;$AA$57,AC62,AC61)))</f>
        <v>2E-3</v>
      </c>
      <c r="AD65" s="66">
        <f>IF(AD79&gt;$AA$59,AD64,IF(AD79&gt;$AA$58,AD63,IF(AD79&gt;$AA$57,AD62,AD61)))</f>
        <v>2E-3</v>
      </c>
      <c r="AE65" s="66">
        <f>IF(AE79&gt;$AA$59,AE64,IF(AE79&gt;$AA$58,AE63,IF(AE79&gt;$AA$57,AE62,AE61)))</f>
        <v>0</v>
      </c>
      <c r="AF65" s="66">
        <f>IF(AF79&gt;1000000,AF64,IF(AF79&gt;500000,AF63,IF(AF79&gt;200000,AF62,AF61)))</f>
        <v>2E-3</v>
      </c>
      <c r="AG65" s="66">
        <f>IF(AG79&gt;$AA$59,AG64,IF(AG79&gt;$AA$58,AG63,IF(AG79&gt;$AA$57,AG62,AG61)))</f>
        <v>0</v>
      </c>
      <c r="AH65" s="66">
        <f>IF(AH79&gt;$AA$59,AH64,IF(AH79&gt;$AA$58,AH63,IF(AH79&gt;$AA$57,AH62,AH61)))</f>
        <v>1E-3</v>
      </c>
      <c r="AI65" s="66">
        <f t="shared" ref="AI65" si="45">IF(AI79&gt;$AA$59,AI64,IF(AI79&gt;$AA$58,AI63,IF(AI79&gt;$AA$57,AI62,AI61)))</f>
        <v>2E-3</v>
      </c>
      <c r="AJ65" s="15" t="s">
        <v>126</v>
      </c>
      <c r="AL65" s="2" t="e">
        <f>IF(AND(Y21&gt;=$W$11,Y21&lt;=$W$11+5),0,IF($C$9&gt;$AF$51,ROUND(AI25*#REF!/(DATEVALUE(CONCATENATE("01/01/",YEAR(Z21)+1))-DATEVALUE(CONCATENATE("01/01/",YEAR(Z21))))*(Z21-Z20),2),0))</f>
        <v>#REF!</v>
      </c>
      <c r="AM65" s="34">
        <f t="shared" si="43"/>
        <v>29117</v>
      </c>
      <c r="AN65" s="57">
        <f t="shared" si="42"/>
        <v>51161</v>
      </c>
      <c r="AO65" s="130">
        <f t="shared" si="12"/>
        <v>1</v>
      </c>
      <c r="AP65" s="553">
        <f t="shared" si="28"/>
        <v>57</v>
      </c>
      <c r="AQ65" s="554">
        <f t="shared" si="13"/>
        <v>46328</v>
      </c>
      <c r="AR65" s="555">
        <f t="shared" si="44"/>
        <v>0.17899999999999999</v>
      </c>
      <c r="AS65" s="546">
        <f t="shared" si="14"/>
        <v>29117</v>
      </c>
      <c r="AT65" s="546">
        <f t="shared" si="15"/>
        <v>29117</v>
      </c>
      <c r="AU65" s="546">
        <f t="shared" si="16"/>
        <v>10121.121786819198</v>
      </c>
      <c r="AV65" s="546">
        <f t="shared" si="17"/>
        <v>18995.878213180804</v>
      </c>
      <c r="AW65" s="546">
        <f t="shared" si="4"/>
        <v>0</v>
      </c>
      <c r="AX65" s="546">
        <v>0</v>
      </c>
      <c r="AY65" s="546">
        <f t="shared" si="18"/>
        <v>10121.121786819198</v>
      </c>
      <c r="AZ65" s="546">
        <f t="shared" si="35"/>
        <v>0</v>
      </c>
      <c r="BA65" s="546">
        <f t="shared" si="34"/>
        <v>0</v>
      </c>
      <c r="BB65" s="546"/>
      <c r="BC65" s="546"/>
      <c r="BD65" s="546"/>
      <c r="BE65" s="546"/>
      <c r="BF65" s="546"/>
      <c r="BG65" s="546">
        <f t="shared" si="20"/>
        <v>646747.40024942637</v>
      </c>
      <c r="BH65" s="108">
        <f t="shared" si="29"/>
        <v>28</v>
      </c>
      <c r="BI65" s="108">
        <f t="shared" si="24"/>
        <v>28</v>
      </c>
      <c r="BJ65" s="22">
        <f t="shared" si="25"/>
        <v>46328</v>
      </c>
      <c r="BK65" s="108">
        <f t="shared" si="6"/>
        <v>29910</v>
      </c>
      <c r="BL65" s="2" t="e">
        <f>IF(AND(G20&gt;=$W$11,G20&lt;=$W$11+5),0,IF($C$9&gt;$AF$51,ROUND(BG19*IF(#REF!="",0,#REF!)/(DATEVALUE(CONCATENATE("01/01/",YEAR(AQ20)+1))-DATEVALUE(CONCATENATE("01/01/",YEAR(AQ20))))*(AQ20-AQ19),2),0))</f>
        <v>#REF!</v>
      </c>
    </row>
    <row r="66" spans="1:64" s="16" customFormat="1" x14ac:dyDescent="0.3">
      <c r="A66" s="178"/>
      <c r="B66" s="178"/>
      <c r="C66" s="184"/>
      <c r="D66" s="178"/>
      <c r="E66" s="178"/>
      <c r="F66" s="178"/>
      <c r="G66" s="244">
        <f t="shared" si="26"/>
        <v>58</v>
      </c>
      <c r="H66" s="245">
        <f t="shared" si="7"/>
        <v>46358</v>
      </c>
      <c r="I66" s="246">
        <f t="shared" si="30"/>
        <v>0.17899999999999999</v>
      </c>
      <c r="J66" s="242">
        <f t="shared" si="0"/>
        <v>29910</v>
      </c>
      <c r="K66" s="242">
        <f t="shared" si="21"/>
        <v>29910</v>
      </c>
      <c r="L66" s="242">
        <f t="shared" si="8"/>
        <v>9774.484734736563</v>
      </c>
      <c r="M66" s="242">
        <f t="shared" si="22"/>
        <v>20135.515265263435</v>
      </c>
      <c r="N66" s="242">
        <f t="shared" si="1"/>
        <v>0</v>
      </c>
      <c r="O66" s="242">
        <v>0</v>
      </c>
      <c r="P66" s="242">
        <f t="shared" si="23"/>
        <v>9774.484734736563</v>
      </c>
      <c r="Q66" s="242">
        <f t="shared" si="2"/>
        <v>0</v>
      </c>
      <c r="R66" s="242">
        <f t="shared" si="9"/>
        <v>0</v>
      </c>
      <c r="S66" s="242">
        <f t="shared" si="10"/>
        <v>644238.21437697974</v>
      </c>
      <c r="T66" s="467"/>
      <c r="U66" s="198">
        <f t="shared" si="27"/>
        <v>27</v>
      </c>
      <c r="V66" s="36">
        <f t="shared" si="11"/>
        <v>27</v>
      </c>
      <c r="W66" s="2" t="e">
        <f>IF(AND(G31&gt;=$W$11,G31&lt;=$W$11+5),0,IF($C$9&gt;$AF$51,ROUND(S30*#REF!/(DATEVALUE(CONCATENATE("01/01/",YEAR(H31)+1))-DATEVALUE(CONCATENATE("01/01/",YEAR(H31))))*(H31-H30),2),0))</f>
        <v>#REF!</v>
      </c>
      <c r="X66" s="34">
        <f t="shared" si="41"/>
        <v>29910</v>
      </c>
      <c r="Y66" s="57">
        <f t="shared" si="39"/>
        <v>52986</v>
      </c>
      <c r="AA66" s="133" t="s">
        <v>96</v>
      </c>
      <c r="AB66" s="15"/>
      <c r="AC66" s="143">
        <f>AC65*AC79*IF($C$10&gt;60,60,$C$10)</f>
        <v>132000</v>
      </c>
      <c r="AD66" s="143">
        <f>AD65*AD79*IF($C$10&gt;60,60,$C$10)</f>
        <v>171600</v>
      </c>
      <c r="AE66" s="143">
        <f>AE65*AE79*IF($C$10&gt;60,60,$C$10)</f>
        <v>0</v>
      </c>
      <c r="AF66" s="143">
        <f>AF65*AF79*IF($C$10&gt;60,60,$C$10)</f>
        <v>132000</v>
      </c>
      <c r="AG66" s="143">
        <f t="shared" ref="AG66:AH66" si="46">AG65*AG79*$C$10</f>
        <v>0</v>
      </c>
      <c r="AH66" s="143">
        <f t="shared" si="46"/>
        <v>92400</v>
      </c>
      <c r="AI66" s="143">
        <f>AI65*AI79*$C$10</f>
        <v>184800</v>
      </c>
      <c r="AJ66" s="143">
        <f>AI66+AH66</f>
        <v>277200</v>
      </c>
      <c r="AL66" s="2" t="e">
        <f>IF(AND(Y22&gt;=$W$11,Y22&lt;=$W$11+5),0,IF($C$9&gt;$AF$51,ROUND(AI26*#REF!/(DATEVALUE(CONCATENATE("01/01/",YEAR(Z22)+1))-DATEVALUE(CONCATENATE("01/01/",YEAR(Z22))))*(Z22-Z21),2),0))</f>
        <v>#REF!</v>
      </c>
      <c r="AM66" s="34">
        <f t="shared" si="43"/>
        <v>29117</v>
      </c>
      <c r="AN66" s="57">
        <f t="shared" si="42"/>
        <v>51526</v>
      </c>
      <c r="AO66" s="130">
        <f t="shared" si="12"/>
        <v>1</v>
      </c>
      <c r="AP66" s="553">
        <f t="shared" si="28"/>
        <v>58</v>
      </c>
      <c r="AQ66" s="554">
        <f t="shared" si="13"/>
        <v>46358</v>
      </c>
      <c r="AR66" s="555">
        <f t="shared" si="44"/>
        <v>0.17899999999999999</v>
      </c>
      <c r="AS66" s="546">
        <f t="shared" si="14"/>
        <v>29117</v>
      </c>
      <c r="AT66" s="546">
        <f t="shared" si="15"/>
        <v>29117</v>
      </c>
      <c r="AU66" s="546">
        <f t="shared" si="16"/>
        <v>9515.1603817518335</v>
      </c>
      <c r="AV66" s="546">
        <f t="shared" si="17"/>
        <v>19601.839618248167</v>
      </c>
      <c r="AW66" s="546">
        <f t="shared" si="4"/>
        <v>0</v>
      </c>
      <c r="AX66" s="546">
        <v>0</v>
      </c>
      <c r="AY66" s="546">
        <f t="shared" si="18"/>
        <v>9515.1603817518335</v>
      </c>
      <c r="AZ66" s="546">
        <f t="shared" si="35"/>
        <v>0</v>
      </c>
      <c r="BA66" s="546">
        <f t="shared" si="34"/>
        <v>0</v>
      </c>
      <c r="BB66" s="546"/>
      <c r="BC66" s="546"/>
      <c r="BD66" s="546"/>
      <c r="BE66" s="546"/>
      <c r="BF66" s="546"/>
      <c r="BG66" s="546">
        <f t="shared" si="20"/>
        <v>627145.5606311782</v>
      </c>
      <c r="BH66" s="108">
        <f t="shared" si="29"/>
        <v>27</v>
      </c>
      <c r="BI66" s="108">
        <f t="shared" si="24"/>
        <v>27</v>
      </c>
      <c r="BJ66" s="22">
        <f t="shared" si="25"/>
        <v>46358</v>
      </c>
      <c r="BK66" s="108">
        <f t="shared" si="6"/>
        <v>29910</v>
      </c>
      <c r="BL66" s="2" t="e">
        <f>IF(AND(G21&gt;=$W$11,G21&lt;=$W$11+5),0,IF($C$9&gt;$AF$51,ROUND(BG20*IF(#REF!="",0,#REF!)/(DATEVALUE(CONCATENATE("01/01/",YEAR(AQ21)+1))-DATEVALUE(CONCATENATE("01/01/",YEAR(AQ21))))*(AQ21-AQ20),2),0))</f>
        <v>#REF!</v>
      </c>
    </row>
    <row r="67" spans="1:64" s="16" customFormat="1" x14ac:dyDescent="0.3">
      <c r="A67" s="178"/>
      <c r="B67" s="178"/>
      <c r="C67" s="184"/>
      <c r="D67" s="178"/>
      <c r="E67" s="178"/>
      <c r="F67" s="178"/>
      <c r="G67" s="244">
        <f t="shared" si="26"/>
        <v>59</v>
      </c>
      <c r="H67" s="245">
        <f t="shared" si="7"/>
        <v>46389</v>
      </c>
      <c r="I67" s="246">
        <f t="shared" si="30"/>
        <v>0.17899999999999999</v>
      </c>
      <c r="J67" s="242">
        <f t="shared" si="0"/>
        <v>29910</v>
      </c>
      <c r="K67" s="242">
        <f t="shared" si="21"/>
        <v>29910</v>
      </c>
      <c r="L67" s="242">
        <f t="shared" si="8"/>
        <v>9794.1858947338642</v>
      </c>
      <c r="M67" s="242">
        <f t="shared" si="22"/>
        <v>20115.814105266138</v>
      </c>
      <c r="N67" s="242">
        <f t="shared" si="1"/>
        <v>0</v>
      </c>
      <c r="O67" s="242">
        <v>0</v>
      </c>
      <c r="P67" s="242">
        <f t="shared" si="23"/>
        <v>9794.1858947338642</v>
      </c>
      <c r="Q67" s="242">
        <f t="shared" si="2"/>
        <v>0</v>
      </c>
      <c r="R67" s="242">
        <f t="shared" si="9"/>
        <v>0</v>
      </c>
      <c r="S67" s="242">
        <f t="shared" si="10"/>
        <v>624122.40027171362</v>
      </c>
      <c r="T67" s="467"/>
      <c r="U67" s="198">
        <f t="shared" si="27"/>
        <v>26</v>
      </c>
      <c r="V67" s="36">
        <f t="shared" si="11"/>
        <v>26</v>
      </c>
      <c r="W67" s="2" t="e">
        <f>IF(AND(G32&gt;=$W$11,G32&lt;=$W$11+5),0,IF($C$9&gt;$AF$51,ROUND(S31*#REF!/(DATEVALUE(CONCATENATE("01/01/",YEAR(H32)+1))-DATEVALUE(CONCATENATE("01/01/",YEAR(H32))))*(H32-H31),2),0))</f>
        <v>#REF!</v>
      </c>
      <c r="X67" s="34">
        <f t="shared" si="41"/>
        <v>29910</v>
      </c>
      <c r="Y67" s="57">
        <f t="shared" si="39"/>
        <v>53351</v>
      </c>
      <c r="AA67" s="170">
        <v>20000</v>
      </c>
      <c r="AB67" s="133" t="s">
        <v>323</v>
      </c>
      <c r="AL67" s="2">
        <f>IF(AND(Y23&gt;=$W$11,Y23&lt;=$W$11+5),0,IF($C$9&gt;$AF$51,ROUND(AI27*#REF!/(DATEVALUE(CONCATENATE("01/01/",YEAR(Z23)+1))-DATEVALUE(CONCATENATE("01/01/",YEAR(Z23))))*(Z23-Z22),2),0))</f>
        <v>0</v>
      </c>
      <c r="AM67" s="34">
        <f t="shared" si="43"/>
        <v>29117</v>
      </c>
      <c r="AN67" s="57">
        <f t="shared" si="42"/>
        <v>51891</v>
      </c>
      <c r="AO67" s="130">
        <f t="shared" si="12"/>
        <v>1</v>
      </c>
      <c r="AP67" s="553">
        <f t="shared" si="28"/>
        <v>59</v>
      </c>
      <c r="AQ67" s="554">
        <f t="shared" si="13"/>
        <v>46389</v>
      </c>
      <c r="AR67" s="555">
        <f t="shared" si="44"/>
        <v>0.17899999999999999</v>
      </c>
      <c r="AS67" s="546">
        <f t="shared" si="14"/>
        <v>29117</v>
      </c>
      <c r="AT67" s="546">
        <f t="shared" si="15"/>
        <v>29117</v>
      </c>
      <c r="AU67" s="546">
        <f t="shared" si="16"/>
        <v>9534.3307286093368</v>
      </c>
      <c r="AV67" s="546">
        <f t="shared" si="17"/>
        <v>19582.669271390663</v>
      </c>
      <c r="AW67" s="546">
        <f t="shared" si="4"/>
        <v>0</v>
      </c>
      <c r="AX67" s="546">
        <v>0</v>
      </c>
      <c r="AY67" s="546">
        <f t="shared" si="18"/>
        <v>9534.3307286093368</v>
      </c>
      <c r="AZ67" s="546">
        <f t="shared" si="35"/>
        <v>0</v>
      </c>
      <c r="BA67" s="546">
        <f t="shared" si="34"/>
        <v>0</v>
      </c>
      <c r="BB67" s="546"/>
      <c r="BC67" s="546"/>
      <c r="BD67" s="546"/>
      <c r="BE67" s="546"/>
      <c r="BF67" s="546"/>
      <c r="BG67" s="546">
        <f t="shared" si="20"/>
        <v>607562.89135978755</v>
      </c>
      <c r="BH67" s="108">
        <f t="shared" si="29"/>
        <v>26</v>
      </c>
      <c r="BI67" s="108">
        <f t="shared" si="24"/>
        <v>26</v>
      </c>
      <c r="BJ67" s="22">
        <f t="shared" si="25"/>
        <v>46389</v>
      </c>
      <c r="BK67" s="108">
        <f t="shared" si="6"/>
        <v>29910</v>
      </c>
      <c r="BL67" s="2" t="e">
        <f>IF(AND(G22&gt;=$W$11,G22&lt;=$W$11+5),0,IF($C$9&gt;$AF$51,ROUND(BG21*IF(#REF!="",0,#REF!)/(DATEVALUE(CONCATENATE("01/01/",YEAR(AQ22)+1))-DATEVALUE(CONCATENATE("01/01/",YEAR(AQ22))))*(AQ22-AQ21),2),0))</f>
        <v>#REF!</v>
      </c>
    </row>
    <row r="68" spans="1:64" s="16" customFormat="1" ht="13.8" thickBot="1" x14ac:dyDescent="0.35">
      <c r="A68" s="178"/>
      <c r="B68" s="178"/>
      <c r="C68" s="184"/>
      <c r="D68" s="178"/>
      <c r="E68" s="178"/>
      <c r="F68" s="178"/>
      <c r="G68" s="248">
        <f t="shared" si="26"/>
        <v>60</v>
      </c>
      <c r="H68" s="581">
        <f t="shared" si="7"/>
        <v>46420</v>
      </c>
      <c r="I68" s="250">
        <f t="shared" si="30"/>
        <v>0.17899999999999999</v>
      </c>
      <c r="J68" s="242">
        <f t="shared" si="0"/>
        <v>29910</v>
      </c>
      <c r="K68" s="252">
        <f t="shared" si="21"/>
        <v>29910</v>
      </c>
      <c r="L68" s="252">
        <f t="shared" si="8"/>
        <v>9488.3704085143527</v>
      </c>
      <c r="M68" s="252">
        <f t="shared" si="22"/>
        <v>20421.629591485646</v>
      </c>
      <c r="N68" s="252">
        <f t="shared" si="1"/>
        <v>0</v>
      </c>
      <c r="O68" s="252">
        <v>0</v>
      </c>
      <c r="P68" s="252">
        <f t="shared" si="23"/>
        <v>9488.3704085143527</v>
      </c>
      <c r="Q68" s="252">
        <f t="shared" si="2"/>
        <v>0</v>
      </c>
      <c r="R68" s="252">
        <f t="shared" si="9"/>
        <v>0</v>
      </c>
      <c r="S68" s="252">
        <f t="shared" si="10"/>
        <v>603700.77068022802</v>
      </c>
      <c r="T68" s="252"/>
      <c r="U68" s="198">
        <f t="shared" si="27"/>
        <v>25</v>
      </c>
      <c r="V68" s="36">
        <f t="shared" si="11"/>
        <v>25</v>
      </c>
      <c r="W68" s="2" t="e">
        <f>IF(AND(G33&gt;=$W$11,G33&lt;=$W$11+5),0,IF($C$9&gt;$AF$51,ROUND(S32*#REF!/(DATEVALUE(CONCATENATE("01/01/",YEAR(H33)+1))-DATEVALUE(CONCATENATE("01/01/",YEAR(H33))))*(H33-H32),2),0))</f>
        <v>#REF!</v>
      </c>
      <c r="X68" s="34">
        <f t="shared" si="41"/>
        <v>29910</v>
      </c>
      <c r="Y68" s="57">
        <f t="shared" si="39"/>
        <v>53716</v>
      </c>
      <c r="AA68" s="170">
        <v>300001</v>
      </c>
      <c r="AB68" s="135">
        <v>160000</v>
      </c>
      <c r="AL68" s="2" t="e">
        <f>IF(AND(Y24&gt;=$W$11,Y24&lt;=$W$11+5),0,IF($C$9&gt;$AF$51,ROUND(AI28*#REF!/(DATEVALUE(CONCATENATE("01/01/",YEAR(Z24)+1))-DATEVALUE(CONCATENATE("01/01/",YEAR(Z24))))*(Z24-Z23),2),0))</f>
        <v>#REF!</v>
      </c>
      <c r="AM68" s="34">
        <f t="shared" si="43"/>
        <v>29117</v>
      </c>
      <c r="AN68" s="57">
        <f t="shared" si="42"/>
        <v>52256</v>
      </c>
      <c r="AO68" s="130">
        <f t="shared" si="12"/>
        <v>1</v>
      </c>
      <c r="AP68" s="556">
        <f t="shared" si="28"/>
        <v>60</v>
      </c>
      <c r="AQ68" s="582">
        <f t="shared" si="13"/>
        <v>46420</v>
      </c>
      <c r="AR68" s="557">
        <f t="shared" si="44"/>
        <v>0.17899999999999999</v>
      </c>
      <c r="AS68" s="547">
        <f t="shared" si="14"/>
        <v>29117</v>
      </c>
      <c r="AT68" s="547">
        <f t="shared" si="15"/>
        <v>29117</v>
      </c>
      <c r="AU68" s="547">
        <f t="shared" si="16"/>
        <v>9236.6205045355109</v>
      </c>
      <c r="AV68" s="547">
        <f t="shared" si="17"/>
        <v>19880.379495464491</v>
      </c>
      <c r="AW68" s="547">
        <f t="shared" si="4"/>
        <v>0</v>
      </c>
      <c r="AX68" s="547">
        <v>0</v>
      </c>
      <c r="AY68" s="547">
        <f t="shared" si="18"/>
        <v>9236.6205045355109</v>
      </c>
      <c r="AZ68" s="547">
        <f t="shared" si="35"/>
        <v>0</v>
      </c>
      <c r="BA68" s="547">
        <f t="shared" si="34"/>
        <v>0</v>
      </c>
      <c r="BB68" s="547"/>
      <c r="BC68" s="547"/>
      <c r="BD68" s="547"/>
      <c r="BE68" s="547"/>
      <c r="BF68" s="547"/>
      <c r="BG68" s="547">
        <f t="shared" si="20"/>
        <v>587682.51186432305</v>
      </c>
      <c r="BH68" s="108">
        <f t="shared" si="29"/>
        <v>25</v>
      </c>
      <c r="BI68" s="108">
        <f t="shared" si="24"/>
        <v>25</v>
      </c>
      <c r="BJ68" s="22">
        <f t="shared" si="25"/>
        <v>46420</v>
      </c>
      <c r="BK68" s="108">
        <f t="shared" si="6"/>
        <v>29910</v>
      </c>
      <c r="BL68" s="2" t="e">
        <f>IF(AND(G23&gt;=$W$11,G23&lt;=$W$11+5),0,IF($C$9&gt;$AF$51,ROUND(BG22*IF(#REF!="",0,#REF!)/(DATEVALUE(CONCATENATE("01/01/",YEAR(AQ23)+1))-DATEVALUE(CONCATENATE("01/01/",YEAR(AQ23))))*(AQ23-AQ22),2),0))</f>
        <v>#REF!</v>
      </c>
    </row>
    <row r="69" spans="1:64" s="16" customFormat="1" x14ac:dyDescent="0.3">
      <c r="A69" s="178"/>
      <c r="B69" s="178"/>
      <c r="C69" s="184"/>
      <c r="D69" s="178"/>
      <c r="E69" s="178"/>
      <c r="F69" s="178"/>
      <c r="G69" s="244">
        <f t="shared" si="26"/>
        <v>61</v>
      </c>
      <c r="H69" s="245">
        <f t="shared" si="7"/>
        <v>46448</v>
      </c>
      <c r="I69" s="246">
        <f t="shared" si="30"/>
        <v>0.17899999999999999</v>
      </c>
      <c r="J69" s="242">
        <f t="shared" si="0"/>
        <v>29910</v>
      </c>
      <c r="K69" s="242">
        <f t="shared" si="21"/>
        <v>29910</v>
      </c>
      <c r="L69" s="242">
        <f t="shared" si="8"/>
        <v>8289.7212675323372</v>
      </c>
      <c r="M69" s="242">
        <f t="shared" si="22"/>
        <v>21620.278732467661</v>
      </c>
      <c r="N69" s="242">
        <f t="shared" si="1"/>
        <v>0</v>
      </c>
      <c r="O69" s="242">
        <v>0</v>
      </c>
      <c r="P69" s="242">
        <f t="shared" si="23"/>
        <v>8289.7212675323372</v>
      </c>
      <c r="Q69" s="242">
        <f t="shared" si="2"/>
        <v>0</v>
      </c>
      <c r="R69" s="242">
        <f t="shared" si="9"/>
        <v>0</v>
      </c>
      <c r="S69" s="242">
        <f t="shared" si="10"/>
        <v>582080.49194776034</v>
      </c>
      <c r="T69" s="467"/>
      <c r="U69" s="36">
        <f t="shared" si="27"/>
        <v>24</v>
      </c>
      <c r="V69" s="36">
        <f t="shared" si="11"/>
        <v>24</v>
      </c>
      <c r="W69" s="2" t="e">
        <f>IF(AND(G34&gt;=$W$11,G34&lt;=$W$11+5),0,IF($C$9&gt;$AF$51,ROUND(S33*#REF!/(DATEVALUE(CONCATENATE("01/01/",YEAR(H34)+1))-DATEVALUE(CONCATENATE("01/01/",YEAR(H34))))*(H34-H33),2),0))</f>
        <v>#REF!</v>
      </c>
      <c r="X69" s="34">
        <f t="shared" si="41"/>
        <v>29910</v>
      </c>
      <c r="Y69" s="57">
        <f t="shared" si="39"/>
        <v>54081</v>
      </c>
      <c r="AA69" s="170">
        <v>500001</v>
      </c>
      <c r="AB69" s="135">
        <v>400000</v>
      </c>
      <c r="AD69" s="2"/>
      <c r="AE69" s="2"/>
      <c r="AF69" s="2"/>
      <c r="AG69" s="2"/>
      <c r="AH69" s="2"/>
      <c r="AI69" s="63"/>
      <c r="AJ69" s="63"/>
      <c r="AK69" s="63"/>
      <c r="AL69" s="2">
        <f>IF(AND(Y25&gt;=$W$11,Y25&lt;=$W$11+5),0,IF($C$9&gt;$AF$51,ROUND(AI29*#REF!/(DATEVALUE(CONCATENATE("01/01/",YEAR(Z25)+1))-DATEVALUE(CONCATENATE("01/01/",YEAR(Z25))))*(Z25-Z24),2),0))</f>
        <v>0</v>
      </c>
      <c r="AM69" s="34">
        <f t="shared" si="43"/>
        <v>29117</v>
      </c>
      <c r="AN69" s="57">
        <f t="shared" si="42"/>
        <v>52621</v>
      </c>
      <c r="AO69" s="130">
        <f t="shared" si="12"/>
        <v>1</v>
      </c>
      <c r="AP69" s="553">
        <f t="shared" si="28"/>
        <v>61</v>
      </c>
      <c r="AQ69" s="554">
        <f t="shared" si="13"/>
        <v>46448</v>
      </c>
      <c r="AR69" s="555">
        <f t="shared" si="44"/>
        <v>0.17899999999999999</v>
      </c>
      <c r="AS69" s="546">
        <f t="shared" si="14"/>
        <v>29117</v>
      </c>
      <c r="AT69" s="546">
        <f t="shared" si="15"/>
        <v>29117</v>
      </c>
      <c r="AU69" s="546">
        <f t="shared" si="16"/>
        <v>8069.7664368876358</v>
      </c>
      <c r="AV69" s="546">
        <f t="shared" si="17"/>
        <v>21047.233563112364</v>
      </c>
      <c r="AW69" s="546">
        <f t="shared" si="4"/>
        <v>0</v>
      </c>
      <c r="AX69" s="546">
        <v>0</v>
      </c>
      <c r="AY69" s="546">
        <f t="shared" si="18"/>
        <v>8069.7664368876358</v>
      </c>
      <c r="AZ69" s="546">
        <f t="shared" si="35"/>
        <v>0</v>
      </c>
      <c r="BA69" s="546">
        <f t="shared" si="34"/>
        <v>0</v>
      </c>
      <c r="BB69" s="546"/>
      <c r="BC69" s="546"/>
      <c r="BD69" s="546"/>
      <c r="BE69" s="546"/>
      <c r="BF69" s="546"/>
      <c r="BG69" s="546">
        <f t="shared" si="20"/>
        <v>566635.27830121072</v>
      </c>
      <c r="BH69" s="108">
        <f t="shared" si="29"/>
        <v>24</v>
      </c>
      <c r="BI69" s="108">
        <f t="shared" si="24"/>
        <v>24</v>
      </c>
      <c r="BJ69" s="22">
        <f t="shared" si="25"/>
        <v>46448</v>
      </c>
      <c r="BK69" s="108">
        <f t="shared" si="6"/>
        <v>29910</v>
      </c>
      <c r="BL69" s="2" t="e">
        <f>IF(AND(G24&gt;=$W$11,G24&lt;=$W$11+5),0,IF($C$9&gt;$AF$51,ROUND(BG23*IF(#REF!="",0,#REF!)/(DATEVALUE(CONCATENATE("01/01/",YEAR(AQ24)+1))-DATEVALUE(CONCATENATE("01/01/",YEAR(AQ24))))*(AQ24-AQ23),2),0))</f>
        <v>#REF!</v>
      </c>
    </row>
    <row r="70" spans="1:64" s="16" customFormat="1" x14ac:dyDescent="0.3">
      <c r="A70" s="178"/>
      <c r="B70" s="178"/>
      <c r="C70" s="525"/>
      <c r="D70" s="182"/>
      <c r="E70" s="178"/>
      <c r="F70" s="178"/>
      <c r="G70" s="244">
        <f t="shared" si="26"/>
        <v>62</v>
      </c>
      <c r="H70" s="245">
        <f t="shared" si="7"/>
        <v>46479</v>
      </c>
      <c r="I70" s="246">
        <f t="shared" si="30"/>
        <v>0.17899999999999999</v>
      </c>
      <c r="J70" s="242">
        <f t="shared" si="0"/>
        <v>29910</v>
      </c>
      <c r="K70" s="242">
        <f t="shared" si="21"/>
        <v>29910</v>
      </c>
      <c r="L70" s="242">
        <f t="shared" si="8"/>
        <v>8849.2182186797872</v>
      </c>
      <c r="M70" s="242">
        <f t="shared" si="22"/>
        <v>21060.781781320213</v>
      </c>
      <c r="N70" s="242">
        <f t="shared" si="1"/>
        <v>0</v>
      </c>
      <c r="O70" s="242">
        <v>0</v>
      </c>
      <c r="P70" s="242">
        <f t="shared" si="23"/>
        <v>8849.2182186797872</v>
      </c>
      <c r="Q70" s="242">
        <f t="shared" si="2"/>
        <v>0</v>
      </c>
      <c r="R70" s="242">
        <f t="shared" si="9"/>
        <v>0</v>
      </c>
      <c r="S70" s="242">
        <f t="shared" si="10"/>
        <v>561019.71016644011</v>
      </c>
      <c r="T70" s="467"/>
      <c r="U70" s="36">
        <f t="shared" si="27"/>
        <v>23</v>
      </c>
      <c r="V70" s="36">
        <f t="shared" si="11"/>
        <v>23</v>
      </c>
      <c r="W70" s="2" t="e">
        <f>IF(AND(G35&gt;=$W$11,G35&lt;=$W$11+5),0,IF($C$9&gt;$AF$51,ROUND(S34*#REF!/(DATEVALUE(CONCATENATE("01/01/",YEAR(H35)+1))-DATEVALUE(CONCATENATE("01/01/",YEAR(H35))))*(H35-H34),2),0))</f>
        <v>#REF!</v>
      </c>
      <c r="X70" s="34">
        <f t="shared" si="41"/>
        <v>29910</v>
      </c>
      <c r="Y70" s="57">
        <f t="shared" si="39"/>
        <v>54446</v>
      </c>
      <c r="AA70" s="171">
        <v>600001</v>
      </c>
      <c r="AB70" s="135">
        <v>500000</v>
      </c>
      <c r="AC70" s="145" t="s">
        <v>330</v>
      </c>
      <c r="AD70" s="145" t="s">
        <v>111</v>
      </c>
      <c r="AE70" s="145" t="s">
        <v>114</v>
      </c>
      <c r="AF70" s="144" t="s">
        <v>366</v>
      </c>
      <c r="AG70" s="2" t="s">
        <v>35</v>
      </c>
      <c r="AH70" s="144" t="s">
        <v>118</v>
      </c>
      <c r="AI70" s="144" t="s">
        <v>119</v>
      </c>
      <c r="AJ70" s="145" t="s">
        <v>120</v>
      </c>
      <c r="AK70" s="15"/>
      <c r="AL70" s="2" t="e">
        <f>IF(AND(Y26&gt;=$W$11,Y26&lt;=$W$11+5),0,IF($C$9&gt;$AF$51,ROUND(AI30*#REF!/(DATEVALUE(CONCATENATE("01/01/",YEAR(Z26)+1))-DATEVALUE(CONCATENATE("01/01/",YEAR(Z26))))*(Z26-Z25),2),0))</f>
        <v>#REF!</v>
      </c>
      <c r="AM70" s="34">
        <f t="shared" si="43"/>
        <v>29117</v>
      </c>
      <c r="AN70" s="57">
        <f t="shared" si="42"/>
        <v>52986</v>
      </c>
      <c r="AO70" s="130">
        <f t="shared" si="12"/>
        <v>1</v>
      </c>
      <c r="AP70" s="553">
        <f t="shared" si="28"/>
        <v>62</v>
      </c>
      <c r="AQ70" s="554">
        <f t="shared" si="13"/>
        <v>46479</v>
      </c>
      <c r="AR70" s="555">
        <f t="shared" si="44"/>
        <v>0.17899999999999999</v>
      </c>
      <c r="AS70" s="546">
        <f t="shared" si="14"/>
        <v>29117</v>
      </c>
      <c r="AT70" s="546">
        <f t="shared" si="15"/>
        <v>29117</v>
      </c>
      <c r="AU70" s="546">
        <f t="shared" si="16"/>
        <v>8614.4086555984068</v>
      </c>
      <c r="AV70" s="546">
        <f t="shared" si="17"/>
        <v>20502.591344401593</v>
      </c>
      <c r="AW70" s="546">
        <f t="shared" si="4"/>
        <v>0</v>
      </c>
      <c r="AX70" s="546">
        <v>0</v>
      </c>
      <c r="AY70" s="546">
        <f t="shared" si="18"/>
        <v>8614.4086555984068</v>
      </c>
      <c r="AZ70" s="546">
        <f t="shared" si="35"/>
        <v>0</v>
      </c>
      <c r="BA70" s="546">
        <f t="shared" si="34"/>
        <v>0</v>
      </c>
      <c r="BB70" s="546"/>
      <c r="BC70" s="546"/>
      <c r="BD70" s="546"/>
      <c r="BE70" s="546"/>
      <c r="BF70" s="546"/>
      <c r="BG70" s="546">
        <f t="shared" si="20"/>
        <v>546132.68695680914</v>
      </c>
      <c r="BH70" s="108">
        <f t="shared" si="29"/>
        <v>23</v>
      </c>
      <c r="BI70" s="108">
        <f t="shared" si="24"/>
        <v>23</v>
      </c>
      <c r="BJ70" s="22">
        <f t="shared" si="25"/>
        <v>46479</v>
      </c>
      <c r="BK70" s="108">
        <f t="shared" si="6"/>
        <v>29910</v>
      </c>
      <c r="BL70" s="2" t="e">
        <f>IF(AND(G25&gt;=$W$11,G25&lt;=$W$11+5),0,IF($C$9&gt;$AF$51,ROUND(BG24*IF(#REF!="",0,#REF!)/(DATEVALUE(CONCATENATE("01/01/",YEAR(AQ25)+1))-DATEVALUE(CONCATENATE("01/01/",YEAR(AQ25))))*(AQ25-AQ24),2),0))</f>
        <v>#REF!</v>
      </c>
    </row>
    <row r="71" spans="1:64" s="16" customFormat="1" x14ac:dyDescent="0.3">
      <c r="A71" s="178"/>
      <c r="B71" s="178"/>
      <c r="C71" s="184"/>
      <c r="D71" s="182"/>
      <c r="E71" s="178"/>
      <c r="F71" s="178"/>
      <c r="G71" s="244">
        <f t="shared" si="26"/>
        <v>63</v>
      </c>
      <c r="H71" s="245">
        <f t="shared" si="7"/>
        <v>46509</v>
      </c>
      <c r="I71" s="246">
        <f t="shared" si="30"/>
        <v>0.17899999999999999</v>
      </c>
      <c r="J71" s="242">
        <f t="shared" si="0"/>
        <v>29910</v>
      </c>
      <c r="K71" s="242">
        <f t="shared" si="21"/>
        <v>29910</v>
      </c>
      <c r="L71" s="242">
        <f t="shared" si="8"/>
        <v>8253.9064208048858</v>
      </c>
      <c r="M71" s="242">
        <f t="shared" si="22"/>
        <v>21656.093579195112</v>
      </c>
      <c r="N71" s="242">
        <f t="shared" si="1"/>
        <v>0</v>
      </c>
      <c r="O71" s="242">
        <v>0</v>
      </c>
      <c r="P71" s="242">
        <f t="shared" si="23"/>
        <v>8253.9064208048858</v>
      </c>
      <c r="Q71" s="242">
        <f t="shared" si="2"/>
        <v>0</v>
      </c>
      <c r="R71" s="242">
        <f t="shared" si="9"/>
        <v>0</v>
      </c>
      <c r="S71" s="242">
        <f t="shared" si="10"/>
        <v>539363.61658724502</v>
      </c>
      <c r="T71" s="467"/>
      <c r="U71" s="36">
        <f t="shared" si="27"/>
        <v>22</v>
      </c>
      <c r="V71" s="36">
        <f t="shared" si="11"/>
        <v>22</v>
      </c>
      <c r="W71" s="2" t="e">
        <f>IF(AND(G36&gt;=$W$11,G36&lt;=$W$11+5),0,IF($C$9&gt;$AF$51,ROUND(S35*#REF!/(DATEVALUE(CONCATENATE("01/01/",YEAR(H36)+1))-DATEVALUE(CONCATENATE("01/01/",YEAR(H36))))*(H36-H35),2),0))</f>
        <v>#REF!</v>
      </c>
      <c r="X71" s="34">
        <f t="shared" si="41"/>
        <v>29910</v>
      </c>
      <c r="Y71" s="57">
        <f t="shared" si="39"/>
        <v>54811</v>
      </c>
      <c r="AA71" s="171">
        <v>1000001</v>
      </c>
      <c r="AB71" s="135">
        <v>800000</v>
      </c>
      <c r="AC71" s="133" t="s">
        <v>98</v>
      </c>
      <c r="AD71" s="134"/>
      <c r="AE71" s="134"/>
      <c r="AF71" s="134"/>
      <c r="AG71" s="134"/>
      <c r="AH71" s="134"/>
      <c r="AI71" s="134"/>
      <c r="AJ71" s="134"/>
      <c r="AK71" s="15"/>
      <c r="AL71" s="2" t="e">
        <f>IF(AND(Y27&gt;=$W$11,Y27&lt;=$W$11+5),0,IF($C$9&gt;$AF$51,ROUND(AI31*#REF!/(DATEVALUE(CONCATENATE("01/01/",YEAR(Z27)+1))-DATEVALUE(CONCATENATE("01/01/",YEAR(Z27))))*(Z27-Z26),2),0))</f>
        <v>#REF!</v>
      </c>
      <c r="AM71" s="34">
        <f t="shared" si="43"/>
        <v>29117</v>
      </c>
      <c r="AN71" s="57">
        <f t="shared" si="42"/>
        <v>53351</v>
      </c>
      <c r="AO71" s="130">
        <f t="shared" si="12"/>
        <v>1</v>
      </c>
      <c r="AP71" s="553">
        <f t="shared" si="28"/>
        <v>63</v>
      </c>
      <c r="AQ71" s="554">
        <f t="shared" si="13"/>
        <v>46509</v>
      </c>
      <c r="AR71" s="555">
        <f t="shared" si="44"/>
        <v>0.17899999999999999</v>
      </c>
      <c r="AS71" s="546">
        <f t="shared" si="14"/>
        <v>29117</v>
      </c>
      <c r="AT71" s="546">
        <f t="shared" si="15"/>
        <v>29117</v>
      </c>
      <c r="AU71" s="546">
        <f t="shared" si="16"/>
        <v>8034.8836409810001</v>
      </c>
      <c r="AV71" s="546">
        <f t="shared" si="17"/>
        <v>21082.116359019001</v>
      </c>
      <c r="AW71" s="546">
        <f t="shared" si="4"/>
        <v>0</v>
      </c>
      <c r="AX71" s="546">
        <v>0</v>
      </c>
      <c r="AY71" s="546">
        <f t="shared" si="18"/>
        <v>8034.8836409810001</v>
      </c>
      <c r="AZ71" s="546">
        <f t="shared" si="35"/>
        <v>0</v>
      </c>
      <c r="BA71" s="546">
        <f t="shared" si="34"/>
        <v>0</v>
      </c>
      <c r="BB71" s="546"/>
      <c r="BC71" s="546"/>
      <c r="BD71" s="546"/>
      <c r="BE71" s="546"/>
      <c r="BF71" s="546"/>
      <c r="BG71" s="546">
        <f t="shared" si="20"/>
        <v>525050.57059779018</v>
      </c>
      <c r="BH71" s="108">
        <f t="shared" si="29"/>
        <v>22</v>
      </c>
      <c r="BI71" s="108">
        <f t="shared" si="24"/>
        <v>22</v>
      </c>
      <c r="BJ71" s="22">
        <f t="shared" si="25"/>
        <v>46509</v>
      </c>
      <c r="BK71" s="108">
        <f t="shared" si="6"/>
        <v>29910</v>
      </c>
      <c r="BL71" s="2" t="e">
        <f>IF(AND(G26&gt;=$W$11,G26&lt;=$W$11+5),0,IF($C$9&gt;$AF$51,ROUND(BG25*IF(#REF!="",0,#REF!)/(DATEVALUE(CONCATENATE("01/01/",YEAR(AQ26)+1))-DATEVALUE(CONCATENATE("01/01/",YEAR(AQ26))))*(AQ26-AQ25),2),0))</f>
        <v>#REF!</v>
      </c>
    </row>
    <row r="72" spans="1:64" s="16" customFormat="1" x14ac:dyDescent="0.3">
      <c r="A72" s="178"/>
      <c r="B72" s="178"/>
      <c r="C72" s="184"/>
      <c r="D72" s="178"/>
      <c r="E72" s="178"/>
      <c r="F72" s="178"/>
      <c r="G72" s="244">
        <f t="shared" si="26"/>
        <v>64</v>
      </c>
      <c r="H72" s="245">
        <f t="shared" si="7"/>
        <v>46540</v>
      </c>
      <c r="I72" s="246">
        <f t="shared" si="30"/>
        <v>0.17899999999999999</v>
      </c>
      <c r="J72" s="242">
        <f t="shared" si="0"/>
        <v>29910</v>
      </c>
      <c r="K72" s="242">
        <f t="shared" si="21"/>
        <v>29910</v>
      </c>
      <c r="L72" s="242">
        <f t="shared" si="8"/>
        <v>8199.8046806647199</v>
      </c>
      <c r="M72" s="242">
        <f t="shared" si="22"/>
        <v>21710.195319335282</v>
      </c>
      <c r="N72" s="242">
        <f t="shared" si="1"/>
        <v>0</v>
      </c>
      <c r="O72" s="242">
        <v>0</v>
      </c>
      <c r="P72" s="242">
        <f t="shared" si="23"/>
        <v>8199.8046806647199</v>
      </c>
      <c r="Q72" s="242">
        <f t="shared" si="2"/>
        <v>0</v>
      </c>
      <c r="R72" s="242">
        <f t="shared" si="9"/>
        <v>0</v>
      </c>
      <c r="S72" s="242">
        <f t="shared" si="10"/>
        <v>517653.42126790975</v>
      </c>
      <c r="T72" s="467"/>
      <c r="U72" s="36">
        <f t="shared" si="27"/>
        <v>21</v>
      </c>
      <c r="V72" s="36">
        <f t="shared" si="11"/>
        <v>21</v>
      </c>
      <c r="W72" s="2" t="e">
        <f>IF(AND(G37&gt;=$W$11,G37&lt;=$W$11+5),0,IF($C$9&gt;$AF$51,ROUND(S36*#REF!/(DATEVALUE(CONCATENATE("01/01/",YEAR(H37)+1))-DATEVALUE(CONCATENATE("01/01/",YEAR(H37))))*(H37-H36),2),0))</f>
        <v>#REF!</v>
      </c>
      <c r="X72" s="34">
        <f t="shared" si="41"/>
        <v>29910</v>
      </c>
      <c r="Y72" s="57">
        <f t="shared" si="39"/>
        <v>55176</v>
      </c>
      <c r="AA72" s="16" t="s">
        <v>101</v>
      </c>
      <c r="AB72" s="135">
        <v>900000</v>
      </c>
      <c r="AC72" s="134">
        <v>1</v>
      </c>
      <c r="AD72" s="134">
        <v>1.25</v>
      </c>
      <c r="AE72" s="134">
        <v>1.5</v>
      </c>
      <c r="AF72" s="134">
        <v>1.5</v>
      </c>
      <c r="AG72" s="134">
        <v>0</v>
      </c>
      <c r="AH72" s="134">
        <v>1</v>
      </c>
      <c r="AI72" s="134">
        <v>2</v>
      </c>
      <c r="AJ72" s="134">
        <v>2.5</v>
      </c>
      <c r="AK72" s="15"/>
      <c r="AL72" s="2" t="e">
        <f>IF(AND(Y28&gt;=$W$11,Y28&lt;=$W$11+5),0,IF($C$9&gt;$AF$51,ROUND(AI32*#REF!/(DATEVALUE(CONCATENATE("01/01/",YEAR(Z28)+1))-DATEVALUE(CONCATENATE("01/01/",YEAR(Z28))))*(Z28-Z27),2),0))</f>
        <v>#REF!</v>
      </c>
      <c r="AM72" s="34">
        <f t="shared" si="43"/>
        <v>29117</v>
      </c>
      <c r="AN72" s="57">
        <f t="shared" si="42"/>
        <v>53716</v>
      </c>
      <c r="AO72" s="130">
        <f t="shared" si="12"/>
        <v>1</v>
      </c>
      <c r="AP72" s="553">
        <f t="shared" si="28"/>
        <v>64</v>
      </c>
      <c r="AQ72" s="554">
        <f t="shared" si="13"/>
        <v>46540</v>
      </c>
      <c r="AR72" s="555">
        <f t="shared" si="44"/>
        <v>0.17899999999999999</v>
      </c>
      <c r="AS72" s="546">
        <f t="shared" si="14"/>
        <v>29117</v>
      </c>
      <c r="AT72" s="546">
        <f t="shared" si="15"/>
        <v>29117</v>
      </c>
      <c r="AU72" s="546">
        <f t="shared" si="16"/>
        <v>7982.2071678003776</v>
      </c>
      <c r="AV72" s="546">
        <f t="shared" si="17"/>
        <v>21134.792832199622</v>
      </c>
      <c r="AW72" s="546">
        <f t="shared" si="4"/>
        <v>0</v>
      </c>
      <c r="AX72" s="546">
        <v>0</v>
      </c>
      <c r="AY72" s="546">
        <f t="shared" si="18"/>
        <v>7982.2071678003776</v>
      </c>
      <c r="AZ72" s="546">
        <f t="shared" si="35"/>
        <v>0</v>
      </c>
      <c r="BA72" s="546">
        <f t="shared" si="34"/>
        <v>0</v>
      </c>
      <c r="BB72" s="546"/>
      <c r="BC72" s="546"/>
      <c r="BD72" s="546"/>
      <c r="BE72" s="546"/>
      <c r="BF72" s="546"/>
      <c r="BG72" s="546">
        <f t="shared" si="20"/>
        <v>503915.77776559058</v>
      </c>
      <c r="BH72" s="108">
        <f t="shared" si="29"/>
        <v>21</v>
      </c>
      <c r="BI72" s="108">
        <f t="shared" si="24"/>
        <v>21</v>
      </c>
      <c r="BJ72" s="22">
        <f t="shared" si="25"/>
        <v>46540</v>
      </c>
      <c r="BK72" s="108">
        <f t="shared" si="6"/>
        <v>29910</v>
      </c>
      <c r="BL72" s="2" t="e">
        <f>IF(AND(G27&gt;=$W$11,G27&lt;=$W$11+5),0,IF($C$9&gt;$AF$51,ROUND(BG26*IF(#REF!="",0,#REF!)/(DATEVALUE(CONCATENATE("01/01/",YEAR(AQ27)+1))-DATEVALUE(CONCATENATE("01/01/",YEAR(AQ27))))*(AQ27-AQ26),2),0))</f>
        <v>#REF!</v>
      </c>
    </row>
    <row r="73" spans="1:64" s="16" customFormat="1" x14ac:dyDescent="0.3">
      <c r="A73" s="178"/>
      <c r="B73" s="178"/>
      <c r="C73" s="184"/>
      <c r="D73" s="178"/>
      <c r="E73" s="178"/>
      <c r="F73" s="178"/>
      <c r="G73" s="244">
        <f t="shared" si="26"/>
        <v>65</v>
      </c>
      <c r="H73" s="245">
        <f t="shared" si="7"/>
        <v>46570</v>
      </c>
      <c r="I73" s="246">
        <f t="shared" si="30"/>
        <v>0.17899999999999999</v>
      </c>
      <c r="J73" s="242">
        <f t="shared" si="0"/>
        <v>29910</v>
      </c>
      <c r="K73" s="242">
        <f t="shared" si="21"/>
        <v>29910</v>
      </c>
      <c r="L73" s="242">
        <f t="shared" si="8"/>
        <v>7615.8873211196578</v>
      </c>
      <c r="M73" s="242">
        <f t="shared" si="22"/>
        <v>22294.112678880341</v>
      </c>
      <c r="N73" s="242">
        <f t="shared" ref="N73:N108" si="47">IF(P73-Q73&gt;$C$24,$C$24-L73,IF(V73=0,0,R73)+$AI$51)</f>
        <v>0</v>
      </c>
      <c r="O73" s="242">
        <v>0</v>
      </c>
      <c r="P73" s="242">
        <f t="shared" si="23"/>
        <v>7615.8873211196578</v>
      </c>
      <c r="Q73" s="242">
        <f t="shared" ref="Q73:Q108" si="48">IF(V73=0,0,0)</f>
        <v>0</v>
      </c>
      <c r="R73" s="242">
        <f t="shared" si="9"/>
        <v>0</v>
      </c>
      <c r="S73" s="242">
        <f t="shared" si="10"/>
        <v>495359.30858902942</v>
      </c>
      <c r="T73" s="467"/>
      <c r="U73" s="36">
        <f t="shared" si="27"/>
        <v>20</v>
      </c>
      <c r="V73" s="36">
        <f t="shared" si="11"/>
        <v>20</v>
      </c>
      <c r="W73" s="2" t="e">
        <f>IF(AND(G38&gt;=$W$11,G38&lt;=$W$11+5),0,IF($C$9&gt;$AF$51,ROUND(S37*#REF!/(DATEVALUE(CONCATENATE("01/01/",YEAR(H38)+1))-DATEVALUE(CONCATENATE("01/01/",YEAR(H38))))*(H38-H37),2),0))</f>
        <v>#REF!</v>
      </c>
      <c r="X73" s="34">
        <f t="shared" si="41"/>
        <v>29910</v>
      </c>
      <c r="Y73" s="57">
        <f t="shared" si="39"/>
        <v>55541</v>
      </c>
      <c r="AB73" s="16">
        <v>1500000</v>
      </c>
      <c r="AC73" s="134">
        <v>1.1000000000000001</v>
      </c>
      <c r="AD73" s="134">
        <v>1.35</v>
      </c>
      <c r="AE73" s="134">
        <v>1.5</v>
      </c>
      <c r="AF73" s="134">
        <v>1.5</v>
      </c>
      <c r="AG73" s="134">
        <v>0</v>
      </c>
      <c r="AH73" s="134">
        <v>1</v>
      </c>
      <c r="AI73" s="134">
        <v>2</v>
      </c>
      <c r="AJ73" s="134">
        <v>2</v>
      </c>
      <c r="AK73" s="15"/>
      <c r="AL73" s="2" t="e">
        <f>IF(AND(Y29&gt;=$W$11,Y29&lt;=$W$11+5),0,IF($C$9&gt;$AF$51,ROUND(AI33*#REF!/(DATEVALUE(CONCATENATE("01/01/",YEAR(Z29)+1))-DATEVALUE(CONCATENATE("01/01/",YEAR(Z29))))*(Z29-Z28),2),0))</f>
        <v>#REF!</v>
      </c>
      <c r="AM73" s="34">
        <f t="shared" si="43"/>
        <v>29117</v>
      </c>
      <c r="AN73" s="57">
        <f t="shared" si="42"/>
        <v>54081</v>
      </c>
      <c r="AO73" s="130">
        <f t="shared" si="12"/>
        <v>1</v>
      </c>
      <c r="AP73" s="553">
        <f t="shared" si="28"/>
        <v>65</v>
      </c>
      <c r="AQ73" s="554">
        <f t="shared" si="13"/>
        <v>46570</v>
      </c>
      <c r="AR73" s="555">
        <f t="shared" si="44"/>
        <v>0.17899999999999999</v>
      </c>
      <c r="AS73" s="546">
        <f t="shared" si="14"/>
        <v>29117</v>
      </c>
      <c r="AT73" s="546">
        <f t="shared" si="15"/>
        <v>29117</v>
      </c>
      <c r="AU73" s="546">
        <f t="shared" si="16"/>
        <v>7413.7745934280038</v>
      </c>
      <c r="AV73" s="546">
        <f t="shared" si="17"/>
        <v>21703.225406571997</v>
      </c>
      <c r="AW73" s="546">
        <f t="shared" ref="AW73:AW108" si="49">IF(AY73-AZ73&gt;$D$24,$D$24-AU73,IF(BI73=0,0,BA73)+BX121)</f>
        <v>0</v>
      </c>
      <c r="AX73" s="546">
        <v>0</v>
      </c>
      <c r="AY73" s="546">
        <f t="shared" si="18"/>
        <v>7413.7745934280038</v>
      </c>
      <c r="AZ73" s="546">
        <f t="shared" si="35"/>
        <v>0</v>
      </c>
      <c r="BA73" s="546">
        <f t="shared" si="34"/>
        <v>0</v>
      </c>
      <c r="BB73" s="546"/>
      <c r="BC73" s="546"/>
      <c r="BD73" s="546"/>
      <c r="BE73" s="546"/>
      <c r="BF73" s="546"/>
      <c r="BG73" s="546">
        <f t="shared" si="20"/>
        <v>482212.55235901859</v>
      </c>
      <c r="BH73" s="108">
        <f t="shared" si="29"/>
        <v>20</v>
      </c>
      <c r="BI73" s="108">
        <f t="shared" si="24"/>
        <v>20</v>
      </c>
      <c r="BJ73" s="22">
        <f t="shared" si="25"/>
        <v>46570</v>
      </c>
      <c r="BK73" s="108">
        <f t="shared" ref="BK73:BK114" si="50">K73</f>
        <v>29910</v>
      </c>
      <c r="BL73" s="2" t="e">
        <f>IF(AND(G28&gt;=$W$11,G28&lt;=$W$11+5),0,IF($C$9&gt;$AF$51,ROUND(BG27*IF(#REF!="",0,#REF!)/(DATEVALUE(CONCATENATE("01/01/",YEAR(AQ28)+1))-DATEVALUE(CONCATENATE("01/01/",YEAR(AQ28))))*(AQ28-AQ27),2),0))</f>
        <v>#REF!</v>
      </c>
    </row>
    <row r="74" spans="1:64" s="16" customFormat="1" x14ac:dyDescent="0.3">
      <c r="A74" s="178"/>
      <c r="B74" s="178"/>
      <c r="C74" s="184"/>
      <c r="D74" s="178"/>
      <c r="E74" s="178"/>
      <c r="F74" s="178"/>
      <c r="G74" s="244">
        <f t="shared" si="26"/>
        <v>66</v>
      </c>
      <c r="H74" s="245">
        <f t="shared" ref="H74:H92" si="51">IF((OR(DAY($AD$54)=29,DAY($AD$54)=30,DAY($AD$54)=31)),(EDATE($C$9-28,G74+1)),EDATE($C$9,G74))</f>
        <v>46601</v>
      </c>
      <c r="I74" s="246">
        <f t="shared" si="30"/>
        <v>0.17899999999999999</v>
      </c>
      <c r="J74" s="242">
        <f t="shared" ref="J74:J108" si="52">K74+Q74</f>
        <v>29910</v>
      </c>
      <c r="K74" s="242">
        <f t="shared" si="21"/>
        <v>29910</v>
      </c>
      <c r="L74" s="242">
        <f t="shared" ref="L74:L92" si="53">S73*($C$11/365*(H74-H73))</f>
        <v>7530.8186393439019</v>
      </c>
      <c r="M74" s="242">
        <f t="shared" si="22"/>
        <v>22379.181360656097</v>
      </c>
      <c r="N74" s="242">
        <f t="shared" si="47"/>
        <v>0</v>
      </c>
      <c r="O74" s="242">
        <v>0</v>
      </c>
      <c r="P74" s="242">
        <f t="shared" si="23"/>
        <v>7530.8186393439019</v>
      </c>
      <c r="Q74" s="242">
        <f t="shared" si="48"/>
        <v>0</v>
      </c>
      <c r="R74" s="242">
        <f t="shared" ref="R74:R108" si="54">IF(V74=0,0,0)</f>
        <v>0</v>
      </c>
      <c r="S74" s="242">
        <f t="shared" ref="S74" si="55">S73-M74-T74</f>
        <v>472980.12722837331</v>
      </c>
      <c r="T74" s="467"/>
      <c r="U74" s="36">
        <f t="shared" si="27"/>
        <v>19</v>
      </c>
      <c r="V74" s="36">
        <f t="shared" ref="V74:V107" si="56">U74</f>
        <v>19</v>
      </c>
      <c r="W74" s="2" t="e">
        <f>IF(AND(G39&gt;=$W$11,G39&lt;=$W$11+5),0,IF($C$9&gt;$AF$51,ROUND(S38*#REF!/(DATEVALUE(CONCATENATE("01/01/",YEAR(H39)+1))-DATEVALUE(CONCATENATE("01/01/",YEAR(H39))))*(H39-H38),2),0))</f>
        <v>#REF!</v>
      </c>
      <c r="X74" s="34">
        <f t="shared" si="41"/>
        <v>29910</v>
      </c>
      <c r="Y74" s="57">
        <f t="shared" si="39"/>
        <v>55906</v>
      </c>
      <c r="AC74" s="134">
        <v>1.2</v>
      </c>
      <c r="AD74" s="134">
        <v>1.5</v>
      </c>
      <c r="AE74" s="134">
        <v>1.3</v>
      </c>
      <c r="AF74" s="134">
        <v>1.2</v>
      </c>
      <c r="AG74" s="134">
        <v>0</v>
      </c>
      <c r="AH74" s="134">
        <v>1</v>
      </c>
      <c r="AI74" s="134">
        <v>1.5</v>
      </c>
      <c r="AJ74" s="134">
        <v>1.5</v>
      </c>
      <c r="AK74" s="15"/>
      <c r="AL74" s="2" t="e">
        <f>IF(AND(Y30&gt;=$W$11,Y30&lt;=$W$11+5),0,IF($C$9&gt;$AF$51,ROUND(AI34*#REF!/(DATEVALUE(CONCATENATE("01/01/",YEAR(Z30)+1))-DATEVALUE(CONCATENATE("01/01/",YEAR(Z30))))*(Z30-Z29),2),0))</f>
        <v>#REF!</v>
      </c>
      <c r="AM74" s="34">
        <f t="shared" si="43"/>
        <v>29117</v>
      </c>
      <c r="AN74" s="57">
        <f t="shared" si="42"/>
        <v>54446</v>
      </c>
      <c r="AO74" s="130">
        <f t="shared" ref="AO74:AO108" si="57">IF(OR(AT74="",AT74=0),0,1)</f>
        <v>1</v>
      </c>
      <c r="AP74" s="553">
        <f t="shared" si="28"/>
        <v>66</v>
      </c>
      <c r="AQ74" s="554">
        <f t="shared" ref="AQ74:AQ92" si="58">IF((OR(DAY($AD$54)=29,DAY($AD$54)=30,DAY($AD$54)=31)),(EDATE($C$9-28,AP74+1)),EDATE($C$9,AP74))</f>
        <v>46601</v>
      </c>
      <c r="AR74" s="555">
        <f t="shared" si="44"/>
        <v>0.17899999999999999</v>
      </c>
      <c r="AS74" s="546">
        <f t="shared" ref="AS74:AS108" si="59">AT74+AZ74</f>
        <v>29117</v>
      </c>
      <c r="AT74" s="546">
        <f t="shared" ref="AT74:AT92" si="60">IF(AP74&gt;$C$10,0,ROUNDUP($BG$8*$C$11/12/((1-(1+$C$11/12)^(0-$C$10))),0))</f>
        <v>29117</v>
      </c>
      <c r="AU74" s="546">
        <f t="shared" ref="AU74:AU92" si="61">BG73*($C$11/365*(AQ74-AQ73))</f>
        <v>7330.9519261375181</v>
      </c>
      <c r="AV74" s="546">
        <f t="shared" ref="AV74:AV108" si="62">IF(BI74=0,0,IF(BI74=1,BG73,IF(BG73+AW74+AU74&gt;AT73,AT74-AU74-AW74,BG73)))</f>
        <v>21786.048073862483</v>
      </c>
      <c r="AW74" s="546">
        <f t="shared" si="49"/>
        <v>0</v>
      </c>
      <c r="AX74" s="546">
        <v>0</v>
      </c>
      <c r="AY74" s="546">
        <f t="shared" si="18"/>
        <v>7330.9519261375181</v>
      </c>
      <c r="AZ74" s="546">
        <f t="shared" si="35"/>
        <v>0</v>
      </c>
      <c r="BA74" s="546">
        <f t="shared" si="34"/>
        <v>0</v>
      </c>
      <c r="BB74" s="546"/>
      <c r="BC74" s="546"/>
      <c r="BD74" s="546"/>
      <c r="BE74" s="546"/>
      <c r="BF74" s="546"/>
      <c r="BG74" s="546">
        <f t="shared" ref="BG74:BG108" si="63">IF(OR(BI74=1,BG73=0),0,BG73-AV74)</f>
        <v>460426.50428515609</v>
      </c>
      <c r="BH74" s="108">
        <f t="shared" si="29"/>
        <v>19</v>
      </c>
      <c r="BI74" s="108">
        <f t="shared" si="24"/>
        <v>19</v>
      </c>
      <c r="BJ74" s="22">
        <f t="shared" si="25"/>
        <v>46601</v>
      </c>
      <c r="BK74" s="108">
        <f t="shared" si="50"/>
        <v>29910</v>
      </c>
      <c r="BL74" s="2" t="e">
        <f>IF(AND(G29&gt;=$W$11,G29&lt;=$W$11+5),0,IF($C$9&gt;$AF$51,ROUND(BG28*IF(#REF!="",0,#REF!)/(DATEVALUE(CONCATENATE("01/01/",YEAR(AQ29)+1))-DATEVALUE(CONCATENATE("01/01/",YEAR(AQ29))))*(AQ29-AQ28),2),0))</f>
        <v>#REF!</v>
      </c>
    </row>
    <row r="75" spans="1:64" s="16" customFormat="1" x14ac:dyDescent="0.3">
      <c r="A75" s="178"/>
      <c r="B75" s="178"/>
      <c r="C75" s="184"/>
      <c r="D75" s="178"/>
      <c r="E75" s="178"/>
      <c r="F75" s="178"/>
      <c r="G75" s="244">
        <f t="shared" si="26"/>
        <v>67</v>
      </c>
      <c r="H75" s="245">
        <f t="shared" si="51"/>
        <v>46632</v>
      </c>
      <c r="I75" s="246">
        <f t="shared" si="30"/>
        <v>0.17899999999999999</v>
      </c>
      <c r="J75" s="242">
        <f t="shared" si="52"/>
        <v>29910</v>
      </c>
      <c r="K75" s="242">
        <f t="shared" ref="K75:K92" si="64">IF(G75&gt;$C$10,0,IF(T74=0,K74,ROUNDUP(S74*$C$11/12/((1-(1+$C$11/12)^(0-($C$10-G75)))),0)))</f>
        <v>29910</v>
      </c>
      <c r="L75" s="242">
        <f t="shared" si="53"/>
        <v>7190.5937698362841</v>
      </c>
      <c r="M75" s="242">
        <f t="shared" ref="M75:M92" si="65">IF(S74=0,0,IF(S74+L75&gt;K74,K75-L75,S74))</f>
        <v>22719.406230163717</v>
      </c>
      <c r="N75" s="242">
        <f t="shared" si="47"/>
        <v>0</v>
      </c>
      <c r="O75" s="242">
        <v>0</v>
      </c>
      <c r="P75" s="242">
        <f t="shared" si="23"/>
        <v>7190.5937698362841</v>
      </c>
      <c r="Q75" s="242">
        <f t="shared" si="48"/>
        <v>0</v>
      </c>
      <c r="R75" s="242">
        <f t="shared" si="54"/>
        <v>0</v>
      </c>
      <c r="S75" s="242">
        <f t="shared" ref="S75:S108" si="66">IF(OR(V75=1,S74=0),0,S74-M75)</f>
        <v>450260.72099820961</v>
      </c>
      <c r="T75" s="467"/>
      <c r="U75" s="36">
        <f t="shared" si="27"/>
        <v>18</v>
      </c>
      <c r="V75" s="36">
        <f t="shared" si="56"/>
        <v>18</v>
      </c>
      <c r="W75" s="2" t="e">
        <f>IF(AND(G40&gt;=$W$11,G40&lt;=$W$11+5),0,IF($C$9&gt;$AF$51,ROUND(S39*#REF!/(DATEVALUE(CONCATENATE("01/01/",YEAR(H40)+1))-DATEVALUE(CONCATENATE("01/01/",YEAR(H40))))*(H40-H39),2),0))</f>
        <v>#REF!</v>
      </c>
      <c r="X75" s="34">
        <f t="shared" si="41"/>
        <v>29910</v>
      </c>
      <c r="Y75" s="57">
        <f t="shared" si="39"/>
        <v>56271</v>
      </c>
      <c r="AC75" s="134">
        <v>1.1000000000000001</v>
      </c>
      <c r="AD75" s="134">
        <v>1.25</v>
      </c>
      <c r="AE75" s="134">
        <v>1.3</v>
      </c>
      <c r="AF75" s="134">
        <v>1.2</v>
      </c>
      <c r="AG75" s="134">
        <v>0</v>
      </c>
      <c r="AH75" s="134">
        <v>1</v>
      </c>
      <c r="AI75" s="134">
        <v>1.3</v>
      </c>
      <c r="AJ75" s="134">
        <v>1.3</v>
      </c>
      <c r="AK75" s="2"/>
      <c r="AL75" s="2" t="e">
        <f>IF(AND(Y31&gt;=$W$11,Y31&lt;=$W$11+5),0,IF($C$9&gt;$AF$51,ROUND(AI35*#REF!/(DATEVALUE(CONCATENATE("01/01/",YEAR(Z31)+1))-DATEVALUE(CONCATENATE("01/01/",YEAR(Z31))))*(Z31-Z30),2),0))</f>
        <v>#REF!</v>
      </c>
      <c r="AM75" s="34">
        <f t="shared" si="43"/>
        <v>29117</v>
      </c>
      <c r="AN75" s="57">
        <f t="shared" si="42"/>
        <v>54811</v>
      </c>
      <c r="AO75" s="130">
        <f t="shared" si="57"/>
        <v>1</v>
      </c>
      <c r="AP75" s="553">
        <f t="shared" si="28"/>
        <v>67</v>
      </c>
      <c r="AQ75" s="554">
        <f t="shared" si="58"/>
        <v>46632</v>
      </c>
      <c r="AR75" s="555">
        <f t="shared" si="44"/>
        <v>0.17899999999999999</v>
      </c>
      <c r="AS75" s="559">
        <f t="shared" si="59"/>
        <v>29117</v>
      </c>
      <c r="AT75" s="546">
        <f t="shared" si="60"/>
        <v>29117</v>
      </c>
      <c r="AU75" s="546">
        <f t="shared" si="61"/>
        <v>6999.7443076118661</v>
      </c>
      <c r="AV75" s="546">
        <f t="shared" si="62"/>
        <v>22117.255692388135</v>
      </c>
      <c r="AW75" s="559">
        <f t="shared" si="49"/>
        <v>0</v>
      </c>
      <c r="AX75" s="559">
        <v>0</v>
      </c>
      <c r="AY75" s="559">
        <f t="shared" si="18"/>
        <v>6999.7443076118661</v>
      </c>
      <c r="AZ75" s="559">
        <f t="shared" si="35"/>
        <v>0</v>
      </c>
      <c r="BA75" s="559">
        <f t="shared" si="34"/>
        <v>0</v>
      </c>
      <c r="BB75" s="559"/>
      <c r="BC75" s="559"/>
      <c r="BD75" s="559"/>
      <c r="BE75" s="559"/>
      <c r="BF75" s="559"/>
      <c r="BG75" s="546">
        <f t="shared" si="63"/>
        <v>438309.24859276798</v>
      </c>
      <c r="BH75" s="108">
        <f t="shared" si="29"/>
        <v>18</v>
      </c>
      <c r="BI75" s="108">
        <f t="shared" ref="BI75:BI114" si="67">BH75</f>
        <v>18</v>
      </c>
      <c r="BJ75" s="22">
        <f t="shared" ref="BJ75:BJ114" si="68">H75</f>
        <v>46632</v>
      </c>
      <c r="BK75" s="108">
        <f t="shared" si="50"/>
        <v>29910</v>
      </c>
      <c r="BL75" s="2" t="e">
        <f>IF(AND(G30&gt;=$W$11,G30&lt;=$W$11+5),0,IF($C$9&gt;$AF$51,ROUND(BG29*IF(#REF!="",0,#REF!)/(DATEVALUE(CONCATENATE("01/01/",YEAR(AQ30)+1))-DATEVALUE(CONCATENATE("01/01/",YEAR(AQ30))))*(AQ30-AQ29),2),0))</f>
        <v>#REF!</v>
      </c>
    </row>
    <row r="76" spans="1:64" s="16" customFormat="1" x14ac:dyDescent="0.3">
      <c r="A76" s="178"/>
      <c r="B76" s="178"/>
      <c r="C76" s="184"/>
      <c r="D76" s="178"/>
      <c r="E76" s="178"/>
      <c r="F76" s="178"/>
      <c r="G76" s="244">
        <f t="shared" ref="G76:G108" si="69">G75+1</f>
        <v>68</v>
      </c>
      <c r="H76" s="245">
        <f t="shared" si="51"/>
        <v>46662</v>
      </c>
      <c r="I76" s="246">
        <f t="shared" si="30"/>
        <v>0.17899999999999999</v>
      </c>
      <c r="J76" s="242">
        <f t="shared" si="52"/>
        <v>29910</v>
      </c>
      <c r="K76" s="242">
        <f t="shared" si="64"/>
        <v>29910</v>
      </c>
      <c r="L76" s="242">
        <f t="shared" si="53"/>
        <v>6624.3837582476317</v>
      </c>
      <c r="M76" s="242">
        <f t="shared" si="65"/>
        <v>23285.616241752366</v>
      </c>
      <c r="N76" s="242">
        <f t="shared" si="47"/>
        <v>0</v>
      </c>
      <c r="O76" s="242">
        <v>0</v>
      </c>
      <c r="P76" s="242">
        <f t="shared" si="23"/>
        <v>6624.3837582476317</v>
      </c>
      <c r="Q76" s="242">
        <f t="shared" si="48"/>
        <v>0</v>
      </c>
      <c r="R76" s="242">
        <f t="shared" si="54"/>
        <v>0</v>
      </c>
      <c r="S76" s="242">
        <f t="shared" si="66"/>
        <v>426975.10475645727</v>
      </c>
      <c r="T76" s="467"/>
      <c r="U76" s="36">
        <f t="shared" ref="U76:U108" si="70">IF((U75-1)&lt;0,0,U75-1)</f>
        <v>17</v>
      </c>
      <c r="V76" s="36">
        <f t="shared" si="56"/>
        <v>17</v>
      </c>
      <c r="W76" s="2" t="e">
        <f>IF(AND(G41&gt;=$W$11,G41&lt;=$W$11+5),0,IF($C$9&gt;$AF$51,ROUND(S40*#REF!/(DATEVALUE(CONCATENATE("01/01/",YEAR(H41)+1))-DATEVALUE(CONCATENATE("01/01/",YEAR(H41))))*(H41-H40),2),0))</f>
        <v>#REF!</v>
      </c>
      <c r="X76" s="34">
        <f t="shared" si="41"/>
        <v>29910</v>
      </c>
      <c r="Y76" s="57">
        <f t="shared" si="39"/>
        <v>56636</v>
      </c>
      <c r="AC76" s="134">
        <v>1</v>
      </c>
      <c r="AD76" s="134">
        <v>1.1000000000000001</v>
      </c>
      <c r="AE76" s="134">
        <v>1.3</v>
      </c>
      <c r="AF76" s="134">
        <v>1</v>
      </c>
      <c r="AG76" s="134">
        <v>0</v>
      </c>
      <c r="AH76" s="134">
        <v>1</v>
      </c>
      <c r="AI76" s="134">
        <v>1</v>
      </c>
      <c r="AJ76" s="134">
        <v>1</v>
      </c>
      <c r="AL76" s="2" t="e">
        <f>IF(AND(Y32&gt;=$W$11,Y32&lt;=$W$11+5),0,IF($C$9&gt;$AF$51,ROUND(AI36*#REF!/(DATEVALUE(CONCATENATE("01/01/",YEAR(Z32)+1))-DATEVALUE(CONCATENATE("01/01/",YEAR(Z32))))*(Z32-Z31),2),0))</f>
        <v>#N/A</v>
      </c>
      <c r="AM76" s="34">
        <f t="shared" si="43"/>
        <v>29117</v>
      </c>
      <c r="AN76" s="57">
        <f t="shared" si="42"/>
        <v>55176</v>
      </c>
      <c r="AO76" s="130">
        <f t="shared" si="57"/>
        <v>1</v>
      </c>
      <c r="AP76" s="553">
        <f t="shared" ref="AP76:AP108" si="71">AP75+1</f>
        <v>68</v>
      </c>
      <c r="AQ76" s="554">
        <f t="shared" si="58"/>
        <v>46662</v>
      </c>
      <c r="AR76" s="555">
        <f t="shared" si="44"/>
        <v>0.17899999999999999</v>
      </c>
      <c r="AS76" s="559">
        <f t="shared" si="59"/>
        <v>29117</v>
      </c>
      <c r="AT76" s="546">
        <f t="shared" si="60"/>
        <v>29117</v>
      </c>
      <c r="AU76" s="546">
        <f t="shared" si="61"/>
        <v>6448.5497669675724</v>
      </c>
      <c r="AV76" s="546">
        <f t="shared" si="62"/>
        <v>22668.450233032429</v>
      </c>
      <c r="AW76" s="559">
        <f t="shared" si="49"/>
        <v>0</v>
      </c>
      <c r="AX76" s="559">
        <v>0</v>
      </c>
      <c r="AY76" s="559">
        <f t="shared" si="18"/>
        <v>6448.5497669675724</v>
      </c>
      <c r="AZ76" s="559">
        <f t="shared" si="35"/>
        <v>0</v>
      </c>
      <c r="BA76" s="559">
        <f t="shared" si="34"/>
        <v>0</v>
      </c>
      <c r="BB76" s="559"/>
      <c r="BC76" s="559"/>
      <c r="BD76" s="559"/>
      <c r="BE76" s="559"/>
      <c r="BF76" s="559"/>
      <c r="BG76" s="546">
        <f t="shared" si="63"/>
        <v>415640.79835973558</v>
      </c>
      <c r="BH76" s="108">
        <f t="shared" ref="BH76:BH114" si="72">IF((BH75-1)&lt;0,0,BH75-1)</f>
        <v>17</v>
      </c>
      <c r="BI76" s="108">
        <f t="shared" si="67"/>
        <v>17</v>
      </c>
      <c r="BJ76" s="22">
        <f t="shared" si="68"/>
        <v>46662</v>
      </c>
      <c r="BK76" s="108">
        <f t="shared" si="50"/>
        <v>29910</v>
      </c>
      <c r="BL76" s="2" t="e">
        <f>IF(AND(G31&gt;=$W$11,G31&lt;=$W$11+5),0,IF($C$9&gt;$AF$51,ROUND(BG30*IF(#REF!="",0,#REF!)/(DATEVALUE(CONCATENATE("01/01/",YEAR(AQ31)+1))-DATEVALUE(CONCATENATE("01/01/",YEAR(AQ31))))*(AQ31-AQ30),2),0))</f>
        <v>#REF!</v>
      </c>
    </row>
    <row r="77" spans="1:64" s="16" customFormat="1" x14ac:dyDescent="0.3">
      <c r="A77" s="178"/>
      <c r="B77" s="178"/>
      <c r="C77" s="184"/>
      <c r="D77" s="178"/>
      <c r="E77" s="178"/>
      <c r="F77" s="178"/>
      <c r="G77" s="244">
        <f t="shared" si="69"/>
        <v>69</v>
      </c>
      <c r="H77" s="245">
        <f t="shared" si="51"/>
        <v>46693</v>
      </c>
      <c r="I77" s="246">
        <f t="shared" si="30"/>
        <v>0.17899999999999999</v>
      </c>
      <c r="J77" s="242">
        <f t="shared" si="52"/>
        <v>29910</v>
      </c>
      <c r="K77" s="242">
        <f t="shared" si="64"/>
        <v>29910</v>
      </c>
      <c r="L77" s="242">
        <f t="shared" si="53"/>
        <v>6491.1913871057022</v>
      </c>
      <c r="M77" s="242">
        <f t="shared" si="65"/>
        <v>23418.808612894296</v>
      </c>
      <c r="N77" s="242">
        <f t="shared" si="47"/>
        <v>0</v>
      </c>
      <c r="O77" s="242">
        <v>0</v>
      </c>
      <c r="P77" s="242">
        <f t="shared" si="23"/>
        <v>6491.1913871057022</v>
      </c>
      <c r="Q77" s="242">
        <f t="shared" si="48"/>
        <v>0</v>
      </c>
      <c r="R77" s="242">
        <f t="shared" si="54"/>
        <v>0</v>
      </c>
      <c r="S77" s="242">
        <f t="shared" si="66"/>
        <v>403556.296143563</v>
      </c>
      <c r="T77" s="467"/>
      <c r="U77" s="36">
        <f t="shared" si="70"/>
        <v>16</v>
      </c>
      <c r="V77" s="36">
        <f t="shared" si="56"/>
        <v>16</v>
      </c>
      <c r="W77" s="2" t="e">
        <f>IF(AND(G42&gt;=$W$11,G42&lt;=$W$11+5),0,IF($C$9&gt;$AF$51,ROUND(S41*#REF!/(DATEVALUE(CONCATENATE("01/01/",YEAR(H42)+1))-DATEVALUE(CONCATENATE("01/01/",YEAR(H42))))*(H42-H41),2),0))</f>
        <v>#REF!</v>
      </c>
      <c r="X77" s="34">
        <f t="shared" si="41"/>
        <v>29910</v>
      </c>
      <c r="Y77" s="57">
        <f t="shared" si="39"/>
        <v>57001</v>
      </c>
      <c r="AC77" s="16">
        <f>IF($C$7&gt;=$AA$71,AC76,IF($C$7&gt;=$AA$70,AC75,IF($C$7&gt;=$AA$69,AC74,IF($C$7&gt;=$AA$68,AC73,AC72))))</f>
        <v>1</v>
      </c>
      <c r="AD77" s="16">
        <v>1.3</v>
      </c>
      <c r="AE77" s="16">
        <f t="shared" ref="AE77:AI77" si="73">IF($C$7&gt;=$AA$71,AE76,IF($C$7&gt;=$AA$70,AE75,IF($C$7&gt;=$AA$69,AE74,IF($C$7&gt;=$AA$68,AE73,AE72))))</f>
        <v>1.3</v>
      </c>
      <c r="AF77" s="16">
        <f>IF($C$7&gt;=$AA$71,AF76,IF($C$7&gt;=$AA$70,AF75,IF($C$7&gt;=$AA$69,AF74,IF($C$7&gt;=$AA$68,AF73,AF72))))</f>
        <v>1</v>
      </c>
      <c r="AG77" s="16">
        <f t="shared" si="73"/>
        <v>0</v>
      </c>
      <c r="AH77" s="16">
        <f t="shared" si="73"/>
        <v>1</v>
      </c>
      <c r="AI77" s="16">
        <f t="shared" si="73"/>
        <v>1</v>
      </c>
      <c r="AJ77" s="16">
        <v>1</v>
      </c>
      <c r="AL77" s="2" t="e">
        <f>IF(AND(#REF!&gt;=$W$11,#REF!&lt;=$W$11+5),0,IF($C$9&gt;$AF$51,ROUND(AI37*#REF!/(DATEVALUE(CONCATENATE("01/01/",YEAR(#REF!)+1))-DATEVALUE(CONCATENATE("01/01/",YEAR(#REF!))))*(#REF!-Z32),2),0))</f>
        <v>#REF!</v>
      </c>
      <c r="AM77" s="34">
        <f t="shared" si="43"/>
        <v>29117</v>
      </c>
      <c r="AN77" s="57">
        <f t="shared" si="42"/>
        <v>55541</v>
      </c>
      <c r="AO77" s="130">
        <f t="shared" si="57"/>
        <v>1</v>
      </c>
      <c r="AP77" s="553">
        <f t="shared" si="71"/>
        <v>69</v>
      </c>
      <c r="AQ77" s="554">
        <f t="shared" si="58"/>
        <v>46693</v>
      </c>
      <c r="AR77" s="555">
        <f t="shared" si="44"/>
        <v>0.17899999999999999</v>
      </c>
      <c r="AS77" s="559">
        <f t="shared" si="59"/>
        <v>29117</v>
      </c>
      <c r="AT77" s="546">
        <f t="shared" si="60"/>
        <v>29117</v>
      </c>
      <c r="AU77" s="546">
        <f t="shared" si="61"/>
        <v>6318.8788769812954</v>
      </c>
      <c r="AV77" s="546">
        <f t="shared" si="62"/>
        <v>22798.121123018704</v>
      </c>
      <c r="AW77" s="559">
        <f t="shared" si="49"/>
        <v>0</v>
      </c>
      <c r="AX77" s="559">
        <v>0</v>
      </c>
      <c r="AY77" s="559">
        <f t="shared" si="18"/>
        <v>6318.8788769812954</v>
      </c>
      <c r="AZ77" s="559">
        <f t="shared" si="35"/>
        <v>0</v>
      </c>
      <c r="BA77" s="559">
        <f t="shared" si="34"/>
        <v>0</v>
      </c>
      <c r="BB77" s="559"/>
      <c r="BC77" s="559"/>
      <c r="BD77" s="559"/>
      <c r="BE77" s="559"/>
      <c r="BF77" s="559"/>
      <c r="BG77" s="546">
        <f t="shared" si="63"/>
        <v>392842.67723671685</v>
      </c>
      <c r="BH77" s="108">
        <f t="shared" si="72"/>
        <v>16</v>
      </c>
      <c r="BI77" s="108">
        <f t="shared" si="67"/>
        <v>16</v>
      </c>
      <c r="BJ77" s="22">
        <f t="shared" si="68"/>
        <v>46693</v>
      </c>
      <c r="BK77" s="108">
        <f t="shared" si="50"/>
        <v>29910</v>
      </c>
      <c r="BL77" s="2" t="e">
        <f>IF(AND(G32&gt;=$W$11,G32&lt;=$W$11+5),0,IF($C$9&gt;$AF$51,ROUND(BG31*IF(#REF!="",0,#REF!)/(DATEVALUE(CONCATENATE("01/01/",YEAR(AQ32)+1))-DATEVALUE(CONCATENATE("01/01/",YEAR(AQ32))))*(AQ32-AQ31),2),0))</f>
        <v>#REF!</v>
      </c>
    </row>
    <row r="78" spans="1:64" s="16" customFormat="1" x14ac:dyDescent="0.3">
      <c r="A78" s="178"/>
      <c r="B78" s="178"/>
      <c r="C78" s="184"/>
      <c r="D78" s="178"/>
      <c r="E78" s="178"/>
      <c r="F78" s="178"/>
      <c r="G78" s="244">
        <f t="shared" si="69"/>
        <v>70</v>
      </c>
      <c r="H78" s="245">
        <f t="shared" si="51"/>
        <v>46723</v>
      </c>
      <c r="I78" s="246">
        <f t="shared" si="30"/>
        <v>0.17899999999999999</v>
      </c>
      <c r="J78" s="242">
        <f t="shared" si="52"/>
        <v>29910</v>
      </c>
      <c r="K78" s="242">
        <f t="shared" si="64"/>
        <v>29910</v>
      </c>
      <c r="L78" s="242">
        <f t="shared" si="53"/>
        <v>5937.2529049066661</v>
      </c>
      <c r="M78" s="242">
        <f t="shared" si="65"/>
        <v>23972.747095093335</v>
      </c>
      <c r="N78" s="242">
        <f t="shared" si="47"/>
        <v>0</v>
      </c>
      <c r="O78" s="242">
        <v>0</v>
      </c>
      <c r="P78" s="242">
        <f t="shared" si="23"/>
        <v>5937.2529049066661</v>
      </c>
      <c r="Q78" s="242">
        <f t="shared" si="48"/>
        <v>0</v>
      </c>
      <c r="R78" s="242">
        <f t="shared" si="54"/>
        <v>0</v>
      </c>
      <c r="S78" s="242">
        <f t="shared" si="66"/>
        <v>379583.54904846963</v>
      </c>
      <c r="T78" s="467"/>
      <c r="U78" s="36">
        <f t="shared" si="70"/>
        <v>15</v>
      </c>
      <c r="V78" s="36">
        <f t="shared" si="56"/>
        <v>15</v>
      </c>
      <c r="W78" s="2" t="e">
        <f>IF(AND(G43&gt;=$W$11,G43&lt;=$W$11+5),0,IF($C$9&gt;$AF$51,ROUND(S42*#REF!/(DATEVALUE(CONCATENATE("01/01/",YEAR(H43)+1))-DATEVALUE(CONCATENATE("01/01/",YEAR(H43))))*(H43-H42),2),0))</f>
        <v>#REF!</v>
      </c>
      <c r="X78" s="34">
        <f t="shared" si="41"/>
        <v>29910</v>
      </c>
      <c r="Y78" s="57">
        <f t="shared" si="39"/>
        <v>57366</v>
      </c>
      <c r="AC78" s="16" t="s">
        <v>330</v>
      </c>
      <c r="AD78" s="16" t="s">
        <v>112</v>
      </c>
      <c r="AE78" s="16" t="s">
        <v>116</v>
      </c>
      <c r="AG78" s="16" t="s">
        <v>113</v>
      </c>
      <c r="AH78" s="16" t="s">
        <v>122</v>
      </c>
      <c r="AI78" s="16" t="s">
        <v>121</v>
      </c>
      <c r="AL78" s="2" t="e">
        <f>IF(AND(#REF!&gt;=$W$11,#REF!&lt;=$W$11+5),0,IF($C$9&gt;$AF$51,ROUND(AI38*#REF!/(DATEVALUE(CONCATENATE("01/01/",YEAR(#REF!)+1))-DATEVALUE(CONCATENATE("01/01/",YEAR(#REF!))))*(#REF!-#REF!),2),0))</f>
        <v>#REF!</v>
      </c>
      <c r="AM78" s="34">
        <f t="shared" si="43"/>
        <v>29117</v>
      </c>
      <c r="AN78" s="57">
        <f t="shared" si="42"/>
        <v>55906</v>
      </c>
      <c r="AO78" s="130">
        <f t="shared" si="57"/>
        <v>1</v>
      </c>
      <c r="AP78" s="553">
        <f t="shared" si="71"/>
        <v>70</v>
      </c>
      <c r="AQ78" s="554">
        <f t="shared" si="58"/>
        <v>46723</v>
      </c>
      <c r="AR78" s="555">
        <f t="shared" si="44"/>
        <v>0.17899999999999999</v>
      </c>
      <c r="AS78" s="559">
        <f t="shared" si="59"/>
        <v>29117</v>
      </c>
      <c r="AT78" s="546">
        <f t="shared" si="60"/>
        <v>29117</v>
      </c>
      <c r="AU78" s="546">
        <f t="shared" si="61"/>
        <v>5779.6306212634781</v>
      </c>
      <c r="AV78" s="546">
        <f t="shared" si="62"/>
        <v>23337.369378736523</v>
      </c>
      <c r="AW78" s="559">
        <f t="shared" si="49"/>
        <v>0</v>
      </c>
      <c r="AX78" s="559">
        <v>0</v>
      </c>
      <c r="AY78" s="559">
        <f t="shared" si="18"/>
        <v>5779.6306212634781</v>
      </c>
      <c r="AZ78" s="559">
        <f t="shared" si="35"/>
        <v>0</v>
      </c>
      <c r="BA78" s="559">
        <f t="shared" si="34"/>
        <v>0</v>
      </c>
      <c r="BB78" s="559"/>
      <c r="BC78" s="559"/>
      <c r="BD78" s="559"/>
      <c r="BE78" s="559"/>
      <c r="BF78" s="559"/>
      <c r="BG78" s="546">
        <f t="shared" si="63"/>
        <v>369505.30785798031</v>
      </c>
      <c r="BH78" s="108">
        <f t="shared" si="72"/>
        <v>15</v>
      </c>
      <c r="BI78" s="108">
        <f t="shared" si="67"/>
        <v>15</v>
      </c>
      <c r="BJ78" s="22">
        <f t="shared" si="68"/>
        <v>46723</v>
      </c>
      <c r="BK78" s="108">
        <f t="shared" si="50"/>
        <v>29910</v>
      </c>
      <c r="BL78" s="2" t="e">
        <f>IF(AND(G33&gt;=$W$11,G33&lt;=$W$11+5),0,IF($C$9&gt;$AF$51,ROUND(BG32*IF(#REF!="",0,#REF!)/(DATEVALUE(CONCATENATE("01/01/",YEAR(AQ33)+1))-DATEVALUE(CONCATENATE("01/01/",YEAR(AQ33))))*(AQ33-AQ32),2),0))</f>
        <v>#REF!</v>
      </c>
    </row>
    <row r="79" spans="1:64" s="16" customFormat="1" x14ac:dyDescent="0.3">
      <c r="A79" s="178"/>
      <c r="B79" s="178"/>
      <c r="C79" s="184"/>
      <c r="D79" s="178"/>
      <c r="E79" s="178"/>
      <c r="F79" s="178"/>
      <c r="G79" s="244">
        <f t="shared" si="69"/>
        <v>71</v>
      </c>
      <c r="H79" s="245">
        <f t="shared" si="51"/>
        <v>46754</v>
      </c>
      <c r="I79" s="246">
        <f t="shared" ref="I79:I108" si="74">IF(AND($W$11=1,G79&gt;=$W$11,G79&lt;=$W$11+5),0%,$C$11)</f>
        <v>0.17899999999999999</v>
      </c>
      <c r="J79" s="242">
        <f t="shared" si="52"/>
        <v>29910</v>
      </c>
      <c r="K79" s="242">
        <f t="shared" si="64"/>
        <v>29910</v>
      </c>
      <c r="L79" s="242">
        <f t="shared" si="53"/>
        <v>5770.7099004656384</v>
      </c>
      <c r="M79" s="242">
        <f t="shared" si="65"/>
        <v>24139.290099534363</v>
      </c>
      <c r="N79" s="242">
        <f t="shared" si="47"/>
        <v>0</v>
      </c>
      <c r="O79" s="242">
        <v>0</v>
      </c>
      <c r="P79" s="242">
        <f t="shared" si="23"/>
        <v>5770.7099004656384</v>
      </c>
      <c r="Q79" s="242">
        <f t="shared" si="48"/>
        <v>0</v>
      </c>
      <c r="R79" s="242">
        <f t="shared" si="54"/>
        <v>0</v>
      </c>
      <c r="S79" s="242">
        <f t="shared" si="66"/>
        <v>355444.25894893525</v>
      </c>
      <c r="T79" s="467"/>
      <c r="U79" s="36">
        <f t="shared" si="70"/>
        <v>14</v>
      </c>
      <c r="V79" s="36">
        <f t="shared" si="56"/>
        <v>14</v>
      </c>
      <c r="W79" s="2" t="e">
        <f>IF(AND(G44&gt;=$W$11,G44&lt;=$W$11+5),0,IF($C$9&gt;$AF$51,ROUND(S43*#REF!/(DATEVALUE(CONCATENATE("01/01/",YEAR(H44)+1))-DATEVALUE(CONCATENATE("01/01/",YEAR(H44))))*(H44-H43),2),0))</f>
        <v>#REF!</v>
      </c>
      <c r="X79" s="34">
        <f t="shared" si="41"/>
        <v>29910</v>
      </c>
      <c r="Y79" s="57">
        <f t="shared" si="39"/>
        <v>57731</v>
      </c>
      <c r="AC79" s="143">
        <f>MIN($C$7*IF($C$7&gt;$AB$71,AC76,IF($C$7&gt;$AB$70,AC75,IF($C$7&gt;$AB$69,AC74,IF($C$7&gt;$AB$68,AC73,AC72)))),5000000)</f>
        <v>1100000</v>
      </c>
      <c r="AD79" s="143">
        <f>MIN($C$7*IF($C$7&gt;$AB$72,AD77,IF($C$7&gt;$AB$77,AD76,IF($C$7&gt;$AB$70,AD75,IF($C$7&gt;$AB$69,AD74,IF($C$7&gt;$AB$68,AD73,AD72))))),5000000)</f>
        <v>1430000</v>
      </c>
      <c r="AE79" s="143">
        <f>MIN(3000000,$C$7*IF($C$7&gt;=$AA$71,AE76,IF($C$7&gt;=$AA$70,AE75,IF($C$7&gt;=$AA$69,AE74,IF($C$7&gt;=$AA$68,AE73,AE72)))))</f>
        <v>1430000</v>
      </c>
      <c r="AF79" s="143">
        <f>MIN(5000000,$C$7*IF($C$7&gt;500000,AF76,IF($C$7&gt;200000,AF75,AF72)))</f>
        <v>1100000</v>
      </c>
      <c r="AG79" s="143">
        <f>MIN(3000000,$C$7*IF($C$7&gt;=$AA$71,AG76,IF($C$7&gt;=$AA$70,AG75,IF($C$7&gt;=$AA$69,AG74,IF($C$7&gt;=$AA$68,AG73,AG72)))))</f>
        <v>0</v>
      </c>
      <c r="AH79" s="143">
        <f>$C$7*IF($C$7&gt;=$AA$71,AH76,IF($C$7&gt;=$AA$70,AH75,IF($C$7&gt;=$AA$69,AH74,IF($C$7&gt;=$AA$68,AH73,AH72))))</f>
        <v>1100000</v>
      </c>
      <c r="AI79" s="143">
        <f>$C$7*IF($C$7&gt;=$AA$71,AI76,IF($C$7&gt;=$AA$70,AI75,IF($C$7&gt;=$AA$69,AI74,IF($C$7&gt;=$AA$68,AI73,AI72))))</f>
        <v>1100000</v>
      </c>
      <c r="AL79" s="2" t="e">
        <f>IF(AND(#REF!&gt;=$W$11,#REF!&lt;=$W$11+5),0,IF($C$9&gt;$AF$51,ROUND(AI39*#REF!/(DATEVALUE(CONCATENATE("01/01/",YEAR(#REF!)+1))-DATEVALUE(CONCATENATE("01/01/",YEAR(#REF!))))*(#REF!-#REF!),2),0))</f>
        <v>#REF!</v>
      </c>
      <c r="AM79" s="34">
        <f t="shared" si="43"/>
        <v>29117</v>
      </c>
      <c r="AN79" s="57">
        <f t="shared" si="42"/>
        <v>56271</v>
      </c>
      <c r="AO79" s="130">
        <f t="shared" si="57"/>
        <v>1</v>
      </c>
      <c r="AP79" s="553">
        <f t="shared" si="71"/>
        <v>71</v>
      </c>
      <c r="AQ79" s="554">
        <f t="shared" si="58"/>
        <v>46754</v>
      </c>
      <c r="AR79" s="555">
        <f t="shared" si="44"/>
        <v>0.17899999999999999</v>
      </c>
      <c r="AS79" s="559">
        <f t="shared" si="59"/>
        <v>29117</v>
      </c>
      <c r="AT79" s="546">
        <f t="shared" si="60"/>
        <v>29117</v>
      </c>
      <c r="AU79" s="546">
        <f t="shared" si="61"/>
        <v>5617.493022750501</v>
      </c>
      <c r="AV79" s="546">
        <f t="shared" si="62"/>
        <v>23499.506977249497</v>
      </c>
      <c r="AW79" s="559">
        <f t="shared" si="49"/>
        <v>0</v>
      </c>
      <c r="AX79" s="559">
        <v>0</v>
      </c>
      <c r="AY79" s="559">
        <f t="shared" si="18"/>
        <v>5617.493022750501</v>
      </c>
      <c r="AZ79" s="559">
        <f t="shared" si="35"/>
        <v>0</v>
      </c>
      <c r="BA79" s="559">
        <f t="shared" si="34"/>
        <v>0</v>
      </c>
      <c r="BB79" s="559"/>
      <c r="BC79" s="559"/>
      <c r="BD79" s="559"/>
      <c r="BE79" s="559"/>
      <c r="BF79" s="559"/>
      <c r="BG79" s="546">
        <f t="shared" si="63"/>
        <v>346005.80088073079</v>
      </c>
      <c r="BH79" s="108">
        <f t="shared" si="72"/>
        <v>14</v>
      </c>
      <c r="BI79" s="108">
        <f t="shared" si="67"/>
        <v>14</v>
      </c>
      <c r="BJ79" s="22">
        <f t="shared" si="68"/>
        <v>46754</v>
      </c>
      <c r="BK79" s="108">
        <f t="shared" si="50"/>
        <v>29910</v>
      </c>
      <c r="BL79" s="2" t="e">
        <f>IF(AND(G34&gt;=$W$11,G34&lt;=$W$11+5),0,IF($C$9&gt;$AF$51,ROUND(BG33*IF(#REF!="",0,#REF!)/(DATEVALUE(CONCATENATE("01/01/",YEAR(AQ34)+1))-DATEVALUE(CONCATENATE("01/01/",YEAR(AQ34))))*(AQ34-AQ33),2),0))</f>
        <v>#REF!</v>
      </c>
    </row>
    <row r="80" spans="1:64" s="16" customFormat="1" ht="13.8" thickBot="1" x14ac:dyDescent="0.35">
      <c r="A80" s="178"/>
      <c r="B80" s="178"/>
      <c r="C80" s="184"/>
      <c r="D80" s="178"/>
      <c r="E80" s="178"/>
      <c r="F80" s="178"/>
      <c r="G80" s="248">
        <f t="shared" si="69"/>
        <v>72</v>
      </c>
      <c r="H80" s="581">
        <f t="shared" si="51"/>
        <v>46785</v>
      </c>
      <c r="I80" s="250">
        <f t="shared" si="74"/>
        <v>0.17899999999999999</v>
      </c>
      <c r="J80" s="242">
        <f t="shared" si="52"/>
        <v>29910</v>
      </c>
      <c r="K80" s="252">
        <f t="shared" si="64"/>
        <v>29910</v>
      </c>
      <c r="L80" s="252">
        <f t="shared" si="53"/>
        <v>5403.7265559113475</v>
      </c>
      <c r="M80" s="252">
        <f t="shared" si="65"/>
        <v>24506.273444088652</v>
      </c>
      <c r="N80" s="252">
        <f t="shared" si="47"/>
        <v>0</v>
      </c>
      <c r="O80" s="252">
        <v>0</v>
      </c>
      <c r="P80" s="252">
        <f t="shared" si="23"/>
        <v>5403.7265559113475</v>
      </c>
      <c r="Q80" s="252">
        <f t="shared" si="48"/>
        <v>0</v>
      </c>
      <c r="R80" s="252">
        <f t="shared" si="54"/>
        <v>0</v>
      </c>
      <c r="S80" s="252">
        <f t="shared" si="66"/>
        <v>330937.98550484661</v>
      </c>
      <c r="T80" s="252"/>
      <c r="U80" s="36">
        <f t="shared" si="70"/>
        <v>13</v>
      </c>
      <c r="V80" s="36">
        <f t="shared" si="56"/>
        <v>13</v>
      </c>
      <c r="W80" s="2" t="e">
        <f>IF(AND(G45&gt;=$W$11,G45&lt;=$W$11+5),0,IF($C$9&gt;$AF$51,ROUND(S44*#REF!/(DATEVALUE(CONCATENATE("01/01/",YEAR(H45)+1))-DATEVALUE(CONCATENATE("01/01/",YEAR(H45))))*(H45-H44),2),0))</f>
        <v>#REF!</v>
      </c>
      <c r="X80" s="34">
        <f t="shared" si="41"/>
        <v>29910</v>
      </c>
      <c r="Y80" s="57">
        <f t="shared" si="39"/>
        <v>58096</v>
      </c>
      <c r="AL80" s="2" t="e">
        <f>IF(AND(#REF!&gt;=$W$11,#REF!&lt;=$W$11+5),0,IF($C$9&gt;$AF$51,ROUND(AI40*#REF!/(DATEVALUE(CONCATENATE("01/01/",YEAR(#REF!)+1))-DATEVALUE(CONCATENATE("01/01/",YEAR(#REF!))))*(#REF!-#REF!),2),0))</f>
        <v>#REF!</v>
      </c>
      <c r="AM80" s="34">
        <f t="shared" si="43"/>
        <v>29117</v>
      </c>
      <c r="AN80" s="57">
        <f t="shared" si="42"/>
        <v>56636</v>
      </c>
      <c r="AO80" s="130">
        <f t="shared" si="57"/>
        <v>1</v>
      </c>
      <c r="AP80" s="556">
        <f t="shared" si="71"/>
        <v>72</v>
      </c>
      <c r="AQ80" s="582">
        <f t="shared" si="58"/>
        <v>46785</v>
      </c>
      <c r="AR80" s="557">
        <f t="shared" si="44"/>
        <v>0.17899999999999999</v>
      </c>
      <c r="AS80" s="560">
        <f t="shared" si="59"/>
        <v>29117</v>
      </c>
      <c r="AT80" s="547">
        <f t="shared" si="60"/>
        <v>29117</v>
      </c>
      <c r="AU80" s="547">
        <f t="shared" si="61"/>
        <v>5260.2361344854116</v>
      </c>
      <c r="AV80" s="547">
        <f t="shared" si="62"/>
        <v>23856.763865514589</v>
      </c>
      <c r="AW80" s="560">
        <f t="shared" si="49"/>
        <v>0</v>
      </c>
      <c r="AX80" s="560">
        <v>0</v>
      </c>
      <c r="AY80" s="560">
        <f t="shared" si="18"/>
        <v>5260.2361344854116</v>
      </c>
      <c r="AZ80" s="560">
        <f t="shared" si="35"/>
        <v>0</v>
      </c>
      <c r="BA80" s="560">
        <f t="shared" si="34"/>
        <v>0</v>
      </c>
      <c r="BB80" s="560"/>
      <c r="BC80" s="560"/>
      <c r="BD80" s="560"/>
      <c r="BE80" s="560"/>
      <c r="BF80" s="560"/>
      <c r="BG80" s="547">
        <f t="shared" si="63"/>
        <v>322149.03701521619</v>
      </c>
      <c r="BH80" s="108">
        <f t="shared" si="72"/>
        <v>13</v>
      </c>
      <c r="BI80" s="108">
        <f t="shared" si="67"/>
        <v>13</v>
      </c>
      <c r="BJ80" s="22">
        <f t="shared" si="68"/>
        <v>46785</v>
      </c>
      <c r="BK80" s="108">
        <f t="shared" si="50"/>
        <v>29910</v>
      </c>
      <c r="BL80" s="2" t="e">
        <f>IF(AND(G35&gt;=$W$11,G35&lt;=$W$11+5),0,IF($C$9&gt;$AF$51,ROUND(BG34*IF(#REF!="",0,#REF!)/(DATEVALUE(CONCATENATE("01/01/",YEAR(AQ35)+1))-DATEVALUE(CONCATENATE("01/01/",YEAR(AQ35))))*(AQ35-AQ34),2),0))</f>
        <v>#REF!</v>
      </c>
    </row>
    <row r="81" spans="1:64" s="16" customFormat="1" x14ac:dyDescent="0.3">
      <c r="A81" s="178"/>
      <c r="B81" s="178"/>
      <c r="C81" s="184"/>
      <c r="D81" s="178"/>
      <c r="E81" s="178"/>
      <c r="F81" s="178"/>
      <c r="G81" s="244">
        <f t="shared" si="69"/>
        <v>73</v>
      </c>
      <c r="H81" s="245">
        <f t="shared" si="51"/>
        <v>46814</v>
      </c>
      <c r="I81" s="246">
        <f t="shared" si="74"/>
        <v>0.17899999999999999</v>
      </c>
      <c r="J81" s="242">
        <f t="shared" si="52"/>
        <v>29910</v>
      </c>
      <c r="K81" s="242">
        <f t="shared" si="64"/>
        <v>29910</v>
      </c>
      <c r="L81" s="242">
        <f t="shared" si="53"/>
        <v>4706.5728294675582</v>
      </c>
      <c r="M81" s="242">
        <f t="shared" si="65"/>
        <v>25203.427170532443</v>
      </c>
      <c r="N81" s="242">
        <f t="shared" si="47"/>
        <v>0</v>
      </c>
      <c r="O81" s="242">
        <v>0</v>
      </c>
      <c r="P81" s="242">
        <f t="shared" si="23"/>
        <v>4706.5728294675582</v>
      </c>
      <c r="Q81" s="242">
        <f t="shared" si="48"/>
        <v>0</v>
      </c>
      <c r="R81" s="242">
        <f t="shared" si="54"/>
        <v>0</v>
      </c>
      <c r="S81" s="242">
        <f t="shared" si="66"/>
        <v>305734.55833431415</v>
      </c>
      <c r="T81" s="467"/>
      <c r="U81" s="36">
        <f t="shared" si="70"/>
        <v>12</v>
      </c>
      <c r="V81" s="36">
        <f t="shared" si="56"/>
        <v>12</v>
      </c>
      <c r="W81" s="2" t="e">
        <f>IF(AND(G46&gt;=$W$11,G46&lt;=$W$11+5),0,IF($C$9&gt;$AF$51,ROUND(S45*#REF!/(DATEVALUE(CONCATENATE("01/01/",YEAR(H46)+1))-DATEVALUE(CONCATENATE("01/01/",YEAR(H46))))*(H46-H45),2),0))</f>
        <v>#REF!</v>
      </c>
      <c r="X81" s="34">
        <f t="shared" si="41"/>
        <v>29910</v>
      </c>
      <c r="Y81" s="57">
        <f t="shared" si="39"/>
        <v>58461</v>
      </c>
      <c r="AL81" s="2" t="e">
        <f>IF(AND(#REF!&gt;=$W$11,#REF!&lt;=$W$11+5),0,IF($C$9&gt;$AF$51,ROUND(AI41*#REF!/(DATEVALUE(CONCATENATE("01/01/",YEAR(#REF!)+1))-DATEVALUE(CONCATENATE("01/01/",YEAR(#REF!))))*(#REF!-#REF!),2),0))</f>
        <v>#REF!</v>
      </c>
      <c r="AM81" s="34">
        <f t="shared" si="43"/>
        <v>29117</v>
      </c>
      <c r="AN81" s="57">
        <f t="shared" si="42"/>
        <v>57001</v>
      </c>
      <c r="AO81" s="130">
        <f t="shared" si="57"/>
        <v>1</v>
      </c>
      <c r="AP81" s="553">
        <f t="shared" si="71"/>
        <v>73</v>
      </c>
      <c r="AQ81" s="554">
        <f t="shared" si="58"/>
        <v>46814</v>
      </c>
      <c r="AR81" s="555">
        <f t="shared" si="44"/>
        <v>0.17899999999999999</v>
      </c>
      <c r="AS81" s="559">
        <f t="shared" si="59"/>
        <v>29117</v>
      </c>
      <c r="AT81" s="546">
        <f t="shared" si="60"/>
        <v>29117</v>
      </c>
      <c r="AU81" s="546">
        <f t="shared" si="61"/>
        <v>4581.5771264273626</v>
      </c>
      <c r="AV81" s="546">
        <f t="shared" si="62"/>
        <v>24535.422873572636</v>
      </c>
      <c r="AW81" s="559">
        <f t="shared" si="49"/>
        <v>0</v>
      </c>
      <c r="AX81" s="559">
        <v>0</v>
      </c>
      <c r="AY81" s="559">
        <f t="shared" si="18"/>
        <v>4581.5771264273626</v>
      </c>
      <c r="AZ81" s="559">
        <f t="shared" si="35"/>
        <v>0</v>
      </c>
      <c r="BA81" s="559">
        <f t="shared" si="34"/>
        <v>0</v>
      </c>
      <c r="BB81" s="559"/>
      <c r="BC81" s="559"/>
      <c r="BD81" s="559"/>
      <c r="BE81" s="559"/>
      <c r="BF81" s="559"/>
      <c r="BG81" s="546">
        <f t="shared" si="63"/>
        <v>297613.61414164357</v>
      </c>
      <c r="BH81" s="108">
        <f t="shared" si="72"/>
        <v>12</v>
      </c>
      <c r="BI81" s="108">
        <f t="shared" si="67"/>
        <v>12</v>
      </c>
      <c r="BJ81" s="22">
        <f t="shared" si="68"/>
        <v>46814</v>
      </c>
      <c r="BK81" s="108">
        <f t="shared" si="50"/>
        <v>29910</v>
      </c>
      <c r="BL81" s="2" t="e">
        <f>IF(AND(G36&gt;=$W$11,G36&lt;=$W$11+5),0,IF($C$9&gt;$AF$51,ROUND(BG35*IF(#REF!="",0,#REF!)/(DATEVALUE(CONCATENATE("01/01/",YEAR(AQ36)+1))-DATEVALUE(CONCATENATE("01/01/",YEAR(AQ36))))*(AQ36-AQ35),2),0))</f>
        <v>#REF!</v>
      </c>
    </row>
    <row r="82" spans="1:64" s="16" customFormat="1" x14ac:dyDescent="0.3">
      <c r="A82" s="183"/>
      <c r="B82" s="180"/>
      <c r="C82" s="184"/>
      <c r="D82" s="182"/>
      <c r="E82" s="178"/>
      <c r="F82" s="178"/>
      <c r="G82" s="244">
        <f t="shared" si="69"/>
        <v>74</v>
      </c>
      <c r="H82" s="245">
        <f t="shared" si="51"/>
        <v>46845</v>
      </c>
      <c r="I82" s="246">
        <f t="shared" si="74"/>
        <v>0.17899999999999999</v>
      </c>
      <c r="J82" s="242">
        <f t="shared" si="52"/>
        <v>29910</v>
      </c>
      <c r="K82" s="242">
        <f t="shared" si="64"/>
        <v>29910</v>
      </c>
      <c r="L82" s="242">
        <f t="shared" si="53"/>
        <v>4648.0029156085184</v>
      </c>
      <c r="M82" s="242">
        <f t="shared" si="65"/>
        <v>25261.997084391482</v>
      </c>
      <c r="N82" s="242">
        <f t="shared" si="47"/>
        <v>0</v>
      </c>
      <c r="O82" s="242">
        <v>0</v>
      </c>
      <c r="P82" s="242">
        <f t="shared" si="23"/>
        <v>4648.0029156085184</v>
      </c>
      <c r="Q82" s="242">
        <f t="shared" si="48"/>
        <v>0</v>
      </c>
      <c r="R82" s="242">
        <f t="shared" si="54"/>
        <v>0</v>
      </c>
      <c r="S82" s="242">
        <f t="shared" si="66"/>
        <v>280472.56124992267</v>
      </c>
      <c r="T82" s="467"/>
      <c r="U82" s="36">
        <f t="shared" si="70"/>
        <v>11</v>
      </c>
      <c r="V82" s="36">
        <f t="shared" si="56"/>
        <v>11</v>
      </c>
      <c r="W82" s="2" t="e">
        <f>IF(AND(G47&gt;=$W$11,G47&lt;=$W$11+5),0,IF($C$9&gt;$AF$51,ROUND(S46*#REF!/(DATEVALUE(CONCATENATE("01/01/",YEAR(H47)+1))-DATEVALUE(CONCATENATE("01/01/",YEAR(H47))))*(H47-H46),2),0))</f>
        <v>#REF!</v>
      </c>
      <c r="X82" s="34">
        <f t="shared" si="41"/>
        <v>29910</v>
      </c>
      <c r="Y82" s="57">
        <f t="shared" si="39"/>
        <v>58826</v>
      </c>
      <c r="Z82" s="60">
        <v>43858</v>
      </c>
      <c r="AE82" s="16">
        <f>500000*0.3*60</f>
        <v>9000000</v>
      </c>
      <c r="AL82" s="2" t="e">
        <f>IF(AND(#REF!&gt;=$W$11,#REF!&lt;=$W$11+5),0,IF($C$9&gt;$AF$51,ROUND(AI42*#REF!/(DATEVALUE(CONCATENATE("01/01/",YEAR(#REF!)+1))-DATEVALUE(CONCATENATE("01/01/",YEAR(#REF!))))*(#REF!-#REF!),2),0))</f>
        <v>#REF!</v>
      </c>
      <c r="AM82" s="34">
        <f t="shared" si="43"/>
        <v>29117</v>
      </c>
      <c r="AN82" s="57">
        <f t="shared" si="42"/>
        <v>57366</v>
      </c>
      <c r="AO82" s="130">
        <f t="shared" si="57"/>
        <v>1</v>
      </c>
      <c r="AP82" s="553">
        <f t="shared" si="71"/>
        <v>74</v>
      </c>
      <c r="AQ82" s="554">
        <f t="shared" si="58"/>
        <v>46845</v>
      </c>
      <c r="AR82" s="555">
        <f t="shared" si="44"/>
        <v>0.17899999999999999</v>
      </c>
      <c r="AS82" s="559">
        <f t="shared" si="59"/>
        <v>29117</v>
      </c>
      <c r="AT82" s="546">
        <f t="shared" si="60"/>
        <v>29117</v>
      </c>
      <c r="AU82" s="546">
        <f t="shared" si="61"/>
        <v>4524.5423147177544</v>
      </c>
      <c r="AV82" s="546">
        <f t="shared" si="62"/>
        <v>24592.457685282247</v>
      </c>
      <c r="AW82" s="559">
        <f t="shared" si="49"/>
        <v>0</v>
      </c>
      <c r="AX82" s="559">
        <v>0</v>
      </c>
      <c r="AY82" s="559">
        <f t="shared" si="18"/>
        <v>4524.5423147177544</v>
      </c>
      <c r="AZ82" s="559">
        <f t="shared" si="35"/>
        <v>0</v>
      </c>
      <c r="BA82" s="559">
        <f t="shared" si="34"/>
        <v>0</v>
      </c>
      <c r="BB82" s="559"/>
      <c r="BC82" s="559"/>
      <c r="BD82" s="559"/>
      <c r="BE82" s="559"/>
      <c r="BF82" s="559"/>
      <c r="BG82" s="546">
        <f t="shared" si="63"/>
        <v>273021.15645636135</v>
      </c>
      <c r="BH82" s="108">
        <f t="shared" si="72"/>
        <v>11</v>
      </c>
      <c r="BI82" s="108">
        <f t="shared" si="67"/>
        <v>11</v>
      </c>
      <c r="BJ82" s="22">
        <f t="shared" si="68"/>
        <v>46845</v>
      </c>
      <c r="BK82" s="108">
        <f t="shared" si="50"/>
        <v>29910</v>
      </c>
      <c r="BL82" s="2" t="e">
        <f>IF(AND(G37&gt;=$W$11,G37&lt;=$W$11+5),0,IF($C$9&gt;$AF$51,ROUND(BG36*IF(#REF!="",0,#REF!)/(DATEVALUE(CONCATENATE("01/01/",YEAR(AQ37)+1))-DATEVALUE(CONCATENATE("01/01/",YEAR(AQ37))))*(AQ37-AQ36),2),0))</f>
        <v>#REF!</v>
      </c>
    </row>
    <row r="83" spans="1:64" s="16" customFormat="1" x14ac:dyDescent="0.3">
      <c r="A83" s="183"/>
      <c r="B83" s="178"/>
      <c r="C83" s="184"/>
      <c r="D83" s="178"/>
      <c r="E83" s="178"/>
      <c r="F83" s="178"/>
      <c r="G83" s="244">
        <f t="shared" si="69"/>
        <v>75</v>
      </c>
      <c r="H83" s="245">
        <f t="shared" si="51"/>
        <v>46875</v>
      </c>
      <c r="I83" s="246">
        <f t="shared" si="74"/>
        <v>0.17899999999999999</v>
      </c>
      <c r="J83" s="242">
        <f t="shared" si="52"/>
        <v>29910</v>
      </c>
      <c r="K83" s="242">
        <f t="shared" si="64"/>
        <v>29910</v>
      </c>
      <c r="L83" s="242">
        <f t="shared" si="53"/>
        <v>4126.4045312659855</v>
      </c>
      <c r="M83" s="242">
        <f t="shared" si="65"/>
        <v>25783.595468734013</v>
      </c>
      <c r="N83" s="242">
        <f t="shared" si="47"/>
        <v>0</v>
      </c>
      <c r="O83" s="242">
        <v>0</v>
      </c>
      <c r="P83" s="242">
        <f t="shared" si="23"/>
        <v>4126.4045312659855</v>
      </c>
      <c r="Q83" s="242">
        <f t="shared" si="48"/>
        <v>0</v>
      </c>
      <c r="R83" s="242">
        <f t="shared" si="54"/>
        <v>0</v>
      </c>
      <c r="S83" s="242">
        <f t="shared" si="66"/>
        <v>254688.96578118866</v>
      </c>
      <c r="T83" s="467"/>
      <c r="U83" s="36">
        <f t="shared" si="70"/>
        <v>10</v>
      </c>
      <c r="V83" s="36">
        <f t="shared" si="56"/>
        <v>10</v>
      </c>
      <c r="W83" s="2" t="e">
        <f>IF(AND(G48&gt;=$W$11,G48&lt;=$W$11+5),0,IF($C$9&gt;$AF$51,ROUND(S47*#REF!/(DATEVALUE(CONCATENATE("01/01/",YEAR(H48)+1))-DATEVALUE(CONCATENATE("01/01/",YEAR(H48))))*(H48-H47),2),0))</f>
        <v>#REF!</v>
      </c>
      <c r="X83" s="34">
        <f t="shared" si="41"/>
        <v>29910</v>
      </c>
      <c r="Y83" s="57">
        <f t="shared" si="39"/>
        <v>59191</v>
      </c>
      <c r="AL83" s="2" t="e">
        <f>IF(AND(#REF!&gt;=$W$11,#REF!&lt;=$W$11+5),0,IF($C$9&gt;$AF$51,ROUND(AI43*#REF!/(DATEVALUE(CONCATENATE("01/01/",YEAR(#REF!)+1))-DATEVALUE(CONCATENATE("01/01/",YEAR(#REF!))))*(#REF!-#REF!),2),0))</f>
        <v>#REF!</v>
      </c>
      <c r="AM83" s="34">
        <f t="shared" si="43"/>
        <v>29117</v>
      </c>
      <c r="AN83" s="57">
        <f t="shared" si="42"/>
        <v>57731</v>
      </c>
      <c r="AO83" s="130">
        <f t="shared" si="57"/>
        <v>1</v>
      </c>
      <c r="AP83" s="553">
        <f t="shared" si="71"/>
        <v>75</v>
      </c>
      <c r="AQ83" s="554">
        <f t="shared" si="58"/>
        <v>46875</v>
      </c>
      <c r="AR83" s="555">
        <f t="shared" si="44"/>
        <v>0.17899999999999999</v>
      </c>
      <c r="AS83" s="559">
        <f t="shared" si="59"/>
        <v>29117</v>
      </c>
      <c r="AT83" s="546">
        <f t="shared" si="60"/>
        <v>29117</v>
      </c>
      <c r="AU83" s="546">
        <f t="shared" si="61"/>
        <v>4016.7770141661927</v>
      </c>
      <c r="AV83" s="546">
        <f t="shared" si="62"/>
        <v>25100.222985833807</v>
      </c>
      <c r="AW83" s="559">
        <f t="shared" si="49"/>
        <v>0</v>
      </c>
      <c r="AX83" s="559">
        <v>0</v>
      </c>
      <c r="AY83" s="559">
        <f t="shared" si="18"/>
        <v>4016.7770141661927</v>
      </c>
      <c r="AZ83" s="559">
        <f t="shared" si="35"/>
        <v>0</v>
      </c>
      <c r="BA83" s="559">
        <f t="shared" si="34"/>
        <v>0</v>
      </c>
      <c r="BB83" s="559"/>
      <c r="BC83" s="559"/>
      <c r="BD83" s="559"/>
      <c r="BE83" s="559"/>
      <c r="BF83" s="559"/>
      <c r="BG83" s="546">
        <f t="shared" si="63"/>
        <v>247920.93347052755</v>
      </c>
      <c r="BH83" s="108">
        <f t="shared" si="72"/>
        <v>10</v>
      </c>
      <c r="BI83" s="108">
        <f t="shared" si="67"/>
        <v>10</v>
      </c>
      <c r="BJ83" s="22">
        <f t="shared" si="68"/>
        <v>46875</v>
      </c>
      <c r="BK83" s="108">
        <f t="shared" si="50"/>
        <v>29910</v>
      </c>
      <c r="BL83" s="2" t="e">
        <f>IF(AND(G38&gt;=$W$11,G38&lt;=$W$11+5),0,IF($C$9&gt;$AF$51,ROUND(BG37*IF(#REF!="",0,#REF!)/(DATEVALUE(CONCATENATE("01/01/",YEAR(AQ38)+1))-DATEVALUE(CONCATENATE("01/01/",YEAR(AQ38))))*(AQ38-AQ37),2),0))</f>
        <v>#REF!</v>
      </c>
    </row>
    <row r="84" spans="1:64" s="16" customFormat="1" x14ac:dyDescent="0.3">
      <c r="A84" s="178"/>
      <c r="B84" s="178"/>
      <c r="C84" s="184"/>
      <c r="D84" s="184"/>
      <c r="E84" s="178"/>
      <c r="F84" s="178"/>
      <c r="G84" s="244">
        <f t="shared" si="69"/>
        <v>76</v>
      </c>
      <c r="H84" s="245">
        <f t="shared" si="51"/>
        <v>46906</v>
      </c>
      <c r="I84" s="246">
        <f t="shared" si="74"/>
        <v>0.17899999999999999</v>
      </c>
      <c r="J84" s="242">
        <f t="shared" si="52"/>
        <v>29910</v>
      </c>
      <c r="K84" s="242">
        <f t="shared" si="64"/>
        <v>29910</v>
      </c>
      <c r="L84" s="242">
        <f t="shared" si="53"/>
        <v>3871.9700578625093</v>
      </c>
      <c r="M84" s="242">
        <f t="shared" si="65"/>
        <v>26038.029942137491</v>
      </c>
      <c r="N84" s="242">
        <f t="shared" si="47"/>
        <v>0</v>
      </c>
      <c r="O84" s="242">
        <v>0</v>
      </c>
      <c r="P84" s="242">
        <f t="shared" si="23"/>
        <v>3871.9700578625093</v>
      </c>
      <c r="Q84" s="242">
        <f t="shared" si="48"/>
        <v>0</v>
      </c>
      <c r="R84" s="242">
        <f t="shared" si="54"/>
        <v>0</v>
      </c>
      <c r="S84" s="242">
        <f t="shared" si="66"/>
        <v>228650.93583905118</v>
      </c>
      <c r="T84" s="467"/>
      <c r="U84" s="36">
        <f t="shared" si="70"/>
        <v>9</v>
      </c>
      <c r="V84" s="36">
        <f t="shared" si="56"/>
        <v>9</v>
      </c>
      <c r="W84" s="2" t="e">
        <f>IF(AND(G49&gt;=$W$11,G49&lt;=$W$11+5),0,IF($C$9&gt;$AF$51,ROUND(S48*#REF!/(DATEVALUE(CONCATENATE("01/01/",YEAR(H49)+1))-DATEVALUE(CONCATENATE("01/01/",YEAR(H49))))*(H49-H48),2),0))</f>
        <v>#REF!</v>
      </c>
      <c r="X84" s="34">
        <f t="shared" si="41"/>
        <v>29910</v>
      </c>
      <c r="Y84" s="57">
        <f t="shared" si="39"/>
        <v>59556</v>
      </c>
      <c r="AL84" s="2" t="e">
        <f>IF(AND(#REF!&gt;=$W$11,#REF!&lt;=$W$11+5),0,IF($C$9&gt;$AF$51,ROUND(AI44*#REF!/(DATEVALUE(CONCATENATE("01/01/",YEAR(#REF!)+1))-DATEVALUE(CONCATENATE("01/01/",YEAR(#REF!))))*(#REF!-#REF!),2),0))</f>
        <v>#REF!</v>
      </c>
      <c r="AM84" s="34">
        <f t="shared" si="43"/>
        <v>29117</v>
      </c>
      <c r="AN84" s="57">
        <f t="shared" si="42"/>
        <v>58096</v>
      </c>
      <c r="AO84" s="130">
        <f t="shared" si="57"/>
        <v>1</v>
      </c>
      <c r="AP84" s="553">
        <f t="shared" si="71"/>
        <v>76</v>
      </c>
      <c r="AQ84" s="554">
        <f t="shared" si="58"/>
        <v>46906</v>
      </c>
      <c r="AR84" s="555">
        <f t="shared" si="44"/>
        <v>0.17899999999999999</v>
      </c>
      <c r="AS84" s="559">
        <f t="shared" si="59"/>
        <v>29117</v>
      </c>
      <c r="AT84" s="546">
        <f t="shared" si="60"/>
        <v>29117</v>
      </c>
      <c r="AU84" s="546">
        <f t="shared" si="61"/>
        <v>3769.077424186185</v>
      </c>
      <c r="AV84" s="546">
        <f t="shared" si="62"/>
        <v>25347.922575813816</v>
      </c>
      <c r="AW84" s="559">
        <f t="shared" si="49"/>
        <v>0</v>
      </c>
      <c r="AX84" s="559">
        <v>0</v>
      </c>
      <c r="AY84" s="559">
        <f t="shared" si="18"/>
        <v>3769.077424186185</v>
      </c>
      <c r="AZ84" s="559">
        <f t="shared" si="35"/>
        <v>0</v>
      </c>
      <c r="BA84" s="559">
        <f t="shared" ref="BA84:BA108" si="75">IF(BI90=0,0,0)</f>
        <v>0</v>
      </c>
      <c r="BB84" s="559"/>
      <c r="BC84" s="559"/>
      <c r="BD84" s="559"/>
      <c r="BE84" s="559"/>
      <c r="BF84" s="559"/>
      <c r="BG84" s="546">
        <f t="shared" si="63"/>
        <v>222573.01089471375</v>
      </c>
      <c r="BH84" s="108">
        <f t="shared" si="72"/>
        <v>9</v>
      </c>
      <c r="BI84" s="108">
        <f t="shared" si="67"/>
        <v>9</v>
      </c>
      <c r="BJ84" s="22">
        <f t="shared" si="68"/>
        <v>46906</v>
      </c>
      <c r="BK84" s="108">
        <f t="shared" si="50"/>
        <v>29910</v>
      </c>
      <c r="BL84" s="2" t="e">
        <f>IF(AND(G39&gt;=$W$11,G39&lt;=$W$11+5),0,IF($C$9&gt;$AF$51,ROUND(BG38*IF(#REF!="",0,#REF!)/(DATEVALUE(CONCATENATE("01/01/",YEAR(AQ39)+1))-DATEVALUE(CONCATENATE("01/01/",YEAR(AQ39))))*(AQ39-AQ38),2),0))</f>
        <v>#REF!</v>
      </c>
    </row>
    <row r="85" spans="1:64" s="16" customFormat="1" x14ac:dyDescent="0.3">
      <c r="A85" s="178"/>
      <c r="B85" s="178"/>
      <c r="C85" s="184"/>
      <c r="D85" s="184"/>
      <c r="E85" s="178"/>
      <c r="F85" s="178"/>
      <c r="G85" s="244">
        <f t="shared" si="69"/>
        <v>77</v>
      </c>
      <c r="H85" s="245">
        <f t="shared" si="51"/>
        <v>46936</v>
      </c>
      <c r="I85" s="246">
        <f t="shared" si="74"/>
        <v>0.17899999999999999</v>
      </c>
      <c r="J85" s="242">
        <f t="shared" si="52"/>
        <v>29910</v>
      </c>
      <c r="K85" s="242">
        <f t="shared" si="64"/>
        <v>29910</v>
      </c>
      <c r="L85" s="242">
        <f t="shared" si="53"/>
        <v>3363.9877409745336</v>
      </c>
      <c r="M85" s="242">
        <f t="shared" si="65"/>
        <v>26546.012259025465</v>
      </c>
      <c r="N85" s="242">
        <f t="shared" si="47"/>
        <v>0</v>
      </c>
      <c r="O85" s="242">
        <v>0</v>
      </c>
      <c r="P85" s="242">
        <f t="shared" si="23"/>
        <v>3363.9877409745336</v>
      </c>
      <c r="Q85" s="242">
        <f t="shared" si="48"/>
        <v>0</v>
      </c>
      <c r="R85" s="242">
        <f t="shared" si="54"/>
        <v>0</v>
      </c>
      <c r="S85" s="242">
        <f t="shared" si="66"/>
        <v>202104.9235800257</v>
      </c>
      <c r="T85" s="467"/>
      <c r="U85" s="36">
        <f t="shared" si="70"/>
        <v>8</v>
      </c>
      <c r="V85" s="36">
        <f t="shared" si="56"/>
        <v>8</v>
      </c>
      <c r="W85" s="2" t="e">
        <f>IF(AND(G50&gt;=$W$11,G50&lt;=$W$11+5),0,IF($C$9&gt;$AF$51,ROUND(S49*#REF!/(DATEVALUE(CONCATENATE("01/01/",YEAR(H50)+1))-DATEVALUE(CONCATENATE("01/01/",YEAR(H50))))*(H50-H49),2),0))</f>
        <v>#REF!</v>
      </c>
      <c r="X85" s="34">
        <f t="shared" si="41"/>
        <v>29910</v>
      </c>
      <c r="Y85" s="57">
        <f t="shared" si="39"/>
        <v>59921</v>
      </c>
      <c r="AC85" s="890" t="s">
        <v>104</v>
      </c>
      <c r="AD85" s="890"/>
      <c r="AE85" s="890"/>
      <c r="AF85" s="890"/>
      <c r="AG85" s="890"/>
      <c r="AH85" s="890"/>
      <c r="AI85" s="890"/>
      <c r="AL85" s="2" t="e">
        <f>IF(AND(Y42&gt;=$W$11,Y42&lt;=$W$11+5),0,IF($C$9&gt;$AF$51,ROUND(AI45*#REF!/(DATEVALUE(CONCATENATE("01/01/",YEAR(Z42)+1))-DATEVALUE(CONCATENATE("01/01/",YEAR(Z42))))*(Z42-#REF!),2),0))</f>
        <v>#REF!</v>
      </c>
      <c r="AM85" s="34">
        <f t="shared" si="43"/>
        <v>29117</v>
      </c>
      <c r="AN85" s="57">
        <f t="shared" si="42"/>
        <v>58461</v>
      </c>
      <c r="AO85" s="130">
        <f t="shared" si="57"/>
        <v>1</v>
      </c>
      <c r="AP85" s="553">
        <f t="shared" si="71"/>
        <v>77</v>
      </c>
      <c r="AQ85" s="554">
        <f t="shared" si="58"/>
        <v>46936</v>
      </c>
      <c r="AR85" s="555">
        <f t="shared" si="44"/>
        <v>0.17899999999999999</v>
      </c>
      <c r="AS85" s="559">
        <f t="shared" si="59"/>
        <v>29117</v>
      </c>
      <c r="AT85" s="546">
        <f t="shared" si="60"/>
        <v>29117</v>
      </c>
      <c r="AU85" s="546">
        <f t="shared" si="61"/>
        <v>3274.5673109715417</v>
      </c>
      <c r="AV85" s="546">
        <f t="shared" si="62"/>
        <v>25842.432689028457</v>
      </c>
      <c r="AW85" s="559">
        <f t="shared" si="49"/>
        <v>0</v>
      </c>
      <c r="AX85" s="559">
        <v>0</v>
      </c>
      <c r="AY85" s="559">
        <f t="shared" si="18"/>
        <v>3274.5673109715417</v>
      </c>
      <c r="AZ85" s="559">
        <f t="shared" ref="AZ85:AZ108" si="76">IF(BI91=0,0,0)</f>
        <v>0</v>
      </c>
      <c r="BA85" s="559">
        <f t="shared" si="75"/>
        <v>0</v>
      </c>
      <c r="BB85" s="559"/>
      <c r="BC85" s="559"/>
      <c r="BD85" s="559"/>
      <c r="BE85" s="559"/>
      <c r="BF85" s="559"/>
      <c r="BG85" s="546">
        <f t="shared" si="63"/>
        <v>196730.57820568531</v>
      </c>
      <c r="BH85" s="108">
        <f t="shared" si="72"/>
        <v>8</v>
      </c>
      <c r="BI85" s="108">
        <f t="shared" si="67"/>
        <v>8</v>
      </c>
      <c r="BJ85" s="22">
        <f t="shared" si="68"/>
        <v>46936</v>
      </c>
      <c r="BK85" s="108">
        <f t="shared" si="50"/>
        <v>29910</v>
      </c>
      <c r="BL85" s="2" t="e">
        <f>IF(AND(G40&gt;=$W$11,G40&lt;=$W$11+5),0,IF($C$9&gt;$AF$51,ROUND(BG39*IF(#REF!="",0,#REF!)/(DATEVALUE(CONCATENATE("01/01/",YEAR(AQ40)+1))-DATEVALUE(CONCATENATE("01/01/",YEAR(AQ40))))*(AQ40-AQ39),2),0))</f>
        <v>#REF!</v>
      </c>
    </row>
    <row r="86" spans="1:64" s="16" customFormat="1" ht="14.4" x14ac:dyDescent="0.3">
      <c r="A86" s="178"/>
      <c r="B86" s="178"/>
      <c r="C86" s="184"/>
      <c r="D86" s="184"/>
      <c r="E86" s="178"/>
      <c r="F86" s="178"/>
      <c r="G86" s="244">
        <f t="shared" si="69"/>
        <v>78</v>
      </c>
      <c r="H86" s="245">
        <f t="shared" si="51"/>
        <v>46967</v>
      </c>
      <c r="I86" s="246">
        <f t="shared" si="74"/>
        <v>0.17899999999999999</v>
      </c>
      <c r="J86" s="242">
        <f t="shared" si="52"/>
        <v>29910</v>
      </c>
      <c r="K86" s="242">
        <f t="shared" si="64"/>
        <v>29910</v>
      </c>
      <c r="L86" s="242">
        <f t="shared" si="53"/>
        <v>3072.5485505357883</v>
      </c>
      <c r="M86" s="242">
        <f t="shared" si="65"/>
        <v>26837.451449464214</v>
      </c>
      <c r="N86" s="242">
        <f t="shared" si="47"/>
        <v>0</v>
      </c>
      <c r="O86" s="242">
        <v>0</v>
      </c>
      <c r="P86" s="242">
        <f t="shared" ref="P86:P108" si="77">L86+Q86</f>
        <v>3072.5485505357883</v>
      </c>
      <c r="Q86" s="242">
        <f t="shared" si="48"/>
        <v>0</v>
      </c>
      <c r="R86" s="242">
        <f t="shared" si="54"/>
        <v>0</v>
      </c>
      <c r="S86" s="242">
        <f t="shared" si="66"/>
        <v>175267.47213056148</v>
      </c>
      <c r="T86" s="467"/>
      <c r="U86" s="36">
        <f t="shared" si="70"/>
        <v>7</v>
      </c>
      <c r="V86" s="36">
        <f t="shared" si="56"/>
        <v>7</v>
      </c>
      <c r="W86" s="2" t="e">
        <f>IF(AND(G51&gt;=$W$11,G51&lt;=$W$11+5),0,IF($C$9&gt;$AF$51,ROUND(S50*#REF!/(DATEVALUE(CONCATENATE("01/01/",YEAR(H51)+1))-DATEVALUE(CONCATENATE("01/01/",YEAR(H51))))*(H51-H50),2),0))</f>
        <v>#REF!</v>
      </c>
      <c r="X86" s="34">
        <f t="shared" si="41"/>
        <v>29910</v>
      </c>
      <c r="Y86" s="57">
        <f t="shared" si="39"/>
        <v>60286</v>
      </c>
      <c r="AC86" s="140"/>
      <c r="AD86" s="140"/>
      <c r="AE86" s="140" t="s">
        <v>106</v>
      </c>
      <c r="AF86" s="140" t="s">
        <v>107</v>
      </c>
      <c r="AG86" s="140" t="s">
        <v>108</v>
      </c>
      <c r="AH86" s="140" t="s">
        <v>109</v>
      </c>
      <c r="AI86" s="140" t="s">
        <v>110</v>
      </c>
      <c r="AL86" s="2" t="e">
        <f>IF(AND(Y43&gt;=$W$11,Y43&lt;=$W$11+5),0,IF($C$9&gt;$AF$51,ROUND(AI46*#REF!/(DATEVALUE(CONCATENATE("01/01/",YEAR(Z43)+1))-DATEVALUE(CONCATENATE("01/01/",YEAR(Z43))))*(Z43-Z42),2),0))</f>
        <v>#REF!</v>
      </c>
      <c r="AM86" s="34">
        <f t="shared" si="43"/>
        <v>29117</v>
      </c>
      <c r="AN86" s="57">
        <f t="shared" si="42"/>
        <v>58826</v>
      </c>
      <c r="AO86" s="130">
        <f t="shared" si="57"/>
        <v>1</v>
      </c>
      <c r="AP86" s="553">
        <f t="shared" si="71"/>
        <v>78</v>
      </c>
      <c r="AQ86" s="554">
        <f t="shared" si="58"/>
        <v>46967</v>
      </c>
      <c r="AR86" s="555">
        <f t="shared" si="44"/>
        <v>0.17899999999999999</v>
      </c>
      <c r="AS86" s="559">
        <f t="shared" si="59"/>
        <v>29117</v>
      </c>
      <c r="AT86" s="546">
        <f t="shared" si="60"/>
        <v>29117</v>
      </c>
      <c r="AU86" s="546">
        <f t="shared" si="61"/>
        <v>2990.8437766119118</v>
      </c>
      <c r="AV86" s="546">
        <f t="shared" si="62"/>
        <v>26126.156223388087</v>
      </c>
      <c r="AW86" s="559">
        <f t="shared" si="49"/>
        <v>0</v>
      </c>
      <c r="AX86" s="559">
        <v>0</v>
      </c>
      <c r="AY86" s="559">
        <f t="shared" ref="AY86:AY108" si="78">AU86+AZ86</f>
        <v>2990.8437766119118</v>
      </c>
      <c r="AZ86" s="559">
        <f t="shared" si="76"/>
        <v>0</v>
      </c>
      <c r="BA86" s="559">
        <f t="shared" si="75"/>
        <v>0</v>
      </c>
      <c r="BB86" s="559"/>
      <c r="BC86" s="559"/>
      <c r="BD86" s="559"/>
      <c r="BE86" s="559"/>
      <c r="BF86" s="559"/>
      <c r="BG86" s="546">
        <f t="shared" si="63"/>
        <v>170604.42198229721</v>
      </c>
      <c r="BH86" s="108">
        <f t="shared" si="72"/>
        <v>7</v>
      </c>
      <c r="BI86" s="108">
        <f t="shared" si="67"/>
        <v>7</v>
      </c>
      <c r="BJ86" s="22">
        <f t="shared" si="68"/>
        <v>46967</v>
      </c>
      <c r="BK86" s="108">
        <f t="shared" si="50"/>
        <v>29910</v>
      </c>
      <c r="BL86" s="2" t="e">
        <f>IF(AND(G41&gt;=$W$11,G41&lt;=$W$11+5),0,IF($C$9&gt;$AF$51,ROUND(BG40*IF(#REF!="",0,#REF!)/(DATEVALUE(CONCATENATE("01/01/",YEAR(AQ41)+1))-DATEVALUE(CONCATENATE("01/01/",YEAR(AQ41))))*(AQ41-AQ40),2),0))</f>
        <v>#REF!</v>
      </c>
    </row>
    <row r="87" spans="1:64" s="16" customFormat="1" ht="14.4" x14ac:dyDescent="0.3">
      <c r="A87" s="178"/>
      <c r="B87" s="178"/>
      <c r="C87" s="184"/>
      <c r="D87" s="184"/>
      <c r="E87" s="178"/>
      <c r="F87" s="178"/>
      <c r="G87" s="244">
        <f t="shared" si="69"/>
        <v>79</v>
      </c>
      <c r="H87" s="245">
        <f t="shared" si="51"/>
        <v>46998</v>
      </c>
      <c r="I87" s="246">
        <f t="shared" si="74"/>
        <v>0.17899999999999999</v>
      </c>
      <c r="J87" s="242">
        <f t="shared" si="52"/>
        <v>29910</v>
      </c>
      <c r="K87" s="242">
        <f t="shared" si="64"/>
        <v>29910</v>
      </c>
      <c r="L87" s="242">
        <f t="shared" si="53"/>
        <v>2664.5457612396867</v>
      </c>
      <c r="M87" s="242">
        <f t="shared" si="65"/>
        <v>27245.454238760314</v>
      </c>
      <c r="N87" s="242">
        <f t="shared" si="47"/>
        <v>0</v>
      </c>
      <c r="O87" s="242">
        <v>0</v>
      </c>
      <c r="P87" s="242">
        <f t="shared" si="77"/>
        <v>2664.5457612396867</v>
      </c>
      <c r="Q87" s="242">
        <f t="shared" si="48"/>
        <v>0</v>
      </c>
      <c r="R87" s="242">
        <f t="shared" si="54"/>
        <v>0</v>
      </c>
      <c r="S87" s="242">
        <f t="shared" si="66"/>
        <v>148022.01789180117</v>
      </c>
      <c r="T87" s="467"/>
      <c r="U87" s="36">
        <f t="shared" si="70"/>
        <v>6</v>
      </c>
      <c r="V87" s="36">
        <f t="shared" si="56"/>
        <v>6</v>
      </c>
      <c r="W87" s="2" t="e">
        <f>IF(AND(G52&gt;=$W$11,G52&lt;=$W$11+5),0,IF($C$9&gt;$AF$51,ROUND(S51*#REF!/(DATEVALUE(CONCATENATE("01/01/",YEAR(H52)+1))-DATEVALUE(CONCATENATE("01/01/",YEAR(H52))))*(H52-H51),2),0))</f>
        <v>#REF!</v>
      </c>
      <c r="X87" s="34">
        <f t="shared" si="41"/>
        <v>29910</v>
      </c>
      <c r="Y87" s="57">
        <f t="shared" si="39"/>
        <v>60651</v>
      </c>
      <c r="AC87" s="140"/>
      <c r="AD87" s="140"/>
      <c r="AE87" s="141">
        <v>36</v>
      </c>
      <c r="AF87" s="142">
        <v>37</v>
      </c>
      <c r="AG87" s="142">
        <v>49</v>
      </c>
      <c r="AH87" s="141">
        <v>61</v>
      </c>
      <c r="AI87" s="141">
        <v>73</v>
      </c>
      <c r="AL87" s="2" t="e">
        <f>IF(AND(Y44&gt;=$W$11,Y44&lt;=$W$11+5),0,IF($C$9&gt;$AF$51,ROUND(AI47*#REF!/(DATEVALUE(CONCATENATE("01/01/",YEAR(Z44)+1))-DATEVALUE(CONCATENATE("01/01/",YEAR(Z44))))*(Z44-Z43),2),0))</f>
        <v>#REF!</v>
      </c>
      <c r="AM87" s="34">
        <f t="shared" si="43"/>
        <v>29117</v>
      </c>
      <c r="AN87" s="57">
        <f t="shared" si="42"/>
        <v>59191</v>
      </c>
      <c r="AO87" s="130">
        <f t="shared" si="57"/>
        <v>1</v>
      </c>
      <c r="AP87" s="553">
        <f t="shared" si="71"/>
        <v>79</v>
      </c>
      <c r="AQ87" s="554">
        <f t="shared" si="58"/>
        <v>46998</v>
      </c>
      <c r="AR87" s="555">
        <f t="shared" si="44"/>
        <v>0.17899999999999999</v>
      </c>
      <c r="AS87" s="559">
        <f t="shared" si="59"/>
        <v>29117</v>
      </c>
      <c r="AT87" s="546">
        <f t="shared" si="60"/>
        <v>29117</v>
      </c>
      <c r="AU87" s="546">
        <f t="shared" si="61"/>
        <v>2593.6546235062115</v>
      </c>
      <c r="AV87" s="546">
        <f t="shared" si="62"/>
        <v>26523.345376493788</v>
      </c>
      <c r="AW87" s="559">
        <f t="shared" si="49"/>
        <v>0</v>
      </c>
      <c r="AX87" s="559">
        <v>0</v>
      </c>
      <c r="AY87" s="559">
        <f t="shared" si="78"/>
        <v>2593.6546235062115</v>
      </c>
      <c r="AZ87" s="559">
        <f t="shared" si="76"/>
        <v>0</v>
      </c>
      <c r="BA87" s="559">
        <f t="shared" si="75"/>
        <v>0</v>
      </c>
      <c r="BB87" s="559"/>
      <c r="BC87" s="559"/>
      <c r="BD87" s="559"/>
      <c r="BE87" s="559"/>
      <c r="BF87" s="559"/>
      <c r="BG87" s="546">
        <f t="shared" si="63"/>
        <v>144081.07660580342</v>
      </c>
      <c r="BH87" s="108">
        <f t="shared" si="72"/>
        <v>6</v>
      </c>
      <c r="BI87" s="108">
        <f t="shared" si="67"/>
        <v>6</v>
      </c>
      <c r="BJ87" s="22">
        <f t="shared" si="68"/>
        <v>46998</v>
      </c>
      <c r="BK87" s="108">
        <f t="shared" si="50"/>
        <v>29910</v>
      </c>
      <c r="BL87" s="2" t="e">
        <f>IF(AND(G42&gt;=$W$11,G42&lt;=$W$11+5),0,IF($C$9&gt;$AF$51,ROUND(BG41*IF(#REF!="",0,#REF!)/(DATEVALUE(CONCATENATE("01/01/",YEAR(AQ42)+1))-DATEVALUE(CONCATENATE("01/01/",YEAR(AQ42))))*(AQ42-AQ41),2),0))</f>
        <v>#REF!</v>
      </c>
    </row>
    <row r="88" spans="1:64" s="16" customFormat="1" ht="14.4" x14ac:dyDescent="0.3">
      <c r="A88" s="178"/>
      <c r="B88" s="178"/>
      <c r="C88" s="184"/>
      <c r="D88" s="184"/>
      <c r="E88" s="178"/>
      <c r="F88" s="178"/>
      <c r="G88" s="244">
        <f t="shared" si="69"/>
        <v>80</v>
      </c>
      <c r="H88" s="245">
        <f t="shared" si="51"/>
        <v>47028</v>
      </c>
      <c r="I88" s="246">
        <f t="shared" si="74"/>
        <v>0.17899999999999999</v>
      </c>
      <c r="J88" s="242">
        <f t="shared" si="52"/>
        <v>29910</v>
      </c>
      <c r="K88" s="242">
        <f t="shared" si="64"/>
        <v>29910</v>
      </c>
      <c r="L88" s="242">
        <f t="shared" si="53"/>
        <v>2177.7485919971841</v>
      </c>
      <c r="M88" s="242">
        <f t="shared" si="65"/>
        <v>27732.251408002816</v>
      </c>
      <c r="N88" s="242">
        <f t="shared" si="47"/>
        <v>0</v>
      </c>
      <c r="O88" s="242">
        <v>0</v>
      </c>
      <c r="P88" s="242">
        <f t="shared" si="77"/>
        <v>2177.7485919971841</v>
      </c>
      <c r="Q88" s="242">
        <f t="shared" si="48"/>
        <v>0</v>
      </c>
      <c r="R88" s="242">
        <f t="shared" si="54"/>
        <v>0</v>
      </c>
      <c r="S88" s="242">
        <f t="shared" si="66"/>
        <v>120289.76648379835</v>
      </c>
      <c r="T88" s="467"/>
      <c r="U88" s="36">
        <f t="shared" si="70"/>
        <v>5</v>
      </c>
      <c r="V88" s="36">
        <f t="shared" si="56"/>
        <v>5</v>
      </c>
      <c r="W88" s="2" t="e">
        <f>IF(AND(G53&gt;=$W$11,G53&lt;=$W$11+5),0,IF($C$9&gt;$AF$51,ROUND(S52*#REF!/(DATEVALUE(CONCATENATE("01/01/",YEAR(H53)+1))-DATEVALUE(CONCATENATE("01/01/",YEAR(H53))))*(H53-H52),2),0))</f>
        <v>#REF!</v>
      </c>
      <c r="X88" s="34">
        <f t="shared" si="41"/>
        <v>29910</v>
      </c>
      <c r="Y88" s="57">
        <f t="shared" si="39"/>
        <v>61016</v>
      </c>
      <c r="AC88" s="140"/>
      <c r="AD88" s="140"/>
      <c r="AE88" s="142">
        <v>36</v>
      </c>
      <c r="AF88" s="142">
        <v>48</v>
      </c>
      <c r="AG88" s="142">
        <v>60</v>
      </c>
      <c r="AH88" s="142">
        <v>72</v>
      </c>
      <c r="AI88" s="142">
        <v>84</v>
      </c>
      <c r="AL88" s="2" t="e">
        <f>IF(AND(Y45&gt;=$W$11,Y45&lt;=$W$11+5),0,IF($C$9&gt;$AF$51,ROUND(AI48*#REF!/(DATEVALUE(CONCATENATE("01/01/",YEAR(Z45)+1))-DATEVALUE(CONCATENATE("01/01/",YEAR(Z45))))*(Z45-Z44),2),0))</f>
        <v>#REF!</v>
      </c>
      <c r="AM88" s="34">
        <f t="shared" si="43"/>
        <v>29117</v>
      </c>
      <c r="AN88" s="57">
        <f t="shared" si="42"/>
        <v>59556</v>
      </c>
      <c r="AO88" s="130">
        <f t="shared" si="57"/>
        <v>1</v>
      </c>
      <c r="AP88" s="553">
        <f t="shared" si="71"/>
        <v>80</v>
      </c>
      <c r="AQ88" s="554">
        <f t="shared" si="58"/>
        <v>47028</v>
      </c>
      <c r="AR88" s="555">
        <f t="shared" si="44"/>
        <v>0.17899999999999999</v>
      </c>
      <c r="AS88" s="559">
        <f t="shared" si="59"/>
        <v>29117</v>
      </c>
      <c r="AT88" s="546">
        <f t="shared" si="60"/>
        <v>29117</v>
      </c>
      <c r="AU88" s="546">
        <f t="shared" si="61"/>
        <v>2119.7681681456556</v>
      </c>
      <c r="AV88" s="546">
        <f t="shared" si="62"/>
        <v>26997.231831854344</v>
      </c>
      <c r="AW88" s="559">
        <f t="shared" si="49"/>
        <v>0</v>
      </c>
      <c r="AX88" s="559">
        <v>0</v>
      </c>
      <c r="AY88" s="559">
        <f t="shared" si="78"/>
        <v>2119.7681681456556</v>
      </c>
      <c r="AZ88" s="559">
        <f t="shared" si="76"/>
        <v>0</v>
      </c>
      <c r="BA88" s="559">
        <f t="shared" si="75"/>
        <v>0</v>
      </c>
      <c r="BB88" s="559"/>
      <c r="BC88" s="559"/>
      <c r="BD88" s="559"/>
      <c r="BE88" s="559"/>
      <c r="BF88" s="559"/>
      <c r="BG88" s="546">
        <f t="shared" si="63"/>
        <v>117083.84477394908</v>
      </c>
      <c r="BH88" s="108">
        <f t="shared" si="72"/>
        <v>5</v>
      </c>
      <c r="BI88" s="108">
        <f t="shared" si="67"/>
        <v>5</v>
      </c>
      <c r="BJ88" s="22">
        <f t="shared" si="68"/>
        <v>47028</v>
      </c>
      <c r="BK88" s="108">
        <f t="shared" si="50"/>
        <v>29910</v>
      </c>
      <c r="BL88" s="2" t="e">
        <f>IF(AND(G43&gt;=$W$11,G43&lt;=$W$11+5),0,IF($C$9&gt;$AF$51,ROUND(BG42*IF(#REF!="",0,#REF!)/(DATEVALUE(CONCATENATE("01/01/",YEAR(AQ43)+1))-DATEVALUE(CONCATENATE("01/01/",YEAR(AQ43))))*(AQ43-AQ42),2),0))</f>
        <v>#REF!</v>
      </c>
    </row>
    <row r="89" spans="1:64" s="16" customFormat="1" ht="13.8" x14ac:dyDescent="0.3">
      <c r="A89" s="178"/>
      <c r="B89" s="178"/>
      <c r="C89" s="184"/>
      <c r="D89" s="184"/>
      <c r="E89" s="178"/>
      <c r="F89" s="178"/>
      <c r="G89" s="244">
        <f t="shared" si="69"/>
        <v>81</v>
      </c>
      <c r="H89" s="245">
        <f t="shared" si="51"/>
        <v>47059</v>
      </c>
      <c r="I89" s="246">
        <f t="shared" si="74"/>
        <v>0.17899999999999999</v>
      </c>
      <c r="J89" s="242">
        <f t="shared" si="52"/>
        <v>29910</v>
      </c>
      <c r="K89" s="242">
        <f t="shared" si="64"/>
        <v>29910</v>
      </c>
      <c r="L89" s="242">
        <f t="shared" si="53"/>
        <v>1828.7340115578002</v>
      </c>
      <c r="M89" s="242">
        <f t="shared" si="65"/>
        <v>28081.265988442199</v>
      </c>
      <c r="N89" s="242">
        <f t="shared" si="47"/>
        <v>0</v>
      </c>
      <c r="O89" s="242">
        <v>0</v>
      </c>
      <c r="P89" s="242">
        <f t="shared" si="77"/>
        <v>1828.7340115578002</v>
      </c>
      <c r="Q89" s="242">
        <f t="shared" si="48"/>
        <v>0</v>
      </c>
      <c r="R89" s="242">
        <f t="shared" si="54"/>
        <v>0</v>
      </c>
      <c r="S89" s="242">
        <f t="shared" si="66"/>
        <v>92208.500495356144</v>
      </c>
      <c r="T89" s="467"/>
      <c r="U89" s="36">
        <f t="shared" si="70"/>
        <v>4</v>
      </c>
      <c r="V89" s="36">
        <f t="shared" si="56"/>
        <v>4</v>
      </c>
      <c r="W89" s="2" t="e">
        <f>IF(AND(G54&gt;=$W$11,G54&lt;=$W$11+5),0,IF($C$9&gt;$AF$51,ROUND(S53*#REF!/(DATEVALUE(CONCATENATE("01/01/",YEAR(H54)+1))-DATEVALUE(CONCATENATE("01/01/",YEAR(H54))))*(H54-H53),2),0))</f>
        <v>#REF!</v>
      </c>
      <c r="X89" s="34">
        <f t="shared" si="41"/>
        <v>29910</v>
      </c>
      <c r="Y89" s="57">
        <f t="shared" si="39"/>
        <v>61381</v>
      </c>
      <c r="AC89" s="142">
        <v>0</v>
      </c>
      <c r="AD89" s="142">
        <v>300000</v>
      </c>
      <c r="AE89" s="580">
        <v>2499</v>
      </c>
      <c r="AF89" s="580">
        <v>3499</v>
      </c>
      <c r="AG89" s="580">
        <v>5499</v>
      </c>
      <c r="AH89" s="580"/>
      <c r="AI89" s="580"/>
      <c r="AL89" s="2" t="e">
        <f>IF(AND(Y46&gt;=$W$11,Y46&lt;=$W$11+5),0,IF($C$9&gt;$AF$51,ROUND(AI49*#REF!/(DATEVALUE(CONCATENATE("01/01/",YEAR(Z46)+1))-DATEVALUE(CONCATENATE("01/01/",YEAR(Z46))))*(Z46-Z45),2),0))</f>
        <v>#REF!</v>
      </c>
      <c r="AM89" s="34">
        <f t="shared" si="43"/>
        <v>29117</v>
      </c>
      <c r="AN89" s="57">
        <f t="shared" si="42"/>
        <v>59921</v>
      </c>
      <c r="AO89" s="130">
        <f t="shared" si="57"/>
        <v>1</v>
      </c>
      <c r="AP89" s="553">
        <f t="shared" si="71"/>
        <v>81</v>
      </c>
      <c r="AQ89" s="554">
        <f t="shared" si="58"/>
        <v>47059</v>
      </c>
      <c r="AR89" s="555">
        <f t="shared" si="44"/>
        <v>0.17899999999999999</v>
      </c>
      <c r="AS89" s="559">
        <f t="shared" si="59"/>
        <v>29117</v>
      </c>
      <c r="AT89" s="546">
        <f t="shared" si="60"/>
        <v>29117</v>
      </c>
      <c r="AU89" s="546">
        <f t="shared" si="61"/>
        <v>1779.9952182209411</v>
      </c>
      <c r="AV89" s="546">
        <f t="shared" si="62"/>
        <v>27337.004781779058</v>
      </c>
      <c r="AW89" s="559">
        <f t="shared" si="49"/>
        <v>0</v>
      </c>
      <c r="AX89" s="559">
        <v>0</v>
      </c>
      <c r="AY89" s="559">
        <f t="shared" si="78"/>
        <v>1779.9952182209411</v>
      </c>
      <c r="AZ89" s="559">
        <f t="shared" si="76"/>
        <v>0</v>
      </c>
      <c r="BA89" s="559">
        <f t="shared" si="75"/>
        <v>0</v>
      </c>
      <c r="BB89" s="559"/>
      <c r="BC89" s="559"/>
      <c r="BD89" s="559"/>
      <c r="BE89" s="559"/>
      <c r="BF89" s="559"/>
      <c r="BG89" s="546">
        <f t="shared" si="63"/>
        <v>89746.839992170018</v>
      </c>
      <c r="BH89" s="108">
        <f t="shared" si="72"/>
        <v>4</v>
      </c>
      <c r="BI89" s="108">
        <f t="shared" si="67"/>
        <v>4</v>
      </c>
      <c r="BJ89" s="22">
        <f t="shared" si="68"/>
        <v>47059</v>
      </c>
      <c r="BK89" s="108">
        <f t="shared" si="50"/>
        <v>29910</v>
      </c>
      <c r="BL89" s="2" t="e">
        <f>IF(AND(G44&gt;=$W$11,G44&lt;=$W$11+5),0,IF($C$9&gt;$AF$51,ROUND(BG43*IF(#REF!="",0,#REF!)/(DATEVALUE(CONCATENATE("01/01/",YEAR(AQ44)+1))-DATEVALUE(CONCATENATE("01/01/",YEAR(AQ44))))*(AQ44-AQ43),2),0))</f>
        <v>#REF!</v>
      </c>
    </row>
    <row r="90" spans="1:64" s="16" customFormat="1" ht="13.8" x14ac:dyDescent="0.3">
      <c r="A90" s="178"/>
      <c r="B90" s="178"/>
      <c r="C90" s="184"/>
      <c r="D90" s="184"/>
      <c r="E90" s="184"/>
      <c r="F90" s="184"/>
      <c r="G90" s="244">
        <f t="shared" si="69"/>
        <v>82</v>
      </c>
      <c r="H90" s="245">
        <f t="shared" si="51"/>
        <v>47089</v>
      </c>
      <c r="I90" s="246">
        <f t="shared" si="74"/>
        <v>0.17899999999999999</v>
      </c>
      <c r="J90" s="242">
        <f t="shared" si="52"/>
        <v>29910</v>
      </c>
      <c r="K90" s="242">
        <f t="shared" si="64"/>
        <v>29910</v>
      </c>
      <c r="L90" s="242">
        <f t="shared" si="53"/>
        <v>1356.60177441113</v>
      </c>
      <c r="M90" s="242">
        <f t="shared" si="65"/>
        <v>28553.39822558887</v>
      </c>
      <c r="N90" s="242">
        <f t="shared" si="47"/>
        <v>0</v>
      </c>
      <c r="O90" s="242">
        <v>0</v>
      </c>
      <c r="P90" s="242">
        <f t="shared" si="77"/>
        <v>1356.60177441113</v>
      </c>
      <c r="Q90" s="242">
        <f t="shared" si="48"/>
        <v>0</v>
      </c>
      <c r="R90" s="242">
        <f t="shared" si="54"/>
        <v>0</v>
      </c>
      <c r="S90" s="242">
        <f t="shared" si="66"/>
        <v>63655.102269767274</v>
      </c>
      <c r="T90" s="467"/>
      <c r="U90" s="36">
        <f t="shared" si="70"/>
        <v>3</v>
      </c>
      <c r="V90" s="36">
        <f t="shared" si="56"/>
        <v>3</v>
      </c>
      <c r="W90" s="2" t="e">
        <f>IF(AND(G55&gt;=$W$11,G55&lt;=$W$11+5),0,IF($C$9&gt;$AF$51,ROUND(S54*#REF!/(DATEVALUE(CONCATENATE("01/01/",YEAR(H55)+1))-DATEVALUE(CONCATENATE("01/01/",YEAR(H55))))*(H55-H54),2),0))</f>
        <v>#REF!</v>
      </c>
      <c r="X90" s="34">
        <f t="shared" si="41"/>
        <v>29910</v>
      </c>
      <c r="Y90" s="57">
        <f t="shared" si="39"/>
        <v>61746</v>
      </c>
      <c r="AC90" s="142">
        <v>300001</v>
      </c>
      <c r="AD90" s="142">
        <v>500000</v>
      </c>
      <c r="AE90" s="580">
        <v>3499</v>
      </c>
      <c r="AF90" s="580">
        <v>4999</v>
      </c>
      <c r="AG90" s="580">
        <v>6999</v>
      </c>
      <c r="AH90" s="580"/>
      <c r="AI90" s="580"/>
      <c r="AL90" s="2" t="e">
        <f>IF(AND(Y47&gt;=$W$11,Y47&lt;=$W$11+5),0,IF($C$9&gt;$AF$51,ROUND(AI50*#REF!/(DATEVALUE(CONCATENATE("01/01/",YEAR(Z47)+1))-DATEVALUE(CONCATENATE("01/01/",YEAR(Z47))))*(Z47-Z46),2),0))</f>
        <v>#REF!</v>
      </c>
      <c r="AM90" s="34">
        <f t="shared" si="43"/>
        <v>29117</v>
      </c>
      <c r="AN90" s="57">
        <f t="shared" si="42"/>
        <v>60286</v>
      </c>
      <c r="AO90" s="130">
        <f t="shared" si="57"/>
        <v>1</v>
      </c>
      <c r="AP90" s="553">
        <f t="shared" si="71"/>
        <v>82</v>
      </c>
      <c r="AQ90" s="554">
        <f t="shared" si="58"/>
        <v>47089</v>
      </c>
      <c r="AR90" s="555">
        <f t="shared" si="44"/>
        <v>0.17899999999999999</v>
      </c>
      <c r="AS90" s="559">
        <f t="shared" si="59"/>
        <v>29117</v>
      </c>
      <c r="AT90" s="546">
        <f t="shared" si="60"/>
        <v>29117</v>
      </c>
      <c r="AU90" s="546">
        <f t="shared" si="61"/>
        <v>1320.3850157752136</v>
      </c>
      <c r="AV90" s="546">
        <f t="shared" si="62"/>
        <v>27796.614984224787</v>
      </c>
      <c r="AW90" s="559">
        <f t="shared" si="49"/>
        <v>0</v>
      </c>
      <c r="AX90" s="559">
        <v>0</v>
      </c>
      <c r="AY90" s="559">
        <f t="shared" si="78"/>
        <v>1320.3850157752136</v>
      </c>
      <c r="AZ90" s="559">
        <f t="shared" si="76"/>
        <v>0</v>
      </c>
      <c r="BA90" s="559">
        <f t="shared" si="75"/>
        <v>0</v>
      </c>
      <c r="BB90" s="559"/>
      <c r="BC90" s="559"/>
      <c r="BD90" s="559"/>
      <c r="BE90" s="559"/>
      <c r="BF90" s="559"/>
      <c r="BG90" s="546">
        <f t="shared" si="63"/>
        <v>61950.225007945235</v>
      </c>
      <c r="BH90" s="108">
        <f t="shared" si="72"/>
        <v>3</v>
      </c>
      <c r="BI90" s="108">
        <f t="shared" si="67"/>
        <v>3</v>
      </c>
      <c r="BJ90" s="22">
        <f t="shared" si="68"/>
        <v>47089</v>
      </c>
      <c r="BK90" s="108">
        <f t="shared" si="50"/>
        <v>29910</v>
      </c>
      <c r="BL90" s="2" t="e">
        <f>IF(AND(G45&gt;=$W$11,G45&lt;=$W$11+5),0,IF($C$9&gt;$AF$51,ROUND(BG44*IF(#REF!="",0,#REF!)/(DATEVALUE(CONCATENATE("01/01/",YEAR(AQ45)+1))-DATEVALUE(CONCATENATE("01/01/",YEAR(AQ45))))*(AQ45-AQ44),2),0))</f>
        <v>#REF!</v>
      </c>
    </row>
    <row r="91" spans="1:64" s="16" customFormat="1" ht="13.8" x14ac:dyDescent="0.3">
      <c r="A91" s="178"/>
      <c r="B91" s="178"/>
      <c r="C91" s="184"/>
      <c r="D91" s="184"/>
      <c r="E91" s="184"/>
      <c r="F91" s="184"/>
      <c r="G91" s="244">
        <f t="shared" si="69"/>
        <v>83</v>
      </c>
      <c r="H91" s="245">
        <f t="shared" si="51"/>
        <v>47120</v>
      </c>
      <c r="I91" s="246">
        <f t="shared" si="74"/>
        <v>0.17899999999999999</v>
      </c>
      <c r="J91" s="242">
        <f t="shared" si="52"/>
        <v>29910</v>
      </c>
      <c r="K91" s="242">
        <f t="shared" si="64"/>
        <v>29910</v>
      </c>
      <c r="L91" s="242">
        <f t="shared" si="53"/>
        <v>967.73195204092769</v>
      </c>
      <c r="M91" s="242">
        <f t="shared" si="65"/>
        <v>28942.268047959071</v>
      </c>
      <c r="N91" s="242">
        <f t="shared" si="47"/>
        <v>0</v>
      </c>
      <c r="O91" s="242">
        <v>0</v>
      </c>
      <c r="P91" s="242">
        <f t="shared" si="77"/>
        <v>967.73195204092769</v>
      </c>
      <c r="Q91" s="242">
        <f t="shared" si="48"/>
        <v>0</v>
      </c>
      <c r="R91" s="242">
        <f t="shared" si="54"/>
        <v>0</v>
      </c>
      <c r="S91" s="242">
        <f t="shared" si="66"/>
        <v>34712.834221808203</v>
      </c>
      <c r="T91" s="467"/>
      <c r="U91" s="36">
        <f t="shared" si="70"/>
        <v>2</v>
      </c>
      <c r="V91" s="36">
        <f t="shared" si="56"/>
        <v>2</v>
      </c>
      <c r="W91" s="2" t="e">
        <f>IF(AND(G56&gt;=$W$11,G56&lt;=$W$11+5),0,IF($C$9&gt;$AF$51,ROUND(S55*#REF!/(DATEVALUE(CONCATENATE("01/01/",YEAR(H56)+1))-DATEVALUE(CONCATENATE("01/01/",YEAR(H56))))*(H56-H55),2),0))</f>
        <v>#REF!</v>
      </c>
      <c r="X91" s="34">
        <f t="shared" si="41"/>
        <v>29910</v>
      </c>
      <c r="Y91" s="57">
        <f t="shared" si="39"/>
        <v>62111</v>
      </c>
      <c r="AC91" s="142">
        <v>500001</v>
      </c>
      <c r="AD91" s="142">
        <v>1000000</v>
      </c>
      <c r="AE91" s="580">
        <v>4999</v>
      </c>
      <c r="AF91" s="580">
        <v>6499</v>
      </c>
      <c r="AG91" s="580">
        <v>8499</v>
      </c>
      <c r="AH91" s="580">
        <v>9499</v>
      </c>
      <c r="AI91" s="580">
        <v>10999</v>
      </c>
      <c r="AL91" s="2" t="e">
        <f>IF(AND(Y48&gt;=$W$11,Y48&lt;=$W$11+5),0,IF($C$9&gt;$AF$51,ROUND(AI51*#REF!/(DATEVALUE(CONCATENATE("01/01/",YEAR(Z48)+1))-DATEVALUE(CONCATENATE("01/01/",YEAR(Z48))))*(Z48-Z47),2),0))</f>
        <v>#REF!</v>
      </c>
      <c r="AM91" s="34">
        <f t="shared" si="43"/>
        <v>29117</v>
      </c>
      <c r="AN91" s="57">
        <f t="shared" si="42"/>
        <v>60651</v>
      </c>
      <c r="AO91" s="130">
        <f t="shared" si="57"/>
        <v>1</v>
      </c>
      <c r="AP91" s="553">
        <f t="shared" si="71"/>
        <v>83</v>
      </c>
      <c r="AQ91" s="554">
        <f t="shared" si="58"/>
        <v>47120</v>
      </c>
      <c r="AR91" s="555">
        <f t="shared" si="44"/>
        <v>0.17899999999999999</v>
      </c>
      <c r="AS91" s="559">
        <f t="shared" si="59"/>
        <v>29117</v>
      </c>
      <c r="AT91" s="546">
        <f t="shared" si="60"/>
        <v>29117</v>
      </c>
      <c r="AU91" s="546">
        <f t="shared" si="61"/>
        <v>941.813146764625</v>
      </c>
      <c r="AV91" s="546">
        <f t="shared" si="62"/>
        <v>28175.186853235376</v>
      </c>
      <c r="AW91" s="559">
        <f t="shared" si="49"/>
        <v>0</v>
      </c>
      <c r="AX91" s="559">
        <v>0</v>
      </c>
      <c r="AY91" s="559">
        <f t="shared" si="78"/>
        <v>941.813146764625</v>
      </c>
      <c r="AZ91" s="559">
        <f t="shared" si="76"/>
        <v>0</v>
      </c>
      <c r="BA91" s="559">
        <f t="shared" si="75"/>
        <v>0</v>
      </c>
      <c r="BB91" s="559"/>
      <c r="BC91" s="559"/>
      <c r="BD91" s="559"/>
      <c r="BE91" s="559"/>
      <c r="BF91" s="559"/>
      <c r="BG91" s="546">
        <f t="shared" si="63"/>
        <v>33775.038154709859</v>
      </c>
      <c r="BH91" s="108">
        <f t="shared" si="72"/>
        <v>2</v>
      </c>
      <c r="BI91" s="108">
        <f t="shared" si="67"/>
        <v>2</v>
      </c>
      <c r="BJ91" s="22">
        <f t="shared" si="68"/>
        <v>47120</v>
      </c>
      <c r="BK91" s="108">
        <f t="shared" si="50"/>
        <v>29910</v>
      </c>
      <c r="BL91" s="2" t="e">
        <f>IF(AND(G46&gt;=$W$11,G46&lt;=$W$11+5),0,IF($C$9&gt;$AF$51,ROUND(BG45*IF(#REF!="",0,#REF!)/(DATEVALUE(CONCATENATE("01/01/",YEAR(AQ46)+1))-DATEVALUE(CONCATENATE("01/01/",YEAR(AQ46))))*(AQ46-AQ45),2),0))</f>
        <v>#REF!</v>
      </c>
    </row>
    <row r="92" spans="1:64" s="16" customFormat="1" ht="13.8" x14ac:dyDescent="0.3">
      <c r="A92" s="178"/>
      <c r="B92" s="178"/>
      <c r="C92" s="184"/>
      <c r="D92" s="184"/>
      <c r="E92" s="184"/>
      <c r="F92" s="184"/>
      <c r="G92" s="244">
        <f t="shared" si="69"/>
        <v>84</v>
      </c>
      <c r="H92" s="245">
        <f t="shared" si="51"/>
        <v>47151</v>
      </c>
      <c r="I92" s="246">
        <f t="shared" si="74"/>
        <v>0.17899999999999999</v>
      </c>
      <c r="J92" s="242">
        <f t="shared" si="52"/>
        <v>29910</v>
      </c>
      <c r="K92" s="242">
        <f t="shared" si="64"/>
        <v>29910</v>
      </c>
      <c r="L92" s="242">
        <f t="shared" si="53"/>
        <v>527.7301838268869</v>
      </c>
      <c r="M92" s="242">
        <f t="shared" si="65"/>
        <v>29382.269816173113</v>
      </c>
      <c r="N92" s="242">
        <f t="shared" si="47"/>
        <v>0</v>
      </c>
      <c r="O92" s="242">
        <v>0</v>
      </c>
      <c r="P92" s="242">
        <f t="shared" si="77"/>
        <v>527.7301838268869</v>
      </c>
      <c r="Q92" s="242">
        <f t="shared" si="48"/>
        <v>0</v>
      </c>
      <c r="R92" s="242">
        <f t="shared" si="54"/>
        <v>0</v>
      </c>
      <c r="S92" s="242">
        <f t="shared" si="66"/>
        <v>0</v>
      </c>
      <c r="T92" s="467"/>
      <c r="U92" s="36">
        <f t="shared" si="70"/>
        <v>1</v>
      </c>
      <c r="V92" s="36">
        <f t="shared" si="56"/>
        <v>1</v>
      </c>
      <c r="W92" s="2" t="e">
        <f>IF(AND(G57&gt;=$W$11,G57&lt;=$W$11+5),0,IF($C$9&gt;$AF$51,ROUND(S56*#REF!/(DATEVALUE(CONCATENATE("01/01/",YEAR(H57)+1))-DATEVALUE(CONCATENATE("01/01/",YEAR(H57))))*(H57-H56),2),0))</f>
        <v>#REF!</v>
      </c>
      <c r="X92" s="34">
        <f t="shared" si="41"/>
        <v>29910</v>
      </c>
      <c r="Y92" s="57">
        <f t="shared" si="39"/>
        <v>62476</v>
      </c>
      <c r="AC92" s="142">
        <v>1000001</v>
      </c>
      <c r="AD92" s="142">
        <v>10000000</v>
      </c>
      <c r="AE92" s="580">
        <v>6499</v>
      </c>
      <c r="AF92" s="580">
        <v>8499</v>
      </c>
      <c r="AG92" s="580">
        <v>9999</v>
      </c>
      <c r="AH92" s="580">
        <v>10999</v>
      </c>
      <c r="AI92" s="580">
        <v>11999</v>
      </c>
      <c r="AL92" s="2" t="e">
        <f>IF(AND(Y49&gt;=$W$11,Y49&lt;=$W$11+5),0,IF($C$9&gt;$AF$51,ROUND(AI52*#REF!/(DATEVALUE(CONCATENATE("01/01/",YEAR(Z49)+1))-DATEVALUE(CONCATENATE("01/01/",YEAR(Z49))))*(Z49-Z48),2),0))</f>
        <v>#REF!</v>
      </c>
      <c r="AM92" s="34">
        <f t="shared" si="43"/>
        <v>29117</v>
      </c>
      <c r="AN92" s="57">
        <f t="shared" si="42"/>
        <v>61016</v>
      </c>
      <c r="AO92" s="130">
        <f t="shared" si="57"/>
        <v>1</v>
      </c>
      <c r="AP92" s="553">
        <f t="shared" si="71"/>
        <v>84</v>
      </c>
      <c r="AQ92" s="554">
        <f t="shared" si="58"/>
        <v>47151</v>
      </c>
      <c r="AR92" s="555">
        <f t="shared" si="44"/>
        <v>0.17899999999999999</v>
      </c>
      <c r="AS92" s="559">
        <f t="shared" si="59"/>
        <v>29117</v>
      </c>
      <c r="AT92" s="546">
        <f t="shared" si="60"/>
        <v>29117</v>
      </c>
      <c r="AU92" s="546">
        <f t="shared" si="61"/>
        <v>513.47311430269872</v>
      </c>
      <c r="AV92" s="546">
        <f t="shared" si="62"/>
        <v>33775.038154709859</v>
      </c>
      <c r="AW92" s="559">
        <f t="shared" si="49"/>
        <v>0</v>
      </c>
      <c r="AX92" s="559">
        <v>0</v>
      </c>
      <c r="AY92" s="559">
        <f t="shared" si="78"/>
        <v>513.47311430269872</v>
      </c>
      <c r="AZ92" s="559">
        <f t="shared" si="76"/>
        <v>0</v>
      </c>
      <c r="BA92" s="559">
        <f t="shared" si="75"/>
        <v>0</v>
      </c>
      <c r="BB92" s="559"/>
      <c r="BC92" s="559"/>
      <c r="BD92" s="559"/>
      <c r="BE92" s="559"/>
      <c r="BF92" s="559"/>
      <c r="BG92" s="546">
        <f t="shared" si="63"/>
        <v>0</v>
      </c>
      <c r="BH92" s="108">
        <f t="shared" si="72"/>
        <v>1</v>
      </c>
      <c r="BI92" s="108">
        <f t="shared" si="67"/>
        <v>1</v>
      </c>
      <c r="BJ92" s="22">
        <f t="shared" si="68"/>
        <v>47151</v>
      </c>
      <c r="BK92" s="108">
        <f t="shared" si="50"/>
        <v>29910</v>
      </c>
      <c r="BL92" s="2" t="e">
        <f>IF(AND(G47&gt;=$W$11,G47&lt;=$W$11+5),0,IF($C$9&gt;$AF$51,ROUND(BG46*IF(#REF!="",0,#REF!)/(DATEVALUE(CONCATENATE("01/01/",YEAR(AQ47)+1))-DATEVALUE(CONCATENATE("01/01/",YEAR(AQ47))))*(AQ47-AQ46),2),0))</f>
        <v>#REF!</v>
      </c>
    </row>
    <row r="93" spans="1:64" s="16" customFormat="1" hidden="1" x14ac:dyDescent="0.3">
      <c r="A93" s="178"/>
      <c r="B93" s="178"/>
      <c r="C93" s="184"/>
      <c r="D93" s="184"/>
      <c r="E93" s="184"/>
      <c r="F93" s="184"/>
      <c r="G93" s="114">
        <f t="shared" si="69"/>
        <v>85</v>
      </c>
      <c r="H93" s="111">
        <f t="shared" ref="H93:H108" si="79">IF((OR(DAY($AD$54)=29,DAY($AD$54)=30,DAY($AD$54)=31)),(EDATE($C$9-3,G93)),(IF((OR(DAY($AD$54)=1,DAY($AD$54)=2,DAY($AD$54)=3)),(EDATE($C$9,G93)+3),EDATE($C$9,G93))))</f>
        <v>47176</v>
      </c>
      <c r="I93" s="176">
        <f t="shared" si="74"/>
        <v>0.17899999999999999</v>
      </c>
      <c r="J93" s="24">
        <f t="shared" si="52"/>
        <v>0</v>
      </c>
      <c r="K93" s="24">
        <f t="shared" ref="K93:K108" si="80">IF(AND(G93&gt;=$W$11,G93&lt;=$W$11+5),$W$10,IF(AND(S92+N93+L93&gt;K92,K92&lt;&gt;0),IF(AND($C$16="Да",$C$8&lt;&gt;"Нет"),$AF$40,$C$24),IF(S92=0,0,S92+N93+L93+L94)))</f>
        <v>0</v>
      </c>
      <c r="L93" s="24">
        <f t="shared" ref="L93:L108" si="81">IF(AND(G93&gt;=$W$11,G93&lt;=$W$11+5),0,IF($C$9&gt;$AF$51,ROUND(S92*I93*((H93-DATE(YEAR(H93),MONTH(H93),1)+1)/(DATE(YEAR(H93)+1,1,1)-DATE(YEAR(H93),1,1))+(EOMONTH(H92,0)-H92)/(DATE(YEAR(H92)+1,1,1)-DATE(YEAR(H92),1,1))),2),0))</f>
        <v>0</v>
      </c>
      <c r="M93" s="24">
        <f t="shared" ref="M93:M108" si="82">IF(V93=0,0,IF(V93=1,S92,IF(S92+N93+L93&gt;K92,K93-L93-N93,S92)))</f>
        <v>0</v>
      </c>
      <c r="N93" s="24">
        <f t="shared" si="47"/>
        <v>0</v>
      </c>
      <c r="O93" s="24">
        <v>0</v>
      </c>
      <c r="P93" s="24">
        <f t="shared" si="77"/>
        <v>0</v>
      </c>
      <c r="Q93" s="24">
        <f t="shared" si="48"/>
        <v>0</v>
      </c>
      <c r="R93" s="24">
        <f t="shared" si="54"/>
        <v>0</v>
      </c>
      <c r="S93" s="24">
        <f t="shared" si="66"/>
        <v>0</v>
      </c>
      <c r="T93" s="24"/>
      <c r="U93" s="36">
        <f t="shared" si="70"/>
        <v>0</v>
      </c>
      <c r="V93" s="36">
        <f t="shared" si="56"/>
        <v>0</v>
      </c>
      <c r="W93" s="2" t="e">
        <f>IF(AND(G58&gt;=$W$11,G58&lt;=$W$11+5),0,IF($C$9&gt;$AF$51,ROUND(S57*#REF!/(DATEVALUE(CONCATENATE("01/01/",YEAR(H58)+1))-DATEVALUE(CONCATENATE("01/01/",YEAR(H58))))*(H58-H57),2),0))</f>
        <v>#REF!</v>
      </c>
      <c r="X93" s="34">
        <f t="shared" si="41"/>
        <v>29910</v>
      </c>
      <c r="Y93" s="57">
        <f t="shared" si="39"/>
        <v>62841</v>
      </c>
      <c r="AL93" s="2" t="e">
        <f>IF(AND(Y50&gt;=$W$11,Y50&lt;=$W$11+5),0,IF($C$9&gt;$AF$51,ROUND(AI53*#REF!/(DATEVALUE(CONCATENATE("01/01/",YEAR(Z50)+1))-DATEVALUE(CONCATENATE("01/01/",YEAR(Z50))))*(Z50-Z49),2),0))</f>
        <v>#REF!</v>
      </c>
      <c r="AM93" s="34">
        <f t="shared" si="43"/>
        <v>29117</v>
      </c>
      <c r="AN93" s="57">
        <f t="shared" si="42"/>
        <v>61381</v>
      </c>
      <c r="AO93" s="130">
        <f t="shared" si="57"/>
        <v>0</v>
      </c>
      <c r="AP93" s="109">
        <f t="shared" si="71"/>
        <v>85</v>
      </c>
      <c r="AQ93" s="110">
        <f t="shared" ref="AQ93:AQ108" si="83">IF((OR(DAY($AD$54)=29,DAY($AD$54)=30,DAY($AD$54)=31)),(EDATE($C$9-3,AP93)),(IF((OR(DAY($AD$54)=1,DAY($AD$54)=2,DAY($AD$54)=3)),(EDATE($C$9,AP93)+3),EDATE($C$9,AP93))))</f>
        <v>47176</v>
      </c>
      <c r="AR93" s="177">
        <f t="shared" si="44"/>
        <v>0.17899999999999999</v>
      </c>
      <c r="AS93" s="105">
        <f t="shared" si="59"/>
        <v>0</v>
      </c>
      <c r="AT93" s="105">
        <f t="shared" ref="AT93:AT108" si="84">IF(AND(G93&gt;=$W$11,G93&lt;=$W$11+5),$W$10,IF(AND(BG92+AW93+AU93&gt;AT92,AT92&lt;&gt;0),IF($D$16="Да",$AL$40,$D$24),IF(BG92=0,0,BG92+AW93+AU93+AU94)))</f>
        <v>0</v>
      </c>
      <c r="AU93" s="105">
        <f t="shared" ref="AU93:AU108" si="85">IF(AND(G93&gt;=$W$11,G93&lt;=$W$11+5),0,IF($C$9&gt;$AF$51,ROUND(BG92*AR93*((AQ93-DATE(YEAR(AQ93),MONTH(AQ93),1)+1)/(DATE(YEAR(AQ93)+1,1,1)-DATE(YEAR(AQ93),1,1))+(EOMONTH(AQ92,0)-AQ92)/(DATE(YEAR(AQ92)+1,1,1)-DATE(YEAR(AQ92),1,1))),2),0))</f>
        <v>0</v>
      </c>
      <c r="AV93" s="105">
        <f t="shared" si="62"/>
        <v>0</v>
      </c>
      <c r="AW93" s="105">
        <f t="shared" si="49"/>
        <v>0</v>
      </c>
      <c r="AX93" s="105">
        <v>0</v>
      </c>
      <c r="AY93" s="105">
        <f t="shared" si="78"/>
        <v>0</v>
      </c>
      <c r="AZ93" s="105">
        <f t="shared" si="76"/>
        <v>0</v>
      </c>
      <c r="BA93" s="105">
        <f t="shared" si="75"/>
        <v>0</v>
      </c>
      <c r="BB93" s="105"/>
      <c r="BC93" s="105"/>
      <c r="BD93" s="105"/>
      <c r="BE93" s="105"/>
      <c r="BF93" s="105"/>
      <c r="BG93" s="105">
        <f t="shared" si="63"/>
        <v>0</v>
      </c>
      <c r="BH93" s="108">
        <f t="shared" si="72"/>
        <v>0</v>
      </c>
      <c r="BI93" s="108">
        <f t="shared" si="67"/>
        <v>0</v>
      </c>
      <c r="BJ93" s="22">
        <f t="shared" si="68"/>
        <v>47176</v>
      </c>
      <c r="BK93" s="108">
        <f t="shared" si="50"/>
        <v>0</v>
      </c>
      <c r="BL93" s="2" t="e">
        <f>IF(AND(G48&gt;=$W$11,G48&lt;=$W$11+5),0,IF($C$9&gt;$AF$51,ROUND(BG47*IF(#REF!="",0,#REF!)/(DATEVALUE(CONCATENATE("01/01/",YEAR(AQ48)+1))-DATEVALUE(CONCATENATE("01/01/",YEAR(AQ48))))*(AQ48-AQ47),2),0))</f>
        <v>#REF!</v>
      </c>
    </row>
    <row r="94" spans="1:64" s="16" customFormat="1" hidden="1" x14ac:dyDescent="0.3">
      <c r="A94" s="178"/>
      <c r="B94" s="178"/>
      <c r="C94" s="184"/>
      <c r="D94" s="184"/>
      <c r="E94" s="184"/>
      <c r="F94" s="184"/>
      <c r="G94" s="114">
        <f t="shared" si="69"/>
        <v>86</v>
      </c>
      <c r="H94" s="111">
        <f t="shared" si="79"/>
        <v>47204</v>
      </c>
      <c r="I94" s="176">
        <f t="shared" si="74"/>
        <v>0.17899999999999999</v>
      </c>
      <c r="J94" s="24">
        <f t="shared" si="52"/>
        <v>0</v>
      </c>
      <c r="K94" s="24">
        <f t="shared" si="80"/>
        <v>0</v>
      </c>
      <c r="L94" s="24">
        <f t="shared" si="81"/>
        <v>0</v>
      </c>
      <c r="M94" s="24">
        <f t="shared" si="82"/>
        <v>0</v>
      </c>
      <c r="N94" s="24">
        <f t="shared" si="47"/>
        <v>0</v>
      </c>
      <c r="O94" s="24">
        <v>0</v>
      </c>
      <c r="P94" s="24">
        <f t="shared" si="77"/>
        <v>0</v>
      </c>
      <c r="Q94" s="24">
        <f t="shared" si="48"/>
        <v>0</v>
      </c>
      <c r="R94" s="24">
        <f t="shared" si="54"/>
        <v>0</v>
      </c>
      <c r="S94" s="24">
        <f t="shared" si="66"/>
        <v>0</v>
      </c>
      <c r="T94" s="24"/>
      <c r="U94" s="36">
        <f t="shared" si="70"/>
        <v>0</v>
      </c>
      <c r="V94" s="36">
        <f t="shared" si="56"/>
        <v>0</v>
      </c>
      <c r="W94" s="2" t="e">
        <f>IF(AND(G59&gt;=$W$11,G59&lt;=$W$11+5),0,IF($C$9&gt;$AF$51,ROUND(S58*#REF!/(DATEVALUE(CONCATENATE("01/01/",YEAR(H59)+1))-DATEVALUE(CONCATENATE("01/01/",YEAR(H59))))*(H59-H58),2),0))</f>
        <v>#REF!</v>
      </c>
      <c r="X94" s="34">
        <f t="shared" si="41"/>
        <v>29910</v>
      </c>
      <c r="Y94" s="57">
        <f t="shared" si="39"/>
        <v>63206</v>
      </c>
      <c r="AL94" s="2" t="e">
        <f>IF(AND(Y51&gt;=$W$11,Y51&lt;=$W$11+5),0,IF($C$9&gt;$AF$51,ROUND(AI54*#REF!/(DATEVALUE(CONCATENATE("01/01/",YEAR(Z51)+1))-DATEVALUE(CONCATENATE("01/01/",YEAR(Z51))))*(Z51-Z50),2),0))</f>
        <v>#REF!</v>
      </c>
      <c r="AM94" s="34">
        <f t="shared" si="43"/>
        <v>29117</v>
      </c>
      <c r="AN94" s="57">
        <f t="shared" si="42"/>
        <v>61746</v>
      </c>
      <c r="AO94" s="130">
        <f t="shared" si="57"/>
        <v>0</v>
      </c>
      <c r="AP94" s="109">
        <f t="shared" si="71"/>
        <v>86</v>
      </c>
      <c r="AQ94" s="110">
        <f t="shared" si="83"/>
        <v>47204</v>
      </c>
      <c r="AR94" s="177">
        <f t="shared" si="44"/>
        <v>0.17899999999999999</v>
      </c>
      <c r="AS94" s="105">
        <f t="shared" si="59"/>
        <v>0</v>
      </c>
      <c r="AT94" s="105">
        <f t="shared" si="84"/>
        <v>0</v>
      </c>
      <c r="AU94" s="105">
        <f t="shared" si="85"/>
        <v>0</v>
      </c>
      <c r="AV94" s="105">
        <f t="shared" si="62"/>
        <v>0</v>
      </c>
      <c r="AW94" s="105">
        <f t="shared" si="49"/>
        <v>0</v>
      </c>
      <c r="AX94" s="105">
        <v>0</v>
      </c>
      <c r="AY94" s="105">
        <f t="shared" si="78"/>
        <v>0</v>
      </c>
      <c r="AZ94" s="105">
        <f t="shared" si="76"/>
        <v>0</v>
      </c>
      <c r="BA94" s="105">
        <f t="shared" si="75"/>
        <v>0</v>
      </c>
      <c r="BB94" s="105"/>
      <c r="BC94" s="105"/>
      <c r="BD94" s="105"/>
      <c r="BE94" s="105"/>
      <c r="BF94" s="105"/>
      <c r="BG94" s="105">
        <f t="shared" si="63"/>
        <v>0</v>
      </c>
      <c r="BH94" s="108">
        <f t="shared" si="72"/>
        <v>0</v>
      </c>
      <c r="BI94" s="108">
        <f t="shared" si="67"/>
        <v>0</v>
      </c>
      <c r="BJ94" s="22">
        <f t="shared" si="68"/>
        <v>47204</v>
      </c>
      <c r="BK94" s="108">
        <f t="shared" si="50"/>
        <v>0</v>
      </c>
      <c r="BL94" s="2" t="e">
        <f>IF(AND(G49&gt;=$W$11,G49&lt;=$W$11+5),0,IF($C$9&gt;$AF$51,ROUND(BG48*IF(#REF!="",0,#REF!)/(DATEVALUE(CONCATENATE("01/01/",YEAR(AQ49)+1))-DATEVALUE(CONCATENATE("01/01/",YEAR(AQ49))))*(AQ49-AQ48),2),0))</f>
        <v>#REF!</v>
      </c>
    </row>
    <row r="95" spans="1:64" s="16" customFormat="1" hidden="1" x14ac:dyDescent="0.3">
      <c r="A95" s="178"/>
      <c r="B95" s="178"/>
      <c r="C95" s="184"/>
      <c r="D95" s="184"/>
      <c r="E95" s="184"/>
      <c r="F95" s="184"/>
      <c r="G95" s="114">
        <f t="shared" si="69"/>
        <v>87</v>
      </c>
      <c r="H95" s="111">
        <f t="shared" si="79"/>
        <v>47235</v>
      </c>
      <c r="I95" s="176">
        <f t="shared" si="74"/>
        <v>0.17899999999999999</v>
      </c>
      <c r="J95" s="24">
        <f t="shared" si="52"/>
        <v>0</v>
      </c>
      <c r="K95" s="24">
        <f t="shared" si="80"/>
        <v>0</v>
      </c>
      <c r="L95" s="24">
        <f t="shared" si="81"/>
        <v>0</v>
      </c>
      <c r="M95" s="24">
        <f t="shared" si="82"/>
        <v>0</v>
      </c>
      <c r="N95" s="24">
        <f t="shared" si="47"/>
        <v>0</v>
      </c>
      <c r="O95" s="24">
        <v>0</v>
      </c>
      <c r="P95" s="24">
        <f t="shared" si="77"/>
        <v>0</v>
      </c>
      <c r="Q95" s="24">
        <f t="shared" si="48"/>
        <v>0</v>
      </c>
      <c r="R95" s="24">
        <f t="shared" si="54"/>
        <v>0</v>
      </c>
      <c r="S95" s="24">
        <f t="shared" si="66"/>
        <v>0</v>
      </c>
      <c r="T95" s="24"/>
      <c r="U95" s="36">
        <f t="shared" si="70"/>
        <v>0</v>
      </c>
      <c r="V95" s="36">
        <f t="shared" si="56"/>
        <v>0</v>
      </c>
      <c r="W95" s="2" t="e">
        <f>IF(AND(G60&gt;=$W$11,G60&lt;=$W$11+5),0,IF($C$9&gt;$AF$51,ROUND(S59*#REF!/(DATEVALUE(CONCATENATE("01/01/",YEAR(H60)+1))-DATEVALUE(CONCATENATE("01/01/",YEAR(H60))))*(H60-H59),2),0))</f>
        <v>#REF!</v>
      </c>
      <c r="X95" s="34">
        <f t="shared" si="41"/>
        <v>29910</v>
      </c>
      <c r="Y95" s="57">
        <f t="shared" si="39"/>
        <v>63571</v>
      </c>
      <c r="AL95" s="2" t="e">
        <f>IF(AND(Y52&gt;=$W$11,Y52&lt;=$W$11+5),0,IF($C$9&gt;$AF$51,ROUND(AI55*#REF!/(DATEVALUE(CONCATENATE("01/01/",YEAR(Z52)+1))-DATEVALUE(CONCATENATE("01/01/",YEAR(Z52))))*(Z52-Z51),2),0))</f>
        <v>#REF!</v>
      </c>
      <c r="AM95" s="34">
        <f t="shared" si="43"/>
        <v>29117</v>
      </c>
      <c r="AN95" s="57">
        <f t="shared" si="42"/>
        <v>62111</v>
      </c>
      <c r="AO95" s="130">
        <f t="shared" si="57"/>
        <v>0</v>
      </c>
      <c r="AP95" s="109">
        <f t="shared" si="71"/>
        <v>87</v>
      </c>
      <c r="AQ95" s="110">
        <f t="shared" si="83"/>
        <v>47235</v>
      </c>
      <c r="AR95" s="177">
        <f t="shared" si="44"/>
        <v>0.17899999999999999</v>
      </c>
      <c r="AS95" s="105">
        <f t="shared" si="59"/>
        <v>0</v>
      </c>
      <c r="AT95" s="105">
        <f t="shared" si="84"/>
        <v>0</v>
      </c>
      <c r="AU95" s="105">
        <f t="shared" si="85"/>
        <v>0</v>
      </c>
      <c r="AV95" s="105">
        <f t="shared" si="62"/>
        <v>0</v>
      </c>
      <c r="AW95" s="105">
        <f t="shared" si="49"/>
        <v>0</v>
      </c>
      <c r="AX95" s="105">
        <v>0</v>
      </c>
      <c r="AY95" s="105">
        <f t="shared" si="78"/>
        <v>0</v>
      </c>
      <c r="AZ95" s="105">
        <f t="shared" si="76"/>
        <v>0</v>
      </c>
      <c r="BA95" s="105">
        <f t="shared" si="75"/>
        <v>0</v>
      </c>
      <c r="BB95" s="105"/>
      <c r="BC95" s="105"/>
      <c r="BD95" s="105"/>
      <c r="BE95" s="105"/>
      <c r="BF95" s="105"/>
      <c r="BG95" s="105">
        <f t="shared" si="63"/>
        <v>0</v>
      </c>
      <c r="BH95" s="108">
        <f t="shared" si="72"/>
        <v>0</v>
      </c>
      <c r="BI95" s="108">
        <f t="shared" si="67"/>
        <v>0</v>
      </c>
      <c r="BJ95" s="22">
        <f t="shared" si="68"/>
        <v>47235</v>
      </c>
      <c r="BK95" s="108">
        <f t="shared" si="50"/>
        <v>0</v>
      </c>
      <c r="BL95" s="2" t="e">
        <f>IF(AND(G50&gt;=$W$11,G50&lt;=$W$11+5),0,IF($C$9&gt;$AF$51,ROUND(BG49*IF(#REF!="",0,#REF!)/(DATEVALUE(CONCATENATE("01/01/",YEAR(AQ50)+1))-DATEVALUE(CONCATENATE("01/01/",YEAR(AQ50))))*(AQ50-AQ49),2),0))</f>
        <v>#REF!</v>
      </c>
    </row>
    <row r="96" spans="1:64" s="16" customFormat="1" hidden="1" x14ac:dyDescent="0.3">
      <c r="A96" s="178"/>
      <c r="B96" s="178"/>
      <c r="C96" s="184"/>
      <c r="D96" s="184"/>
      <c r="E96" s="184"/>
      <c r="F96" s="184"/>
      <c r="G96" s="114">
        <f t="shared" si="69"/>
        <v>88</v>
      </c>
      <c r="H96" s="111">
        <f t="shared" si="79"/>
        <v>47265</v>
      </c>
      <c r="I96" s="176">
        <f t="shared" si="74"/>
        <v>0.17899999999999999</v>
      </c>
      <c r="J96" s="24">
        <f t="shared" si="52"/>
        <v>0</v>
      </c>
      <c r="K96" s="24">
        <f t="shared" si="80"/>
        <v>0</v>
      </c>
      <c r="L96" s="24">
        <f t="shared" si="81"/>
        <v>0</v>
      </c>
      <c r="M96" s="24">
        <f t="shared" si="82"/>
        <v>0</v>
      </c>
      <c r="N96" s="24">
        <f t="shared" si="47"/>
        <v>0</v>
      </c>
      <c r="O96" s="24">
        <v>0</v>
      </c>
      <c r="P96" s="24">
        <f t="shared" si="77"/>
        <v>0</v>
      </c>
      <c r="Q96" s="24">
        <f t="shared" si="48"/>
        <v>0</v>
      </c>
      <c r="R96" s="24">
        <f t="shared" si="54"/>
        <v>0</v>
      </c>
      <c r="S96" s="24">
        <f t="shared" si="66"/>
        <v>0</v>
      </c>
      <c r="T96" s="24"/>
      <c r="U96" s="36">
        <f t="shared" si="70"/>
        <v>0</v>
      </c>
      <c r="V96" s="36">
        <f t="shared" si="56"/>
        <v>0</v>
      </c>
      <c r="W96" s="2" t="e">
        <f>IF(AND(G61&gt;=$W$11,G61&lt;=$W$11+5),0,IF($C$9&gt;$AF$51,ROUND(S60*#REF!/(DATEVALUE(CONCATENATE("01/01/",YEAR(H61)+1))-DATEVALUE(CONCATENATE("01/01/",YEAR(H61))))*(H61-H60),2),0))</f>
        <v>#REF!</v>
      </c>
      <c r="X96" s="34">
        <f t="shared" si="41"/>
        <v>29910</v>
      </c>
      <c r="Y96" s="57">
        <f t="shared" si="39"/>
        <v>63936</v>
      </c>
      <c r="AL96" s="2" t="e">
        <f>IF(AND(Y53&gt;=$W$11,Y53&lt;=$W$11+5),0,IF($C$9&gt;$AF$51,ROUND(AI56*#REF!/(DATEVALUE(CONCATENATE("01/01/",YEAR(Z53)+1))-DATEVALUE(CONCATENATE("01/01/",YEAR(Z53))))*(Z53-Z52),2),0))</f>
        <v>#REF!</v>
      </c>
      <c r="AM96" s="34">
        <f t="shared" si="43"/>
        <v>29117</v>
      </c>
      <c r="AN96" s="57">
        <f t="shared" si="42"/>
        <v>62476</v>
      </c>
      <c r="AO96" s="130">
        <f t="shared" si="57"/>
        <v>0</v>
      </c>
      <c r="AP96" s="109">
        <f t="shared" si="71"/>
        <v>88</v>
      </c>
      <c r="AQ96" s="110">
        <f t="shared" si="83"/>
        <v>47265</v>
      </c>
      <c r="AR96" s="177">
        <f t="shared" si="44"/>
        <v>0.17899999999999999</v>
      </c>
      <c r="AS96" s="105">
        <f t="shared" si="59"/>
        <v>0</v>
      </c>
      <c r="AT96" s="105">
        <f t="shared" si="84"/>
        <v>0</v>
      </c>
      <c r="AU96" s="105">
        <f t="shared" si="85"/>
        <v>0</v>
      </c>
      <c r="AV96" s="105">
        <f t="shared" si="62"/>
        <v>0</v>
      </c>
      <c r="AW96" s="105">
        <f t="shared" si="49"/>
        <v>0</v>
      </c>
      <c r="AX96" s="105">
        <v>0</v>
      </c>
      <c r="AY96" s="105">
        <f t="shared" si="78"/>
        <v>0</v>
      </c>
      <c r="AZ96" s="105">
        <f t="shared" si="76"/>
        <v>0</v>
      </c>
      <c r="BA96" s="105">
        <f t="shared" si="75"/>
        <v>0</v>
      </c>
      <c r="BB96" s="105"/>
      <c r="BC96" s="105"/>
      <c r="BD96" s="105"/>
      <c r="BE96" s="105"/>
      <c r="BF96" s="105"/>
      <c r="BG96" s="105">
        <f t="shared" si="63"/>
        <v>0</v>
      </c>
      <c r="BH96" s="108">
        <f t="shared" si="72"/>
        <v>0</v>
      </c>
      <c r="BI96" s="108">
        <f t="shared" si="67"/>
        <v>0</v>
      </c>
      <c r="BJ96" s="22">
        <f t="shared" si="68"/>
        <v>47265</v>
      </c>
      <c r="BK96" s="108">
        <f t="shared" si="50"/>
        <v>0</v>
      </c>
      <c r="BL96" s="2" t="e">
        <f>IF(AND(G51&gt;=$W$11,G51&lt;=$W$11+5),0,IF($C$9&gt;$AF$51,ROUND(BG50*IF(#REF!="",0,#REF!)/(DATEVALUE(CONCATENATE("01/01/",YEAR(AQ51)+1))-DATEVALUE(CONCATENATE("01/01/",YEAR(AQ51))))*(AQ51-AQ50),2),0))</f>
        <v>#REF!</v>
      </c>
    </row>
    <row r="97" spans="1:1217" s="16" customFormat="1" hidden="1" x14ac:dyDescent="0.3">
      <c r="A97" s="178"/>
      <c r="B97" s="178"/>
      <c r="C97" s="184"/>
      <c r="D97" s="184"/>
      <c r="E97" s="184"/>
      <c r="F97" s="184"/>
      <c r="G97" s="114">
        <f t="shared" si="69"/>
        <v>89</v>
      </c>
      <c r="H97" s="111">
        <f t="shared" si="79"/>
        <v>47296</v>
      </c>
      <c r="I97" s="176">
        <f t="shared" si="74"/>
        <v>0.17899999999999999</v>
      </c>
      <c r="J97" s="24">
        <f t="shared" si="52"/>
        <v>0</v>
      </c>
      <c r="K97" s="24">
        <f t="shared" si="80"/>
        <v>0</v>
      </c>
      <c r="L97" s="24">
        <f t="shared" si="81"/>
        <v>0</v>
      </c>
      <c r="M97" s="24">
        <f t="shared" si="82"/>
        <v>0</v>
      </c>
      <c r="N97" s="24">
        <f t="shared" si="47"/>
        <v>0</v>
      </c>
      <c r="O97" s="24">
        <v>0</v>
      </c>
      <c r="P97" s="24">
        <f t="shared" si="77"/>
        <v>0</v>
      </c>
      <c r="Q97" s="24">
        <f t="shared" si="48"/>
        <v>0</v>
      </c>
      <c r="R97" s="24">
        <f t="shared" si="54"/>
        <v>0</v>
      </c>
      <c r="S97" s="24">
        <f t="shared" si="66"/>
        <v>0</v>
      </c>
      <c r="T97" s="24"/>
      <c r="U97" s="36">
        <f t="shared" si="70"/>
        <v>0</v>
      </c>
      <c r="V97" s="36">
        <f t="shared" si="56"/>
        <v>0</v>
      </c>
      <c r="W97" s="2" t="e">
        <f>IF(AND(G62&gt;=$W$11,G62&lt;=$W$11+5),0,IF($C$9&gt;$AF$51,ROUND(S61*#REF!/(DATEVALUE(CONCATENATE("01/01/",YEAR(H62)+1))-DATEVALUE(CONCATENATE("01/01/",YEAR(H62))))*(H62-H61),2),0))</f>
        <v>#REF!</v>
      </c>
      <c r="X97" s="34">
        <f t="shared" si="41"/>
        <v>29910</v>
      </c>
      <c r="Y97" s="57">
        <f t="shared" si="39"/>
        <v>64301</v>
      </c>
      <c r="AL97" s="2" t="e">
        <f>IF(AND(Y54&gt;=$W$11,Y54&lt;=$W$11+5),0,IF($C$9&gt;$AF$51,ROUND(AI57*#REF!/(DATEVALUE(CONCATENATE("01/01/",YEAR(Z54)+1))-DATEVALUE(CONCATENATE("01/01/",YEAR(Z54))))*(Z54-Z53),2),0))</f>
        <v>#REF!</v>
      </c>
      <c r="AM97" s="34">
        <f t="shared" si="43"/>
        <v>29117</v>
      </c>
      <c r="AN97" s="57">
        <f t="shared" si="42"/>
        <v>62841</v>
      </c>
      <c r="AO97" s="130">
        <f t="shared" si="57"/>
        <v>0</v>
      </c>
      <c r="AP97" s="109">
        <f t="shared" si="71"/>
        <v>89</v>
      </c>
      <c r="AQ97" s="110">
        <f t="shared" si="83"/>
        <v>47296</v>
      </c>
      <c r="AR97" s="177">
        <f t="shared" si="44"/>
        <v>0.17899999999999999</v>
      </c>
      <c r="AS97" s="105">
        <f t="shared" si="59"/>
        <v>0</v>
      </c>
      <c r="AT97" s="105">
        <f t="shared" si="84"/>
        <v>0</v>
      </c>
      <c r="AU97" s="105">
        <f t="shared" si="85"/>
        <v>0</v>
      </c>
      <c r="AV97" s="105">
        <f t="shared" si="62"/>
        <v>0</v>
      </c>
      <c r="AW97" s="105">
        <f t="shared" si="49"/>
        <v>0</v>
      </c>
      <c r="AX97" s="105">
        <v>0</v>
      </c>
      <c r="AY97" s="105">
        <f t="shared" si="78"/>
        <v>0</v>
      </c>
      <c r="AZ97" s="105">
        <f t="shared" si="76"/>
        <v>0</v>
      </c>
      <c r="BA97" s="105">
        <f t="shared" si="75"/>
        <v>0</v>
      </c>
      <c r="BB97" s="105"/>
      <c r="BC97" s="105"/>
      <c r="BD97" s="105"/>
      <c r="BE97" s="105"/>
      <c r="BF97" s="105"/>
      <c r="BG97" s="105">
        <f t="shared" si="63"/>
        <v>0</v>
      </c>
      <c r="BH97" s="108">
        <f t="shared" si="72"/>
        <v>0</v>
      </c>
      <c r="BI97" s="108">
        <f t="shared" si="67"/>
        <v>0</v>
      </c>
      <c r="BJ97" s="22">
        <f t="shared" si="68"/>
        <v>47296</v>
      </c>
      <c r="BK97" s="108">
        <f t="shared" si="50"/>
        <v>0</v>
      </c>
      <c r="BL97" s="2" t="e">
        <f>IF(AND(G52&gt;=$W$11,G52&lt;=$W$11+5),0,IF($C$9&gt;$AF$51,ROUND(BG51*IF(#REF!="",0,#REF!)/(DATEVALUE(CONCATENATE("01/01/",YEAR(AQ52)+1))-DATEVALUE(CONCATENATE("01/01/",YEAR(AQ52))))*(AQ52-AQ51),2),0))</f>
        <v>#REF!</v>
      </c>
    </row>
    <row r="98" spans="1:1217" s="16" customFormat="1" hidden="1" x14ac:dyDescent="0.3">
      <c r="A98" s="178"/>
      <c r="B98" s="178"/>
      <c r="C98" s="184"/>
      <c r="D98" s="184"/>
      <c r="E98" s="184"/>
      <c r="F98" s="184"/>
      <c r="G98" s="114">
        <f t="shared" si="69"/>
        <v>90</v>
      </c>
      <c r="H98" s="111">
        <f t="shared" si="79"/>
        <v>47326</v>
      </c>
      <c r="I98" s="176">
        <f t="shared" si="74"/>
        <v>0.17899999999999999</v>
      </c>
      <c r="J98" s="24">
        <f t="shared" si="52"/>
        <v>0</v>
      </c>
      <c r="K98" s="24">
        <f t="shared" si="80"/>
        <v>0</v>
      </c>
      <c r="L98" s="24">
        <f t="shared" si="81"/>
        <v>0</v>
      </c>
      <c r="M98" s="24">
        <f t="shared" si="82"/>
        <v>0</v>
      </c>
      <c r="N98" s="24">
        <f t="shared" si="47"/>
        <v>0</v>
      </c>
      <c r="O98" s="24">
        <v>0</v>
      </c>
      <c r="P98" s="24">
        <f t="shared" si="77"/>
        <v>0</v>
      </c>
      <c r="Q98" s="24">
        <f t="shared" si="48"/>
        <v>0</v>
      </c>
      <c r="R98" s="24">
        <f t="shared" si="54"/>
        <v>0</v>
      </c>
      <c r="S98" s="24">
        <f t="shared" si="66"/>
        <v>0</v>
      </c>
      <c r="T98" s="24"/>
      <c r="U98" s="36">
        <f t="shared" si="70"/>
        <v>0</v>
      </c>
      <c r="V98" s="36">
        <f t="shared" si="56"/>
        <v>0</v>
      </c>
      <c r="W98" s="2" t="e">
        <f>IF(AND(G63&gt;=$W$11,G63&lt;=$W$11+5),0,IF($C$9&gt;$AF$51,ROUND(S62*#REF!/(DATEVALUE(CONCATENATE("01/01/",YEAR(H63)+1))-DATEVALUE(CONCATENATE("01/01/",YEAR(H63))))*(H63-H62),2),0))</f>
        <v>#REF!</v>
      </c>
      <c r="X98" s="34">
        <f t="shared" si="41"/>
        <v>29910</v>
      </c>
      <c r="Y98" s="57">
        <f t="shared" si="39"/>
        <v>64666</v>
      </c>
      <c r="AL98" s="2" t="e">
        <f>IF(AND(Y55&gt;=$W$11,Y55&lt;=$W$11+5),0,IF($C$9&gt;$AF$51,ROUND(AI58*#REF!/(DATEVALUE(CONCATENATE("01/01/",YEAR(Z55)+1))-DATEVALUE(CONCATENATE("01/01/",YEAR(Z55))))*(Z55-Z54),2),0))</f>
        <v>#REF!</v>
      </c>
      <c r="AM98" s="34">
        <f t="shared" si="43"/>
        <v>29117</v>
      </c>
      <c r="AN98" s="57">
        <f t="shared" si="42"/>
        <v>63206</v>
      </c>
      <c r="AO98" s="130">
        <f t="shared" si="57"/>
        <v>0</v>
      </c>
      <c r="AP98" s="109">
        <f t="shared" si="71"/>
        <v>90</v>
      </c>
      <c r="AQ98" s="110">
        <f t="shared" si="83"/>
        <v>47326</v>
      </c>
      <c r="AR98" s="177">
        <f t="shared" si="44"/>
        <v>0.17899999999999999</v>
      </c>
      <c r="AS98" s="105">
        <f t="shared" si="59"/>
        <v>0</v>
      </c>
      <c r="AT98" s="105">
        <f t="shared" si="84"/>
        <v>0</v>
      </c>
      <c r="AU98" s="105">
        <f t="shared" si="85"/>
        <v>0</v>
      </c>
      <c r="AV98" s="105">
        <f t="shared" si="62"/>
        <v>0</v>
      </c>
      <c r="AW98" s="105">
        <f t="shared" si="49"/>
        <v>0</v>
      </c>
      <c r="AX98" s="105">
        <v>0</v>
      </c>
      <c r="AY98" s="105">
        <f t="shared" si="78"/>
        <v>0</v>
      </c>
      <c r="AZ98" s="105">
        <f t="shared" si="76"/>
        <v>0</v>
      </c>
      <c r="BA98" s="105">
        <f t="shared" si="75"/>
        <v>0</v>
      </c>
      <c r="BB98" s="105"/>
      <c r="BC98" s="105"/>
      <c r="BD98" s="105"/>
      <c r="BE98" s="105"/>
      <c r="BF98" s="105"/>
      <c r="BG98" s="105">
        <f t="shared" si="63"/>
        <v>0</v>
      </c>
      <c r="BH98" s="108">
        <f t="shared" si="72"/>
        <v>0</v>
      </c>
      <c r="BI98" s="108">
        <f t="shared" si="67"/>
        <v>0</v>
      </c>
      <c r="BJ98" s="22">
        <f t="shared" si="68"/>
        <v>47326</v>
      </c>
      <c r="BK98" s="108">
        <f t="shared" si="50"/>
        <v>0</v>
      </c>
      <c r="BL98" s="2" t="e">
        <f>IF(AND(G53&gt;=$W$11,G53&lt;=$W$11+5),0,IF($C$9&gt;$AF$51,ROUND(BG52*IF(#REF!="",0,#REF!)/(DATEVALUE(CONCATENATE("01/01/",YEAR(AQ53)+1))-DATEVALUE(CONCATENATE("01/01/",YEAR(AQ53))))*(AQ53-AQ52),2),0))</f>
        <v>#REF!</v>
      </c>
    </row>
    <row r="99" spans="1:1217" s="16" customFormat="1" hidden="1" x14ac:dyDescent="0.3">
      <c r="A99" s="178"/>
      <c r="B99" s="178"/>
      <c r="C99" s="184"/>
      <c r="D99" s="184"/>
      <c r="E99" s="184"/>
      <c r="F99" s="184"/>
      <c r="G99" s="114">
        <f t="shared" si="69"/>
        <v>91</v>
      </c>
      <c r="H99" s="111">
        <f t="shared" si="79"/>
        <v>47357</v>
      </c>
      <c r="I99" s="176">
        <f t="shared" si="74"/>
        <v>0.17899999999999999</v>
      </c>
      <c r="J99" s="24">
        <f t="shared" si="52"/>
        <v>0</v>
      </c>
      <c r="K99" s="24">
        <f t="shared" si="80"/>
        <v>0</v>
      </c>
      <c r="L99" s="24">
        <f t="shared" si="81"/>
        <v>0</v>
      </c>
      <c r="M99" s="24">
        <f t="shared" si="82"/>
        <v>0</v>
      </c>
      <c r="N99" s="24">
        <f t="shared" si="47"/>
        <v>0</v>
      </c>
      <c r="O99" s="24">
        <v>0</v>
      </c>
      <c r="P99" s="24">
        <f t="shared" si="77"/>
        <v>0</v>
      </c>
      <c r="Q99" s="24">
        <f t="shared" si="48"/>
        <v>0</v>
      </c>
      <c r="R99" s="24">
        <f t="shared" si="54"/>
        <v>0</v>
      </c>
      <c r="S99" s="24">
        <f t="shared" si="66"/>
        <v>0</v>
      </c>
      <c r="T99" s="24"/>
      <c r="U99" s="36">
        <f t="shared" si="70"/>
        <v>0</v>
      </c>
      <c r="V99" s="36">
        <f t="shared" si="56"/>
        <v>0</v>
      </c>
      <c r="W99" s="2" t="e">
        <f>IF(AND(G64&gt;=$W$11,G64&lt;=$W$11+5),0,IF($C$9&gt;$AF$51,ROUND(S63*#REF!/(DATEVALUE(CONCATENATE("01/01/",YEAR(H64)+1))-DATEVALUE(CONCATENATE("01/01/",YEAR(H64))))*(H64-H63),2),0))</f>
        <v>#REF!</v>
      </c>
      <c r="X99" s="34">
        <f t="shared" si="41"/>
        <v>29910</v>
      </c>
      <c r="Y99" s="57">
        <f t="shared" si="39"/>
        <v>65031</v>
      </c>
      <c r="AL99" s="2" t="e">
        <f>IF(AND(Y56&gt;=$W$11,Y56&lt;=$W$11+5),0,IF($C$9&gt;$AF$51,ROUND(AI59*#REF!/(DATEVALUE(CONCATENATE("01/01/",YEAR(Z56)+1))-DATEVALUE(CONCATENATE("01/01/",YEAR(Z56))))*(Z56-Z55),2),0))</f>
        <v>#VALUE!</v>
      </c>
      <c r="AM99" s="34">
        <f t="shared" si="43"/>
        <v>29117</v>
      </c>
      <c r="AN99" s="57">
        <f t="shared" si="42"/>
        <v>63571</v>
      </c>
      <c r="AO99" s="130">
        <f t="shared" si="57"/>
        <v>0</v>
      </c>
      <c r="AP99" s="109">
        <f t="shared" si="71"/>
        <v>91</v>
      </c>
      <c r="AQ99" s="110">
        <f t="shared" si="83"/>
        <v>47357</v>
      </c>
      <c r="AR99" s="177">
        <f t="shared" si="44"/>
        <v>0.17899999999999999</v>
      </c>
      <c r="AS99" s="105">
        <f t="shared" si="59"/>
        <v>0</v>
      </c>
      <c r="AT99" s="105">
        <f t="shared" si="84"/>
        <v>0</v>
      </c>
      <c r="AU99" s="105">
        <f t="shared" si="85"/>
        <v>0</v>
      </c>
      <c r="AV99" s="105">
        <f t="shared" si="62"/>
        <v>0</v>
      </c>
      <c r="AW99" s="105">
        <f t="shared" si="49"/>
        <v>0</v>
      </c>
      <c r="AX99" s="105">
        <v>0</v>
      </c>
      <c r="AY99" s="105">
        <f t="shared" si="78"/>
        <v>0</v>
      </c>
      <c r="AZ99" s="105">
        <f t="shared" si="76"/>
        <v>0</v>
      </c>
      <c r="BA99" s="105">
        <f t="shared" si="75"/>
        <v>0</v>
      </c>
      <c r="BB99" s="105"/>
      <c r="BC99" s="105"/>
      <c r="BD99" s="105"/>
      <c r="BE99" s="105"/>
      <c r="BF99" s="105"/>
      <c r="BG99" s="105">
        <f t="shared" si="63"/>
        <v>0</v>
      </c>
      <c r="BH99" s="108">
        <f t="shared" si="72"/>
        <v>0</v>
      </c>
      <c r="BI99" s="108">
        <f t="shared" si="67"/>
        <v>0</v>
      </c>
      <c r="BJ99" s="22">
        <f t="shared" si="68"/>
        <v>47357</v>
      </c>
      <c r="BK99" s="108">
        <f t="shared" si="50"/>
        <v>0</v>
      </c>
      <c r="BL99" s="2" t="e">
        <f>IF(AND(G54&gt;=$W$11,G54&lt;=$W$11+5),0,IF($C$9&gt;$AF$51,ROUND(BG53*IF(#REF!="",0,#REF!)/(DATEVALUE(CONCATENATE("01/01/",YEAR(AQ54)+1))-DATEVALUE(CONCATENATE("01/01/",YEAR(AQ54))))*(AQ54-AQ53),2),0))</f>
        <v>#REF!</v>
      </c>
    </row>
    <row r="100" spans="1:1217" s="16" customFormat="1" hidden="1" x14ac:dyDescent="0.3">
      <c r="A100" s="178"/>
      <c r="B100" s="178"/>
      <c r="C100" s="184"/>
      <c r="D100" s="184"/>
      <c r="E100" s="184"/>
      <c r="F100" s="184"/>
      <c r="G100" s="114">
        <f t="shared" si="69"/>
        <v>92</v>
      </c>
      <c r="H100" s="111">
        <f t="shared" si="79"/>
        <v>47388</v>
      </c>
      <c r="I100" s="176">
        <f t="shared" si="74"/>
        <v>0.17899999999999999</v>
      </c>
      <c r="J100" s="24">
        <f t="shared" si="52"/>
        <v>0</v>
      </c>
      <c r="K100" s="24">
        <f t="shared" si="80"/>
        <v>0</v>
      </c>
      <c r="L100" s="24">
        <f t="shared" si="81"/>
        <v>0</v>
      </c>
      <c r="M100" s="24">
        <f t="shared" si="82"/>
        <v>0</v>
      </c>
      <c r="N100" s="24">
        <f t="shared" si="47"/>
        <v>0</v>
      </c>
      <c r="O100" s="24">
        <v>0</v>
      </c>
      <c r="P100" s="24">
        <f t="shared" si="77"/>
        <v>0</v>
      </c>
      <c r="Q100" s="24">
        <f t="shared" si="48"/>
        <v>0</v>
      </c>
      <c r="R100" s="24">
        <f t="shared" si="54"/>
        <v>0</v>
      </c>
      <c r="S100" s="24">
        <f t="shared" si="66"/>
        <v>0</v>
      </c>
      <c r="T100" s="24"/>
      <c r="U100" s="36">
        <f t="shared" si="70"/>
        <v>0</v>
      </c>
      <c r="V100" s="36">
        <f t="shared" si="56"/>
        <v>0</v>
      </c>
      <c r="W100" s="2" t="e">
        <f>IF(AND(G65&gt;=$W$11,G65&lt;=$W$11+5),0,IF($C$9&gt;$AF$51,ROUND(S64*#REF!/(DATEVALUE(CONCATENATE("01/01/",YEAR(H65)+1))-DATEVALUE(CONCATENATE("01/01/",YEAR(H65))))*(H65-H64),2),0))</f>
        <v>#REF!</v>
      </c>
      <c r="X100" s="34">
        <f t="shared" si="41"/>
        <v>29910</v>
      </c>
      <c r="Y100" s="57">
        <f t="shared" si="39"/>
        <v>65396</v>
      </c>
      <c r="AL100" s="2" t="e">
        <f>IF(AND(Y57&gt;=$W$11,Y57&lt;=$W$11+5),0,IF($C$9&gt;$AF$51,ROUND(AI60*#REF!/(DATEVALUE(CONCATENATE("01/01/",YEAR(Z57)+1))-DATEVALUE(CONCATENATE("01/01/",YEAR(Z57))))*(Z57-Z56),2),0))</f>
        <v>#REF!</v>
      </c>
      <c r="AM100" s="34">
        <f t="shared" si="43"/>
        <v>29117</v>
      </c>
      <c r="AN100" s="57">
        <f t="shared" si="42"/>
        <v>63936</v>
      </c>
      <c r="AO100" s="130">
        <f t="shared" si="57"/>
        <v>0</v>
      </c>
      <c r="AP100" s="109">
        <f t="shared" si="71"/>
        <v>92</v>
      </c>
      <c r="AQ100" s="110">
        <f t="shared" si="83"/>
        <v>47388</v>
      </c>
      <c r="AR100" s="177">
        <f t="shared" si="44"/>
        <v>0.17899999999999999</v>
      </c>
      <c r="AS100" s="105">
        <f t="shared" si="59"/>
        <v>0</v>
      </c>
      <c r="AT100" s="105">
        <f t="shared" si="84"/>
        <v>0</v>
      </c>
      <c r="AU100" s="105">
        <f t="shared" si="85"/>
        <v>0</v>
      </c>
      <c r="AV100" s="105">
        <f t="shared" si="62"/>
        <v>0</v>
      </c>
      <c r="AW100" s="105">
        <f t="shared" si="49"/>
        <v>0</v>
      </c>
      <c r="AX100" s="105">
        <v>0</v>
      </c>
      <c r="AY100" s="105">
        <f t="shared" si="78"/>
        <v>0</v>
      </c>
      <c r="AZ100" s="105">
        <f t="shared" si="76"/>
        <v>0</v>
      </c>
      <c r="BA100" s="105">
        <f t="shared" si="75"/>
        <v>0</v>
      </c>
      <c r="BB100" s="105"/>
      <c r="BC100" s="105"/>
      <c r="BD100" s="105"/>
      <c r="BE100" s="105"/>
      <c r="BF100" s="105"/>
      <c r="BG100" s="105">
        <f t="shared" si="63"/>
        <v>0</v>
      </c>
      <c r="BH100" s="108">
        <f t="shared" si="72"/>
        <v>0</v>
      </c>
      <c r="BI100" s="108">
        <f t="shared" si="67"/>
        <v>0</v>
      </c>
      <c r="BJ100" s="22">
        <f t="shared" si="68"/>
        <v>47388</v>
      </c>
      <c r="BK100" s="108">
        <f t="shared" si="50"/>
        <v>0</v>
      </c>
      <c r="BL100" s="2" t="e">
        <f>IF(AND(G55&gt;=$W$11,G55&lt;=$W$11+5),0,IF($C$9&gt;$AF$51,ROUND(BG54*IF(#REF!="",0,#REF!)/(DATEVALUE(CONCATENATE("01/01/",YEAR(AQ55)+1))-DATEVALUE(CONCATENATE("01/01/",YEAR(AQ55))))*(AQ55-AQ54),2),0))</f>
        <v>#REF!</v>
      </c>
    </row>
    <row r="101" spans="1:1217" s="16" customFormat="1" hidden="1" x14ac:dyDescent="0.3">
      <c r="A101" s="178"/>
      <c r="B101" s="178"/>
      <c r="C101" s="184"/>
      <c r="D101" s="184"/>
      <c r="E101" s="184"/>
      <c r="F101" s="184"/>
      <c r="G101" s="114">
        <f t="shared" si="69"/>
        <v>93</v>
      </c>
      <c r="H101" s="111">
        <f t="shared" si="79"/>
        <v>47418</v>
      </c>
      <c r="I101" s="176">
        <f t="shared" si="74"/>
        <v>0.17899999999999999</v>
      </c>
      <c r="J101" s="24">
        <f t="shared" si="52"/>
        <v>0</v>
      </c>
      <c r="K101" s="24">
        <f t="shared" si="80"/>
        <v>0</v>
      </c>
      <c r="L101" s="24">
        <f t="shared" si="81"/>
        <v>0</v>
      </c>
      <c r="M101" s="24">
        <f t="shared" si="82"/>
        <v>0</v>
      </c>
      <c r="N101" s="24">
        <f t="shared" si="47"/>
        <v>0</v>
      </c>
      <c r="O101" s="24">
        <v>0</v>
      </c>
      <c r="P101" s="24">
        <f t="shared" si="77"/>
        <v>0</v>
      </c>
      <c r="Q101" s="24">
        <f t="shared" si="48"/>
        <v>0</v>
      </c>
      <c r="R101" s="24">
        <f t="shared" si="54"/>
        <v>0</v>
      </c>
      <c r="S101" s="24">
        <f t="shared" si="66"/>
        <v>0</v>
      </c>
      <c r="T101" s="24"/>
      <c r="U101" s="36">
        <f t="shared" si="70"/>
        <v>0</v>
      </c>
      <c r="V101" s="36">
        <f t="shared" si="56"/>
        <v>0</v>
      </c>
      <c r="W101" s="2" t="e">
        <f>IF(AND(G66&gt;=$W$11,G66&lt;=$W$11+5),0,IF($C$9&gt;$AF$51,ROUND(S65*#REF!/(DATEVALUE(CONCATENATE("01/01/",YEAR(H66)+1))-DATEVALUE(CONCATENATE("01/01/",YEAR(H66))))*(H66-H65),2),0))</f>
        <v>#REF!</v>
      </c>
      <c r="X101" s="34">
        <f t="shared" si="41"/>
        <v>29910</v>
      </c>
      <c r="Y101" s="57">
        <f t="shared" si="39"/>
        <v>65761</v>
      </c>
      <c r="AL101" s="2" t="e">
        <f>IF(AND(Y58&gt;=$W$11,Y58&lt;=$W$11+5),0,IF($C$9&gt;$AF$51,ROUND(AI61*#REF!/(DATEVALUE(CONCATENATE("01/01/",YEAR(Z58)+1))-DATEVALUE(CONCATENATE("01/01/",YEAR(Z58))))*(Z58-Z57),2),0))</f>
        <v>#REF!</v>
      </c>
      <c r="AM101" s="34">
        <f t="shared" si="43"/>
        <v>29117</v>
      </c>
      <c r="AN101" s="57">
        <f t="shared" si="42"/>
        <v>64301</v>
      </c>
      <c r="AO101" s="130">
        <f t="shared" si="57"/>
        <v>0</v>
      </c>
      <c r="AP101" s="109">
        <f t="shared" si="71"/>
        <v>93</v>
      </c>
      <c r="AQ101" s="110">
        <f t="shared" si="83"/>
        <v>47418</v>
      </c>
      <c r="AR101" s="177">
        <f t="shared" si="44"/>
        <v>0.17899999999999999</v>
      </c>
      <c r="AS101" s="105">
        <f t="shared" si="59"/>
        <v>0</v>
      </c>
      <c r="AT101" s="105">
        <f t="shared" si="84"/>
        <v>0</v>
      </c>
      <c r="AU101" s="105">
        <f t="shared" si="85"/>
        <v>0</v>
      </c>
      <c r="AV101" s="105">
        <f t="shared" si="62"/>
        <v>0</v>
      </c>
      <c r="AW101" s="105">
        <f t="shared" si="49"/>
        <v>0</v>
      </c>
      <c r="AX101" s="105">
        <v>0</v>
      </c>
      <c r="AY101" s="105">
        <f t="shared" si="78"/>
        <v>0</v>
      </c>
      <c r="AZ101" s="105">
        <f t="shared" si="76"/>
        <v>0</v>
      </c>
      <c r="BA101" s="105">
        <f t="shared" si="75"/>
        <v>0</v>
      </c>
      <c r="BB101" s="105"/>
      <c r="BC101" s="105"/>
      <c r="BD101" s="105"/>
      <c r="BE101" s="105"/>
      <c r="BF101" s="105"/>
      <c r="BG101" s="105">
        <f t="shared" si="63"/>
        <v>0</v>
      </c>
      <c r="BH101" s="108">
        <f t="shared" si="72"/>
        <v>0</v>
      </c>
      <c r="BI101" s="108">
        <f t="shared" si="67"/>
        <v>0</v>
      </c>
      <c r="BJ101" s="22">
        <f t="shared" si="68"/>
        <v>47418</v>
      </c>
      <c r="BK101" s="108">
        <f t="shared" si="50"/>
        <v>0</v>
      </c>
      <c r="BL101" s="2" t="e">
        <f>IF(AND(G56&gt;=$W$11,G56&lt;=$W$11+5),0,IF($C$9&gt;$AF$51,ROUND(BG55*IF(#REF!="",0,#REF!)/(DATEVALUE(CONCATENATE("01/01/",YEAR(AQ56)+1))-DATEVALUE(CONCATENATE("01/01/",YEAR(AQ56))))*(AQ56-AQ55),2),0))</f>
        <v>#REF!</v>
      </c>
    </row>
    <row r="102" spans="1:1217" s="16" customFormat="1" hidden="1" x14ac:dyDescent="0.3">
      <c r="A102" s="178"/>
      <c r="B102" s="178"/>
      <c r="C102" s="184"/>
      <c r="D102" s="184"/>
      <c r="E102" s="184"/>
      <c r="F102" s="184"/>
      <c r="G102" s="114">
        <f t="shared" si="69"/>
        <v>94</v>
      </c>
      <c r="H102" s="111">
        <f t="shared" si="79"/>
        <v>47449</v>
      </c>
      <c r="I102" s="176">
        <f t="shared" si="74"/>
        <v>0.17899999999999999</v>
      </c>
      <c r="J102" s="24">
        <f t="shared" si="52"/>
        <v>0</v>
      </c>
      <c r="K102" s="24">
        <f t="shared" si="80"/>
        <v>0</v>
      </c>
      <c r="L102" s="24">
        <f t="shared" si="81"/>
        <v>0</v>
      </c>
      <c r="M102" s="24">
        <f t="shared" si="82"/>
        <v>0</v>
      </c>
      <c r="N102" s="24">
        <f t="shared" si="47"/>
        <v>0</v>
      </c>
      <c r="O102" s="24">
        <v>0</v>
      </c>
      <c r="P102" s="24">
        <f t="shared" si="77"/>
        <v>0</v>
      </c>
      <c r="Q102" s="24">
        <f t="shared" si="48"/>
        <v>0</v>
      </c>
      <c r="R102" s="24">
        <f t="shared" si="54"/>
        <v>0</v>
      </c>
      <c r="S102" s="24">
        <f t="shared" si="66"/>
        <v>0</v>
      </c>
      <c r="T102" s="24"/>
      <c r="U102" s="36">
        <f t="shared" si="70"/>
        <v>0</v>
      </c>
      <c r="V102" s="36">
        <f t="shared" si="56"/>
        <v>0</v>
      </c>
      <c r="W102" s="2" t="e">
        <f>IF(AND(G67&gt;=$W$11,G67&lt;=$W$11+5),0,IF($C$9&gt;$AF$51,ROUND(S66*#REF!/(DATEVALUE(CONCATENATE("01/01/",YEAR(H67)+1))-DATEVALUE(CONCATENATE("01/01/",YEAR(H67))))*(H67-H66),2),0))</f>
        <v>#REF!</v>
      </c>
      <c r="X102" s="34">
        <f t="shared" si="41"/>
        <v>29910</v>
      </c>
      <c r="Y102" s="57">
        <f t="shared" si="39"/>
        <v>66126</v>
      </c>
      <c r="AL102" s="2" t="e">
        <f>IF(AND(Y59&gt;=$W$11,Y59&lt;=$W$11+5),0,IF($C$9&gt;$AF$51,ROUND(AI62*#REF!/(DATEVALUE(CONCATENATE("01/01/",YEAR(Z59)+1))-DATEVALUE(CONCATENATE("01/01/",YEAR(Z59))))*(Z59-Z58),2),0))</f>
        <v>#REF!</v>
      </c>
      <c r="AM102" s="34">
        <f t="shared" si="43"/>
        <v>29117</v>
      </c>
      <c r="AN102" s="57">
        <f t="shared" si="42"/>
        <v>64666</v>
      </c>
      <c r="AO102" s="130">
        <f t="shared" si="57"/>
        <v>0</v>
      </c>
      <c r="AP102" s="109">
        <f t="shared" si="71"/>
        <v>94</v>
      </c>
      <c r="AQ102" s="110">
        <f t="shared" si="83"/>
        <v>47449</v>
      </c>
      <c r="AR102" s="177">
        <f t="shared" si="44"/>
        <v>0.17899999999999999</v>
      </c>
      <c r="AS102" s="105">
        <f t="shared" si="59"/>
        <v>0</v>
      </c>
      <c r="AT102" s="105">
        <f t="shared" si="84"/>
        <v>0</v>
      </c>
      <c r="AU102" s="105">
        <f t="shared" si="85"/>
        <v>0</v>
      </c>
      <c r="AV102" s="105">
        <f t="shared" si="62"/>
        <v>0</v>
      </c>
      <c r="AW102" s="105">
        <f t="shared" si="49"/>
        <v>0</v>
      </c>
      <c r="AX102" s="105">
        <v>0</v>
      </c>
      <c r="AY102" s="105">
        <f t="shared" si="78"/>
        <v>0</v>
      </c>
      <c r="AZ102" s="105">
        <f t="shared" si="76"/>
        <v>0</v>
      </c>
      <c r="BA102" s="105">
        <f t="shared" si="75"/>
        <v>0</v>
      </c>
      <c r="BB102" s="105"/>
      <c r="BC102" s="105"/>
      <c r="BD102" s="105"/>
      <c r="BE102" s="105"/>
      <c r="BF102" s="105"/>
      <c r="BG102" s="105">
        <f t="shared" si="63"/>
        <v>0</v>
      </c>
      <c r="BH102" s="108">
        <f t="shared" si="72"/>
        <v>0</v>
      </c>
      <c r="BI102" s="108">
        <f t="shared" si="67"/>
        <v>0</v>
      </c>
      <c r="BJ102" s="22">
        <f t="shared" si="68"/>
        <v>47449</v>
      </c>
      <c r="BK102" s="108">
        <f t="shared" si="50"/>
        <v>0</v>
      </c>
      <c r="BL102" s="2" t="e">
        <f>IF(AND(G57&gt;=$W$11,G57&lt;=$W$11+5),0,IF($C$9&gt;$AF$51,ROUND(BG56*IF(#REF!="",0,#REF!)/(DATEVALUE(CONCATENATE("01/01/",YEAR(AQ57)+1))-DATEVALUE(CONCATENATE("01/01/",YEAR(AQ57))))*(AQ57-AQ56),2),0))</f>
        <v>#REF!</v>
      </c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  <c r="AAB102" s="2"/>
      <c r="AAC102" s="2"/>
      <c r="AAD102" s="2"/>
      <c r="AAE102" s="2"/>
      <c r="AAF102" s="2"/>
      <c r="AAG102" s="2"/>
      <c r="AAH102" s="2"/>
      <c r="AAI102" s="2"/>
      <c r="AAJ102" s="2"/>
      <c r="AAK102" s="2"/>
      <c r="AAL102" s="2"/>
      <c r="AAM102" s="2"/>
      <c r="AAN102" s="2"/>
      <c r="AAO102" s="2"/>
      <c r="AAP102" s="2"/>
      <c r="AAQ102" s="2"/>
      <c r="AAR102" s="2"/>
      <c r="AAS102" s="2"/>
      <c r="AAT102" s="2"/>
      <c r="AAU102" s="2"/>
      <c r="AAV102" s="2"/>
      <c r="AAW102" s="2"/>
      <c r="AAX102" s="2"/>
      <c r="AAY102" s="2"/>
      <c r="AAZ102" s="2"/>
      <c r="ABA102" s="2"/>
      <c r="ABB102" s="2"/>
      <c r="ABC102" s="2"/>
      <c r="ABD102" s="2"/>
      <c r="ABE102" s="2"/>
      <c r="ABF102" s="2"/>
      <c r="ABG102" s="2"/>
      <c r="ABH102" s="2"/>
      <c r="ABI102" s="2"/>
      <c r="ABJ102" s="2"/>
      <c r="ABK102" s="2"/>
      <c r="ABL102" s="2"/>
      <c r="ABM102" s="2"/>
      <c r="ABN102" s="2"/>
      <c r="ABO102" s="2"/>
      <c r="ABP102" s="2"/>
      <c r="ABQ102" s="2"/>
      <c r="ABR102" s="2"/>
      <c r="ABS102" s="2"/>
      <c r="ABT102" s="2"/>
      <c r="ABU102" s="2"/>
      <c r="ABV102" s="2"/>
      <c r="ABW102" s="2"/>
      <c r="ABX102" s="2"/>
      <c r="ABY102" s="2"/>
      <c r="ABZ102" s="2"/>
      <c r="ACA102" s="2"/>
      <c r="ACB102" s="2"/>
      <c r="ACC102" s="2"/>
      <c r="ACD102" s="2"/>
      <c r="ACE102" s="2"/>
      <c r="ACF102" s="2"/>
      <c r="ACG102" s="2"/>
      <c r="ACH102" s="2"/>
      <c r="ACI102" s="2"/>
      <c r="ACJ102" s="2"/>
      <c r="ACK102" s="2"/>
      <c r="ACL102" s="2"/>
      <c r="ACM102" s="2"/>
      <c r="ACN102" s="2"/>
      <c r="ACO102" s="2"/>
      <c r="ACP102" s="2"/>
      <c r="ACQ102" s="2"/>
      <c r="ACR102" s="2"/>
      <c r="ACS102" s="2"/>
      <c r="ACT102" s="2"/>
      <c r="ACU102" s="2"/>
      <c r="ACV102" s="2"/>
      <c r="ACW102" s="2"/>
      <c r="ACX102" s="2"/>
      <c r="ACY102" s="2"/>
      <c r="ACZ102" s="2"/>
      <c r="ADA102" s="2"/>
      <c r="ADB102" s="2"/>
      <c r="ADC102" s="2"/>
      <c r="ADD102" s="2"/>
      <c r="ADE102" s="2"/>
      <c r="ADF102" s="2"/>
      <c r="ADG102" s="2"/>
      <c r="ADH102" s="2"/>
      <c r="ADI102" s="2"/>
      <c r="ADJ102" s="2"/>
      <c r="ADK102" s="2"/>
      <c r="ADL102" s="2"/>
      <c r="ADM102" s="2"/>
      <c r="ADN102" s="2"/>
      <c r="ADO102" s="2"/>
      <c r="ADP102" s="2"/>
      <c r="ADQ102" s="2"/>
      <c r="ADR102" s="2"/>
      <c r="ADS102" s="2"/>
      <c r="ADT102" s="2"/>
      <c r="ADU102" s="2"/>
      <c r="ADV102" s="2"/>
      <c r="ADW102" s="2"/>
      <c r="ADX102" s="2"/>
      <c r="ADY102" s="2"/>
      <c r="ADZ102" s="2"/>
      <c r="AEA102" s="2"/>
      <c r="AEB102" s="2"/>
      <c r="AEC102" s="2"/>
      <c r="AED102" s="2"/>
      <c r="AEE102" s="2"/>
      <c r="AEF102" s="2"/>
      <c r="AEG102" s="2"/>
      <c r="AEH102" s="2"/>
      <c r="AEI102" s="2"/>
      <c r="AEJ102" s="2"/>
      <c r="AEK102" s="2"/>
      <c r="AEL102" s="2"/>
      <c r="AEM102" s="2"/>
      <c r="AEN102" s="2"/>
      <c r="AEO102" s="2"/>
      <c r="AEP102" s="2"/>
      <c r="AEQ102" s="2"/>
      <c r="AER102" s="2"/>
      <c r="AES102" s="2"/>
      <c r="AET102" s="2"/>
      <c r="AEU102" s="2"/>
      <c r="AEV102" s="2"/>
      <c r="AEW102" s="2"/>
      <c r="AEX102" s="2"/>
      <c r="AEY102" s="2"/>
      <c r="AEZ102" s="2"/>
      <c r="AFA102" s="2"/>
      <c r="AFB102" s="2"/>
      <c r="AFC102" s="2"/>
      <c r="AFD102" s="2"/>
      <c r="AFE102" s="2"/>
      <c r="AFF102" s="2"/>
      <c r="AFG102" s="2"/>
      <c r="AFH102" s="2"/>
      <c r="AFI102" s="2"/>
      <c r="AFJ102" s="2"/>
      <c r="AFK102" s="2"/>
      <c r="AFL102" s="2"/>
      <c r="AFM102" s="2"/>
      <c r="AFN102" s="2"/>
      <c r="AFO102" s="2"/>
      <c r="AFP102" s="2"/>
      <c r="AFQ102" s="2"/>
      <c r="AFR102" s="2"/>
      <c r="AFS102" s="2"/>
      <c r="AFT102" s="2"/>
      <c r="AFU102" s="2"/>
      <c r="AFV102" s="2"/>
      <c r="AFW102" s="2"/>
      <c r="AFX102" s="2"/>
      <c r="AFY102" s="2"/>
      <c r="AFZ102" s="2"/>
      <c r="AGA102" s="2"/>
      <c r="AGB102" s="2"/>
      <c r="AGC102" s="2"/>
      <c r="AGD102" s="2"/>
      <c r="AGE102" s="2"/>
      <c r="AGF102" s="2"/>
      <c r="AGG102" s="2"/>
      <c r="AGH102" s="2"/>
      <c r="AGI102" s="2"/>
      <c r="AGJ102" s="2"/>
      <c r="AGK102" s="2"/>
      <c r="AGL102" s="2"/>
      <c r="AGM102" s="2"/>
      <c r="AGN102" s="2"/>
      <c r="AGO102" s="2"/>
      <c r="AGP102" s="2"/>
      <c r="AGQ102" s="2"/>
      <c r="AGR102" s="2"/>
      <c r="AGS102" s="2"/>
      <c r="AGT102" s="2"/>
      <c r="AGU102" s="2"/>
      <c r="AGV102" s="2"/>
      <c r="AGW102" s="2"/>
      <c r="AGX102" s="2"/>
      <c r="AGY102" s="2"/>
      <c r="AGZ102" s="2"/>
      <c r="AHA102" s="2"/>
      <c r="AHB102" s="2"/>
      <c r="AHC102" s="2"/>
      <c r="AHD102" s="2"/>
      <c r="AHE102" s="2"/>
      <c r="AHF102" s="2"/>
      <c r="AHG102" s="2"/>
      <c r="AHH102" s="2"/>
      <c r="AHI102" s="2"/>
      <c r="AHJ102" s="2"/>
      <c r="AHK102" s="2"/>
      <c r="AHL102" s="2"/>
      <c r="AHM102" s="2"/>
      <c r="AHN102" s="2"/>
      <c r="AHO102" s="2"/>
      <c r="AHP102" s="2"/>
      <c r="AHQ102" s="2"/>
      <c r="AHR102" s="2"/>
      <c r="AHS102" s="2"/>
      <c r="AHT102" s="2"/>
      <c r="AHU102" s="2"/>
      <c r="AHV102" s="2"/>
      <c r="AHW102" s="2"/>
      <c r="AHX102" s="2"/>
      <c r="AHY102" s="2"/>
      <c r="AHZ102" s="2"/>
      <c r="AIA102" s="2"/>
      <c r="AIB102" s="2"/>
      <c r="AIC102" s="2"/>
      <c r="AID102" s="2"/>
      <c r="AIE102" s="2"/>
      <c r="AIF102" s="2"/>
      <c r="AIG102" s="2"/>
      <c r="AIH102" s="2"/>
      <c r="AII102" s="2"/>
      <c r="AIJ102" s="2"/>
      <c r="AIK102" s="2"/>
      <c r="AIL102" s="2"/>
      <c r="AIM102" s="2"/>
      <c r="AIN102" s="2"/>
      <c r="AIO102" s="2"/>
      <c r="AIP102" s="2"/>
      <c r="AIQ102" s="2"/>
      <c r="AIR102" s="2"/>
      <c r="AIS102" s="2"/>
      <c r="AIT102" s="2"/>
      <c r="AIU102" s="2"/>
      <c r="AIV102" s="2"/>
      <c r="AIW102" s="2"/>
      <c r="AIX102" s="2"/>
      <c r="AIY102" s="2"/>
      <c r="AIZ102" s="2"/>
      <c r="AJA102" s="2"/>
      <c r="AJB102" s="2"/>
      <c r="AJC102" s="2"/>
      <c r="AJD102" s="2"/>
      <c r="AJE102" s="2"/>
      <c r="AJF102" s="2"/>
      <c r="AJG102" s="2"/>
      <c r="AJH102" s="2"/>
      <c r="AJI102" s="2"/>
      <c r="AJJ102" s="2"/>
      <c r="AJK102" s="2"/>
      <c r="AJL102" s="2"/>
      <c r="AJM102" s="2"/>
      <c r="AJN102" s="2"/>
      <c r="AJO102" s="2"/>
      <c r="AJP102" s="2"/>
      <c r="AJQ102" s="2"/>
      <c r="AJR102" s="2"/>
      <c r="AJS102" s="2"/>
      <c r="AJT102" s="2"/>
      <c r="AJU102" s="2"/>
      <c r="AJV102" s="2"/>
      <c r="AJW102" s="2"/>
      <c r="AJX102" s="2"/>
      <c r="AJY102" s="2"/>
      <c r="AJZ102" s="2"/>
      <c r="AKA102" s="2"/>
      <c r="AKB102" s="2"/>
      <c r="AKC102" s="2"/>
      <c r="AKD102" s="2"/>
      <c r="AKE102" s="2"/>
      <c r="AKF102" s="2"/>
      <c r="AKG102" s="2"/>
      <c r="AKH102" s="2"/>
      <c r="AKI102" s="2"/>
      <c r="AKJ102" s="2"/>
      <c r="AKK102" s="2"/>
      <c r="AKL102" s="2"/>
      <c r="AKM102" s="2"/>
      <c r="AKN102" s="2"/>
      <c r="AKO102" s="2"/>
      <c r="AKP102" s="2"/>
      <c r="AKQ102" s="2"/>
      <c r="AKR102" s="2"/>
      <c r="AKS102" s="2"/>
      <c r="AKT102" s="2"/>
      <c r="AKU102" s="2"/>
      <c r="AKV102" s="2"/>
      <c r="AKW102" s="2"/>
      <c r="AKX102" s="2"/>
      <c r="AKY102" s="2"/>
      <c r="AKZ102" s="2"/>
      <c r="ALA102" s="2"/>
      <c r="ALB102" s="2"/>
      <c r="ALC102" s="2"/>
      <c r="ALD102" s="2"/>
      <c r="ALE102" s="2"/>
      <c r="ALF102" s="2"/>
      <c r="ALG102" s="2"/>
      <c r="ALH102" s="2"/>
      <c r="ALI102" s="2"/>
      <c r="ALJ102" s="2"/>
      <c r="ALK102" s="2"/>
      <c r="ALL102" s="2"/>
      <c r="ALM102" s="2"/>
      <c r="ALN102" s="2"/>
      <c r="ALO102" s="2"/>
      <c r="ALP102" s="2"/>
      <c r="ALQ102" s="2"/>
      <c r="ALR102" s="2"/>
      <c r="ALS102" s="2"/>
      <c r="ALT102" s="2"/>
      <c r="ALU102" s="2"/>
      <c r="ALV102" s="2"/>
      <c r="ALW102" s="2"/>
      <c r="ALX102" s="2"/>
      <c r="ALY102" s="2"/>
      <c r="ALZ102" s="2"/>
      <c r="AMA102" s="2"/>
      <c r="AMB102" s="2"/>
      <c r="AMC102" s="2"/>
      <c r="AMD102" s="2"/>
      <c r="AME102" s="2"/>
      <c r="AMF102" s="2"/>
      <c r="AMG102" s="2"/>
      <c r="AMH102" s="2"/>
      <c r="AMI102" s="2"/>
      <c r="AMJ102" s="2"/>
      <c r="AMK102" s="2"/>
      <c r="AML102" s="2"/>
      <c r="AMM102" s="2"/>
      <c r="AMN102" s="2"/>
      <c r="AMO102" s="2"/>
      <c r="AMP102" s="2"/>
      <c r="AMQ102" s="2"/>
      <c r="AMR102" s="2"/>
      <c r="AMS102" s="2"/>
      <c r="AMT102" s="2"/>
      <c r="AMU102" s="2"/>
      <c r="AMV102" s="2"/>
      <c r="AMW102" s="2"/>
      <c r="AMX102" s="2"/>
      <c r="AMY102" s="2"/>
      <c r="AMZ102" s="2"/>
      <c r="ANA102" s="2"/>
      <c r="ANB102" s="2"/>
      <c r="ANC102" s="2"/>
      <c r="AND102" s="2"/>
      <c r="ANE102" s="2"/>
      <c r="ANF102" s="2"/>
      <c r="ANG102" s="2"/>
      <c r="ANH102" s="2"/>
      <c r="ANI102" s="2"/>
      <c r="ANJ102" s="2"/>
      <c r="ANK102" s="2"/>
      <c r="ANL102" s="2"/>
      <c r="ANM102" s="2"/>
      <c r="ANN102" s="2"/>
      <c r="ANO102" s="2"/>
      <c r="ANP102" s="2"/>
      <c r="ANQ102" s="2"/>
      <c r="ANR102" s="2"/>
      <c r="ANS102" s="2"/>
      <c r="ANT102" s="2"/>
      <c r="ANU102" s="2"/>
      <c r="ANV102" s="2"/>
      <c r="ANW102" s="2"/>
      <c r="ANX102" s="2"/>
      <c r="ANY102" s="2"/>
      <c r="ANZ102" s="2"/>
      <c r="AOA102" s="2"/>
      <c r="AOB102" s="2"/>
      <c r="AOC102" s="2"/>
      <c r="AOD102" s="2"/>
      <c r="AOE102" s="2"/>
      <c r="AOF102" s="2"/>
      <c r="AOG102" s="2"/>
      <c r="AOH102" s="2"/>
      <c r="AOI102" s="2"/>
      <c r="AOJ102" s="2"/>
      <c r="AOK102" s="2"/>
      <c r="AOL102" s="2"/>
      <c r="AOM102" s="2"/>
      <c r="AON102" s="2"/>
      <c r="AOO102" s="2"/>
      <c r="AOP102" s="2"/>
      <c r="AOQ102" s="2"/>
      <c r="AOR102" s="2"/>
      <c r="AOS102" s="2"/>
      <c r="AOT102" s="2"/>
      <c r="AOU102" s="2"/>
      <c r="AOV102" s="2"/>
      <c r="AOW102" s="2"/>
      <c r="AOX102" s="2"/>
      <c r="AOY102" s="2"/>
      <c r="AOZ102" s="2"/>
      <c r="APA102" s="2"/>
      <c r="APB102" s="2"/>
      <c r="APC102" s="2"/>
      <c r="APD102" s="2"/>
      <c r="APE102" s="2"/>
      <c r="APF102" s="2"/>
      <c r="APG102" s="2"/>
      <c r="APH102" s="2"/>
      <c r="API102" s="2"/>
      <c r="APJ102" s="2"/>
      <c r="APK102" s="2"/>
      <c r="APL102" s="2"/>
      <c r="APM102" s="2"/>
      <c r="APN102" s="2"/>
      <c r="APO102" s="2"/>
      <c r="APP102" s="2"/>
      <c r="APQ102" s="2"/>
      <c r="APR102" s="2"/>
      <c r="APS102" s="2"/>
      <c r="APT102" s="2"/>
      <c r="APU102" s="2"/>
      <c r="APV102" s="2"/>
      <c r="APW102" s="2"/>
      <c r="APX102" s="2"/>
      <c r="APY102" s="2"/>
      <c r="APZ102" s="2"/>
      <c r="AQA102" s="2"/>
      <c r="AQB102" s="2"/>
      <c r="AQC102" s="2"/>
      <c r="AQD102" s="2"/>
      <c r="AQE102" s="2"/>
      <c r="AQF102" s="2"/>
      <c r="AQG102" s="2"/>
      <c r="AQH102" s="2"/>
      <c r="AQI102" s="2"/>
      <c r="AQJ102" s="2"/>
      <c r="AQK102" s="2"/>
      <c r="AQL102" s="2"/>
      <c r="AQM102" s="2"/>
      <c r="AQN102" s="2"/>
      <c r="AQO102" s="2"/>
      <c r="AQP102" s="2"/>
      <c r="AQQ102" s="2"/>
      <c r="AQR102" s="2"/>
      <c r="AQS102" s="2"/>
      <c r="AQT102" s="2"/>
      <c r="AQU102" s="2"/>
      <c r="AQV102" s="2"/>
      <c r="AQW102" s="2"/>
      <c r="AQX102" s="2"/>
      <c r="AQY102" s="2"/>
      <c r="AQZ102" s="2"/>
      <c r="ARA102" s="2"/>
      <c r="ARB102" s="2"/>
      <c r="ARC102" s="2"/>
      <c r="ARD102" s="2"/>
      <c r="ARE102" s="2"/>
      <c r="ARF102" s="2"/>
      <c r="ARG102" s="2"/>
      <c r="ARH102" s="2"/>
      <c r="ARI102" s="2"/>
      <c r="ARJ102" s="2"/>
      <c r="ARK102" s="2"/>
      <c r="ARL102" s="2"/>
      <c r="ARM102" s="2"/>
      <c r="ARN102" s="2"/>
      <c r="ARO102" s="2"/>
      <c r="ARP102" s="2"/>
      <c r="ARQ102" s="2"/>
      <c r="ARR102" s="2"/>
      <c r="ARS102" s="2"/>
      <c r="ART102" s="2"/>
      <c r="ARU102" s="2"/>
      <c r="ARV102" s="2"/>
      <c r="ARW102" s="2"/>
      <c r="ARX102" s="2"/>
      <c r="ARY102" s="2"/>
      <c r="ARZ102" s="2"/>
      <c r="ASA102" s="2"/>
      <c r="ASB102" s="2"/>
      <c r="ASC102" s="2"/>
      <c r="ASD102" s="2"/>
      <c r="ASE102" s="2"/>
      <c r="ASF102" s="2"/>
      <c r="ASG102" s="2"/>
      <c r="ASH102" s="2"/>
      <c r="ASI102" s="2"/>
      <c r="ASJ102" s="2"/>
      <c r="ASK102" s="2"/>
      <c r="ASL102" s="2"/>
      <c r="ASM102" s="2"/>
      <c r="ASN102" s="2"/>
      <c r="ASO102" s="2"/>
      <c r="ASP102" s="2"/>
      <c r="ASQ102" s="2"/>
      <c r="ASR102" s="2"/>
      <c r="ASS102" s="2"/>
      <c r="AST102" s="2"/>
      <c r="ASU102" s="2"/>
      <c r="ASV102" s="2"/>
      <c r="ASW102" s="2"/>
      <c r="ASX102" s="2"/>
      <c r="ASY102" s="2"/>
      <c r="ASZ102" s="2"/>
      <c r="ATA102" s="2"/>
      <c r="ATB102" s="2"/>
      <c r="ATC102" s="2"/>
      <c r="ATD102" s="2"/>
      <c r="ATE102" s="2"/>
      <c r="ATF102" s="2"/>
      <c r="ATG102" s="2"/>
      <c r="ATH102" s="2"/>
      <c r="ATI102" s="2"/>
      <c r="ATJ102" s="2"/>
      <c r="ATK102" s="2"/>
      <c r="ATL102" s="2"/>
      <c r="ATM102" s="2"/>
      <c r="ATN102" s="2"/>
      <c r="ATO102" s="2"/>
      <c r="ATP102" s="2"/>
      <c r="ATQ102" s="2"/>
      <c r="ATR102" s="2"/>
      <c r="ATS102" s="2"/>
      <c r="ATT102" s="2"/>
      <c r="ATU102" s="2"/>
    </row>
    <row r="103" spans="1:1217" hidden="1" x14ac:dyDescent="0.3">
      <c r="A103" s="178"/>
      <c r="B103" s="178"/>
      <c r="C103" s="184"/>
      <c r="D103" s="184"/>
      <c r="E103" s="184"/>
      <c r="F103" s="184"/>
      <c r="G103" s="114">
        <f t="shared" si="69"/>
        <v>95</v>
      </c>
      <c r="H103" s="111">
        <f t="shared" si="79"/>
        <v>47479</v>
      </c>
      <c r="I103" s="176">
        <f t="shared" si="74"/>
        <v>0.17899999999999999</v>
      </c>
      <c r="J103" s="24">
        <f t="shared" si="52"/>
        <v>0</v>
      </c>
      <c r="K103" s="24">
        <f t="shared" si="80"/>
        <v>0</v>
      </c>
      <c r="L103" s="24">
        <f t="shared" si="81"/>
        <v>0</v>
      </c>
      <c r="M103" s="24">
        <f t="shared" si="82"/>
        <v>0</v>
      </c>
      <c r="N103" s="24">
        <f t="shared" si="47"/>
        <v>0</v>
      </c>
      <c r="O103" s="24">
        <v>0</v>
      </c>
      <c r="P103" s="24">
        <f t="shared" si="77"/>
        <v>0</v>
      </c>
      <c r="Q103" s="24">
        <f t="shared" si="48"/>
        <v>0</v>
      </c>
      <c r="R103" s="24">
        <f t="shared" si="54"/>
        <v>0</v>
      </c>
      <c r="S103" s="24">
        <f t="shared" si="66"/>
        <v>0</v>
      </c>
      <c r="T103" s="24"/>
      <c r="U103" s="36">
        <f t="shared" si="70"/>
        <v>0</v>
      </c>
      <c r="V103" s="36">
        <f t="shared" si="56"/>
        <v>0</v>
      </c>
      <c r="W103" s="2" t="e">
        <f>IF(AND(G68&gt;=$W$11,G68&lt;=$W$11+5),0,IF($C$9&gt;$AF$51,ROUND(S67*#REF!/(DATEVALUE(CONCATENATE("01/01/",YEAR(H68)+1))-DATEVALUE(CONCATENATE("01/01/",YEAR(H68))))*(H68-H67),2),0))</f>
        <v>#REF!</v>
      </c>
      <c r="X103" s="34">
        <f t="shared" si="41"/>
        <v>29910</v>
      </c>
      <c r="Y103" s="57">
        <f t="shared" si="39"/>
        <v>66491</v>
      </c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2" t="e">
        <f>IF(AND(Y60&gt;=$W$11,Y60&lt;=$W$11+5),0,IF($C$9&gt;$AF$51,ROUND(AI63*#REF!/(DATEVALUE(CONCATENATE("01/01/",YEAR(Z60)+1))-DATEVALUE(CONCATENATE("01/01/",YEAR(Z60))))*(Z60-Z59),2),0))</f>
        <v>#REF!</v>
      </c>
      <c r="AM103" s="34">
        <f t="shared" si="43"/>
        <v>29117</v>
      </c>
      <c r="AN103" s="57">
        <f t="shared" si="42"/>
        <v>65031</v>
      </c>
      <c r="AO103" s="130">
        <f t="shared" si="57"/>
        <v>0</v>
      </c>
      <c r="AP103" s="109">
        <f t="shared" si="71"/>
        <v>95</v>
      </c>
      <c r="AQ103" s="110">
        <f t="shared" si="83"/>
        <v>47479</v>
      </c>
      <c r="AR103" s="177">
        <f t="shared" si="44"/>
        <v>0.17899999999999999</v>
      </c>
      <c r="AS103" s="105">
        <f t="shared" si="59"/>
        <v>0</v>
      </c>
      <c r="AT103" s="105">
        <f t="shared" si="84"/>
        <v>0</v>
      </c>
      <c r="AU103" s="105">
        <f t="shared" si="85"/>
        <v>0</v>
      </c>
      <c r="AV103" s="105">
        <f t="shared" si="62"/>
        <v>0</v>
      </c>
      <c r="AW103" s="105">
        <f t="shared" si="49"/>
        <v>0</v>
      </c>
      <c r="AX103" s="105">
        <v>0</v>
      </c>
      <c r="AY103" s="105">
        <f t="shared" si="78"/>
        <v>0</v>
      </c>
      <c r="AZ103" s="105">
        <f t="shared" si="76"/>
        <v>0</v>
      </c>
      <c r="BA103" s="105">
        <f t="shared" si="75"/>
        <v>0</v>
      </c>
      <c r="BB103" s="105"/>
      <c r="BC103" s="105"/>
      <c r="BD103" s="105"/>
      <c r="BE103" s="105"/>
      <c r="BF103" s="105"/>
      <c r="BG103" s="105">
        <f t="shared" si="63"/>
        <v>0</v>
      </c>
      <c r="BH103" s="108">
        <f t="shared" si="72"/>
        <v>0</v>
      </c>
      <c r="BI103" s="108">
        <f t="shared" si="67"/>
        <v>0</v>
      </c>
      <c r="BJ103" s="22">
        <f t="shared" si="68"/>
        <v>47479</v>
      </c>
      <c r="BK103" s="108">
        <f t="shared" si="50"/>
        <v>0</v>
      </c>
      <c r="BL103" s="2" t="e">
        <f>IF(AND(G58&gt;=$W$11,G58&lt;=$W$11+5),0,IF($C$9&gt;$AF$51,ROUND(BG57*IF(#REF!="",0,#REF!)/(DATEVALUE(CONCATENATE("01/01/",YEAR(AQ58)+1))-DATEVALUE(CONCATENATE("01/01/",YEAR(AQ58))))*(AQ58-AQ57),2),0))</f>
        <v>#REF!</v>
      </c>
    </row>
    <row r="104" spans="1:1217" hidden="1" x14ac:dyDescent="0.3">
      <c r="A104" s="178"/>
      <c r="B104" s="178"/>
      <c r="C104" s="184"/>
      <c r="D104" s="184"/>
      <c r="E104" s="184"/>
      <c r="F104" s="184"/>
      <c r="G104" s="114">
        <f t="shared" si="69"/>
        <v>96</v>
      </c>
      <c r="H104" s="111">
        <f t="shared" si="79"/>
        <v>47510</v>
      </c>
      <c r="I104" s="176">
        <f t="shared" si="74"/>
        <v>0.17899999999999999</v>
      </c>
      <c r="J104" s="24">
        <f t="shared" si="52"/>
        <v>0</v>
      </c>
      <c r="K104" s="24">
        <f t="shared" si="80"/>
        <v>0</v>
      </c>
      <c r="L104" s="24">
        <f t="shared" si="81"/>
        <v>0</v>
      </c>
      <c r="M104" s="24">
        <f t="shared" si="82"/>
        <v>0</v>
      </c>
      <c r="N104" s="24">
        <f t="shared" si="47"/>
        <v>0</v>
      </c>
      <c r="O104" s="24">
        <v>0</v>
      </c>
      <c r="P104" s="24">
        <f t="shared" si="77"/>
        <v>0</v>
      </c>
      <c r="Q104" s="24">
        <f t="shared" si="48"/>
        <v>0</v>
      </c>
      <c r="R104" s="24">
        <f t="shared" si="54"/>
        <v>0</v>
      </c>
      <c r="S104" s="24">
        <f t="shared" si="66"/>
        <v>0</v>
      </c>
      <c r="T104" s="24"/>
      <c r="U104" s="36">
        <f t="shared" si="70"/>
        <v>0</v>
      </c>
      <c r="V104" s="36">
        <f t="shared" si="56"/>
        <v>0</v>
      </c>
      <c r="W104" s="2" t="e">
        <f>IF(AND(G69&gt;=$W$11,G69&lt;=$W$11+5),0,IF($C$9&gt;$AF$51,ROUND(S68*#REF!/(DATEVALUE(CONCATENATE("01/01/",YEAR(H69)+1))-DATEVALUE(CONCATENATE("01/01/",YEAR(H69))))*(H69-H68),2),0))</f>
        <v>#REF!</v>
      </c>
      <c r="X104" s="34">
        <f t="shared" si="41"/>
        <v>29910</v>
      </c>
      <c r="Y104" s="57">
        <f t="shared" si="39"/>
        <v>66856</v>
      </c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2" t="e">
        <f>IF(AND(Y61&gt;=$W$11,Y61&lt;=$W$11+5),0,IF($C$9&gt;$AF$51,ROUND(AI64*#REF!/(DATEVALUE(CONCATENATE("01/01/",YEAR(Z61)+1))-DATEVALUE(CONCATENATE("01/01/",YEAR(Z61))))*(Z61-Z60),2),0))</f>
        <v>#REF!</v>
      </c>
      <c r="AM104" s="34">
        <f t="shared" si="43"/>
        <v>29117</v>
      </c>
      <c r="AN104" s="57">
        <f t="shared" si="42"/>
        <v>65396</v>
      </c>
      <c r="AO104" s="130">
        <f t="shared" si="57"/>
        <v>0</v>
      </c>
      <c r="AP104" s="109">
        <f t="shared" si="71"/>
        <v>96</v>
      </c>
      <c r="AQ104" s="110">
        <f t="shared" si="83"/>
        <v>47510</v>
      </c>
      <c r="AR104" s="177">
        <f t="shared" si="44"/>
        <v>0.17899999999999999</v>
      </c>
      <c r="AS104" s="105">
        <f t="shared" si="59"/>
        <v>0</v>
      </c>
      <c r="AT104" s="105">
        <f t="shared" si="84"/>
        <v>0</v>
      </c>
      <c r="AU104" s="105">
        <f t="shared" si="85"/>
        <v>0</v>
      </c>
      <c r="AV104" s="105">
        <f t="shared" si="62"/>
        <v>0</v>
      </c>
      <c r="AW104" s="105">
        <f t="shared" si="49"/>
        <v>0</v>
      </c>
      <c r="AX104" s="105">
        <v>0</v>
      </c>
      <c r="AY104" s="105">
        <f t="shared" si="78"/>
        <v>0</v>
      </c>
      <c r="AZ104" s="105">
        <f t="shared" si="76"/>
        <v>0</v>
      </c>
      <c r="BA104" s="105">
        <f t="shared" si="75"/>
        <v>0</v>
      </c>
      <c r="BB104" s="105"/>
      <c r="BC104" s="105"/>
      <c r="BD104" s="105"/>
      <c r="BE104" s="105"/>
      <c r="BF104" s="105"/>
      <c r="BG104" s="105">
        <f t="shared" si="63"/>
        <v>0</v>
      </c>
      <c r="BH104" s="108">
        <f t="shared" si="72"/>
        <v>0</v>
      </c>
      <c r="BI104" s="108">
        <f t="shared" si="67"/>
        <v>0</v>
      </c>
      <c r="BJ104" s="22">
        <f t="shared" si="68"/>
        <v>47510</v>
      </c>
      <c r="BK104" s="108">
        <f t="shared" si="50"/>
        <v>0</v>
      </c>
      <c r="BL104" s="2" t="e">
        <f>IF(AND(G59&gt;=$W$11,G59&lt;=$W$11+5),0,IF($C$9&gt;$AF$51,ROUND(BG58*IF(#REF!="",0,#REF!)/(DATEVALUE(CONCATENATE("01/01/",YEAR(AQ59)+1))-DATEVALUE(CONCATENATE("01/01/",YEAR(AQ59))))*(AQ59-AQ58),2),0))</f>
        <v>#REF!</v>
      </c>
    </row>
    <row r="105" spans="1:1217" hidden="1" x14ac:dyDescent="0.3">
      <c r="A105" s="178"/>
      <c r="B105" s="178"/>
      <c r="C105" s="184"/>
      <c r="D105" s="184"/>
      <c r="E105" s="184"/>
      <c r="F105" s="184"/>
      <c r="G105" s="114">
        <f t="shared" si="69"/>
        <v>97</v>
      </c>
      <c r="H105" s="111">
        <f t="shared" si="79"/>
        <v>47541</v>
      </c>
      <c r="I105" s="176">
        <f t="shared" si="74"/>
        <v>0.17899999999999999</v>
      </c>
      <c r="J105" s="24">
        <f t="shared" si="52"/>
        <v>0</v>
      </c>
      <c r="K105" s="24">
        <f t="shared" si="80"/>
        <v>0</v>
      </c>
      <c r="L105" s="24">
        <f t="shared" si="81"/>
        <v>0</v>
      </c>
      <c r="M105" s="24">
        <f t="shared" si="82"/>
        <v>0</v>
      </c>
      <c r="N105" s="24">
        <f t="shared" si="47"/>
        <v>0</v>
      </c>
      <c r="O105" s="24">
        <v>0</v>
      </c>
      <c r="P105" s="24">
        <f t="shared" si="77"/>
        <v>0</v>
      </c>
      <c r="Q105" s="24">
        <f t="shared" si="48"/>
        <v>0</v>
      </c>
      <c r="R105" s="24">
        <f t="shared" si="54"/>
        <v>0</v>
      </c>
      <c r="S105" s="24">
        <f t="shared" si="66"/>
        <v>0</v>
      </c>
      <c r="T105" s="24"/>
      <c r="U105" s="36">
        <f t="shared" si="70"/>
        <v>0</v>
      </c>
      <c r="V105" s="36">
        <f t="shared" si="56"/>
        <v>0</v>
      </c>
      <c r="W105" s="2" t="e">
        <f>IF(AND(G70&gt;=$W$11,G70&lt;=$W$11+5),0,IF($C$9&gt;$AF$51,ROUND(S69*#REF!/(DATEVALUE(CONCATENATE("01/01/",YEAR(H70)+1))-DATEVALUE(CONCATENATE("01/01/",YEAR(H70))))*(H70-H69),2),0))</f>
        <v>#REF!</v>
      </c>
      <c r="X105" s="34">
        <f t="shared" si="41"/>
        <v>29910</v>
      </c>
      <c r="Y105" s="57">
        <f t="shared" si="39"/>
        <v>67221</v>
      </c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2" t="e">
        <f>IF(AND(Y62&gt;=$W$11,Y62&lt;=$W$11+5),0,IF($C$9&gt;$AF$51,ROUND(AI65*#REF!/(DATEVALUE(CONCATENATE("01/01/",YEAR(Z62)+1))-DATEVALUE(CONCATENATE("01/01/",YEAR(Z62))))*(Z62-Z61),2),0))</f>
        <v>#REF!</v>
      </c>
      <c r="AM105" s="34">
        <f t="shared" si="43"/>
        <v>29117</v>
      </c>
      <c r="AN105" s="57">
        <f t="shared" si="42"/>
        <v>65761</v>
      </c>
      <c r="AO105" s="130">
        <f t="shared" si="57"/>
        <v>0</v>
      </c>
      <c r="AP105" s="109">
        <f t="shared" si="71"/>
        <v>97</v>
      </c>
      <c r="AQ105" s="110">
        <f t="shared" si="83"/>
        <v>47541</v>
      </c>
      <c r="AR105" s="177">
        <f t="shared" si="44"/>
        <v>0.17899999999999999</v>
      </c>
      <c r="AS105" s="105">
        <f t="shared" si="59"/>
        <v>0</v>
      </c>
      <c r="AT105" s="105">
        <f t="shared" si="84"/>
        <v>0</v>
      </c>
      <c r="AU105" s="105">
        <f t="shared" si="85"/>
        <v>0</v>
      </c>
      <c r="AV105" s="105">
        <f t="shared" si="62"/>
        <v>0</v>
      </c>
      <c r="AW105" s="105">
        <f t="shared" si="49"/>
        <v>0</v>
      </c>
      <c r="AX105" s="105">
        <v>0</v>
      </c>
      <c r="AY105" s="105">
        <f t="shared" si="78"/>
        <v>0</v>
      </c>
      <c r="AZ105" s="105">
        <f t="shared" si="76"/>
        <v>0</v>
      </c>
      <c r="BA105" s="105">
        <f t="shared" si="75"/>
        <v>0</v>
      </c>
      <c r="BB105" s="105"/>
      <c r="BC105" s="105"/>
      <c r="BD105" s="105"/>
      <c r="BE105" s="105"/>
      <c r="BF105" s="105"/>
      <c r="BG105" s="105">
        <f t="shared" si="63"/>
        <v>0</v>
      </c>
      <c r="BH105" s="108">
        <f t="shared" si="72"/>
        <v>0</v>
      </c>
      <c r="BI105" s="108">
        <f t="shared" si="67"/>
        <v>0</v>
      </c>
      <c r="BJ105" s="22">
        <f t="shared" si="68"/>
        <v>47541</v>
      </c>
      <c r="BK105" s="108">
        <f t="shared" si="50"/>
        <v>0</v>
      </c>
      <c r="BL105" s="2" t="e">
        <f>IF(AND(G60&gt;=$W$11,G60&lt;=$W$11+5),0,IF($C$9&gt;$AF$51,ROUND(BG59*IF(#REF!="",0,#REF!)/(DATEVALUE(CONCATENATE("01/01/",YEAR(AQ60)+1))-DATEVALUE(CONCATENATE("01/01/",YEAR(AQ60))))*(AQ60-AQ59),2),0))</f>
        <v>#REF!</v>
      </c>
    </row>
    <row r="106" spans="1:1217" hidden="1" x14ac:dyDescent="0.3">
      <c r="A106" s="178"/>
      <c r="B106" s="178"/>
      <c r="C106" s="184"/>
      <c r="D106" s="184"/>
      <c r="E106" s="184"/>
      <c r="F106" s="184"/>
      <c r="G106" s="114">
        <f t="shared" si="69"/>
        <v>98</v>
      </c>
      <c r="H106" s="111">
        <f t="shared" si="79"/>
        <v>47569</v>
      </c>
      <c r="I106" s="176">
        <f t="shared" si="74"/>
        <v>0.17899999999999999</v>
      </c>
      <c r="J106" s="24">
        <f t="shared" si="52"/>
        <v>0</v>
      </c>
      <c r="K106" s="24">
        <f t="shared" si="80"/>
        <v>0</v>
      </c>
      <c r="L106" s="24">
        <f t="shared" si="81"/>
        <v>0</v>
      </c>
      <c r="M106" s="24">
        <f t="shared" si="82"/>
        <v>0</v>
      </c>
      <c r="N106" s="24">
        <f t="shared" si="47"/>
        <v>0</v>
      </c>
      <c r="O106" s="24">
        <v>0</v>
      </c>
      <c r="P106" s="24">
        <f t="shared" si="77"/>
        <v>0</v>
      </c>
      <c r="Q106" s="24">
        <f t="shared" si="48"/>
        <v>0</v>
      </c>
      <c r="R106" s="24">
        <f t="shared" si="54"/>
        <v>0</v>
      </c>
      <c r="S106" s="24">
        <f t="shared" si="66"/>
        <v>0</v>
      </c>
      <c r="T106" s="24"/>
      <c r="U106" s="36">
        <f t="shared" si="70"/>
        <v>0</v>
      </c>
      <c r="V106" s="36">
        <f t="shared" si="56"/>
        <v>0</v>
      </c>
      <c r="W106" s="2" t="e">
        <f>IF(AND(G71&gt;=$W$11,G71&lt;=$W$11+5),0,IF($C$9&gt;$AF$51,ROUND(S70*#REF!/(DATEVALUE(CONCATENATE("01/01/",YEAR(H71)+1))-DATEVALUE(CONCATENATE("01/01/",YEAR(H71))))*(H71-H70),2),0))</f>
        <v>#REF!</v>
      </c>
      <c r="X106" s="34">
        <f t="shared" si="41"/>
        <v>29910</v>
      </c>
      <c r="Y106" s="57">
        <f t="shared" si="39"/>
        <v>67586</v>
      </c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2" t="e">
        <f>IF(AND(Y63&gt;=$W$11,Y63&lt;=$W$11+5),0,IF($C$9&gt;$AF$51,ROUND(AI66*#REF!/(DATEVALUE(CONCATENATE("01/01/",YEAR(Z63)+1))-DATEVALUE(CONCATENATE("01/01/",YEAR(Z63))))*(Z63-Z62),2),0))</f>
        <v>#REF!</v>
      </c>
      <c r="AM106" s="34">
        <f t="shared" si="43"/>
        <v>29117</v>
      </c>
      <c r="AN106" s="57">
        <f t="shared" si="42"/>
        <v>66126</v>
      </c>
      <c r="AO106" s="130">
        <f t="shared" si="57"/>
        <v>0</v>
      </c>
      <c r="AP106" s="109">
        <f t="shared" si="71"/>
        <v>98</v>
      </c>
      <c r="AQ106" s="110">
        <f t="shared" si="83"/>
        <v>47569</v>
      </c>
      <c r="AR106" s="177">
        <f t="shared" si="44"/>
        <v>0.17899999999999999</v>
      </c>
      <c r="AS106" s="105">
        <f t="shared" si="59"/>
        <v>0</v>
      </c>
      <c r="AT106" s="105">
        <f t="shared" si="84"/>
        <v>0</v>
      </c>
      <c r="AU106" s="105">
        <f t="shared" si="85"/>
        <v>0</v>
      </c>
      <c r="AV106" s="105">
        <f t="shared" si="62"/>
        <v>0</v>
      </c>
      <c r="AW106" s="105">
        <f t="shared" si="49"/>
        <v>0</v>
      </c>
      <c r="AX106" s="105">
        <v>0</v>
      </c>
      <c r="AY106" s="105">
        <f t="shared" si="78"/>
        <v>0</v>
      </c>
      <c r="AZ106" s="105">
        <f t="shared" si="76"/>
        <v>0</v>
      </c>
      <c r="BA106" s="105">
        <f t="shared" si="75"/>
        <v>0</v>
      </c>
      <c r="BB106" s="105"/>
      <c r="BC106" s="105"/>
      <c r="BD106" s="105"/>
      <c r="BE106" s="105"/>
      <c r="BF106" s="105"/>
      <c r="BG106" s="105">
        <f t="shared" si="63"/>
        <v>0</v>
      </c>
      <c r="BH106" s="108">
        <f t="shared" si="72"/>
        <v>0</v>
      </c>
      <c r="BI106" s="108">
        <f t="shared" si="67"/>
        <v>0</v>
      </c>
      <c r="BJ106" s="22">
        <f t="shared" si="68"/>
        <v>47569</v>
      </c>
      <c r="BK106" s="108">
        <f t="shared" si="50"/>
        <v>0</v>
      </c>
      <c r="BL106" s="2" t="e">
        <f>IF(AND(G61&gt;=$W$11,G61&lt;=$W$11+5),0,IF($C$9&gt;$AF$51,ROUND(BG60*IF(#REF!="",0,#REF!)/(DATEVALUE(CONCATENATE("01/01/",YEAR(AQ61)+1))-DATEVALUE(CONCATENATE("01/01/",YEAR(AQ61))))*(AQ61-AQ60),2),0))</f>
        <v>#REF!</v>
      </c>
    </row>
    <row r="107" spans="1:1217" hidden="1" x14ac:dyDescent="0.3">
      <c r="A107" s="178"/>
      <c r="B107" s="178"/>
      <c r="C107" s="184"/>
      <c r="D107" s="184"/>
      <c r="E107" s="184"/>
      <c r="F107" s="184"/>
      <c r="G107" s="114">
        <f t="shared" si="69"/>
        <v>99</v>
      </c>
      <c r="H107" s="111">
        <f t="shared" si="79"/>
        <v>47600</v>
      </c>
      <c r="I107" s="176">
        <f t="shared" si="74"/>
        <v>0.17899999999999999</v>
      </c>
      <c r="J107" s="24">
        <f t="shared" si="52"/>
        <v>0</v>
      </c>
      <c r="K107" s="24">
        <f t="shared" si="80"/>
        <v>0</v>
      </c>
      <c r="L107" s="24">
        <f t="shared" si="81"/>
        <v>0</v>
      </c>
      <c r="M107" s="24">
        <f t="shared" si="82"/>
        <v>0</v>
      </c>
      <c r="N107" s="24">
        <f t="shared" si="47"/>
        <v>0</v>
      </c>
      <c r="O107" s="24">
        <v>0</v>
      </c>
      <c r="P107" s="24">
        <f t="shared" si="77"/>
        <v>0</v>
      </c>
      <c r="Q107" s="24">
        <f t="shared" si="48"/>
        <v>0</v>
      </c>
      <c r="R107" s="24">
        <f t="shared" si="54"/>
        <v>0</v>
      </c>
      <c r="S107" s="24">
        <f t="shared" si="66"/>
        <v>0</v>
      </c>
      <c r="T107" s="24"/>
      <c r="U107" s="36">
        <f t="shared" si="70"/>
        <v>0</v>
      </c>
      <c r="V107" s="36">
        <f t="shared" si="56"/>
        <v>0</v>
      </c>
      <c r="W107" s="2" t="e">
        <f>IF(AND(G72&gt;=$W$11,G72&lt;=$W$11+5),0,IF($C$9&gt;$AF$51,ROUND(S71*#REF!/(DATEVALUE(CONCATENATE("01/01/",YEAR(H72)+1))-DATEVALUE(CONCATENATE("01/01/",YEAR(H72))))*(H72-H71),2),0))</f>
        <v>#REF!</v>
      </c>
      <c r="X107" s="34">
        <f t="shared" si="41"/>
        <v>29910</v>
      </c>
      <c r="Y107" s="57">
        <f t="shared" si="39"/>
        <v>67951</v>
      </c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2" t="e">
        <f>IF(AND(Y64&gt;=$W$11,Y64&lt;=$W$11+5),0,IF($C$9&gt;$AF$51,ROUND(AI67*#REF!/(DATEVALUE(CONCATENATE("01/01/",YEAR(Z64)+1))-DATEVALUE(CONCATENATE("01/01/",YEAR(Z64))))*(Z64-Z63),2),0))</f>
        <v>#REF!</v>
      </c>
      <c r="AM107" s="34">
        <f t="shared" si="43"/>
        <v>29117</v>
      </c>
      <c r="AN107" s="57">
        <f t="shared" si="42"/>
        <v>66491</v>
      </c>
      <c r="AO107" s="130">
        <f t="shared" si="57"/>
        <v>0</v>
      </c>
      <c r="AP107" s="109">
        <f t="shared" si="71"/>
        <v>99</v>
      </c>
      <c r="AQ107" s="110">
        <f t="shared" si="83"/>
        <v>47600</v>
      </c>
      <c r="AR107" s="177">
        <f t="shared" si="44"/>
        <v>0.17899999999999999</v>
      </c>
      <c r="AS107" s="105">
        <f t="shared" si="59"/>
        <v>0</v>
      </c>
      <c r="AT107" s="105">
        <f t="shared" si="84"/>
        <v>0</v>
      </c>
      <c r="AU107" s="105">
        <f t="shared" si="85"/>
        <v>0</v>
      </c>
      <c r="AV107" s="105">
        <f t="shared" si="62"/>
        <v>0</v>
      </c>
      <c r="AW107" s="105">
        <f t="shared" si="49"/>
        <v>0</v>
      </c>
      <c r="AX107" s="105">
        <v>0</v>
      </c>
      <c r="AY107" s="105">
        <f t="shared" si="78"/>
        <v>0</v>
      </c>
      <c r="AZ107" s="105">
        <f t="shared" si="76"/>
        <v>0</v>
      </c>
      <c r="BA107" s="105">
        <f t="shared" si="75"/>
        <v>0</v>
      </c>
      <c r="BB107" s="105"/>
      <c r="BC107" s="105"/>
      <c r="BD107" s="105"/>
      <c r="BE107" s="105"/>
      <c r="BF107" s="105"/>
      <c r="BG107" s="105">
        <f t="shared" si="63"/>
        <v>0</v>
      </c>
      <c r="BH107" s="108">
        <f t="shared" si="72"/>
        <v>0</v>
      </c>
      <c r="BI107" s="108">
        <f t="shared" si="67"/>
        <v>0</v>
      </c>
      <c r="BJ107" s="22">
        <f t="shared" si="68"/>
        <v>47600</v>
      </c>
      <c r="BK107" s="108">
        <f t="shared" si="50"/>
        <v>0</v>
      </c>
      <c r="BL107" s="2" t="e">
        <f>IF(AND(G62&gt;=$W$11,G62&lt;=$W$11+5),0,IF($C$9&gt;$AF$51,ROUND(BG61*IF(#REF!="",0,#REF!)/(DATEVALUE(CONCATENATE("01/01/",YEAR(AQ62)+1))-DATEVALUE(CONCATENATE("01/01/",YEAR(AQ62))))*(AQ62-AQ61),2),0))</f>
        <v>#REF!</v>
      </c>
    </row>
    <row r="108" spans="1:1217" hidden="1" x14ac:dyDescent="0.3">
      <c r="A108" s="178"/>
      <c r="B108" s="178"/>
      <c r="C108" s="184"/>
      <c r="D108" s="184"/>
      <c r="E108" s="184"/>
      <c r="F108" s="184"/>
      <c r="G108" s="114">
        <f t="shared" si="69"/>
        <v>100</v>
      </c>
      <c r="H108" s="111">
        <f t="shared" si="79"/>
        <v>47630</v>
      </c>
      <c r="I108" s="176">
        <f t="shared" si="74"/>
        <v>0.17899999999999999</v>
      </c>
      <c r="J108" s="24">
        <f t="shared" si="52"/>
        <v>0</v>
      </c>
      <c r="K108" s="24">
        <f t="shared" si="80"/>
        <v>0</v>
      </c>
      <c r="L108" s="24">
        <f t="shared" si="81"/>
        <v>0</v>
      </c>
      <c r="M108" s="24">
        <f t="shared" si="82"/>
        <v>0</v>
      </c>
      <c r="N108" s="24">
        <f t="shared" si="47"/>
        <v>0</v>
      </c>
      <c r="O108" s="24">
        <v>0</v>
      </c>
      <c r="P108" s="24">
        <f t="shared" si="77"/>
        <v>0</v>
      </c>
      <c r="Q108" s="24">
        <f t="shared" si="48"/>
        <v>0</v>
      </c>
      <c r="R108" s="24">
        <f t="shared" si="54"/>
        <v>0</v>
      </c>
      <c r="S108" s="24">
        <f t="shared" si="66"/>
        <v>0</v>
      </c>
      <c r="T108" s="24"/>
      <c r="U108" s="36">
        <f t="shared" si="70"/>
        <v>0</v>
      </c>
      <c r="V108" s="36">
        <f>IF(ISERR(CEILING(FLOOR(NPER($C$11/12,-$AD$55,S107),0.1),1))=TRUE,0,CEILING(FLOOR(NPER($C$11/12,-$AD$55,S107),0.1),1))</f>
        <v>0</v>
      </c>
      <c r="W108" s="2" t="e">
        <f>IF(AND(G73&gt;=$W$11,G73&lt;=$W$11+5),0,IF($C$9&gt;$AF$51,ROUND(S72*#REF!/(DATEVALUE(CONCATENATE("01/01/",YEAR(H73)+1))-DATEVALUE(CONCATENATE("01/01/",YEAR(H73))))*(H73-H72),2),0))</f>
        <v>#REF!</v>
      </c>
      <c r="X108" s="34">
        <f t="shared" si="41"/>
        <v>29910</v>
      </c>
      <c r="Y108" s="57">
        <f t="shared" si="39"/>
        <v>68316</v>
      </c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2" t="e">
        <f>IF(AND(Y65&gt;=$W$11,Y65&lt;=$W$11+5),0,IF($C$9&gt;$AF$51,ROUND(AI68*#REF!/(DATEVALUE(CONCATENATE("01/01/",YEAR(Z65)+1))-DATEVALUE(CONCATENATE("01/01/",YEAR(Z65))))*(Z65-Z64),2),0))</f>
        <v>#REF!</v>
      </c>
      <c r="AM108" s="34">
        <f t="shared" si="43"/>
        <v>29117</v>
      </c>
      <c r="AN108" s="57">
        <f t="shared" si="42"/>
        <v>66856</v>
      </c>
      <c r="AO108" s="130">
        <f t="shared" si="57"/>
        <v>0</v>
      </c>
      <c r="AP108" s="109">
        <f t="shared" si="71"/>
        <v>100</v>
      </c>
      <c r="AQ108" s="110">
        <f t="shared" si="83"/>
        <v>47630</v>
      </c>
      <c r="AR108" s="177">
        <f t="shared" si="44"/>
        <v>0.17899999999999999</v>
      </c>
      <c r="AS108" s="105">
        <f t="shared" si="59"/>
        <v>0</v>
      </c>
      <c r="AT108" s="105">
        <f t="shared" si="84"/>
        <v>0</v>
      </c>
      <c r="AU108" s="105">
        <f t="shared" si="85"/>
        <v>0</v>
      </c>
      <c r="AV108" s="105">
        <f t="shared" si="62"/>
        <v>0</v>
      </c>
      <c r="AW108" s="105">
        <f t="shared" si="49"/>
        <v>0</v>
      </c>
      <c r="AX108" s="105">
        <v>0</v>
      </c>
      <c r="AY108" s="105">
        <f t="shared" si="78"/>
        <v>0</v>
      </c>
      <c r="AZ108" s="105">
        <f t="shared" si="76"/>
        <v>0</v>
      </c>
      <c r="BA108" s="105">
        <f t="shared" si="75"/>
        <v>0</v>
      </c>
      <c r="BB108" s="105"/>
      <c r="BC108" s="105"/>
      <c r="BD108" s="105"/>
      <c r="BE108" s="105"/>
      <c r="BF108" s="105"/>
      <c r="BG108" s="105">
        <f t="shared" si="63"/>
        <v>0</v>
      </c>
      <c r="BH108" s="108">
        <f t="shared" si="72"/>
        <v>0</v>
      </c>
      <c r="BI108" s="108">
        <f t="shared" si="67"/>
        <v>0</v>
      </c>
      <c r="BJ108" s="22">
        <f t="shared" si="68"/>
        <v>47630</v>
      </c>
      <c r="BK108" s="108">
        <f t="shared" si="50"/>
        <v>0</v>
      </c>
      <c r="BL108" s="2" t="e">
        <f>IF(AND(G63&gt;=$W$11,G63&lt;=$W$11+5),0,IF($C$9&gt;$AF$51,ROUND(BG62*IF(#REF!="",0,#REF!)/(DATEVALUE(CONCATENATE("01/01/",YEAR(AQ63)+1))-DATEVALUE(CONCATENATE("01/01/",YEAR(AQ63))))*(AQ63-AQ62),2),0))</f>
        <v>#REF!</v>
      </c>
    </row>
    <row r="109" spans="1:1217" x14ac:dyDescent="0.3">
      <c r="A109" s="178"/>
      <c r="B109" s="178"/>
      <c r="C109" s="184"/>
      <c r="D109" s="184"/>
      <c r="E109" s="184"/>
      <c r="F109" s="184"/>
      <c r="G109" s="28"/>
      <c r="H109" s="29" t="s">
        <v>7</v>
      </c>
      <c r="I109" s="29"/>
      <c r="J109" s="30">
        <f>(SUM(J9:J108))</f>
        <v>2512440</v>
      </c>
      <c r="K109" s="30">
        <f>(SUM(K9:K108)-IF(CODE(C12)=209,AI51,0))</f>
        <v>2512440</v>
      </c>
      <c r="L109" s="30">
        <f t="shared" ref="L109:R109" si="86">SUM(L9:L108)</f>
        <v>1090731.5644056359</v>
      </c>
      <c r="M109" s="30">
        <f t="shared" si="86"/>
        <v>1421708.4355943638</v>
      </c>
      <c r="N109" s="31">
        <f t="shared" si="86"/>
        <v>0</v>
      </c>
      <c r="O109" s="31">
        <f t="shared" si="86"/>
        <v>0</v>
      </c>
      <c r="P109" s="31">
        <f t="shared" si="86"/>
        <v>1090731.5644056359</v>
      </c>
      <c r="Q109" s="31">
        <f t="shared" si="86"/>
        <v>0</v>
      </c>
      <c r="R109" s="31">
        <f t="shared" si="86"/>
        <v>0</v>
      </c>
      <c r="S109" s="31"/>
      <c r="T109" s="31"/>
      <c r="U109" s="31"/>
      <c r="V109" s="31"/>
      <c r="W109" s="2" t="e">
        <f>IF(AND(G74&gt;=$W$11,G74&lt;=$W$11+5),0,IF($C$9&gt;$AF$51,ROUND(S73*#REF!/(DATEVALUE(CONCATENATE("01/01/",YEAR(H74)+1))-DATEVALUE(CONCATENATE("01/01/",YEAR(H74))))*(H74-H73),2),0))</f>
        <v>#REF!</v>
      </c>
      <c r="X109" s="34">
        <f t="shared" si="41"/>
        <v>29910</v>
      </c>
      <c r="Y109" s="57">
        <f t="shared" ref="Y109:Y143" si="87">Y108+365</f>
        <v>68681</v>
      </c>
      <c r="Z109" s="16"/>
      <c r="AA109" s="16"/>
      <c r="AB109" s="16"/>
      <c r="AC109" s="16"/>
      <c r="AD109" s="16"/>
      <c r="AE109" s="16">
        <f>IF($C$7&lt;=$AE$89,AD89,IF($C$7&lt;=$AD$90,AE90,IF($C$7&lt;=$AD$91,AE91,AE92)))</f>
        <v>6499</v>
      </c>
      <c r="AF109" s="16">
        <f t="shared" ref="AF109:AI109" si="88">IF($C$7&lt;=$AE$89,AE89,IF($C$7&lt;=$AD$90,AF90,IF($C$7&lt;=$AD$91,AF91,AF92)))</f>
        <v>8499</v>
      </c>
      <c r="AG109" s="16">
        <f t="shared" si="88"/>
        <v>9999</v>
      </c>
      <c r="AH109" s="16">
        <f t="shared" si="88"/>
        <v>10999</v>
      </c>
      <c r="AI109" s="16">
        <f t="shared" si="88"/>
        <v>11999</v>
      </c>
      <c r="AJ109" s="16">
        <f>IF($C$10&lt;=AE88,AE109,IF($C$10&lt;=AF88,AF109,IF($C$10&lt;=AG88,AG109,IF($C$10&lt;=AH88,AH109,AI109))))</f>
        <v>11999</v>
      </c>
      <c r="AK109" s="16"/>
      <c r="AL109" s="2" t="e">
        <f>IF(AND(Y66&gt;=$W$11,Y66&lt;=$W$11+5),0,IF($C$9&gt;$AF$51,ROUND(AI69*#REF!/(DATEVALUE(CONCATENATE("01/01/",YEAR(Z66)+1))-DATEVALUE(CONCATENATE("01/01/",YEAR(Z66))))*(Z66-Z65),2),0))</f>
        <v>#REF!</v>
      </c>
      <c r="AM109" s="34">
        <f t="shared" si="43"/>
        <v>29117</v>
      </c>
      <c r="AN109" s="57">
        <f t="shared" si="42"/>
        <v>67221</v>
      </c>
      <c r="AO109" s="130"/>
      <c r="AP109" s="28"/>
      <c r="AQ109" s="29" t="s">
        <v>7</v>
      </c>
      <c r="AR109" s="29"/>
      <c r="AS109" s="30">
        <f>SUM(AS9:AS108)</f>
        <v>2445828</v>
      </c>
      <c r="AT109" s="30">
        <f>(SUM(AT9:AT108)-IF(CODE(C12)=209,BX57,0))</f>
        <v>2445828</v>
      </c>
      <c r="AU109" s="30">
        <f>SUM(AU9:AU108)</f>
        <v>1061800.5112690115</v>
      </c>
      <c r="AV109" s="30">
        <f>SUM(AV9:AV108)</f>
        <v>1389199.0000000012</v>
      </c>
      <c r="AW109" s="30">
        <f>SUM(AW9:AW108)</f>
        <v>0</v>
      </c>
      <c r="AX109" s="31"/>
      <c r="AY109" s="31"/>
      <c r="AZ109" s="30">
        <f>SUM(AZ9:AZ108)</f>
        <v>0</v>
      </c>
      <c r="BA109" s="31"/>
      <c r="BB109" s="31"/>
      <c r="BC109" s="31"/>
      <c r="BD109" s="31"/>
      <c r="BE109" s="31"/>
      <c r="BF109" s="31"/>
      <c r="BG109" s="31"/>
      <c r="BH109" s="108">
        <f t="shared" si="72"/>
        <v>0</v>
      </c>
      <c r="BI109" s="108">
        <f t="shared" si="67"/>
        <v>0</v>
      </c>
      <c r="BJ109" s="22" t="str">
        <f t="shared" si="68"/>
        <v>Итого</v>
      </c>
      <c r="BK109" s="108">
        <f t="shared" si="50"/>
        <v>2512440</v>
      </c>
      <c r="BL109" s="2" t="e">
        <f>IF(AND(G64&gt;=$W$11,G64&lt;=$W$11+5),0,IF($C$9&gt;$AF$51,ROUND(BG63*IF(#REF!="",0,#REF!)/(DATEVALUE(CONCATENATE("01/01/",YEAR(AQ64)+1))-DATEVALUE(CONCATENATE("01/01/",YEAR(AQ64))))*(AQ64-AQ63),2),0))</f>
        <v>#REF!</v>
      </c>
    </row>
    <row r="110" spans="1:1217" x14ac:dyDescent="0.25">
      <c r="W110" s="2" t="e">
        <f>IF(AND(G75&gt;=$W$11,G75&lt;=$W$11+5),0,IF($C$9&gt;$AF$51,ROUND(S74*#REF!/(DATEVALUE(CONCATENATE("01/01/",YEAR(H75)+1))-DATEVALUE(CONCATENATE("01/01/",YEAR(H75))))*(H75-H74),2),0))</f>
        <v>#REF!</v>
      </c>
      <c r="X110" s="34">
        <f t="shared" ref="X110:X142" si="89">IF(K75 &gt; 0, K75, 0)</f>
        <v>29910</v>
      </c>
      <c r="Y110" s="57">
        <f t="shared" si="87"/>
        <v>69046</v>
      </c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2" t="e">
        <f>IF(AND(Y67&gt;=$W$11,Y67&lt;=$W$11+5),0,IF($C$9&gt;$AF$51,ROUND(AI70*#REF!/(DATEVALUE(CONCATENATE("01/01/",YEAR(Z67)+1))-DATEVALUE(CONCATENATE("01/01/",YEAR(Z67))))*(Z67-Z66),2),0))</f>
        <v>#VALUE!</v>
      </c>
      <c r="AM110" s="34">
        <f t="shared" si="43"/>
        <v>29117</v>
      </c>
      <c r="AN110" s="57">
        <f t="shared" si="42"/>
        <v>67586</v>
      </c>
      <c r="AO110" s="130"/>
      <c r="BH110" s="108">
        <f t="shared" si="72"/>
        <v>0</v>
      </c>
      <c r="BI110" s="108">
        <f t="shared" si="67"/>
        <v>0</v>
      </c>
      <c r="BJ110" s="22">
        <f t="shared" si="68"/>
        <v>0</v>
      </c>
      <c r="BK110" s="108">
        <f t="shared" si="50"/>
        <v>0</v>
      </c>
      <c r="BL110" s="2" t="e">
        <f>IF(AND(G65&gt;=$W$11,G65&lt;=$W$11+5),0,IF($C$9&gt;$AF$51,ROUND(BG64*IF(#REF!="",0,#REF!)/(DATEVALUE(CONCATENATE("01/01/",YEAR(AQ65)+1))-DATEVALUE(CONCATENATE("01/01/",YEAR(AQ65))))*(AQ65-AQ64),2),0))</f>
        <v>#REF!</v>
      </c>
    </row>
    <row r="111" spans="1:1217" x14ac:dyDescent="0.25">
      <c r="W111" s="2" t="e">
        <f>IF(AND(G76&gt;=$W$11,G76&lt;=$W$11+5),0,IF($C$9&gt;$AF$51,ROUND(S75*#REF!/(DATEVALUE(CONCATENATE("01/01/",YEAR(H76)+1))-DATEVALUE(CONCATENATE("01/01/",YEAR(H76))))*(H76-H75),2),0))</f>
        <v>#REF!</v>
      </c>
      <c r="X111" s="34">
        <f t="shared" si="89"/>
        <v>29910</v>
      </c>
      <c r="Y111" s="57">
        <f t="shared" si="87"/>
        <v>69411</v>
      </c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2" t="e">
        <f>IF(AND(Y68&gt;=$W$11,Y68&lt;=$W$11+5),0,IF($C$9&gt;$AF$51,ROUND(AI71*#REF!/(DATEVALUE(CONCATENATE("01/01/",YEAR(Z68)+1))-DATEVALUE(CONCATENATE("01/01/",YEAR(Z68))))*(Z68-Z67),2),0))</f>
        <v>#REF!</v>
      </c>
      <c r="AM111" s="34">
        <f t="shared" si="43"/>
        <v>29117</v>
      </c>
      <c r="AN111" s="57">
        <f t="shared" si="42"/>
        <v>67951</v>
      </c>
      <c r="AO111" s="130"/>
      <c r="BH111" s="108">
        <f t="shared" si="72"/>
        <v>0</v>
      </c>
      <c r="BI111" s="108">
        <f t="shared" si="67"/>
        <v>0</v>
      </c>
      <c r="BJ111" s="22">
        <f t="shared" si="68"/>
        <v>0</v>
      </c>
      <c r="BK111" s="108">
        <f t="shared" si="50"/>
        <v>0</v>
      </c>
      <c r="BL111" s="2" t="e">
        <f>IF(AND(G66&gt;=$W$11,G66&lt;=$W$11+5),0,IF($C$9&gt;$AF$51,ROUND(BG65*IF(#REF!="",0,#REF!)/(DATEVALUE(CONCATENATE("01/01/",YEAR(AQ66)+1))-DATEVALUE(CONCATENATE("01/01/",YEAR(AQ66))))*(AQ66-AQ65),2),0))</f>
        <v>#REF!</v>
      </c>
    </row>
    <row r="112" spans="1:1217" x14ac:dyDescent="0.25">
      <c r="W112" s="2" t="e">
        <f>IF(AND(G77&gt;=$W$11,G77&lt;=$W$11+5),0,IF($C$9&gt;$AF$51,ROUND(S76*#REF!/(DATEVALUE(CONCATENATE("01/01/",YEAR(H77)+1))-DATEVALUE(CONCATENATE("01/01/",YEAR(H77))))*(H77-H76),2),0))</f>
        <v>#REF!</v>
      </c>
      <c r="X112" s="34">
        <f t="shared" si="89"/>
        <v>29910</v>
      </c>
      <c r="Y112" s="57">
        <f t="shared" si="87"/>
        <v>69776</v>
      </c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2" t="e">
        <f>IF(AND(Y69&gt;=$W$11,Y69&lt;=$W$11+5),0,IF($C$9&gt;$AF$51,ROUND(AI72*#REF!/(DATEVALUE(CONCATENATE("01/01/",YEAR(Z69)+1))-DATEVALUE(CONCATENATE("01/01/",YEAR(Z69))))*(Z69-Z68),2),0))</f>
        <v>#REF!</v>
      </c>
      <c r="AM112" s="34">
        <f t="shared" si="43"/>
        <v>29117</v>
      </c>
      <c r="AN112" s="57">
        <f t="shared" si="42"/>
        <v>68316</v>
      </c>
      <c r="AO112" s="130"/>
      <c r="BH112" s="108">
        <f t="shared" si="72"/>
        <v>0</v>
      </c>
      <c r="BI112" s="108">
        <f t="shared" si="67"/>
        <v>0</v>
      </c>
      <c r="BJ112" s="22">
        <f t="shared" si="68"/>
        <v>0</v>
      </c>
      <c r="BK112" s="108">
        <f t="shared" si="50"/>
        <v>0</v>
      </c>
      <c r="BL112" s="2" t="e">
        <f>IF(AND(G67&gt;=$W$11,G67&lt;=$W$11+5),0,IF($C$9&gt;$AF$51,ROUND(BG66*IF(#REF!="",0,#REF!)/(DATEVALUE(CONCATENATE("01/01/",YEAR(AQ67)+1))-DATEVALUE(CONCATENATE("01/01/",YEAR(AQ67))))*(AQ67-AQ66),2),0))</f>
        <v>#REF!</v>
      </c>
    </row>
    <row r="113" spans="23:64" x14ac:dyDescent="0.25">
      <c r="W113" s="2" t="e">
        <f>IF(AND(G78&gt;=$W$11,G78&lt;=$W$11+5),0,IF($C$9&gt;$AF$51,ROUND(S77*#REF!/(DATEVALUE(CONCATENATE("01/01/",YEAR(H78)+1))-DATEVALUE(CONCATENATE("01/01/",YEAR(H78))))*(H78-H77),2),0))</f>
        <v>#REF!</v>
      </c>
      <c r="X113" s="34">
        <f t="shared" si="89"/>
        <v>29910</v>
      </c>
      <c r="Y113" s="57">
        <f t="shared" si="87"/>
        <v>70141</v>
      </c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2" t="e">
        <f>IF(AND(Y70&gt;=$W$11,Y70&lt;=$W$11+5),0,IF($C$9&gt;$AF$51,ROUND(AI73*#REF!/(DATEVALUE(CONCATENATE("01/01/",YEAR(Z70)+1))-DATEVALUE(CONCATENATE("01/01/",YEAR(Z70))))*(Z70-Z69),2),0))</f>
        <v>#REF!</v>
      </c>
      <c r="AM113" s="34">
        <f t="shared" si="43"/>
        <v>29117</v>
      </c>
      <c r="AN113" s="57">
        <f t="shared" ref="AN113:AN147" si="90">AN112+365</f>
        <v>68681</v>
      </c>
      <c r="AO113" s="130"/>
      <c r="BH113" s="108">
        <f t="shared" si="72"/>
        <v>0</v>
      </c>
      <c r="BI113" s="108">
        <f t="shared" si="67"/>
        <v>0</v>
      </c>
      <c r="BJ113" s="22">
        <f t="shared" si="68"/>
        <v>0</v>
      </c>
      <c r="BK113" s="108">
        <f t="shared" si="50"/>
        <v>0</v>
      </c>
      <c r="BL113" s="2" t="e">
        <f>IF(AND(G68&gt;=$W$11,G68&lt;=$W$11+5),0,IF($C$9&gt;$AF$51,ROUND(BG67*IF(#REF!="",0,#REF!)/(DATEVALUE(CONCATENATE("01/01/",YEAR(AQ68)+1))-DATEVALUE(CONCATENATE("01/01/",YEAR(AQ68))))*(AQ68-AQ67),2),0))</f>
        <v>#REF!</v>
      </c>
    </row>
    <row r="114" spans="23:64" x14ac:dyDescent="0.25">
      <c r="W114" s="2" t="e">
        <f>IF(AND(G79&gt;=$W$11,G79&lt;=$W$11+5),0,IF($C$9&gt;$AF$51,ROUND(S78*#REF!/(DATEVALUE(CONCATENATE("01/01/",YEAR(H79)+1))-DATEVALUE(CONCATENATE("01/01/",YEAR(H79))))*(H79-H78),2),0))</f>
        <v>#REF!</v>
      </c>
      <c r="X114" s="34">
        <f t="shared" si="89"/>
        <v>29910</v>
      </c>
      <c r="Y114" s="57">
        <f>Y83+365</f>
        <v>59556</v>
      </c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2" t="e">
        <f>IF(AND(Y71&gt;=$W$11,Y71&lt;=$W$11+5),0,IF($C$9&gt;$AF$51,ROUND(AI74*#REF!/(DATEVALUE(CONCATENATE("01/01/",YEAR(Z71)+1))-DATEVALUE(CONCATENATE("01/01/",YEAR(Z71))))*(Z71-Z70),2),0))</f>
        <v>#REF!</v>
      </c>
      <c r="AM114" s="34">
        <f t="shared" ref="AM114:AM147" si="91">AT75</f>
        <v>29117</v>
      </c>
      <c r="AN114" s="57">
        <f t="shared" si="90"/>
        <v>69046</v>
      </c>
      <c r="AO114" s="130"/>
      <c r="BH114" s="108">
        <f t="shared" si="72"/>
        <v>0</v>
      </c>
      <c r="BI114" s="108">
        <f t="shared" si="67"/>
        <v>0</v>
      </c>
      <c r="BJ114" s="22">
        <f t="shared" si="68"/>
        <v>0</v>
      </c>
      <c r="BK114" s="108">
        <f t="shared" si="50"/>
        <v>0</v>
      </c>
      <c r="BL114" s="2" t="e">
        <f>IF(AND(G69&gt;=$W$11,G69&lt;=$W$11+5),0,IF($C$9&gt;$AF$51,ROUND(BG68*IF(#REF!="",0,#REF!)/(DATEVALUE(CONCATENATE("01/01/",YEAR(AQ69)+1))-DATEVALUE(CONCATENATE("01/01/",YEAR(AQ69))))*(AQ69-AQ68),2),0))</f>
        <v>#REF!</v>
      </c>
    </row>
    <row r="115" spans="23:64" x14ac:dyDescent="0.25">
      <c r="W115" s="2" t="e">
        <f>IF(AND(G80&gt;=$W$11,G80&lt;=$W$11+5),0,IF($C$9&gt;$AF$51,ROUND(S79*#REF!/(DATEVALUE(CONCATENATE("01/01/",YEAR(H80)+1))-DATEVALUE(CONCATENATE("01/01/",YEAR(H80))))*(H80-H79),2),0))</f>
        <v>#REF!</v>
      </c>
      <c r="X115" s="34">
        <f t="shared" si="89"/>
        <v>29910</v>
      </c>
      <c r="Y115" s="57">
        <f t="shared" si="87"/>
        <v>59921</v>
      </c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2" t="e">
        <f>IF(AND(Y72&gt;=$W$11,Y72&lt;=$W$11+5),0,IF($C$9&gt;$AF$51,ROUND(AI75*#REF!/(DATEVALUE(CONCATENATE("01/01/",YEAR(Z72)+1))-DATEVALUE(CONCATENATE("01/01/",YEAR(Z72))))*(Z72-Z71),2),0))</f>
        <v>#REF!</v>
      </c>
      <c r="AM115" s="34">
        <f t="shared" si="91"/>
        <v>29117</v>
      </c>
      <c r="AN115" s="57">
        <f t="shared" si="90"/>
        <v>69411</v>
      </c>
      <c r="AO115" s="130"/>
      <c r="BH115" s="31"/>
      <c r="BI115" s="51"/>
      <c r="BJ115" s="29" t="s">
        <v>67</v>
      </c>
      <c r="BK115" s="152" t="e">
        <f>XIRR(BK7:BK114,BJ7:BJ114)</f>
        <v>#VALUE!</v>
      </c>
      <c r="BL115" s="2" t="e">
        <f>IF(AND(G70&gt;=$W$11,G70&lt;=$W$11+5),0,IF($C$9&gt;$AF$51,ROUND(BG69*IF(#REF!="",0,#REF!)/(DATEVALUE(CONCATENATE("01/01/",YEAR(AQ70)+1))-DATEVALUE(CONCATENATE("01/01/",YEAR(AQ70))))*(AQ70-AQ69),2),0))</f>
        <v>#REF!</v>
      </c>
    </row>
    <row r="116" spans="23:64" x14ac:dyDescent="0.25">
      <c r="W116" s="2" t="e">
        <f>IF(AND(G81&gt;=$W$11,G81&lt;=$W$11+5),0,IF($C$9&gt;$AF$51,ROUND(S80*#REF!/(DATEVALUE(CONCATENATE("01/01/",YEAR(H81)+1))-DATEVALUE(CONCATENATE("01/01/",YEAR(H81))))*(H81-H80),2),0))</f>
        <v>#REF!</v>
      </c>
      <c r="X116" s="34">
        <f t="shared" si="89"/>
        <v>29910</v>
      </c>
      <c r="Y116" s="57">
        <f t="shared" si="87"/>
        <v>60286</v>
      </c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2" t="e">
        <f>IF(AND(Y73&gt;=$W$11,Y73&lt;=$W$11+5),0,IF($C$9&gt;$AF$51,ROUND(AI76*#REF!/(DATEVALUE(CONCATENATE("01/01/",YEAR(Z73)+1))-DATEVALUE(CONCATENATE("01/01/",YEAR(Z73))))*(Z73-Z72),2),0))</f>
        <v>#REF!</v>
      </c>
      <c r="AM116" s="34">
        <f t="shared" si="91"/>
        <v>29117</v>
      </c>
      <c r="AN116" s="57">
        <f t="shared" si="90"/>
        <v>69776</v>
      </c>
      <c r="AO116" s="130"/>
      <c r="BL116" s="2" t="e">
        <f>IF(AND(G71&gt;=$W$11,G71&lt;=$W$11+5),0,IF($C$9&gt;$AF$51,ROUND(BG70*IF(#REF!="",0,#REF!)/(DATEVALUE(CONCATENATE("01/01/",YEAR(AQ71)+1))-DATEVALUE(CONCATENATE("01/01/",YEAR(AQ71))))*(AQ71-AQ70),2),0))</f>
        <v>#REF!</v>
      </c>
    </row>
    <row r="117" spans="23:64" x14ac:dyDescent="0.25">
      <c r="W117" s="2" t="e">
        <f>IF(AND(G82&gt;=$W$11,G82&lt;=$W$11+5),0,IF($C$9&gt;$AF$51,ROUND(S81*#REF!/(DATEVALUE(CONCATENATE("01/01/",YEAR(H82)+1))-DATEVALUE(CONCATENATE("01/01/",YEAR(H82))))*(H82-H81),2),0))</f>
        <v>#REF!</v>
      </c>
      <c r="X117" s="34">
        <f t="shared" si="89"/>
        <v>29910</v>
      </c>
      <c r="Y117" s="57">
        <f t="shared" si="87"/>
        <v>60651</v>
      </c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2" t="e">
        <f>IF(AND(Y74&gt;=$W$11,Y74&lt;=$W$11+5),0,IF($C$9&gt;$AF$51,ROUND(AI77*#REF!/(DATEVALUE(CONCATENATE("01/01/",YEAR(Z74)+1))-DATEVALUE(CONCATENATE("01/01/",YEAR(Z74))))*(Z74-Z73),2),0))</f>
        <v>#REF!</v>
      </c>
      <c r="AM117" s="34">
        <f t="shared" si="91"/>
        <v>29117</v>
      </c>
      <c r="AN117" s="57">
        <f t="shared" si="90"/>
        <v>70141</v>
      </c>
      <c r="AO117" s="130"/>
      <c r="BL117" s="2" t="e">
        <f>IF(AND(G72&gt;=$W$11,G72&lt;=$W$11+5),0,IF($C$9&gt;$AF$51,ROUND(BG71*IF(#REF!="",0,#REF!)/(DATEVALUE(CONCATENATE("01/01/",YEAR(AQ72)+1))-DATEVALUE(CONCATENATE("01/01/",YEAR(AQ72))))*(AQ72-AQ71),2),0))</f>
        <v>#REF!</v>
      </c>
    </row>
    <row r="118" spans="23:64" x14ac:dyDescent="0.25">
      <c r="W118" s="2" t="e">
        <f>IF(AND(G83&gt;=$W$11,G83&lt;=$W$11+5),0,IF($C$9&gt;$AF$51,ROUND(S82*#REF!/(DATEVALUE(CONCATENATE("01/01/",YEAR(H83)+1))-DATEVALUE(CONCATENATE("01/01/",YEAR(H83))))*(H83-H82),2),0))</f>
        <v>#REF!</v>
      </c>
      <c r="X118" s="34">
        <f t="shared" si="89"/>
        <v>29910</v>
      </c>
      <c r="Y118" s="57">
        <f t="shared" si="87"/>
        <v>61016</v>
      </c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2" t="e">
        <f>IF(AND(Y75&gt;=$W$11,Y75&lt;=$W$11+5),0,IF($C$9&gt;$AF$51,ROUND(AI78*#REF!/(DATEVALUE(CONCATENATE("01/01/",YEAR(Z75)+1))-DATEVALUE(CONCATENATE("01/01/",YEAR(Z75))))*(Z75-Z74),2),0))</f>
        <v>#VALUE!</v>
      </c>
      <c r="AM118" s="34">
        <f t="shared" si="91"/>
        <v>29117</v>
      </c>
      <c r="AN118" s="57">
        <f>AN87+365</f>
        <v>59556</v>
      </c>
      <c r="AO118" s="130"/>
      <c r="BL118" s="2" t="e">
        <f>IF(AND(G73&gt;=$W$11,G73&lt;=$W$11+5),0,IF($C$9&gt;$AF$51,ROUND(BG72*IF(#REF!="",0,#REF!)/(DATEVALUE(CONCATENATE("01/01/",YEAR(AQ73)+1))-DATEVALUE(CONCATENATE("01/01/",YEAR(AQ73))))*(AQ73-AQ72),2),0))</f>
        <v>#REF!</v>
      </c>
    </row>
    <row r="119" spans="23:64" x14ac:dyDescent="0.25">
      <c r="W119" s="2" t="e">
        <f>IF(AND(G84&gt;=$W$11,G84&lt;=$W$11+5),0,IF($C$9&gt;$AF$51,ROUND(S83*#REF!/(DATEVALUE(CONCATENATE("01/01/",YEAR(H84)+1))-DATEVALUE(CONCATENATE("01/01/",YEAR(H84))))*(H84-H83),2),0))</f>
        <v>#REF!</v>
      </c>
      <c r="X119" s="34">
        <f t="shared" si="89"/>
        <v>29910</v>
      </c>
      <c r="Y119" s="57">
        <f t="shared" si="87"/>
        <v>61381</v>
      </c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2" t="e">
        <f>IF(AND(Y76&gt;=$W$11,Y76&lt;=$W$11+5),0,IF($C$9&gt;$AF$51,ROUND(AI79*#REF!/(DATEVALUE(CONCATENATE("01/01/",YEAR(Z76)+1))-DATEVALUE(CONCATENATE("01/01/",YEAR(Z76))))*(Z76-Z75),2),0))</f>
        <v>#REF!</v>
      </c>
      <c r="AM119" s="34">
        <f t="shared" si="91"/>
        <v>29117</v>
      </c>
      <c r="AN119" s="57">
        <f t="shared" si="90"/>
        <v>59921</v>
      </c>
      <c r="AO119" s="130"/>
      <c r="BL119" s="2" t="e">
        <f>IF(AND(G74&gt;=$W$11,G74&lt;=$W$11+5),0,IF($C$9&gt;$AF$51,ROUND(BG73*IF(#REF!="",0,#REF!)/(DATEVALUE(CONCATENATE("01/01/",YEAR(AQ74)+1))-DATEVALUE(CONCATENATE("01/01/",YEAR(AQ74))))*(AQ74-AQ73),2),0))</f>
        <v>#REF!</v>
      </c>
    </row>
    <row r="120" spans="23:64" x14ac:dyDescent="0.25">
      <c r="W120" s="2" t="e">
        <f>IF(AND(G85&gt;=$W$11,G85&lt;=$W$11+5),0,IF($C$9&gt;$AF$51,ROUND(S84*#REF!/(DATEVALUE(CONCATENATE("01/01/",YEAR(H85)+1))-DATEVALUE(CONCATENATE("01/01/",YEAR(H85))))*(H85-H84),2),0))</f>
        <v>#REF!</v>
      </c>
      <c r="X120" s="34">
        <f t="shared" si="89"/>
        <v>29910</v>
      </c>
      <c r="Y120" s="57">
        <f t="shared" si="87"/>
        <v>61746</v>
      </c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2" t="e">
        <f>IF(AND(Y77&gt;=$W$11,Y77&lt;=$W$11+5),0,IF($C$9&gt;$AF$51,ROUND(AI80*#REF!/(DATEVALUE(CONCATENATE("01/01/",YEAR(Z77)+1))-DATEVALUE(CONCATENATE("01/01/",YEAR(Z77))))*(Z77-Z76),2),0))</f>
        <v>#REF!</v>
      </c>
      <c r="AM120" s="34">
        <f t="shared" si="91"/>
        <v>29117</v>
      </c>
      <c r="AN120" s="57">
        <f t="shared" si="90"/>
        <v>60286</v>
      </c>
      <c r="AO120" s="130"/>
      <c r="BL120" s="2" t="e">
        <f>IF(AND(G75&gt;=$W$11,G75&lt;=$W$11+5),0,IF($C$9&gt;$AF$51,ROUND(BG74*IF(#REF!="",0,#REF!)/(DATEVALUE(CONCATENATE("01/01/",YEAR(AQ75)+1))-DATEVALUE(CONCATENATE("01/01/",YEAR(AQ75))))*(AQ75-AQ74),2),0))</f>
        <v>#REF!</v>
      </c>
    </row>
    <row r="121" spans="23:64" x14ac:dyDescent="0.25">
      <c r="W121" s="2" t="e">
        <f>IF(AND(G86&gt;=$W$11,G86&lt;=$W$11+5),0,IF($C$9&gt;$AF$51,ROUND(S85*#REF!/(DATEVALUE(CONCATENATE("01/01/",YEAR(H86)+1))-DATEVALUE(CONCATENATE("01/01/",YEAR(H86))))*(H86-H85),2),0))</f>
        <v>#REF!</v>
      </c>
      <c r="X121" s="34">
        <f t="shared" si="89"/>
        <v>29910</v>
      </c>
      <c r="Y121" s="57">
        <f t="shared" si="87"/>
        <v>62111</v>
      </c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2" t="e">
        <f>IF(AND(Y78&gt;=$W$11,Y78&lt;=$W$11+5),0,IF($C$9&gt;$AF$51,ROUND(AI81*#REF!/(DATEVALUE(CONCATENATE("01/01/",YEAR(Z78)+1))-DATEVALUE(CONCATENATE("01/01/",YEAR(Z78))))*(Z78-Z77),2),0))</f>
        <v>#REF!</v>
      </c>
      <c r="AM121" s="34">
        <f t="shared" si="91"/>
        <v>29117</v>
      </c>
      <c r="AN121" s="57">
        <f t="shared" si="90"/>
        <v>60651</v>
      </c>
      <c r="AO121" s="130"/>
      <c r="BL121" s="2" t="e">
        <f>IF(AND(G76&gt;=$W$11,G76&lt;=$W$11+5),0,IF($C$9&gt;$AF$51,ROUND(BG75*IF(#REF!="",0,#REF!)/(DATEVALUE(CONCATENATE("01/01/",YEAR(AQ76)+1))-DATEVALUE(CONCATENATE("01/01/",YEAR(AQ76))))*(AQ76-AQ75),2),0))</f>
        <v>#REF!</v>
      </c>
    </row>
    <row r="122" spans="23:64" x14ac:dyDescent="0.25">
      <c r="W122" s="2" t="e">
        <f>IF(AND(G87&gt;=$W$11,G87&lt;=$W$11+5),0,IF($C$9&gt;$AF$51,ROUND(S86*#REF!/(DATEVALUE(CONCATENATE("01/01/",YEAR(H87)+1))-DATEVALUE(CONCATENATE("01/01/",YEAR(H87))))*(H87-H86),2),0))</f>
        <v>#REF!</v>
      </c>
      <c r="X122" s="34">
        <f t="shared" si="89"/>
        <v>29910</v>
      </c>
      <c r="Y122" s="57">
        <f t="shared" si="87"/>
        <v>62476</v>
      </c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2" t="e">
        <f>IF(AND(Y79&gt;=$W$11,Y79&lt;=$W$11+5),0,IF($C$9&gt;$AF$51,ROUND(AI82*#REF!/(DATEVALUE(CONCATENATE("01/01/",YEAR(Z79)+1))-DATEVALUE(CONCATENATE("01/01/",YEAR(Z79))))*(Z79-Z78),2),0))</f>
        <v>#REF!</v>
      </c>
      <c r="AM122" s="34">
        <f t="shared" si="91"/>
        <v>29117</v>
      </c>
      <c r="AN122" s="57">
        <f t="shared" si="90"/>
        <v>61016</v>
      </c>
      <c r="AO122" s="130"/>
      <c r="BL122" s="2" t="e">
        <f>IF(AND(G77&gt;=$W$11,G77&lt;=$W$11+5),0,IF($C$9&gt;$AF$51,ROUND(BG76*IF(#REF!="",0,#REF!)/(DATEVALUE(CONCATENATE("01/01/",YEAR(AQ77)+1))-DATEVALUE(CONCATENATE("01/01/",YEAR(AQ77))))*(AQ77-AQ76),2),0))</f>
        <v>#REF!</v>
      </c>
    </row>
    <row r="123" spans="23:64" x14ac:dyDescent="0.25">
      <c r="W123" s="2" t="e">
        <f>IF(AND(G88&gt;=$W$11,G88&lt;=$W$11+5),0,IF($C$9&gt;$AF$51,ROUND(S87*#REF!/(DATEVALUE(CONCATENATE("01/01/",YEAR(H88)+1))-DATEVALUE(CONCATENATE("01/01/",YEAR(H88))))*(H88-H87),2),0))</f>
        <v>#REF!</v>
      </c>
      <c r="X123" s="34">
        <f t="shared" si="89"/>
        <v>29910</v>
      </c>
      <c r="Y123" s="57">
        <f t="shared" si="87"/>
        <v>62841</v>
      </c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2" t="e">
        <f>IF(AND(Y80&gt;=$W$11,Y80&lt;=$W$11+5),0,IF($C$9&gt;$AF$51,ROUND(AI83*#REF!/(DATEVALUE(CONCATENATE("01/01/",YEAR(Z80)+1))-DATEVALUE(CONCATENATE("01/01/",YEAR(Z80))))*(Z80-Z79),2),0))</f>
        <v>#REF!</v>
      </c>
      <c r="AM123" s="34">
        <f t="shared" si="91"/>
        <v>29117</v>
      </c>
      <c r="AN123" s="57">
        <f t="shared" si="90"/>
        <v>61381</v>
      </c>
      <c r="AO123" s="130"/>
      <c r="BL123" s="2" t="e">
        <f>IF(AND(G78&gt;=$W$11,G78&lt;=$W$11+5),0,IF($C$9&gt;$AF$51,ROUND(BG77*IF(#REF!="",0,#REF!)/(DATEVALUE(CONCATENATE("01/01/",YEAR(AQ78)+1))-DATEVALUE(CONCATENATE("01/01/",YEAR(AQ78))))*(AQ78-AQ77),2),0))</f>
        <v>#REF!</v>
      </c>
    </row>
    <row r="124" spans="23:64" x14ac:dyDescent="0.25">
      <c r="W124" s="2" t="e">
        <f>IF(AND(G89&gt;=$W$11,G89&lt;=$W$11+5),0,IF($C$9&gt;$AF$51,ROUND(S88*#REF!/(DATEVALUE(CONCATENATE("01/01/",YEAR(H89)+1))-DATEVALUE(CONCATENATE("01/01/",YEAR(H89))))*(H89-H88),2),0))</f>
        <v>#REF!</v>
      </c>
      <c r="X124" s="34">
        <f t="shared" si="89"/>
        <v>29910</v>
      </c>
      <c r="Y124" s="57">
        <f t="shared" si="87"/>
        <v>63206</v>
      </c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2" t="e">
        <f>IF(AND(Y81&gt;=$W$11,Y81&lt;=$W$11+5),0,IF($C$9&gt;$AF$51,ROUND(AI84*#REF!/(DATEVALUE(CONCATENATE("01/01/",YEAR(Z81)+1))-DATEVALUE(CONCATENATE("01/01/",YEAR(Z81))))*(Z81-Z80),2),0))</f>
        <v>#REF!</v>
      </c>
      <c r="AM124" s="34">
        <f t="shared" si="91"/>
        <v>29117</v>
      </c>
      <c r="AN124" s="57">
        <f t="shared" si="90"/>
        <v>61746</v>
      </c>
      <c r="AO124" s="130"/>
      <c r="BL124" s="2" t="e">
        <f>IF(AND(G79&gt;=$W$11,G79&lt;=$W$11+5),0,IF($C$9&gt;$AF$51,ROUND(BG78*IF(#REF!="",0,#REF!)/(DATEVALUE(CONCATENATE("01/01/",YEAR(AQ79)+1))-DATEVALUE(CONCATENATE("01/01/",YEAR(AQ79))))*(AQ79-AQ78),2),0))</f>
        <v>#REF!</v>
      </c>
    </row>
    <row r="125" spans="23:64" x14ac:dyDescent="0.25">
      <c r="W125" s="2" t="e">
        <f>IF(AND(G90&gt;=$W$11,G90&lt;=$W$11+5),0,IF($C$9&gt;$AF$51,ROUND(S89*#REF!/(DATEVALUE(CONCATENATE("01/01/",YEAR(H90)+1))-DATEVALUE(CONCATENATE("01/01/",YEAR(H90))))*(H90-H89),2),0))</f>
        <v>#REF!</v>
      </c>
      <c r="X125" s="34">
        <f t="shared" si="89"/>
        <v>29910</v>
      </c>
      <c r="Y125" s="57">
        <f t="shared" si="87"/>
        <v>63571</v>
      </c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2" t="e">
        <f>IF(AND(Y82&gt;=$W$11,Y82&lt;=$W$11+5),0,IF($C$9&gt;$AF$51,ROUND(#REF!*#REF!/(DATEVALUE(CONCATENATE("01/01/",YEAR(Z82)+1))-DATEVALUE(CONCATENATE("01/01/",YEAR(Z82))))*(Z82-Z81),2),0))</f>
        <v>#REF!</v>
      </c>
      <c r="AM125" s="34">
        <f t="shared" si="91"/>
        <v>29117</v>
      </c>
      <c r="AN125" s="57">
        <f t="shared" si="90"/>
        <v>62111</v>
      </c>
      <c r="AO125" s="130"/>
      <c r="BL125" s="2" t="e">
        <f>IF(AND(G80&gt;=$W$11,G80&lt;=$W$11+5),0,IF($C$9&gt;$AF$51,ROUND(BG79*IF(#REF!="",0,#REF!)/(DATEVALUE(CONCATENATE("01/01/",YEAR(AQ80)+1))-DATEVALUE(CONCATENATE("01/01/",YEAR(AQ80))))*(AQ80-AQ79),2),0))</f>
        <v>#REF!</v>
      </c>
    </row>
    <row r="126" spans="23:64" x14ac:dyDescent="0.25">
      <c r="W126" s="2" t="e">
        <f>IF(AND(G91&gt;=$W$11,G91&lt;=$W$11+5),0,IF($C$9&gt;$AF$51,ROUND(S90*#REF!/(DATEVALUE(CONCATENATE("01/01/",YEAR(H91)+1))-DATEVALUE(CONCATENATE("01/01/",YEAR(H91))))*(H91-H90),2),0))</f>
        <v>#REF!</v>
      </c>
      <c r="X126" s="34">
        <f t="shared" si="89"/>
        <v>29910</v>
      </c>
      <c r="Y126" s="57">
        <f t="shared" si="87"/>
        <v>63936</v>
      </c>
      <c r="AC126" s="16"/>
      <c r="AD126" s="16"/>
      <c r="AE126" s="16"/>
      <c r="AF126" s="16"/>
      <c r="AG126" s="16"/>
      <c r="AH126" s="16"/>
      <c r="AI126" s="16"/>
      <c r="AJ126" s="16"/>
      <c r="AK126" s="16"/>
      <c r="AL126" s="2" t="e">
        <f>IF(AND(Y83&gt;=$W$11,Y83&lt;=$W$11+5),0,IF($C$9&gt;$AF$51,ROUND(#REF!*#REF!/(DATEVALUE(CONCATENATE("01/01/",YEAR(Z83)+1))-DATEVALUE(CONCATENATE("01/01/",YEAR(Z83))))*(Z83-Z82),2),0))</f>
        <v>#REF!</v>
      </c>
      <c r="AM126" s="34">
        <f t="shared" si="91"/>
        <v>29117</v>
      </c>
      <c r="AN126" s="57">
        <f t="shared" si="90"/>
        <v>62476</v>
      </c>
      <c r="AO126" s="130"/>
      <c r="BL126" s="2" t="e">
        <f>IF(AND(G81&gt;=$W$11,G81&lt;=$W$11+5),0,IF($C$9&gt;$AF$51,ROUND(BG80*IF(#REF!="",0,#REF!)/(DATEVALUE(CONCATENATE("01/01/",YEAR(AQ81)+1))-DATEVALUE(CONCATENATE("01/01/",YEAR(AQ81))))*(AQ81-AQ80),2),0))</f>
        <v>#REF!</v>
      </c>
    </row>
    <row r="127" spans="23:64" x14ac:dyDescent="0.25">
      <c r="W127" s="2" t="e">
        <f>IF(AND(G92&gt;=$W$11,G92&lt;=$W$11+5),0,IF($C$9&gt;$AF$51,ROUND(S91*#REF!/(DATEVALUE(CONCATENATE("01/01/",YEAR(H92)+1))-DATEVALUE(CONCATENATE("01/01/",YEAR(H92))))*(H92-H91),2),0))</f>
        <v>#REF!</v>
      </c>
      <c r="X127" s="34">
        <f t="shared" si="89"/>
        <v>29910</v>
      </c>
      <c r="Y127" s="57">
        <f t="shared" si="87"/>
        <v>64301</v>
      </c>
      <c r="AC127" s="16"/>
      <c r="AD127" s="16"/>
      <c r="AE127" s="16"/>
      <c r="AF127" s="16"/>
      <c r="AG127" s="16"/>
      <c r="AH127" s="16"/>
      <c r="AI127" s="16"/>
      <c r="AJ127" s="16"/>
      <c r="AK127" s="16"/>
      <c r="AL127" s="2" t="e">
        <f>IF(AND(Y84&gt;=$W$11,Y84&lt;=$W$11+5),0,IF($C$9&gt;$AF$51,ROUND(#REF!*#REF!/(DATEVALUE(CONCATENATE("01/01/",YEAR(Z84)+1))-DATEVALUE(CONCATENATE("01/01/",YEAR(Z84))))*(Z84-Z83),2),0))</f>
        <v>#REF!</v>
      </c>
      <c r="AM127" s="34">
        <f t="shared" si="91"/>
        <v>29117</v>
      </c>
      <c r="AN127" s="57">
        <f t="shared" si="90"/>
        <v>62841</v>
      </c>
      <c r="BL127" s="2" t="e">
        <f>IF(AND(G82&gt;=$W$11,G82&lt;=$W$11+5),0,IF($C$9&gt;$AF$51,ROUND(BG81*IF(#REF!="",0,#REF!)/(DATEVALUE(CONCATENATE("01/01/",YEAR(AQ82)+1))-DATEVALUE(CONCATENATE("01/01/",YEAR(AQ82))))*(AQ82-AQ81),2),0))</f>
        <v>#REF!</v>
      </c>
    </row>
    <row r="128" spans="23:64" x14ac:dyDescent="0.25">
      <c r="W128" s="2" t="e">
        <f>IF(AND(G93&gt;=$W$11,G93&lt;=$W$11+5),0,IF($C$9&gt;$AF$51,ROUND(S92*#REF!/(DATEVALUE(CONCATENATE("01/01/",YEAR(H93)+1))-DATEVALUE(CONCATENATE("01/01/",YEAR(H93))))*(H93-H92),2),0))</f>
        <v>#REF!</v>
      </c>
      <c r="X128" s="34">
        <f t="shared" si="89"/>
        <v>0</v>
      </c>
      <c r="Y128" s="57">
        <f t="shared" si="87"/>
        <v>64666</v>
      </c>
      <c r="AC128" s="16"/>
      <c r="AD128" s="16"/>
      <c r="AE128" s="16"/>
      <c r="AF128" s="16"/>
      <c r="AG128" s="16"/>
      <c r="AH128" s="16"/>
      <c r="AI128" s="16"/>
      <c r="AJ128" s="16"/>
      <c r="AK128" s="60"/>
      <c r="AL128" s="2" t="e">
        <f>IF(AND(Y85&gt;=$W$11,Y85&lt;=$W$11+5),0,IF($C$9&gt;$AF$51,ROUND(#REF!*#REF!/(DATEVALUE(CONCATENATE("01/01/",YEAR(Z85)+1))-DATEVALUE(CONCATENATE("01/01/",YEAR(Z85))))*(Z85-Z84),2),0))</f>
        <v>#REF!</v>
      </c>
      <c r="AM128" s="34">
        <f t="shared" si="91"/>
        <v>29117</v>
      </c>
      <c r="AN128" s="57">
        <f t="shared" si="90"/>
        <v>63206</v>
      </c>
      <c r="BL128" s="2" t="e">
        <f>IF(AND(G83&gt;=$W$11,G83&lt;=$W$11+5),0,IF($C$9&gt;$AF$51,ROUND(BG82*IF(#REF!="",0,#REF!)/(DATEVALUE(CONCATENATE("01/01/",YEAR(AQ83)+1))-DATEVALUE(CONCATENATE("01/01/",YEAR(AQ83))))*(AQ83-AQ82),2),0))</f>
        <v>#REF!</v>
      </c>
    </row>
    <row r="129" spans="23:64" x14ac:dyDescent="0.25">
      <c r="W129" s="2" t="e">
        <f>IF(AND(G94&gt;=$W$11,G94&lt;=$W$11+5),0,IF($C$9&gt;$AF$51,ROUND(S93*#REF!/(DATEVALUE(CONCATENATE("01/01/",YEAR(H94)+1))-DATEVALUE(CONCATENATE("01/01/",YEAR(H94))))*(H94-H93),2),0))</f>
        <v>#REF!</v>
      </c>
      <c r="X129" s="34">
        <f t="shared" si="89"/>
        <v>0</v>
      </c>
      <c r="Y129" s="57">
        <f t="shared" si="87"/>
        <v>65031</v>
      </c>
      <c r="AC129" s="16"/>
      <c r="AD129" s="16"/>
      <c r="AE129" s="33"/>
      <c r="AF129" s="33"/>
      <c r="AG129" s="33"/>
      <c r="AH129" s="33"/>
      <c r="AI129" s="16"/>
      <c r="AL129" s="2" t="e">
        <f>IF(AND(Y86&gt;=$W$11,Y86&lt;=$W$11+5),0,IF($C$9&gt;$AF$51,ROUND(#REF!*#REF!/(DATEVALUE(CONCATENATE("01/01/",YEAR(Z86)+1))-DATEVALUE(CONCATENATE("01/01/",YEAR(Z86))))*(Z86-Z85),2),0))</f>
        <v>#REF!</v>
      </c>
      <c r="AM129" s="34">
        <f t="shared" si="91"/>
        <v>29117</v>
      </c>
      <c r="AN129" s="57">
        <f t="shared" si="90"/>
        <v>63571</v>
      </c>
      <c r="BL129" s="2" t="e">
        <f>IF(AND(G84&gt;=$W$11,G84&lt;=$W$11+5),0,IF($C$9&gt;$AF$51,ROUND(BG83*IF(#REF!="",0,#REF!)/(DATEVALUE(CONCATENATE("01/01/",YEAR(AQ84)+1))-DATEVALUE(CONCATENATE("01/01/",YEAR(AQ84))))*(AQ84-AQ83),2),0))</f>
        <v>#REF!</v>
      </c>
    </row>
    <row r="130" spans="23:64" x14ac:dyDescent="0.25">
      <c r="W130" s="2" t="e">
        <f>IF(AND(G95&gt;=$W$11,G95&lt;=$W$11+5),0,IF($C$9&gt;$AF$51,ROUND(S94*#REF!/(DATEVALUE(CONCATENATE("01/01/",YEAR(H95)+1))-DATEVALUE(CONCATENATE("01/01/",YEAR(H95))))*(H95-H94),2),0))</f>
        <v>#REF!</v>
      </c>
      <c r="X130" s="34">
        <f t="shared" si="89"/>
        <v>0</v>
      </c>
      <c r="Y130" s="57">
        <f t="shared" si="87"/>
        <v>65396</v>
      </c>
      <c r="AL130" s="2" t="e">
        <f>IF(AND(Y87&gt;=$W$11,Y87&lt;=$W$11+5),0,IF($C$9&gt;$AF$51,ROUND(#REF!*#REF!/(DATEVALUE(CONCATENATE("01/01/",YEAR(Z87)+1))-DATEVALUE(CONCATENATE("01/01/",YEAR(Z87))))*(Z87-Z86),2),0))</f>
        <v>#REF!</v>
      </c>
      <c r="AM130" s="34">
        <f t="shared" si="91"/>
        <v>29117</v>
      </c>
      <c r="AN130" s="57">
        <f t="shared" si="90"/>
        <v>63936</v>
      </c>
      <c r="BL130" s="2" t="e">
        <f>IF(AND(G85&gt;=$W$11,G85&lt;=$W$11+5),0,IF($C$9&gt;$AF$51,ROUND(BG84*IF(#REF!="",0,#REF!)/(DATEVALUE(CONCATENATE("01/01/",YEAR(AQ85)+1))-DATEVALUE(CONCATENATE("01/01/",YEAR(AQ85))))*(AQ85-AQ84),2),0))</f>
        <v>#REF!</v>
      </c>
    </row>
    <row r="131" spans="23:64" x14ac:dyDescent="0.25">
      <c r="W131" s="2" t="e">
        <f>IF(AND(G96&gt;=$W$11,G96&lt;=$W$11+5),0,IF($C$9&gt;$AF$51,ROUND(S95*#REF!/(DATEVALUE(CONCATENATE("01/01/",YEAR(H96)+1))-DATEVALUE(CONCATENATE("01/01/",YEAR(H96))))*(H96-H95),2),0))</f>
        <v>#REF!</v>
      </c>
      <c r="X131" s="34">
        <f t="shared" si="89"/>
        <v>0</v>
      </c>
      <c r="Y131" s="57">
        <f t="shared" si="87"/>
        <v>65761</v>
      </c>
      <c r="AL131" s="2" t="e">
        <f>IF(AND(Y88&gt;=$W$11,Y88&lt;=$W$11+5),0,IF($C$9&gt;$AF$51,ROUND(#REF!*#REF!/(DATEVALUE(CONCATENATE("01/01/",YEAR(Z88)+1))-DATEVALUE(CONCATENATE("01/01/",YEAR(Z88))))*(Z88-Z87),2),0))</f>
        <v>#REF!</v>
      </c>
      <c r="AM131" s="34">
        <f t="shared" si="91"/>
        <v>29117</v>
      </c>
      <c r="AN131" s="57">
        <f t="shared" si="90"/>
        <v>64301</v>
      </c>
      <c r="BL131" s="2" t="e">
        <f>IF(AND(G86&gt;=$W$11,G86&lt;=$W$11+5),0,IF($C$9&gt;$AF$51,ROUND(BG85*IF(#REF!="",0,#REF!)/(DATEVALUE(CONCATENATE("01/01/",YEAR(AQ86)+1))-DATEVALUE(CONCATENATE("01/01/",YEAR(AQ86))))*(AQ86-AQ85),2),0))</f>
        <v>#REF!</v>
      </c>
    </row>
    <row r="132" spans="23:64" x14ac:dyDescent="0.25">
      <c r="W132" s="2" t="e">
        <f>IF(AND(G97&gt;=$W$11,G97&lt;=$W$11+5),0,IF($C$9&gt;$AF$51,ROUND(S96*#REF!/(DATEVALUE(CONCATENATE("01/01/",YEAR(H97)+1))-DATEVALUE(CONCATENATE("01/01/",YEAR(H97))))*(H97-H96),2),0))</f>
        <v>#REF!</v>
      </c>
      <c r="X132" s="34">
        <f t="shared" si="89"/>
        <v>0</v>
      </c>
      <c r="Y132" s="57">
        <f t="shared" si="87"/>
        <v>66126</v>
      </c>
      <c r="AL132" s="2" t="e">
        <f>IF(AND(Y89&gt;=$W$11,Y89&lt;=$W$11+5),0,IF($C$9&gt;$AF$51,ROUND(AI92*#REF!/(DATEVALUE(CONCATENATE("01/01/",YEAR(Z89)+1))-DATEVALUE(CONCATENATE("01/01/",YEAR(Z89))))*(Z89-Z88),2),0))</f>
        <v>#REF!</v>
      </c>
      <c r="AM132" s="34">
        <f t="shared" si="91"/>
        <v>0</v>
      </c>
      <c r="AN132" s="57">
        <f t="shared" si="90"/>
        <v>64666</v>
      </c>
      <c r="BL132" s="2" t="e">
        <f>IF(AND(G87&gt;=$W$11,G87&lt;=$W$11+5),0,IF($C$9&gt;$AF$51,ROUND(BG86*IF(#REF!="",0,#REF!)/(DATEVALUE(CONCATENATE("01/01/",YEAR(AQ87)+1))-DATEVALUE(CONCATENATE("01/01/",YEAR(AQ87))))*(AQ87-AQ86),2),0))</f>
        <v>#REF!</v>
      </c>
    </row>
    <row r="133" spans="23:64" x14ac:dyDescent="0.25">
      <c r="W133" s="2" t="e">
        <f>IF(AND(G98&gt;=$W$11,G98&lt;=$W$11+5),0,IF($C$9&gt;$AF$51,ROUND(S97*#REF!/(DATEVALUE(CONCATENATE("01/01/",YEAR(H98)+1))-DATEVALUE(CONCATENATE("01/01/",YEAR(H98))))*(H98-H97),2),0))</f>
        <v>#REF!</v>
      </c>
      <c r="X133" s="34">
        <f t="shared" si="89"/>
        <v>0</v>
      </c>
      <c r="Y133" s="57">
        <f t="shared" si="87"/>
        <v>66491</v>
      </c>
      <c r="AL133" s="2" t="e">
        <f>IF(AND(Y90&gt;=$W$11,Y90&lt;=$W$11+5),0,IF($C$9&gt;$AF$51,ROUND(AI93*#REF!/(DATEVALUE(CONCATENATE("01/01/",YEAR(Z90)+1))-DATEVALUE(CONCATENATE("01/01/",YEAR(Z90))))*(Z90-Z89),2),0))</f>
        <v>#REF!</v>
      </c>
      <c r="AM133" s="34">
        <f t="shared" si="91"/>
        <v>0</v>
      </c>
      <c r="AN133" s="57">
        <f t="shared" si="90"/>
        <v>65031</v>
      </c>
      <c r="BL133" s="2" t="e">
        <f>IF(AND(G88&gt;=$W$11,G88&lt;=$W$11+5),0,IF($C$9&gt;$AF$51,ROUND(BG87*IF(#REF!="",0,#REF!)/(DATEVALUE(CONCATENATE("01/01/",YEAR(AQ88)+1))-DATEVALUE(CONCATENATE("01/01/",YEAR(AQ88))))*(AQ88-AQ87),2),0))</f>
        <v>#REF!</v>
      </c>
    </row>
    <row r="134" spans="23:64" x14ac:dyDescent="0.25">
      <c r="W134" s="2" t="e">
        <f>IF(AND(G99&gt;=$W$11,G99&lt;=$W$11+5),0,IF($C$9&gt;$AF$51,ROUND(S98*#REF!/(DATEVALUE(CONCATENATE("01/01/",YEAR(H99)+1))-DATEVALUE(CONCATENATE("01/01/",YEAR(H99))))*(H99-H98),2),0))</f>
        <v>#REF!</v>
      </c>
      <c r="X134" s="34">
        <f t="shared" si="89"/>
        <v>0</v>
      </c>
      <c r="Y134" s="57">
        <f t="shared" si="87"/>
        <v>66856</v>
      </c>
      <c r="AL134" s="2" t="e">
        <f>IF(AND(Y91&gt;=$W$11,Y91&lt;=$W$11+5),0,IF($C$9&gt;$AF$51,ROUND(AI94*#REF!/(DATEVALUE(CONCATENATE("01/01/",YEAR(Z91)+1))-DATEVALUE(CONCATENATE("01/01/",YEAR(Z91))))*(Z91-Z90),2),0))</f>
        <v>#REF!</v>
      </c>
      <c r="AM134" s="34">
        <f t="shared" si="91"/>
        <v>0</v>
      </c>
      <c r="AN134" s="57">
        <f t="shared" si="90"/>
        <v>65396</v>
      </c>
      <c r="BL134" s="2" t="e">
        <f>IF(AND(G89&gt;=$W$11,G89&lt;=$W$11+5),0,IF($C$9&gt;$AF$51,ROUND(BG88*IF(#REF!="",0,#REF!)/(DATEVALUE(CONCATENATE("01/01/",YEAR(AQ89)+1))-DATEVALUE(CONCATENATE("01/01/",YEAR(AQ89))))*(AQ89-AQ88),2),0))</f>
        <v>#REF!</v>
      </c>
    </row>
    <row r="135" spans="23:64" x14ac:dyDescent="0.25">
      <c r="W135" s="2" t="e">
        <f>IF(AND(G100&gt;=$W$11,G100&lt;=$W$11+5),0,IF($C$9&gt;$AF$51,ROUND(S99*#REF!/(DATEVALUE(CONCATENATE("01/01/",YEAR(H100)+1))-DATEVALUE(CONCATENATE("01/01/",YEAR(H100))))*(H100-H99),2),0))</f>
        <v>#REF!</v>
      </c>
      <c r="X135" s="34">
        <f t="shared" si="89"/>
        <v>0</v>
      </c>
      <c r="Y135" s="57">
        <f t="shared" si="87"/>
        <v>67221</v>
      </c>
      <c r="AL135" s="2" t="e">
        <f>IF(AND(Y92&gt;=$W$11,Y92&lt;=$W$11+5),0,IF($C$9&gt;$AF$51,ROUND(AI95*#REF!/(DATEVALUE(CONCATENATE("01/01/",YEAR(Z92)+1))-DATEVALUE(CONCATENATE("01/01/",YEAR(Z92))))*(Z92-Z91),2),0))</f>
        <v>#REF!</v>
      </c>
      <c r="AM135" s="34">
        <f t="shared" si="91"/>
        <v>0</v>
      </c>
      <c r="AN135" s="57">
        <f t="shared" si="90"/>
        <v>65761</v>
      </c>
      <c r="BL135" s="2" t="e">
        <f>IF(AND(G90&gt;=$W$11,G90&lt;=$W$11+5),0,IF($C$9&gt;$AF$51,ROUND(BG89*IF(#REF!="",0,#REF!)/(DATEVALUE(CONCATENATE("01/01/",YEAR(AQ90)+1))-DATEVALUE(CONCATENATE("01/01/",YEAR(AQ90))))*(AQ90-AQ89),2),0))</f>
        <v>#REF!</v>
      </c>
    </row>
    <row r="136" spans="23:64" x14ac:dyDescent="0.25">
      <c r="W136" s="2" t="e">
        <f>IF(AND(G101&gt;=$W$11,G101&lt;=$W$11+5),0,IF($C$9&gt;$AF$51,ROUND(S100*#REF!/(DATEVALUE(CONCATENATE("01/01/",YEAR(H101)+1))-DATEVALUE(CONCATENATE("01/01/",YEAR(H101))))*(H101-H100),2),0))</f>
        <v>#REF!</v>
      </c>
      <c r="X136" s="34">
        <f t="shared" si="89"/>
        <v>0</v>
      </c>
      <c r="Y136" s="57">
        <f t="shared" si="87"/>
        <v>67586</v>
      </c>
      <c r="AL136" s="2" t="e">
        <f>IF(AND(Y93&gt;=$W$11,Y93&lt;=$W$11+5),0,IF($C$9&gt;$AF$51,ROUND(AI96*#REF!/(DATEVALUE(CONCATENATE("01/01/",YEAR(Z93)+1))-DATEVALUE(CONCATENATE("01/01/",YEAR(Z93))))*(Z93-Z92),2),0))</f>
        <v>#REF!</v>
      </c>
      <c r="AM136" s="34">
        <f t="shared" si="91"/>
        <v>0</v>
      </c>
      <c r="AN136" s="57">
        <f t="shared" si="90"/>
        <v>66126</v>
      </c>
      <c r="BL136" s="2" t="e">
        <f>IF(AND(G91&gt;=$W$11,G91&lt;=$W$11+5),0,IF($C$9&gt;$AF$51,ROUND(BG90*IF(#REF!="",0,#REF!)/(DATEVALUE(CONCATENATE("01/01/",YEAR(AQ91)+1))-DATEVALUE(CONCATENATE("01/01/",YEAR(AQ91))))*(AQ91-AQ90),2),0))</f>
        <v>#REF!</v>
      </c>
    </row>
    <row r="137" spans="23:64" x14ac:dyDescent="0.25">
      <c r="W137" s="2" t="e">
        <f>IF(AND(G102&gt;=$W$11,G102&lt;=$W$11+5),0,IF($C$9&gt;$AF$51,ROUND(S101*#REF!/(DATEVALUE(CONCATENATE("01/01/",YEAR(H102)+1))-DATEVALUE(CONCATENATE("01/01/",YEAR(H102))))*(H102-H101),2),0))</f>
        <v>#REF!</v>
      </c>
      <c r="X137" s="34">
        <f t="shared" si="89"/>
        <v>0</v>
      </c>
      <c r="Y137" s="57">
        <f t="shared" si="87"/>
        <v>67951</v>
      </c>
      <c r="AL137" s="2" t="e">
        <f>IF(AND(Y94&gt;=$W$11,Y94&lt;=$W$11+5),0,IF($C$9&gt;$AF$51,ROUND(AI97*#REF!/(DATEVALUE(CONCATENATE("01/01/",YEAR(Z94)+1))-DATEVALUE(CONCATENATE("01/01/",YEAR(Z94))))*(Z94-Z93),2),0))</f>
        <v>#REF!</v>
      </c>
      <c r="AM137" s="34">
        <f t="shared" si="91"/>
        <v>0</v>
      </c>
      <c r="AN137" s="57">
        <f t="shared" si="90"/>
        <v>66491</v>
      </c>
      <c r="BL137" s="2" t="e">
        <f>IF(AND(G92&gt;=$W$11,G92&lt;=$W$11+5),0,IF($C$9&gt;$AF$51,ROUND(BG91*IF(#REF!="",0,#REF!)/(DATEVALUE(CONCATENATE("01/01/",YEAR(AQ92)+1))-DATEVALUE(CONCATENATE("01/01/",YEAR(AQ92))))*(AQ92-AQ91),2),0))</f>
        <v>#REF!</v>
      </c>
    </row>
    <row r="138" spans="23:64" x14ac:dyDescent="0.25">
      <c r="W138" s="2" t="e">
        <f>IF(AND(G103&gt;=$W$11,G103&lt;=$W$11+5),0,IF($C$9&gt;$AF$51,ROUND(S102*#REF!/(DATEVALUE(CONCATENATE("01/01/",YEAR(H103)+1))-DATEVALUE(CONCATENATE("01/01/",YEAR(H103))))*(H103-H102),2),0))</f>
        <v>#REF!</v>
      </c>
      <c r="X138" s="34">
        <f t="shared" si="89"/>
        <v>0</v>
      </c>
      <c r="Y138" s="57">
        <f t="shared" si="87"/>
        <v>68316</v>
      </c>
      <c r="AL138" s="2" t="e">
        <f>IF(AND(Y95&gt;=$W$11,Y95&lt;=$W$11+5),0,IF($C$9&gt;$AF$51,ROUND(AI98*#REF!/(DATEVALUE(CONCATENATE("01/01/",YEAR(Z95)+1))-DATEVALUE(CONCATENATE("01/01/",YEAR(Z95))))*(Z95-Z94),2),0))</f>
        <v>#REF!</v>
      </c>
      <c r="AM138" s="34">
        <f t="shared" si="91"/>
        <v>0</v>
      </c>
      <c r="AN138" s="57">
        <f t="shared" si="90"/>
        <v>66856</v>
      </c>
      <c r="BL138" s="2" t="e">
        <f>IF(AND(G93&gt;=$W$11,G93&lt;=$W$11+5),0,IF($C$9&gt;$AF$51,ROUND(BG92*IF(#REF!="",0,#REF!)/(DATEVALUE(CONCATENATE("01/01/",YEAR(AQ93)+1))-DATEVALUE(CONCATENATE("01/01/",YEAR(AQ93))))*(AQ93-AQ92),2),0))</f>
        <v>#REF!</v>
      </c>
    </row>
    <row r="139" spans="23:64" x14ac:dyDescent="0.25">
      <c r="W139" s="2" t="e">
        <f>IF(AND(G104&gt;=$W$11,G104&lt;=$W$11+5),0,IF($C$9&gt;$AF$51,ROUND(S103*#REF!/(DATEVALUE(CONCATENATE("01/01/",YEAR(H104)+1))-DATEVALUE(CONCATENATE("01/01/",YEAR(H104))))*(H104-H103),2),0))</f>
        <v>#REF!</v>
      </c>
      <c r="X139" s="34">
        <f t="shared" si="89"/>
        <v>0</v>
      </c>
      <c r="Y139" s="57">
        <f t="shared" si="87"/>
        <v>68681</v>
      </c>
      <c r="AL139" s="2" t="e">
        <f>IF(AND(Y96&gt;=$W$11,Y96&lt;=$W$11+5),0,IF($C$9&gt;$AF$51,ROUND(AI99*#REF!/(DATEVALUE(CONCATENATE("01/01/",YEAR(Z96)+1))-DATEVALUE(CONCATENATE("01/01/",YEAR(Z96))))*(Z96-Z95),2),0))</f>
        <v>#REF!</v>
      </c>
      <c r="AM139" s="34">
        <f t="shared" si="91"/>
        <v>0</v>
      </c>
      <c r="AN139" s="57">
        <f t="shared" si="90"/>
        <v>67221</v>
      </c>
      <c r="BL139" s="2" t="e">
        <f>IF(AND(G94&gt;=$W$11,G94&lt;=$W$11+5),0,IF($C$9&gt;$AF$51,ROUND(BG93*IF(#REF!="",0,#REF!)/(DATEVALUE(CONCATENATE("01/01/",YEAR(AQ94)+1))-DATEVALUE(CONCATENATE("01/01/",YEAR(AQ94))))*(AQ94-AQ93),2),0))</f>
        <v>#REF!</v>
      </c>
    </row>
    <row r="140" spans="23:64" x14ac:dyDescent="0.25">
      <c r="W140" s="2" t="e">
        <f>IF(AND(G105&gt;=$W$11,G105&lt;=$W$11+5),0,IF($C$9&gt;$AF$51,ROUND(S104*#REF!/(DATEVALUE(CONCATENATE("01/01/",YEAR(H105)+1))-DATEVALUE(CONCATENATE("01/01/",YEAR(H105))))*(H105-H104),2),0))</f>
        <v>#REF!</v>
      </c>
      <c r="X140" s="34">
        <f t="shared" si="89"/>
        <v>0</v>
      </c>
      <c r="Y140" s="57">
        <f t="shared" si="87"/>
        <v>69046</v>
      </c>
      <c r="AL140" s="2" t="e">
        <f>IF(AND(Y97&gt;=$W$11,Y97&lt;=$W$11+5),0,IF($C$9&gt;$AF$51,ROUND(AI100*#REF!/(DATEVALUE(CONCATENATE("01/01/",YEAR(Z97)+1))-DATEVALUE(CONCATENATE("01/01/",YEAR(Z97))))*(Z97-Z96),2),0))</f>
        <v>#REF!</v>
      </c>
      <c r="AM140" s="34">
        <f t="shared" si="91"/>
        <v>0</v>
      </c>
      <c r="AN140" s="57">
        <f t="shared" si="90"/>
        <v>67586</v>
      </c>
      <c r="BL140" s="2" t="e">
        <f>IF(AND(G95&gt;=$W$11,G95&lt;=$W$11+5),0,IF($C$9&gt;$AF$51,ROUND(BG94*IF(#REF!="",0,#REF!)/(DATEVALUE(CONCATENATE("01/01/",YEAR(AQ95)+1))-DATEVALUE(CONCATENATE("01/01/",YEAR(AQ95))))*(AQ95-AQ94),2),0))</f>
        <v>#REF!</v>
      </c>
    </row>
    <row r="141" spans="23:64" x14ac:dyDescent="0.25">
      <c r="W141" s="2" t="e">
        <f>IF(AND(G106&gt;=$W$11,G106&lt;=$W$11+5),0,IF($C$9&gt;$AF$51,ROUND(S105*#REF!/(DATEVALUE(CONCATENATE("01/01/",YEAR(H106)+1))-DATEVALUE(CONCATENATE("01/01/",YEAR(H106))))*(H106-H105),2),0))</f>
        <v>#REF!</v>
      </c>
      <c r="X141" s="34">
        <f t="shared" si="89"/>
        <v>0</v>
      </c>
      <c r="Y141" s="57">
        <f t="shared" si="87"/>
        <v>69411</v>
      </c>
      <c r="AL141" s="2" t="e">
        <f>IF(AND(Y98&gt;=$W$11,Y98&lt;=$W$11+5),0,IF($C$9&gt;$AF$51,ROUND(AI101*#REF!/(DATEVALUE(CONCATENATE("01/01/",YEAR(Z98)+1))-DATEVALUE(CONCATENATE("01/01/",YEAR(Z98))))*(Z98-Z97),2),0))</f>
        <v>#REF!</v>
      </c>
      <c r="AM141" s="34">
        <f t="shared" si="91"/>
        <v>0</v>
      </c>
      <c r="AN141" s="57">
        <f t="shared" si="90"/>
        <v>67951</v>
      </c>
      <c r="BL141" s="2" t="e">
        <f>IF(AND(G96&gt;=$W$11,G96&lt;=$W$11+5),0,IF($C$9&gt;$AF$51,ROUND(BG95*IF(#REF!="",0,#REF!)/(DATEVALUE(CONCATENATE("01/01/",YEAR(AQ96)+1))-DATEVALUE(CONCATENATE("01/01/",YEAR(AQ96))))*(AQ96-AQ95),2),0))</f>
        <v>#REF!</v>
      </c>
    </row>
    <row r="142" spans="23:64" x14ac:dyDescent="0.25">
      <c r="W142" s="2" t="e">
        <f>IF(AND(G107&gt;=$W$11,G107&lt;=$W$11+5),0,IF($C$9&gt;$AF$51,ROUND(S106*#REF!/(DATEVALUE(CONCATENATE("01/01/",YEAR(H107)+1))-DATEVALUE(CONCATENATE("01/01/",YEAR(H107))))*(H107-H106),2),0))</f>
        <v>#REF!</v>
      </c>
      <c r="X142" s="34">
        <f t="shared" si="89"/>
        <v>0</v>
      </c>
      <c r="Y142" s="57">
        <f t="shared" si="87"/>
        <v>69776</v>
      </c>
      <c r="AL142" s="2" t="e">
        <f>IF(AND(Y99&gt;=$W$11,Y99&lt;=$W$11+5),0,IF($C$9&gt;$AF$51,ROUND(AI102*#REF!/(DATEVALUE(CONCATENATE("01/01/",YEAR(Z99)+1))-DATEVALUE(CONCATENATE("01/01/",YEAR(Z99))))*(Z99-Z98),2),0))</f>
        <v>#REF!</v>
      </c>
      <c r="AM142" s="34">
        <f t="shared" si="91"/>
        <v>0</v>
      </c>
      <c r="AN142" s="57">
        <f t="shared" si="90"/>
        <v>68316</v>
      </c>
      <c r="BL142" s="2" t="e">
        <f>IF(AND(G97&gt;=$W$11,G97&lt;=$W$11+5),0,IF($C$9&gt;$AF$51,ROUND(BG96*IF(#REF!="",0,#REF!)/(DATEVALUE(CONCATENATE("01/01/",YEAR(AQ97)+1))-DATEVALUE(CONCATENATE("01/01/",YEAR(AQ97))))*(AQ97-AQ96),2),0))</f>
        <v>#REF!</v>
      </c>
    </row>
    <row r="143" spans="23:64" x14ac:dyDescent="0.25">
      <c r="W143" s="2" t="e">
        <f>IF(AND(G108&gt;=$W$11,G108&lt;=$W$11+5),0,IF($C$9&gt;$AF$51,ROUND(S107*#REF!/(DATEVALUE(CONCATENATE("01/01/",YEAR(H108)+1))-DATEVALUE(CONCATENATE("01/01/",YEAR(H108))))*(H108-H107),2),0))</f>
        <v>#REF!</v>
      </c>
      <c r="X143" s="34">
        <f>IF(K108 &gt; 0, $K$9, 0)</f>
        <v>0</v>
      </c>
      <c r="Y143" s="57">
        <f t="shared" si="87"/>
        <v>70141</v>
      </c>
      <c r="AL143" s="2" t="e">
        <f>IF(AND(Y100&gt;=$W$11,Y100&lt;=$W$11+5),0,IF($C$9&gt;$AF$51,ROUND(AI103*#REF!/(DATEVALUE(CONCATENATE("01/01/",YEAR(Z100)+1))-DATEVALUE(CONCATENATE("01/01/",YEAR(Z100))))*(Z100-Z99),2),0))</f>
        <v>#REF!</v>
      </c>
      <c r="AM143" s="34">
        <f t="shared" si="91"/>
        <v>0</v>
      </c>
      <c r="AN143" s="57">
        <f t="shared" si="90"/>
        <v>68681</v>
      </c>
      <c r="BL143" s="2" t="e">
        <f>IF(AND(G98&gt;=$W$11,G98&lt;=$W$11+5),0,IF($C$9&gt;$AF$51,ROUND(BG97*IF(#REF!="",0,#REF!)/(DATEVALUE(CONCATENATE("01/01/",YEAR(AQ98)+1))-DATEVALUE(CONCATENATE("01/01/",YEAR(AQ98))))*(AQ98-AQ97),2),0))</f>
        <v>#REF!</v>
      </c>
    </row>
    <row r="144" spans="23:64" x14ac:dyDescent="0.25">
      <c r="W144" s="35" t="e">
        <f>SUM(W44:W143)</f>
        <v>#REF!</v>
      </c>
      <c r="X144" s="35">
        <f>SUM(X44:X143)</f>
        <v>2512440</v>
      </c>
      <c r="Y144" s="154">
        <f>XIRR(X42:X143,Y42:Y143)*12</f>
        <v>0.19855653047561647</v>
      </c>
      <c r="AL144" s="2" t="e">
        <f>IF(AND(Y101&gt;=$W$11,Y101&lt;=$W$11+5),0,IF($C$9&gt;$AF$51,ROUND(AI104*#REF!/(DATEVALUE(CONCATENATE("01/01/",YEAR(Z101)+1))-DATEVALUE(CONCATENATE("01/01/",YEAR(Z101))))*(Z101-Z100),2),0))</f>
        <v>#REF!</v>
      </c>
      <c r="AM144" s="34">
        <f t="shared" si="91"/>
        <v>0</v>
      </c>
      <c r="AN144" s="57">
        <f t="shared" si="90"/>
        <v>69046</v>
      </c>
      <c r="BL144" s="2" t="e">
        <f>IF(AND(G99&gt;=$W$11,G99&lt;=$W$11+5),0,IF($C$9&gt;$AF$51,ROUND(BG98*IF(#REF!="",0,#REF!)/(DATEVALUE(CONCATENATE("01/01/",YEAR(AQ99)+1))-DATEVALUE(CONCATENATE("01/01/",YEAR(AQ99))))*(AQ99-AQ98),2),0))</f>
        <v>#REF!</v>
      </c>
    </row>
    <row r="145" spans="24:64" x14ac:dyDescent="0.25">
      <c r="X145" s="34"/>
      <c r="Y145" s="57"/>
      <c r="AL145" s="2" t="e">
        <f>IF(AND(Y102&gt;=$W$11,Y102&lt;=$W$11+5),0,IF($C$9&gt;$AF$51,ROUND(AI105*#REF!/(DATEVALUE(CONCATENATE("01/01/",YEAR(Z102)+1))-DATEVALUE(CONCATENATE("01/01/",YEAR(Z102))))*(Z102-Z101),2),0))</f>
        <v>#REF!</v>
      </c>
      <c r="AM145" s="34">
        <f t="shared" si="91"/>
        <v>0</v>
      </c>
      <c r="AN145" s="57">
        <f t="shared" si="90"/>
        <v>69411</v>
      </c>
      <c r="BL145" s="2" t="e">
        <f>IF(AND(G100&gt;=$W$11,G100&lt;=$W$11+5),0,IF($C$9&gt;$AF$51,ROUND(BG99*IF(#REF!="",0,#REF!)/(DATEVALUE(CONCATENATE("01/01/",YEAR(AQ100)+1))-DATEVALUE(CONCATENATE("01/01/",YEAR(AQ100))))*(AQ100-AQ99),2),0))</f>
        <v>#REF!</v>
      </c>
    </row>
    <row r="146" spans="24:64" x14ac:dyDescent="0.25">
      <c r="X146" s="34"/>
      <c r="Y146" s="57"/>
      <c r="AL146" s="2" t="e">
        <f>IF(AND(Y103&gt;=$W$11,Y103&lt;=$W$11+5),0,IF($C$9&gt;$AF$51,ROUND(AI106*#REF!/(DATEVALUE(CONCATENATE("01/01/",YEAR(Z103)+1))-DATEVALUE(CONCATENATE("01/01/",YEAR(Z103))))*(Z103-Z102),2),0))</f>
        <v>#REF!</v>
      </c>
      <c r="AM146" s="34">
        <f t="shared" si="91"/>
        <v>0</v>
      </c>
      <c r="AN146" s="57">
        <f t="shared" si="90"/>
        <v>69776</v>
      </c>
      <c r="BL146" s="2" t="e">
        <f>IF(AND(G101&gt;=$W$11,G101&lt;=$W$11+5),0,IF($C$9&gt;$AF$51,ROUND(BG100*IF(#REF!="",0,#REF!)/(DATEVALUE(CONCATENATE("01/01/",YEAR(AQ101)+1))-DATEVALUE(CONCATENATE("01/01/",YEAR(AQ101))))*(AQ101-AQ100),2),0))</f>
        <v>#REF!</v>
      </c>
    </row>
    <row r="147" spans="24:64" x14ac:dyDescent="0.25">
      <c r="X147" s="34"/>
      <c r="Y147" s="57"/>
      <c r="AL147" s="2" t="e">
        <f>IF(AND(Y104&gt;=$W$11,Y104&lt;=$W$11+5),0,IF($C$9&gt;$AF$51,ROUND(AI107*#REF!/(DATEVALUE(CONCATENATE("01/01/",YEAR(Z104)+1))-DATEVALUE(CONCATENATE("01/01/",YEAR(Z104))))*(Z104-Z103),2),0))</f>
        <v>#REF!</v>
      </c>
      <c r="AM147" s="34">
        <f t="shared" si="91"/>
        <v>0</v>
      </c>
      <c r="AN147" s="57">
        <f t="shared" si="90"/>
        <v>70141</v>
      </c>
      <c r="BL147" s="2" t="e">
        <f>IF(AND(G102&gt;=$W$11,G102&lt;=$W$11+5),0,IF($C$9&gt;$AF$51,ROUND(BG101*IF(#REF!="",0,#REF!)/(DATEVALUE(CONCATENATE("01/01/",YEAR(AQ102)+1))-DATEVALUE(CONCATENATE("01/01/",YEAR(AQ102))))*(AQ102-AQ101),2),0))</f>
        <v>#REF!</v>
      </c>
    </row>
    <row r="148" spans="24:64" x14ac:dyDescent="0.25">
      <c r="X148" s="34"/>
      <c r="Y148" s="57"/>
      <c r="AL148" s="35" t="e">
        <f>SUM(AL48:AL147)</f>
        <v>#REF!</v>
      </c>
      <c r="AM148" s="35">
        <f>SUM(AM48:AM147)</f>
        <v>2445828</v>
      </c>
      <c r="AN148" s="154">
        <f>XIRR(AM46:AM147,AN46:AN147)*12</f>
        <v>0.19855796098709108</v>
      </c>
      <c r="BL148" s="2" t="e">
        <f>IF(AND(G103&gt;=$W$11,G103&lt;=$W$11+5),0,IF($C$9&gt;$AF$51,ROUND(BG102*IF(#REF!="",0,#REF!)/(DATEVALUE(CONCATENATE("01/01/",YEAR(AQ103)+1))-DATEVALUE(CONCATENATE("01/01/",YEAR(AQ103))))*(AQ103-AQ102),2),0))</f>
        <v>#REF!</v>
      </c>
    </row>
    <row r="149" spans="24:64" x14ac:dyDescent="0.25">
      <c r="BL149" s="2" t="e">
        <f>IF(AND(G104&gt;=$W$11,G104&lt;=$W$11+5),0,IF($C$9&gt;$AF$51,ROUND(BG103*IF(#REF!="",0,#REF!)/(DATEVALUE(CONCATENATE("01/01/",YEAR(AQ104)+1))-DATEVALUE(CONCATENATE("01/01/",YEAR(AQ104))))*(AQ104-AQ103),2),0))</f>
        <v>#REF!</v>
      </c>
    </row>
    <row r="150" spans="24:64" x14ac:dyDescent="0.25">
      <c r="BL150" s="2" t="e">
        <f>IF(AND(G105&gt;=$W$11,G105&lt;=$W$11+5),0,IF($C$9&gt;$AF$51,ROUND(BG104*IF(#REF!="",0,#REF!)/(DATEVALUE(CONCATENATE("01/01/",YEAR(AQ105)+1))-DATEVALUE(CONCATENATE("01/01/",YEAR(AQ105))))*(AQ105-AQ104),2),0))</f>
        <v>#REF!</v>
      </c>
    </row>
    <row r="151" spans="24:64" x14ac:dyDescent="0.25">
      <c r="BL151" s="2" t="e">
        <f>IF(AND(G106&gt;=$W$11,G106&lt;=$W$11+5),0,IF($C$9&gt;$AF$51,ROUND(BG105*IF(#REF!="",0,#REF!)/(DATEVALUE(CONCATENATE("01/01/",YEAR(AQ106)+1))-DATEVALUE(CONCATENATE("01/01/",YEAR(AQ106))))*(AQ106-AQ105),2),0))</f>
        <v>#REF!</v>
      </c>
    </row>
    <row r="152" spans="24:64" x14ac:dyDescent="0.25">
      <c r="BL152" s="2" t="e">
        <f>IF(AND(G107&gt;=$W$11,G107&lt;=$W$11+5),0,IF($C$9&gt;$AF$51,ROUND(BG106*IF(#REF!="",0,#REF!)/(DATEVALUE(CONCATENATE("01/01/",YEAR(AQ107)+1))-DATEVALUE(CONCATENATE("01/01/",YEAR(AQ107))))*(AQ107-AQ106),2),0))</f>
        <v>#REF!</v>
      </c>
    </row>
    <row r="153" spans="24:64" x14ac:dyDescent="0.25">
      <c r="BL153" s="2" t="e">
        <f>IF(AND(G108&gt;=$W$11,G108&lt;=$W$11+5),0,IF($C$9&gt;$AF$51,ROUND(BG107*IF(#REF!="",0,#REF!)/(DATEVALUE(CONCATENATE("01/01/",YEAR(AQ108)+1))-DATEVALUE(CONCATENATE("01/01/",YEAR(AQ108))))*(AQ108-AQ107),2),0))</f>
        <v>#REF!</v>
      </c>
    </row>
    <row r="154" spans="24:64" x14ac:dyDescent="0.25">
      <c r="BL154" s="35" t="e">
        <f>SUM(BL54:BL153)</f>
        <v>#REF!</v>
      </c>
    </row>
  </sheetData>
  <sheetProtection sheet="1" selectLockedCells="1"/>
  <dataConsolidate/>
  <mergeCells count="63">
    <mergeCell ref="AP3:BH4"/>
    <mergeCell ref="BN3:BT3"/>
    <mergeCell ref="A5:E5"/>
    <mergeCell ref="K6:K7"/>
    <mergeCell ref="A7:B7"/>
    <mergeCell ref="C7:D7"/>
    <mergeCell ref="BO7:BO8"/>
    <mergeCell ref="BR7:BR8"/>
    <mergeCell ref="BS7:BS8"/>
    <mergeCell ref="AP6:AP7"/>
    <mergeCell ref="AQ6:AQ7"/>
    <mergeCell ref="BT7:BT8"/>
    <mergeCell ref="A8:B8"/>
    <mergeCell ref="A1:E2"/>
    <mergeCell ref="A3:E3"/>
    <mergeCell ref="G3:U4"/>
    <mergeCell ref="A6:B6"/>
    <mergeCell ref="C6:D6"/>
    <mergeCell ref="G6:G7"/>
    <mergeCell ref="H6:H7"/>
    <mergeCell ref="I6:I7"/>
    <mergeCell ref="L6:L7"/>
    <mergeCell ref="M6:M7"/>
    <mergeCell ref="S6:S7"/>
    <mergeCell ref="T6:T7"/>
    <mergeCell ref="BO10:BO11"/>
    <mergeCell ref="A11:B11"/>
    <mergeCell ref="AR6:AR7"/>
    <mergeCell ref="AT6:AT7"/>
    <mergeCell ref="AU6:AU7"/>
    <mergeCell ref="AV6:AV7"/>
    <mergeCell ref="BG6:BG7"/>
    <mergeCell ref="BN6:BT6"/>
    <mergeCell ref="BN7:BN8"/>
    <mergeCell ref="A9:B9"/>
    <mergeCell ref="C9:D9"/>
    <mergeCell ref="A10:B10"/>
    <mergeCell ref="C10:D10"/>
    <mergeCell ref="BN10:BN11"/>
    <mergeCell ref="A25:B25"/>
    <mergeCell ref="A12:B12"/>
    <mergeCell ref="A13:B13"/>
    <mergeCell ref="BN13:BN14"/>
    <mergeCell ref="BO13:BO14"/>
    <mergeCell ref="A14:A15"/>
    <mergeCell ref="A16:A18"/>
    <mergeCell ref="A20:E20"/>
    <mergeCell ref="A21:E21"/>
    <mergeCell ref="A22:C22"/>
    <mergeCell ref="A23:B23"/>
    <mergeCell ref="A24:B24"/>
    <mergeCell ref="BN33:BN35"/>
    <mergeCell ref="A35:B35"/>
    <mergeCell ref="A36:B36"/>
    <mergeCell ref="AC85:AI85"/>
    <mergeCell ref="A26:B26"/>
    <mergeCell ref="A27:B27"/>
    <mergeCell ref="A28:B28"/>
    <mergeCell ref="A29:B29"/>
    <mergeCell ref="A30:B30"/>
    <mergeCell ref="A31:B31"/>
    <mergeCell ref="A32:E32"/>
    <mergeCell ref="A33:A34"/>
  </mergeCells>
  <conditionalFormatting sqref="D17">
    <cfRule type="cellIs" dxfId="10" priority="1" operator="notEqual">
      <formula>""</formula>
    </cfRule>
  </conditionalFormatting>
  <dataValidations count="7">
    <dataValidation type="list" allowBlank="1" showInputMessage="1" showErrorMessage="1" sqref="C11" xr:uid="{00000000-0002-0000-0700-000000000000}">
      <formula1>$AB$6</formula1>
    </dataValidation>
    <dataValidation type="list" allowBlank="1" showInputMessage="1" showErrorMessage="1" sqref="C16" xr:uid="{00000000-0002-0000-0700-000001000000}">
      <formula1>$AC$30:$AD$30</formula1>
    </dataValidation>
    <dataValidation type="list" allowBlank="1" showInputMessage="1" showErrorMessage="1" sqref="C10:D10" xr:uid="{00000000-0002-0000-0700-000002000000}">
      <formula1>$G$44:$G$92</formula1>
    </dataValidation>
    <dataValidation type="list" allowBlank="1" showInputMessage="1" showErrorMessage="1" sqref="C12" xr:uid="{00000000-0002-0000-0700-000003000000}">
      <formula1>$W$3:$AA$3</formula1>
    </dataValidation>
    <dataValidation type="list" allowBlank="1" showInputMessage="1" showErrorMessage="1" sqref="C14" xr:uid="{00000000-0002-0000-0700-000004000000}">
      <formula1>$Y$28:$Z$28</formula1>
    </dataValidation>
    <dataValidation type="list" allowBlank="1" showInputMessage="1" showErrorMessage="1" sqref="C8" xr:uid="{00000000-0002-0000-0700-000005000000}">
      <formula1>$AF$59:$AG$59</formula1>
    </dataValidation>
    <dataValidation type="custom" allowBlank="1" showInputMessage="1" showErrorMessage="1" error="Сумма кредита должна быть больше 1 млн" sqref="C7:D7" xr:uid="{00000000-0002-0000-0700-000006000000}">
      <formula1>C7&gt;1000000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1" fitToWidth="2" orientation="portrait" r:id="rId1"/>
  <colBreaks count="1" manualBreakCount="1">
    <brk id="5" max="108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U154"/>
  <sheetViews>
    <sheetView showGridLines="0" view="pageBreakPreview" zoomScale="70" zoomScaleNormal="90" zoomScaleSheetLayoutView="70" workbookViewId="0">
      <selection activeCell="T10" sqref="T10"/>
    </sheetView>
  </sheetViews>
  <sheetFormatPr defaultColWidth="8.6640625" defaultRowHeight="13.2" x14ac:dyDescent="0.25"/>
  <cols>
    <col min="1" max="1" width="38" style="2" customWidth="1"/>
    <col min="2" max="2" width="36.6640625" style="2" customWidth="1"/>
    <col min="3" max="3" width="19.6640625" style="1" customWidth="1"/>
    <col min="4" max="4" width="19.88671875" style="1" customWidth="1"/>
    <col min="5" max="5" width="25" style="1" customWidth="1"/>
    <col min="6" max="6" width="5.44140625" style="1" customWidth="1"/>
    <col min="7" max="7" width="7.6640625" style="1" customWidth="1"/>
    <col min="8" max="9" width="10.6640625" style="1" customWidth="1"/>
    <col min="10" max="10" width="16.33203125" style="1" hidden="1" customWidth="1"/>
    <col min="11" max="11" width="15.44140625" style="1" customWidth="1"/>
    <col min="12" max="12" width="14" style="2" customWidth="1"/>
    <col min="13" max="13" width="14.109375" style="1" customWidth="1"/>
    <col min="14" max="16" width="15" style="3" hidden="1" customWidth="1"/>
    <col min="17" max="17" width="17.109375" style="3" hidden="1" customWidth="1"/>
    <col min="18" max="18" width="15" style="3" hidden="1" customWidth="1"/>
    <col min="19" max="19" width="16.5546875" style="2" customWidth="1"/>
    <col min="20" max="20" width="14" style="2" customWidth="1"/>
    <col min="21" max="21" width="11.109375" style="2" hidden="1" customWidth="1"/>
    <col min="22" max="22" width="11.44140625" style="44" hidden="1" customWidth="1"/>
    <col min="23" max="23" width="17.6640625" style="2" hidden="1" customWidth="1"/>
    <col min="24" max="24" width="18.33203125" style="2" hidden="1" customWidth="1"/>
    <col min="25" max="25" width="13.109375" style="2" hidden="1" customWidth="1"/>
    <col min="26" max="26" width="20" style="2" hidden="1" customWidth="1"/>
    <col min="27" max="27" width="19.6640625" style="2" hidden="1" customWidth="1"/>
    <col min="28" max="28" width="17.44140625" style="2" hidden="1" customWidth="1"/>
    <col min="29" max="29" width="33.6640625" style="2" hidden="1" customWidth="1"/>
    <col min="30" max="30" width="19" style="2" hidden="1" customWidth="1"/>
    <col min="31" max="31" width="32.44140625" style="3" hidden="1" customWidth="1"/>
    <col min="32" max="32" width="31.109375" style="3" hidden="1" customWidth="1"/>
    <col min="33" max="33" width="14.44140625" style="3" hidden="1" customWidth="1"/>
    <col min="34" max="34" width="17" style="3" hidden="1" customWidth="1"/>
    <col min="35" max="35" width="13.44140625" style="2" hidden="1" customWidth="1"/>
    <col min="36" max="36" width="14.44140625" style="2" hidden="1" customWidth="1"/>
    <col min="37" max="37" width="14.44140625" style="57" hidden="1" customWidth="1"/>
    <col min="38" max="41" width="14.44140625" style="2" hidden="1" customWidth="1"/>
    <col min="42" max="42" width="7.6640625" style="2" customWidth="1"/>
    <col min="43" max="44" width="14.44140625" style="2" customWidth="1"/>
    <col min="45" max="45" width="14.44140625" style="2" hidden="1" customWidth="1"/>
    <col min="46" max="46" width="14.44140625" style="2" customWidth="1"/>
    <col min="47" max="47" width="13.6640625" style="2" customWidth="1"/>
    <col min="48" max="48" width="15.6640625" style="2" customWidth="1"/>
    <col min="49" max="49" width="12" style="2" hidden="1" customWidth="1"/>
    <col min="50" max="51" width="13.6640625" style="2" hidden="1" customWidth="1"/>
    <col min="52" max="52" width="10.6640625" style="2" hidden="1" customWidth="1"/>
    <col min="53" max="58" width="8.6640625" style="2" hidden="1" customWidth="1"/>
    <col min="59" max="59" width="15.88671875" style="2" customWidth="1"/>
    <col min="60" max="60" width="8.6640625" style="2" hidden="1" customWidth="1"/>
    <col min="61" max="61" width="11.44140625" style="2" hidden="1" customWidth="1"/>
    <col min="62" max="62" width="1.33203125" style="1" customWidth="1"/>
    <col min="63" max="64" width="1.109375" style="2" customWidth="1"/>
    <col min="65" max="65" width="3.6640625" style="2" customWidth="1"/>
    <col min="66" max="66" width="24.109375" style="2" customWidth="1"/>
    <col min="67" max="67" width="3.6640625" style="2" customWidth="1"/>
    <col min="68" max="68" width="41.44140625" style="2" customWidth="1"/>
    <col min="69" max="69" width="4.44140625" style="2" customWidth="1"/>
    <col min="70" max="70" width="18" style="2" customWidth="1"/>
    <col min="71" max="71" width="4.6640625" style="2" customWidth="1"/>
    <col min="72" max="72" width="7.6640625" style="2" customWidth="1"/>
    <col min="73" max="74" width="8.6640625" style="2" customWidth="1"/>
    <col min="75" max="75" width="22.44140625" style="2" customWidth="1"/>
    <col min="76" max="76" width="25.5546875" style="2" customWidth="1"/>
    <col min="77" max="77" width="40.5546875" style="2" customWidth="1"/>
    <col min="78" max="78" width="15" style="2" customWidth="1"/>
    <col min="79" max="79" width="8.6640625" style="2" customWidth="1"/>
    <col min="80" max="80" width="24" style="2" customWidth="1"/>
    <col min="81" max="81" width="45.33203125" style="2" customWidth="1"/>
    <col min="82" max="82" width="14" style="2" customWidth="1"/>
    <col min="83" max="83" width="24" style="2" customWidth="1"/>
    <col min="84" max="84" width="45.44140625" style="2" customWidth="1"/>
    <col min="85" max="16384" width="8.6640625" style="2"/>
  </cols>
  <sheetData>
    <row r="1" spans="1:78" ht="12.75" customHeight="1" x14ac:dyDescent="0.4">
      <c r="A1" s="946" t="s">
        <v>359</v>
      </c>
      <c r="B1" s="947"/>
      <c r="C1" s="947"/>
      <c r="D1" s="947"/>
      <c r="E1" s="948"/>
      <c r="F1" s="227"/>
      <c r="G1" s="2"/>
      <c r="H1" s="2"/>
      <c r="I1" s="2"/>
      <c r="J1" s="2"/>
      <c r="K1" s="2"/>
      <c r="M1" s="2"/>
      <c r="N1" s="2"/>
      <c r="O1" s="2"/>
      <c r="P1" s="2"/>
      <c r="Q1" s="2"/>
      <c r="R1" s="2"/>
      <c r="V1" s="2"/>
      <c r="AE1" s="2"/>
      <c r="AF1" s="2"/>
      <c r="AG1" s="2"/>
      <c r="AH1" s="2"/>
      <c r="AK1" s="62" t="s">
        <v>52</v>
      </c>
      <c r="AL1" s="86" t="str">
        <f>IF($C$12=$AG$3,$AG$4,IF($C$12=$AH$3,$AH$4,IF($C$12=$AI$3,$AI$4,IF($C$12=$AJ$3,$AJ$4,IF($C$12=$AK$3,$AK$4,IF($C$12=$AL$3,$AL$4,""))))))</f>
        <v/>
      </c>
      <c r="AN1" s="65"/>
      <c r="BJ1" s="2"/>
    </row>
    <row r="2" spans="1:78" ht="34.950000000000003" customHeight="1" x14ac:dyDescent="0.4">
      <c r="A2" s="949"/>
      <c r="B2" s="950"/>
      <c r="C2" s="950"/>
      <c r="D2" s="950"/>
      <c r="E2" s="951"/>
      <c r="F2" s="227"/>
      <c r="G2" s="2"/>
      <c r="H2" s="2"/>
      <c r="I2" s="2"/>
      <c r="J2" s="2"/>
      <c r="K2" s="2"/>
      <c r="M2" s="2"/>
      <c r="N2" s="2"/>
      <c r="O2" s="2"/>
      <c r="P2" s="2"/>
      <c r="Q2" s="2"/>
      <c r="R2" s="2"/>
      <c r="V2" s="2"/>
      <c r="AE2" s="2" t="s">
        <v>47</v>
      </c>
      <c r="AF2" s="2"/>
      <c r="AG2" s="2"/>
      <c r="AH2" s="2"/>
      <c r="BJ2" s="2"/>
    </row>
    <row r="3" spans="1:78" ht="25.95" customHeight="1" x14ac:dyDescent="0.3">
      <c r="A3" s="864" t="s">
        <v>196</v>
      </c>
      <c r="B3" s="865"/>
      <c r="C3" s="865"/>
      <c r="D3" s="865"/>
      <c r="E3" s="866"/>
      <c r="F3" s="675"/>
      <c r="G3" s="943" t="str">
        <f>CONCATENATE("ГРАФИК ПЛАТЕЖЕЙ - ТАРИФ ПРАКТИЧНЫЙ",IF(C8="нет",""," + ДИСКОНТЫ ЗА ФЗ"))</f>
        <v>ГРАФИК ПЛАТЕЖЕЙ - ТАРИФ ПРАКТИЧНЫЙ + ДИСКОНТЫ ЗА ФЗ</v>
      </c>
      <c r="H3" s="943"/>
      <c r="I3" s="943"/>
      <c r="J3" s="943"/>
      <c r="K3" s="943"/>
      <c r="L3" s="943"/>
      <c r="M3" s="943"/>
      <c r="N3" s="943"/>
      <c r="O3" s="943"/>
      <c r="P3" s="943"/>
      <c r="Q3" s="943"/>
      <c r="R3" s="943"/>
      <c r="S3" s="943"/>
      <c r="T3" s="943"/>
      <c r="U3" s="943"/>
      <c r="V3" s="146"/>
      <c r="W3" s="63" t="s">
        <v>33</v>
      </c>
      <c r="X3" s="63" t="s">
        <v>159</v>
      </c>
      <c r="Y3" s="63" t="s">
        <v>72</v>
      </c>
      <c r="Z3" s="63" t="s">
        <v>73</v>
      </c>
      <c r="AA3" s="63" t="s">
        <v>74</v>
      </c>
      <c r="AB3" s="63" t="s">
        <v>375</v>
      </c>
      <c r="AC3" s="63" t="s">
        <v>159</v>
      </c>
      <c r="AD3" s="63"/>
      <c r="AE3" s="63"/>
      <c r="AF3" s="63"/>
      <c r="AG3" s="87"/>
      <c r="AH3" s="87"/>
      <c r="AI3" s="87"/>
      <c r="AJ3" s="87"/>
      <c r="AK3" s="87"/>
      <c r="AL3" s="87"/>
      <c r="AM3" s="63"/>
      <c r="AN3" s="63"/>
      <c r="AO3" s="63"/>
      <c r="AP3" s="875" t="s">
        <v>363</v>
      </c>
      <c r="AQ3" s="875"/>
      <c r="AR3" s="875"/>
      <c r="AS3" s="875"/>
      <c r="AT3" s="875"/>
      <c r="AU3" s="875"/>
      <c r="AV3" s="875"/>
      <c r="AW3" s="875"/>
      <c r="AX3" s="875"/>
      <c r="AY3" s="875"/>
      <c r="AZ3" s="875"/>
      <c r="BA3" s="875"/>
      <c r="BB3" s="875"/>
      <c r="BC3" s="875"/>
      <c r="BD3" s="875"/>
      <c r="BE3" s="875"/>
      <c r="BF3" s="875"/>
      <c r="BG3" s="875"/>
      <c r="BH3" s="875"/>
      <c r="BI3" s="102"/>
      <c r="BJ3" s="102"/>
      <c r="BK3" s="102"/>
      <c r="BN3" s="826" t="s">
        <v>94</v>
      </c>
      <c r="BO3" s="826"/>
      <c r="BP3" s="826"/>
      <c r="BQ3" s="826"/>
      <c r="BR3" s="826"/>
      <c r="BS3" s="826"/>
      <c r="BT3" s="826"/>
    </row>
    <row r="4" spans="1:78" ht="13.5" hidden="1" customHeight="1" x14ac:dyDescent="0.2">
      <c r="A4" s="187"/>
      <c r="B4" s="185"/>
      <c r="C4" s="521"/>
      <c r="D4" s="185"/>
      <c r="E4" s="188"/>
      <c r="F4" s="228"/>
      <c r="G4" s="943"/>
      <c r="H4" s="943"/>
      <c r="I4" s="943"/>
      <c r="J4" s="943"/>
      <c r="K4" s="943"/>
      <c r="L4" s="943"/>
      <c r="M4" s="943"/>
      <c r="N4" s="943"/>
      <c r="O4" s="943"/>
      <c r="P4" s="943"/>
      <c r="Q4" s="943"/>
      <c r="R4" s="943"/>
      <c r="S4" s="943"/>
      <c r="T4" s="943"/>
      <c r="U4" s="943"/>
      <c r="V4" s="146"/>
      <c r="W4" s="15">
        <v>0.159</v>
      </c>
      <c r="X4" s="15">
        <f t="shared" ref="X4:AA7" si="0">$W4-2%</f>
        <v>0.13900000000000001</v>
      </c>
      <c r="Y4" s="15">
        <f t="shared" si="0"/>
        <v>0.13900000000000001</v>
      </c>
      <c r="Z4" s="15">
        <f t="shared" si="0"/>
        <v>0.13900000000000001</v>
      </c>
      <c r="AA4" s="15">
        <f t="shared" si="0"/>
        <v>0.13900000000000001</v>
      </c>
      <c r="AB4" s="15"/>
      <c r="AC4" s="63" t="s">
        <v>72</v>
      </c>
      <c r="AD4" s="147"/>
      <c r="AE4" s="147"/>
      <c r="AF4" s="147"/>
      <c r="AG4" s="148"/>
      <c r="AH4" s="148"/>
      <c r="AI4" s="148"/>
      <c r="AJ4" s="148"/>
      <c r="AK4" s="148"/>
      <c r="AL4" s="148"/>
      <c r="AM4" s="147"/>
      <c r="AN4" s="147"/>
      <c r="AO4" s="147"/>
      <c r="AP4" s="875"/>
      <c r="AQ4" s="875"/>
      <c r="AR4" s="875"/>
      <c r="AS4" s="875"/>
      <c r="AT4" s="875"/>
      <c r="AU4" s="875"/>
      <c r="AV4" s="875"/>
      <c r="AW4" s="875"/>
      <c r="AX4" s="875"/>
      <c r="AY4" s="875"/>
      <c r="AZ4" s="875"/>
      <c r="BA4" s="875"/>
      <c r="BB4" s="875"/>
      <c r="BC4" s="875"/>
      <c r="BD4" s="875"/>
      <c r="BE4" s="875"/>
      <c r="BF4" s="875"/>
      <c r="BG4" s="875"/>
      <c r="BH4" s="875"/>
      <c r="BI4" s="102"/>
      <c r="BJ4" s="102"/>
      <c r="BK4" s="102"/>
      <c r="BL4" s="57"/>
    </row>
    <row r="5" spans="1:78" ht="13.5" hidden="1" customHeight="1" x14ac:dyDescent="0.2">
      <c r="A5" s="869"/>
      <c r="B5" s="870"/>
      <c r="C5" s="870"/>
      <c r="D5" s="870"/>
      <c r="E5" s="871"/>
      <c r="F5" s="229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49"/>
      <c r="W5" s="15">
        <v>0.17499999999999999</v>
      </c>
      <c r="X5" s="15">
        <f t="shared" si="0"/>
        <v>0.155</v>
      </c>
      <c r="Y5" s="15">
        <f t="shared" si="0"/>
        <v>0.155</v>
      </c>
      <c r="Z5" s="15">
        <f t="shared" si="0"/>
        <v>0.155</v>
      </c>
      <c r="AA5" s="15">
        <f t="shared" si="0"/>
        <v>0.155</v>
      </c>
      <c r="AB5" s="15">
        <v>0.13900000000000001</v>
      </c>
      <c r="AC5" s="63" t="s">
        <v>73</v>
      </c>
      <c r="AD5" s="147"/>
      <c r="AE5" s="147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2"/>
      <c r="BJ5" s="668"/>
      <c r="BK5" s="102"/>
      <c r="BL5" s="57"/>
    </row>
    <row r="6" spans="1:78" ht="25.95" customHeight="1" thickBot="1" x14ac:dyDescent="0.3">
      <c r="A6" s="839" t="s">
        <v>164</v>
      </c>
      <c r="B6" s="839"/>
      <c r="C6" s="839" t="s">
        <v>165</v>
      </c>
      <c r="D6" s="839"/>
      <c r="E6" s="189" t="s">
        <v>166</v>
      </c>
      <c r="F6" s="230"/>
      <c r="G6" s="825" t="s">
        <v>148</v>
      </c>
      <c r="H6" s="825" t="s">
        <v>187</v>
      </c>
      <c r="I6" s="825" t="s">
        <v>188</v>
      </c>
      <c r="J6" s="825" t="s">
        <v>189</v>
      </c>
      <c r="K6" s="825" t="s">
        <v>194</v>
      </c>
      <c r="L6" s="825" t="s">
        <v>191</v>
      </c>
      <c r="M6" s="825" t="s">
        <v>192</v>
      </c>
      <c r="N6" s="238"/>
      <c r="O6" s="238"/>
      <c r="P6" s="238"/>
      <c r="Q6" s="825" t="s">
        <v>195</v>
      </c>
      <c r="R6" s="238"/>
      <c r="S6" s="825" t="s">
        <v>193</v>
      </c>
      <c r="T6" s="825" t="s">
        <v>289</v>
      </c>
      <c r="U6" s="195"/>
      <c r="V6" s="49"/>
      <c r="W6" s="15">
        <v>0.17899999999999999</v>
      </c>
      <c r="X6" s="15">
        <f t="shared" si="0"/>
        <v>0.159</v>
      </c>
      <c r="Y6" s="15">
        <f t="shared" si="0"/>
        <v>0.159</v>
      </c>
      <c r="Z6" s="15">
        <f t="shared" si="0"/>
        <v>0.159</v>
      </c>
      <c r="AA6" s="15">
        <f t="shared" si="0"/>
        <v>0.159</v>
      </c>
      <c r="AB6" s="15">
        <v>0.17899999999999999</v>
      </c>
      <c r="AC6" s="63" t="s">
        <v>74</v>
      </c>
      <c r="AD6" s="147"/>
      <c r="AE6" s="147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878" t="s">
        <v>148</v>
      </c>
      <c r="AQ6" s="878" t="s">
        <v>187</v>
      </c>
      <c r="AR6" s="878" t="s">
        <v>188</v>
      </c>
      <c r="AS6" s="543"/>
      <c r="AT6" s="878" t="s">
        <v>194</v>
      </c>
      <c r="AU6" s="878" t="s">
        <v>191</v>
      </c>
      <c r="AV6" s="878" t="s">
        <v>192</v>
      </c>
      <c r="AW6" s="528"/>
      <c r="AX6" s="528"/>
      <c r="AY6" s="528"/>
      <c r="AZ6" s="528"/>
      <c r="BA6" s="528"/>
      <c r="BB6" s="528"/>
      <c r="BC6" s="528"/>
      <c r="BD6" s="528"/>
      <c r="BE6" s="528"/>
      <c r="BF6" s="528"/>
      <c r="BG6" s="878" t="s">
        <v>193</v>
      </c>
      <c r="BH6" s="103"/>
      <c r="BI6" s="102"/>
      <c r="BJ6" s="668"/>
      <c r="BK6" s="102"/>
      <c r="BL6" s="57"/>
      <c r="BN6" s="827" t="s">
        <v>95</v>
      </c>
      <c r="BO6" s="827"/>
      <c r="BP6" s="827"/>
      <c r="BQ6" s="827"/>
      <c r="BR6" s="827"/>
      <c r="BS6" s="827"/>
      <c r="BT6" s="827"/>
    </row>
    <row r="7" spans="1:78" ht="28.95" customHeight="1" x14ac:dyDescent="0.6">
      <c r="A7" s="841" t="s">
        <v>200</v>
      </c>
      <c r="B7" s="841"/>
      <c r="C7" s="862">
        <v>1000000</v>
      </c>
      <c r="D7" s="862"/>
      <c r="E7" s="510"/>
      <c r="F7" s="231"/>
      <c r="G7" s="825"/>
      <c r="H7" s="825"/>
      <c r="I7" s="825"/>
      <c r="J7" s="825"/>
      <c r="K7" s="825"/>
      <c r="L7" s="825"/>
      <c r="M7" s="825"/>
      <c r="N7" s="237" t="s">
        <v>36</v>
      </c>
      <c r="O7" s="237" t="s">
        <v>39</v>
      </c>
      <c r="P7" s="237" t="s">
        <v>38</v>
      </c>
      <c r="Q7" s="825"/>
      <c r="R7" s="669" t="s">
        <v>40</v>
      </c>
      <c r="S7" s="825"/>
      <c r="T7" s="825"/>
      <c r="U7" s="196" t="s">
        <v>32</v>
      </c>
      <c r="V7" s="150" t="s">
        <v>31</v>
      </c>
      <c r="W7" s="15">
        <v>0.19900000000000001</v>
      </c>
      <c r="X7" s="15">
        <f t="shared" si="0"/>
        <v>0.17900000000000002</v>
      </c>
      <c r="Y7" s="15">
        <f t="shared" si="0"/>
        <v>0.17900000000000002</v>
      </c>
      <c r="Z7" s="15">
        <f t="shared" si="0"/>
        <v>0.17900000000000002</v>
      </c>
      <c r="AA7" s="15">
        <f t="shared" si="0"/>
        <v>0.17900000000000002</v>
      </c>
      <c r="AB7" s="15">
        <v>0.20899999999999999</v>
      </c>
      <c r="AC7" s="101"/>
      <c r="AD7" s="147"/>
      <c r="AE7" s="147"/>
      <c r="AF7" s="101"/>
      <c r="AG7" s="101"/>
      <c r="AH7" s="101"/>
      <c r="AI7" s="101"/>
      <c r="AJ7" s="101"/>
      <c r="AK7" s="101"/>
      <c r="AL7" s="101"/>
      <c r="AM7" s="101"/>
      <c r="AN7" s="101"/>
      <c r="AO7" s="151">
        <f>SUM(AO9:AO108)</f>
        <v>60</v>
      </c>
      <c r="AP7" s="878"/>
      <c r="AQ7" s="878"/>
      <c r="AR7" s="878"/>
      <c r="AS7" s="672" t="s">
        <v>156</v>
      </c>
      <c r="AT7" s="878"/>
      <c r="AU7" s="878"/>
      <c r="AV7" s="878"/>
      <c r="AW7" s="676" t="s">
        <v>36</v>
      </c>
      <c r="AX7" s="676" t="s">
        <v>39</v>
      </c>
      <c r="AY7" s="676" t="s">
        <v>38</v>
      </c>
      <c r="AZ7" s="676" t="s">
        <v>158</v>
      </c>
      <c r="BA7" s="676" t="s">
        <v>40</v>
      </c>
      <c r="BB7" s="676"/>
      <c r="BC7" s="676"/>
      <c r="BD7" s="676"/>
      <c r="BE7" s="676"/>
      <c r="BF7" s="676"/>
      <c r="BG7" s="878"/>
      <c r="BH7" s="163" t="s">
        <v>32</v>
      </c>
      <c r="BI7" s="104" t="s">
        <v>31</v>
      </c>
      <c r="BJ7" s="153">
        <f>BJ8</f>
        <v>44839</v>
      </c>
      <c r="BK7" s="108">
        <f>K8</f>
        <v>-1198465.9635666348</v>
      </c>
      <c r="BL7" s="61"/>
      <c r="BN7" s="830" t="s">
        <v>84</v>
      </c>
      <c r="BO7" s="828" t="s">
        <v>85</v>
      </c>
      <c r="BP7" s="127" t="s">
        <v>86</v>
      </c>
      <c r="BQ7" s="124" t="s">
        <v>88</v>
      </c>
      <c r="BR7" s="834" t="s">
        <v>9</v>
      </c>
      <c r="BS7" s="836" t="s">
        <v>89</v>
      </c>
      <c r="BT7" s="832">
        <v>1</v>
      </c>
    </row>
    <row r="8" spans="1:78" ht="18" customHeight="1" thickBot="1" x14ac:dyDescent="0.65">
      <c r="A8" s="841" t="s">
        <v>276</v>
      </c>
      <c r="B8" s="841"/>
      <c r="C8" s="502" t="s">
        <v>380</v>
      </c>
      <c r="D8" s="215" t="s">
        <v>29</v>
      </c>
      <c r="E8" s="510"/>
      <c r="F8" s="231"/>
      <c r="G8" s="253"/>
      <c r="H8" s="240">
        <f>C9</f>
        <v>44839</v>
      </c>
      <c r="I8" s="240"/>
      <c r="J8" s="240"/>
      <c r="K8" s="241">
        <f>-C18</f>
        <v>-1198465.9635666348</v>
      </c>
      <c r="L8" s="242"/>
      <c r="M8" s="243"/>
      <c r="N8" s="243"/>
      <c r="O8" s="243"/>
      <c r="P8" s="243"/>
      <c r="Q8" s="243"/>
      <c r="R8" s="243"/>
      <c r="S8" s="239">
        <f>C18</f>
        <v>1198465.9635666348</v>
      </c>
      <c r="T8" s="466"/>
      <c r="U8" s="197"/>
      <c r="V8" s="36"/>
      <c r="W8" s="15"/>
      <c r="X8" s="15"/>
      <c r="Y8" s="15"/>
      <c r="Z8" s="15"/>
      <c r="AA8" s="15"/>
      <c r="AB8" s="15">
        <v>0.22900000000000001</v>
      </c>
      <c r="AC8" s="15"/>
      <c r="AD8" s="147">
        <f>IF(OR($C$8="Гарантия стандарт",$C$8="Гарантия пакет"),AB4,W4)</f>
        <v>0.159</v>
      </c>
      <c r="AE8" s="147">
        <f>IF(OR($D$8="Гарантия стандарт",$D$8="Гарантия пакет"),AB4,W4)</f>
        <v>0.159</v>
      </c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548"/>
      <c r="AQ8" s="549">
        <f>C9</f>
        <v>44839</v>
      </c>
      <c r="AR8" s="549"/>
      <c r="AS8" s="549"/>
      <c r="AT8" s="550">
        <f>-D18</f>
        <v>-1000000</v>
      </c>
      <c r="AU8" s="546"/>
      <c r="AV8" s="551"/>
      <c r="AW8" s="551"/>
      <c r="AX8" s="551"/>
      <c r="AY8" s="551"/>
      <c r="AZ8" s="551"/>
      <c r="BA8" s="551"/>
      <c r="BB8" s="551"/>
      <c r="BC8" s="551"/>
      <c r="BD8" s="551"/>
      <c r="BE8" s="551"/>
      <c r="BF8" s="551"/>
      <c r="BG8" s="552">
        <f>D18</f>
        <v>1000000</v>
      </c>
      <c r="BH8" s="106"/>
      <c r="BI8" s="108"/>
      <c r="BJ8" s="22">
        <f>H8</f>
        <v>44839</v>
      </c>
      <c r="BK8" s="104">
        <f>$C$20</f>
        <v>198465.96356663469</v>
      </c>
      <c r="BN8" s="831"/>
      <c r="BO8" s="829"/>
      <c r="BP8" s="671" t="s">
        <v>87</v>
      </c>
      <c r="BQ8" s="126" t="s">
        <v>88</v>
      </c>
      <c r="BR8" s="835"/>
      <c r="BS8" s="837"/>
      <c r="BT8" s="833"/>
    </row>
    <row r="9" spans="1:78" ht="16.95" customHeight="1" thickBot="1" x14ac:dyDescent="0.3">
      <c r="A9" s="841" t="s">
        <v>199</v>
      </c>
      <c r="B9" s="841"/>
      <c r="C9" s="842">
        <v>44839</v>
      </c>
      <c r="D9" s="842"/>
      <c r="E9" s="510"/>
      <c r="F9" s="231"/>
      <c r="G9" s="244">
        <f>1</f>
        <v>1</v>
      </c>
      <c r="H9" s="245">
        <f>IF((OR(DAY($AD$54)=29,DAY($AD$54)=30,DAY($AD$54)=31)),(EDATE($C$9-28,G9+1)),EDATE($C$9,G9))</f>
        <v>44870</v>
      </c>
      <c r="I9" s="246">
        <f>IF($C$8="нет",$C$11,$C$13)</f>
        <v>4.9000000000000002E-2</v>
      </c>
      <c r="J9" s="242" t="e">
        <f>K9+Q9</f>
        <v>#REF!</v>
      </c>
      <c r="K9" s="242">
        <f>IF(G9&gt;$C$10,0,ROUNDUP($S$8*$C$13/12/((1-(1+$C$13/12)^(0-$C$10))),0))</f>
        <v>22562</v>
      </c>
      <c r="L9" s="242">
        <f>S8*($C$13/365*(H9-H8))</f>
        <v>4987.5884894732008</v>
      </c>
      <c r="M9" s="242">
        <f>K9-L9</f>
        <v>17574.411510526799</v>
      </c>
      <c r="N9" s="242" t="e">
        <f t="shared" ref="N9:N72" si="1">IF(P9-Q9&gt;$C$19,$C$19-L9,IF(V9=0,0,R9)+$AI$51)</f>
        <v>#REF!</v>
      </c>
      <c r="O9" s="242">
        <v>0</v>
      </c>
      <c r="P9" s="242" t="e">
        <f>L9+Q9</f>
        <v>#REF!</v>
      </c>
      <c r="Q9" s="242" t="e">
        <f>IF(OR($C$8="Нет",#REF!="Нет"),0,IF(#REF!="Серебряный",3600,IF(#REF!="Золотой",5000,IF(#REF!="Платиновый",7000,""))))</f>
        <v>#REF!</v>
      </c>
      <c r="R9" s="242">
        <f>IF(V9=0,0,0)</f>
        <v>0</v>
      </c>
      <c r="S9" s="242">
        <f>S8-M9-T9</f>
        <v>1180891.5520561079</v>
      </c>
      <c r="T9" s="467"/>
      <c r="U9" s="198">
        <f>C10</f>
        <v>60</v>
      </c>
      <c r="V9" s="36">
        <f>U9</f>
        <v>60</v>
      </c>
      <c r="W9" s="130">
        <f>IF($C$8="Нет",0,1)</f>
        <v>1</v>
      </c>
      <c r="X9" s="15"/>
      <c r="Y9" s="15"/>
      <c r="Z9" s="15"/>
      <c r="AA9" s="15"/>
      <c r="AB9" s="15">
        <v>0.27900000000000003</v>
      </c>
      <c r="AC9" s="132"/>
      <c r="AD9" s="147">
        <f>IF(OR($C$8="Гарантия стандарт",$C$8="Гарантия пакет"),AB5,W5)</f>
        <v>0.17499999999999999</v>
      </c>
      <c r="AE9" s="147">
        <f>IF(OR($D$8="Гарантия стандарт",$D$8="Гарантия пакет"),AB5,W5)</f>
        <v>0.17499999999999999</v>
      </c>
      <c r="AF9" s="15"/>
      <c r="AG9" s="15"/>
      <c r="AH9" s="15"/>
      <c r="AI9" s="15"/>
      <c r="AJ9" s="15"/>
      <c r="AK9" s="15"/>
      <c r="AL9" s="15"/>
      <c r="AM9" s="15"/>
      <c r="AN9" s="15"/>
      <c r="AO9" s="130">
        <f>IF(OR(AT9="",AT9=0),0,1)</f>
        <v>1</v>
      </c>
      <c r="AP9" s="553">
        <f>1</f>
        <v>1</v>
      </c>
      <c r="AQ9" s="554">
        <f>IF((OR(DAY($AD$54)=29,DAY($AD$54)=30,DAY($AD$54)=31)),(EDATE($C$9-28,AP9+1)),EDATE($C$9,AP9))</f>
        <v>44870</v>
      </c>
      <c r="AR9" s="555">
        <f t="shared" ref="AR9:AR72" si="2">$D$13</f>
        <v>0.13900000000000001</v>
      </c>
      <c r="AS9" s="546" t="e">
        <f>AT9+AZ9</f>
        <v>#REF!</v>
      </c>
      <c r="AT9" s="546">
        <f>IF(AP9&gt;$C$10,0,ROUNDUP($BG$8*$C$11/12/((1-(1+$C$11/12)^(0-$C$10))),0))</f>
        <v>23217</v>
      </c>
      <c r="AU9" s="546">
        <f>BG8*($C$11/365*(AQ9-AQ8))</f>
        <v>11805.479452054795</v>
      </c>
      <c r="AV9" s="546">
        <f>IF(BI9=0,0,IF(BI9=1,BG8,IF(BG8+AW9+AU9&gt;AT8,AT9-AU9-AW9,BG8)))</f>
        <v>11411.520547945205</v>
      </c>
      <c r="AW9" s="546"/>
      <c r="AX9" s="546"/>
      <c r="AY9" s="546" t="e">
        <f>AU9+AZ9</f>
        <v>#REF!</v>
      </c>
      <c r="AZ9" s="546" t="e">
        <f>IF(#REF!="Нет",0,IF(#REF!="Серебряный",1800,IF(#REF!="Золотой",2500,IF(#REF!="Платиновый",3500,""))))</f>
        <v>#REF!</v>
      </c>
      <c r="BA9" s="546">
        <f>IF(BI9=0,0,0)</f>
        <v>0</v>
      </c>
      <c r="BB9" s="546"/>
      <c r="BC9" s="546"/>
      <c r="BD9" s="546"/>
      <c r="BE9" s="546"/>
      <c r="BF9" s="546"/>
      <c r="BG9" s="546">
        <f>IF(OR(BI9=1,BG8=0),0,BG8-AV9)</f>
        <v>988588.47945205483</v>
      </c>
      <c r="BH9" s="108">
        <f>C10</f>
        <v>60</v>
      </c>
      <c r="BI9" s="108">
        <f>BH9</f>
        <v>60</v>
      </c>
      <c r="BJ9" s="22">
        <f>H9</f>
        <v>44870</v>
      </c>
      <c r="BK9" s="108">
        <f t="shared" ref="BK9:BK72" si="3">K9</f>
        <v>22562</v>
      </c>
    </row>
    <row r="10" spans="1:78" ht="18" customHeight="1" x14ac:dyDescent="0.25">
      <c r="A10" s="846" t="s">
        <v>198</v>
      </c>
      <c r="B10" s="846"/>
      <c r="C10" s="840">
        <v>60</v>
      </c>
      <c r="D10" s="840"/>
      <c r="E10" s="510"/>
      <c r="F10" s="231"/>
      <c r="G10" s="244">
        <f>G9+1</f>
        <v>2</v>
      </c>
      <c r="H10" s="245">
        <f t="shared" ref="H10:H73" si="4">IF((OR(DAY($AD$54)=29,DAY($AD$54)=30,DAY($AD$54)=31)),(EDATE($C$9-28,G10+1)),EDATE($C$9,G10))</f>
        <v>44900</v>
      </c>
      <c r="I10" s="246">
        <f t="shared" ref="I10:I73" si="5">IF($C$8="нет",$C$11,$C$13)</f>
        <v>4.9000000000000002E-2</v>
      </c>
      <c r="J10" s="242" t="e">
        <f t="shared" ref="J10:J73" si="6">K10+Q10</f>
        <v>#REF!</v>
      </c>
      <c r="K10" s="242">
        <f>IF(G10&gt;$C$10,0,IF(T9=0,K9,ROUNDUP(S9*$C$13/12/((1-(1+$C$13/12)^(0-($C$10-G10)))),0)))</f>
        <v>22562</v>
      </c>
      <c r="L10" s="242">
        <f t="shared" ref="L10:L73" si="7">S9*($C$13/365*(H10-H9))</f>
        <v>4755.9194014314489</v>
      </c>
      <c r="M10" s="242">
        <f>IF(S9=0,0,IF(S9+L10&gt;K9,K10-L10,S9))</f>
        <v>17806.080598568551</v>
      </c>
      <c r="N10" s="242" t="e">
        <f t="shared" si="1"/>
        <v>#REF!</v>
      </c>
      <c r="O10" s="242">
        <v>0</v>
      </c>
      <c r="P10" s="242" t="e">
        <f>L10+Q10</f>
        <v>#REF!</v>
      </c>
      <c r="Q10" s="242" t="e">
        <f>IF(OR($C$8="Нет",#REF!="Нет"),0,IF(#REF!="Серебряный",3600,IF(#REF!="Золотой",5000,IF(#REF!="Платиновый",7000,""))))</f>
        <v>#REF!</v>
      </c>
      <c r="R10" s="242">
        <f t="shared" ref="R10:R73" si="8">IF(V10=0,0,0)</f>
        <v>0</v>
      </c>
      <c r="S10" s="242">
        <f t="shared" ref="S10:S73" si="9">S9-M10-T10</f>
        <v>1163085.4714575394</v>
      </c>
      <c r="T10" s="467"/>
      <c r="U10" s="198">
        <f>IF((U9-1)&lt;0,0,U9-1)</f>
        <v>59</v>
      </c>
      <c r="V10" s="36">
        <f t="shared" ref="V10:V73" si="10">U10</f>
        <v>59</v>
      </c>
      <c r="W10" s="54">
        <f>ROUND(S8*0%,-2)</f>
        <v>0</v>
      </c>
      <c r="X10" s="54">
        <f>ROUND(S8*0.5%,0)</f>
        <v>5992</v>
      </c>
      <c r="Y10" s="15"/>
      <c r="Z10" s="15"/>
      <c r="AA10" s="15"/>
      <c r="AB10" s="15"/>
      <c r="AC10" s="15"/>
      <c r="AD10" s="147">
        <f>IF(OR($C$8="Гарантия стандарт",$C$8="Гарантия пакет"),AB7,W6)</f>
        <v>0.17899999999999999</v>
      </c>
      <c r="AE10" s="147">
        <f>IF(OR($D$8="Гарантия стандарт",$D$8="Гарантия пакет"),AB7,W6)</f>
        <v>0.17899999999999999</v>
      </c>
      <c r="AF10" s="15"/>
      <c r="AG10" s="15"/>
      <c r="AH10" s="15"/>
      <c r="AI10" s="15"/>
      <c r="AJ10" s="15"/>
      <c r="AK10" s="15"/>
      <c r="AL10" s="15"/>
      <c r="AM10" s="15"/>
      <c r="AN10" s="15"/>
      <c r="AO10" s="130">
        <f t="shared" ref="AO10:AO73" si="11">IF(OR(AT10="",AT10=0),0,1)</f>
        <v>1</v>
      </c>
      <c r="AP10" s="553">
        <f>AP9+1</f>
        <v>2</v>
      </c>
      <c r="AQ10" s="554">
        <f t="shared" ref="AQ10:AQ73" si="12">IF((OR(DAY($AD$54)=29,DAY($AD$54)=30,DAY($AD$54)=31)),(EDATE($C$9-28,AP10+1)),EDATE($C$9,AP10))</f>
        <v>44900</v>
      </c>
      <c r="AR10" s="555">
        <f t="shared" si="2"/>
        <v>0.13900000000000001</v>
      </c>
      <c r="AS10" s="546" t="e">
        <f t="shared" ref="AS10:AS73" si="13">AT10+AZ10</f>
        <v>#REF!</v>
      </c>
      <c r="AT10" s="546">
        <f t="shared" ref="AT10:AT73" si="14">IF(AP10&gt;$C$10,0,ROUNDUP($BG$8*$C$11/12/((1-(1+$C$11/12)^(0-$C$10))),0))</f>
        <v>23217</v>
      </c>
      <c r="AU10" s="546">
        <f t="shared" ref="AU10:AU73" si="15">BG9*($C$11/365*(AQ10-AQ9))</f>
        <v>11294.284820041286</v>
      </c>
      <c r="AV10" s="546">
        <f t="shared" ref="AV10:AV73" si="16">IF(BI10=0,0,IF(BI10=1,BG9,IF(BG9+AW10+AU10&gt;AT9,AT10-AU10-AW10,BG9)))</f>
        <v>11922.715179958714</v>
      </c>
      <c r="AW10" s="546"/>
      <c r="AX10" s="546">
        <v>0</v>
      </c>
      <c r="AY10" s="546" t="e">
        <f t="shared" ref="AY10:AY85" si="17">AU10+AZ10</f>
        <v>#REF!</v>
      </c>
      <c r="AZ10" s="546" t="e">
        <f>IF(#REF!="Нет",0,IF(#REF!="Серебряный",1800,IF(#REF!="Золотой",2500,IF(#REF!="Платиновый",3500,""))))</f>
        <v>#REF!</v>
      </c>
      <c r="BA10" s="546">
        <f t="shared" ref="BA10:BA18" si="18">IF(BI10=0,0,0)</f>
        <v>0</v>
      </c>
      <c r="BB10" s="546"/>
      <c r="BC10" s="546"/>
      <c r="BD10" s="546"/>
      <c r="BE10" s="546"/>
      <c r="BF10" s="546"/>
      <c r="BG10" s="546">
        <f t="shared" ref="BG10:BG73" si="19">IF(OR(BI10=1,BG9=0),0,BG9-AV10)</f>
        <v>976665.7642720961</v>
      </c>
      <c r="BH10" s="108">
        <f>IF((BH9-1)&lt;0,0,BH9-1)</f>
        <v>59</v>
      </c>
      <c r="BI10" s="108">
        <f>BH10</f>
        <v>59</v>
      </c>
      <c r="BJ10" s="22">
        <f>H10</f>
        <v>44900</v>
      </c>
      <c r="BK10" s="108">
        <f t="shared" si="3"/>
        <v>22562</v>
      </c>
      <c r="BN10" s="830" t="s">
        <v>90</v>
      </c>
      <c r="BO10" s="828" t="s">
        <v>85</v>
      </c>
      <c r="BP10" s="129" t="s">
        <v>84</v>
      </c>
    </row>
    <row r="11" spans="1:78" ht="18" customHeight="1" thickBot="1" x14ac:dyDescent="0.3">
      <c r="A11" s="882" t="s">
        <v>172</v>
      </c>
      <c r="B11" s="882"/>
      <c r="C11" s="503">
        <v>0.13900000000000001</v>
      </c>
      <c r="D11" s="217">
        <f>C11</f>
        <v>0.13900000000000001</v>
      </c>
      <c r="E11" s="514"/>
      <c r="F11" s="232"/>
      <c r="G11" s="244">
        <f>G10+1</f>
        <v>3</v>
      </c>
      <c r="H11" s="245">
        <f t="shared" si="4"/>
        <v>44931</v>
      </c>
      <c r="I11" s="246">
        <f t="shared" si="5"/>
        <v>4.9000000000000002E-2</v>
      </c>
      <c r="J11" s="242" t="e">
        <f t="shared" si="6"/>
        <v>#REF!</v>
      </c>
      <c r="K11" s="242">
        <f t="shared" ref="K11:K74" si="20">IF(G11&gt;$C$10,0,IF(T10=0,K10,ROUNDUP(S10*$C$13/12/((1-(1+$C$13/12)^(0-($C$10-G11)))),0)))</f>
        <v>22562</v>
      </c>
      <c r="L11" s="242">
        <f t="shared" si="7"/>
        <v>4840.3474825863077</v>
      </c>
      <c r="M11" s="242">
        <f t="shared" ref="M11:M74" si="21">IF(S10=0,0,IF(S10+L11&gt;K10,K11-L11,S10))</f>
        <v>17721.652517413691</v>
      </c>
      <c r="N11" s="242" t="e">
        <f t="shared" si="1"/>
        <v>#REF!</v>
      </c>
      <c r="O11" s="242">
        <v>0</v>
      </c>
      <c r="P11" s="242" t="e">
        <f t="shared" ref="P11:P85" si="22">L11+Q11</f>
        <v>#REF!</v>
      </c>
      <c r="Q11" s="242" t="e">
        <f>IF(OR($C$8="Нет",#REF!="Нет"),0,IF(#REF!="Серебряный",3600,IF(#REF!="Золотой",5000,IF(#REF!="Платиновый",7000,""))))</f>
        <v>#REF!</v>
      </c>
      <c r="R11" s="242">
        <f t="shared" si="8"/>
        <v>0</v>
      </c>
      <c r="S11" s="242">
        <f t="shared" si="9"/>
        <v>1145363.8189401256</v>
      </c>
      <c r="T11" s="467"/>
      <c r="U11" s="198">
        <f>IF((U10-1)&lt;0,0,U10-1)</f>
        <v>58</v>
      </c>
      <c r="V11" s="36">
        <f t="shared" si="10"/>
        <v>58</v>
      </c>
      <c r="W11" s="15"/>
      <c r="X11" s="15"/>
      <c r="Y11" s="15"/>
      <c r="Z11" s="15"/>
      <c r="AA11" s="15"/>
      <c r="AB11" s="15"/>
      <c r="AC11" s="15"/>
      <c r="AD11" s="147"/>
      <c r="AE11" s="147"/>
      <c r="AF11" s="15"/>
      <c r="AG11" s="15"/>
      <c r="AH11" s="15"/>
      <c r="AI11" s="15"/>
      <c r="AJ11" s="15"/>
      <c r="AK11" s="15"/>
      <c r="AL11" s="15"/>
      <c r="AM11" s="3"/>
      <c r="AN11" s="175"/>
      <c r="AO11" s="130">
        <f t="shared" si="11"/>
        <v>1</v>
      </c>
      <c r="AP11" s="553">
        <f>AP10+1</f>
        <v>3</v>
      </c>
      <c r="AQ11" s="554">
        <f t="shared" si="12"/>
        <v>44931</v>
      </c>
      <c r="AR11" s="555">
        <f t="shared" si="2"/>
        <v>0.13900000000000001</v>
      </c>
      <c r="AS11" s="546" t="e">
        <f t="shared" si="13"/>
        <v>#REF!</v>
      </c>
      <c r="AT11" s="546">
        <f t="shared" si="14"/>
        <v>23217</v>
      </c>
      <c r="AU11" s="546">
        <f t="shared" si="15"/>
        <v>11530.007611639623</v>
      </c>
      <c r="AV11" s="546">
        <f>IF(BI11=0,0,IF(BI11=1,BG10,IF(BG10+AW11+AU11&gt;AT10,AT11-AU11-AW11,BG10)))</f>
        <v>11686.992388360377</v>
      </c>
      <c r="AW11" s="546"/>
      <c r="AX11" s="546">
        <v>0</v>
      </c>
      <c r="AY11" s="546" t="e">
        <f t="shared" si="17"/>
        <v>#REF!</v>
      </c>
      <c r="AZ11" s="546" t="e">
        <f>IF(#REF!="Нет",0,IF(#REF!="Серебряный",1800,IF(#REF!="Золотой",2500,IF(#REF!="Платиновый",3500,""))))</f>
        <v>#REF!</v>
      </c>
      <c r="BA11" s="546">
        <f t="shared" si="18"/>
        <v>0</v>
      </c>
      <c r="BB11" s="546"/>
      <c r="BC11" s="546"/>
      <c r="BD11" s="546"/>
      <c r="BE11" s="546"/>
      <c r="BF11" s="546"/>
      <c r="BG11" s="546">
        <f>IF(OR(BI11=1,BG10=0),0,BG10-AV11)</f>
        <v>964978.77188373567</v>
      </c>
      <c r="BH11" s="108">
        <f>IF((BH10-1)&lt;0,0,BH10-1)</f>
        <v>58</v>
      </c>
      <c r="BI11" s="108">
        <f t="shared" ref="BI11:BI74" si="23">BH11</f>
        <v>58</v>
      </c>
      <c r="BJ11" s="22">
        <f t="shared" ref="BJ11:BJ74" si="24">H11</f>
        <v>44931</v>
      </c>
      <c r="BK11" s="108">
        <f t="shared" si="3"/>
        <v>22562</v>
      </c>
      <c r="BN11" s="831"/>
      <c r="BO11" s="829"/>
      <c r="BP11" s="670" t="s">
        <v>91</v>
      </c>
    </row>
    <row r="12" spans="1:78" ht="18" customHeight="1" thickBot="1" x14ac:dyDescent="0.3">
      <c r="A12" s="882" t="s">
        <v>173</v>
      </c>
      <c r="B12" s="882"/>
      <c r="C12" s="504" t="s">
        <v>33</v>
      </c>
      <c r="D12" s="218" t="str">
        <f>C12</f>
        <v>Базовый</v>
      </c>
      <c r="E12" s="215" t="s">
        <v>383</v>
      </c>
      <c r="F12" s="584" t="s">
        <v>20</v>
      </c>
      <c r="G12" s="244">
        <f t="shared" ref="G12:G75" si="25">G11+1</f>
        <v>4</v>
      </c>
      <c r="H12" s="245">
        <f t="shared" si="4"/>
        <v>44962</v>
      </c>
      <c r="I12" s="246">
        <f t="shared" si="5"/>
        <v>4.9000000000000002E-2</v>
      </c>
      <c r="J12" s="242" t="e">
        <f t="shared" si="6"/>
        <v>#REF!</v>
      </c>
      <c r="K12" s="242">
        <f t="shared" si="20"/>
        <v>22562</v>
      </c>
      <c r="L12" s="242">
        <f t="shared" si="7"/>
        <v>4766.5962766302764</v>
      </c>
      <c r="M12" s="242">
        <f t="shared" si="21"/>
        <v>17795.403723369724</v>
      </c>
      <c r="N12" s="242" t="e">
        <f t="shared" si="1"/>
        <v>#REF!</v>
      </c>
      <c r="O12" s="242">
        <v>0</v>
      </c>
      <c r="P12" s="242" t="e">
        <f t="shared" si="22"/>
        <v>#REF!</v>
      </c>
      <c r="Q12" s="242" t="e">
        <f>IF(OR($C$8="Нет",#REF!="Нет"),0,IF(#REF!="Серебряный",3600,IF(#REF!="Золотой",5000,IF(#REF!="Платиновый",7000,""))))</f>
        <v>#REF!</v>
      </c>
      <c r="R12" s="242">
        <f t="shared" si="8"/>
        <v>0</v>
      </c>
      <c r="S12" s="242">
        <f t="shared" si="9"/>
        <v>1127568.4152167558</v>
      </c>
      <c r="T12" s="467"/>
      <c r="U12" s="198">
        <f t="shared" ref="U12:U75" si="26">IF((U11-1)&lt;0,0,U11-1)</f>
        <v>57</v>
      </c>
      <c r="V12" s="36">
        <f t="shared" si="10"/>
        <v>57</v>
      </c>
      <c r="W12" s="15"/>
      <c r="X12" s="15"/>
      <c r="Y12" s="15"/>
      <c r="Z12" s="15"/>
      <c r="AA12" s="15"/>
      <c r="AB12" s="15"/>
      <c r="AC12" s="15"/>
      <c r="AD12" s="147">
        <f>IF(OR($C$8="Гарантия стандарт",$C$8="Гарантия пакет"),AB9,W7)</f>
        <v>0.19900000000000001</v>
      </c>
      <c r="AE12" s="147">
        <f>IF(OR($D$8="Гарантия стандарт",$D$8="Гарантия пакет"),AB9,W7)</f>
        <v>0.19900000000000001</v>
      </c>
      <c r="AF12" s="15"/>
      <c r="AG12" s="15"/>
      <c r="AH12" s="15"/>
      <c r="AI12" s="15"/>
      <c r="AJ12" s="15"/>
      <c r="AK12" s="15"/>
      <c r="AL12" s="15"/>
      <c r="AN12" s="57"/>
      <c r="AO12" s="130">
        <f t="shared" si="11"/>
        <v>1</v>
      </c>
      <c r="AP12" s="553">
        <f t="shared" ref="AP12:AP75" si="27">AP11+1</f>
        <v>4</v>
      </c>
      <c r="AQ12" s="554">
        <f t="shared" si="12"/>
        <v>44962</v>
      </c>
      <c r="AR12" s="555">
        <f t="shared" si="2"/>
        <v>0.13900000000000001</v>
      </c>
      <c r="AS12" s="546" t="e">
        <f t="shared" si="13"/>
        <v>#REF!</v>
      </c>
      <c r="AT12" s="546">
        <f t="shared" si="14"/>
        <v>23217</v>
      </c>
      <c r="AU12" s="546">
        <f t="shared" si="15"/>
        <v>11392.037063142514</v>
      </c>
      <c r="AV12" s="546">
        <f t="shared" si="16"/>
        <v>11824.962936857486</v>
      </c>
      <c r="AW12" s="546"/>
      <c r="AX12" s="546">
        <v>0</v>
      </c>
      <c r="AY12" s="546" t="e">
        <f t="shared" si="17"/>
        <v>#REF!</v>
      </c>
      <c r="AZ12" s="546" t="e">
        <f>IF(#REF!="Нет",0,IF(#REF!="Серебряный",1800,IF(#REF!="Золотой",2500,IF(#REF!="Платиновый",3500,""))))</f>
        <v>#REF!</v>
      </c>
      <c r="BA12" s="546">
        <f t="shared" si="18"/>
        <v>0</v>
      </c>
      <c r="BB12" s="546"/>
      <c r="BC12" s="546"/>
      <c r="BD12" s="546"/>
      <c r="BE12" s="546"/>
      <c r="BF12" s="546"/>
      <c r="BG12" s="546">
        <f t="shared" si="19"/>
        <v>953153.80894687818</v>
      </c>
      <c r="BH12" s="108">
        <f t="shared" ref="BH12:BH75" si="28">IF((BH11-1)&lt;0,0,BH11-1)</f>
        <v>57</v>
      </c>
      <c r="BI12" s="108">
        <f t="shared" si="23"/>
        <v>57</v>
      </c>
      <c r="BJ12" s="22">
        <f t="shared" si="24"/>
        <v>44962</v>
      </c>
      <c r="BK12" s="108">
        <f t="shared" si="3"/>
        <v>22562</v>
      </c>
    </row>
    <row r="13" spans="1:78" ht="18" customHeight="1" x14ac:dyDescent="0.25">
      <c r="A13" s="882" t="s">
        <v>171</v>
      </c>
      <c r="B13" s="882"/>
      <c r="C13" s="360">
        <f>IF(OR(C8="Максимум",C8="Уверенность",C8="Оптимум + Максимум",C8="Оптимум + Уверенность")*AND(E13="да"),E14-1%,E14)</f>
        <v>4.9000000000000002E-2</v>
      </c>
      <c r="D13" s="217">
        <f>D11</f>
        <v>0.13900000000000001</v>
      </c>
      <c r="E13" s="193" t="s">
        <v>29</v>
      </c>
      <c r="F13" s="584" t="s">
        <v>29</v>
      </c>
      <c r="G13" s="244">
        <f t="shared" si="25"/>
        <v>5</v>
      </c>
      <c r="H13" s="245">
        <f t="shared" si="4"/>
        <v>44990</v>
      </c>
      <c r="I13" s="246">
        <f t="shared" si="5"/>
        <v>4.9000000000000002E-2</v>
      </c>
      <c r="J13" s="242" t="e">
        <f t="shared" si="6"/>
        <v>#REF!</v>
      </c>
      <c r="K13" s="242">
        <f t="shared" si="20"/>
        <v>22562</v>
      </c>
      <c r="L13" s="242">
        <f t="shared" si="7"/>
        <v>4238.4215498010662</v>
      </c>
      <c r="M13" s="242">
        <f t="shared" si="21"/>
        <v>18323.578450198933</v>
      </c>
      <c r="N13" s="242" t="e">
        <f t="shared" si="1"/>
        <v>#REF!</v>
      </c>
      <c r="O13" s="242">
        <v>0</v>
      </c>
      <c r="P13" s="242" t="e">
        <f t="shared" si="22"/>
        <v>#REF!</v>
      </c>
      <c r="Q13" s="242" t="e">
        <f>IF(OR($C$8="Нет",#REF!="Нет"),0,IF(#REF!="Серебряный",3600,IF(#REF!="Золотой",5000,IF(#REF!="Платиновый",7000,""))))</f>
        <v>#REF!</v>
      </c>
      <c r="R13" s="242">
        <f t="shared" si="8"/>
        <v>0</v>
      </c>
      <c r="S13" s="242">
        <f t="shared" si="9"/>
        <v>1109244.8367665568</v>
      </c>
      <c r="T13" s="467"/>
      <c r="U13" s="198">
        <f>IF((U12-1)&lt;0,0,U12-1)</f>
        <v>56</v>
      </c>
      <c r="V13" s="36">
        <f>U13</f>
        <v>56</v>
      </c>
      <c r="W13" s="15"/>
      <c r="X13" s="15"/>
      <c r="Y13" s="15"/>
      <c r="Z13" s="15"/>
      <c r="AA13" s="15"/>
      <c r="AB13" s="15"/>
      <c r="AC13" s="15"/>
      <c r="AD13" s="62" t="e">
        <f>INDEX(AD4:AD12,MATCH(C11,$W$4:$W$7,0))</f>
        <v>#N/A</v>
      </c>
      <c r="AE13" s="62" t="e">
        <f>INDEX(AE4:AE12,MATCH(D13,$W$4:$W$7,0))</f>
        <v>#N/A</v>
      </c>
      <c r="AF13" s="15"/>
      <c r="AG13" s="15"/>
      <c r="AH13" s="15"/>
      <c r="AI13" s="15"/>
      <c r="AJ13" s="15"/>
      <c r="AK13" s="15"/>
      <c r="AL13" s="15"/>
      <c r="AO13" s="130">
        <f t="shared" si="11"/>
        <v>1</v>
      </c>
      <c r="AP13" s="553">
        <f>AP12+1</f>
        <v>5</v>
      </c>
      <c r="AQ13" s="554">
        <f t="shared" si="12"/>
        <v>44990</v>
      </c>
      <c r="AR13" s="555">
        <f t="shared" si="2"/>
        <v>0.13900000000000001</v>
      </c>
      <c r="AS13" s="546" t="e">
        <f t="shared" si="13"/>
        <v>#REF!</v>
      </c>
      <c r="AT13" s="546">
        <f t="shared" si="14"/>
        <v>23217</v>
      </c>
      <c r="AU13" s="546">
        <f t="shared" si="15"/>
        <v>10163.492121702056</v>
      </c>
      <c r="AV13" s="546">
        <f t="shared" si="16"/>
        <v>13053.507878297944</v>
      </c>
      <c r="AW13" s="546"/>
      <c r="AX13" s="546">
        <v>0</v>
      </c>
      <c r="AY13" s="546" t="e">
        <f t="shared" si="17"/>
        <v>#REF!</v>
      </c>
      <c r="AZ13" s="546" t="e">
        <f>IF(#REF!="Нет",0,IF(#REF!="Серебряный",1800,IF(#REF!="Золотой",2500,IF(#REF!="Платиновый",3500,""))))</f>
        <v>#REF!</v>
      </c>
      <c r="BA13" s="546">
        <f t="shared" si="18"/>
        <v>0</v>
      </c>
      <c r="BB13" s="546"/>
      <c r="BC13" s="546"/>
      <c r="BD13" s="546"/>
      <c r="BE13" s="546"/>
      <c r="BF13" s="546"/>
      <c r="BG13" s="546">
        <f t="shared" si="19"/>
        <v>940100.30106858024</v>
      </c>
      <c r="BH13" s="108">
        <f t="shared" si="28"/>
        <v>56</v>
      </c>
      <c r="BI13" s="108">
        <f t="shared" si="23"/>
        <v>56</v>
      </c>
      <c r="BJ13" s="22">
        <f t="shared" si="24"/>
        <v>44990</v>
      </c>
      <c r="BK13" s="108">
        <f t="shared" si="3"/>
        <v>22562</v>
      </c>
      <c r="BN13" s="830" t="s">
        <v>92</v>
      </c>
      <c r="BO13" s="828" t="s">
        <v>85</v>
      </c>
      <c r="BP13" s="129" t="s">
        <v>90</v>
      </c>
    </row>
    <row r="14" spans="1:78" ht="19.5" customHeight="1" thickBot="1" x14ac:dyDescent="0.3">
      <c r="A14" s="879" t="s">
        <v>168</v>
      </c>
      <c r="B14" s="419" t="s">
        <v>102</v>
      </c>
      <c r="C14" s="359" t="s">
        <v>35</v>
      </c>
      <c r="D14" s="218" t="str">
        <f>C14</f>
        <v>Нет</v>
      </c>
      <c r="E14" s="510">
        <f>IF(C8="Оптимум",(C11-2%),(IF(OR(C8="Максимум",C8="Уверенность"),IF(C11=27.9%,11.9%,IF(C11=22.9%,9.9%,IF(C11=20.9%,7.9%,IF((C11=17.9%)*AND(C7&gt;500000),6.9%,6.9%)))),IF(C8="нет",C11,IF(C11=27.9%,9.9%,IF(C11=22.9%,7.9%,IF(C11=20.9%,5.9%,IF((C11=17.9%)*AND(C7&gt;500000),4.9%,4.9%))))))))</f>
        <v>4.9000000000000002E-2</v>
      </c>
      <c r="F14" s="231"/>
      <c r="G14" s="244">
        <f t="shared" si="25"/>
        <v>6</v>
      </c>
      <c r="H14" s="245">
        <f t="shared" si="4"/>
        <v>45021</v>
      </c>
      <c r="I14" s="246">
        <f t="shared" si="5"/>
        <v>4.9000000000000002E-2</v>
      </c>
      <c r="J14" s="252" t="e">
        <f t="shared" si="6"/>
        <v>#REF!</v>
      </c>
      <c r="K14" s="242">
        <f t="shared" si="20"/>
        <v>22562</v>
      </c>
      <c r="L14" s="242">
        <f t="shared" si="7"/>
        <v>4616.2819371189034</v>
      </c>
      <c r="M14" s="242">
        <f t="shared" si="21"/>
        <v>17945.718062881097</v>
      </c>
      <c r="N14" s="242" t="e">
        <f t="shared" si="1"/>
        <v>#REF!</v>
      </c>
      <c r="O14" s="242">
        <v>0</v>
      </c>
      <c r="P14" s="242" t="e">
        <f t="shared" si="22"/>
        <v>#REF!</v>
      </c>
      <c r="Q14" s="242" t="e">
        <f>IF(OR($C$8="Нет",#REF!="Нет"),0,IF(#REF!="Серебряный",3600,IF(#REF!="Золотой",5000,IF(#REF!="Платиновый",7000,""))))</f>
        <v>#REF!</v>
      </c>
      <c r="R14" s="242">
        <f t="shared" si="8"/>
        <v>0</v>
      </c>
      <c r="S14" s="242">
        <f t="shared" si="9"/>
        <v>1091299.1187036757</v>
      </c>
      <c r="T14" s="242"/>
      <c r="U14" s="198">
        <f>IF((U13-1)&lt;0,0,U13-1)</f>
        <v>55</v>
      </c>
      <c r="V14" s="36">
        <f t="shared" si="10"/>
        <v>55</v>
      </c>
      <c r="W14" s="84">
        <v>9.9000000000000005E-2</v>
      </c>
      <c r="X14" s="84">
        <v>7.9000000000000001E-2</v>
      </c>
      <c r="Y14" s="84">
        <v>7.9000000000000001E-2</v>
      </c>
      <c r="Z14" s="84">
        <v>7.9000000000000001E-2</v>
      </c>
      <c r="AA14" s="84">
        <v>7.9000000000000001E-2</v>
      </c>
      <c r="AB14" s="15"/>
      <c r="AC14" s="15"/>
      <c r="AE14" s="15">
        <f>IF(OR(D$8="Гарантия стандарт",D$8="Гарантия пакет"),AE13,D13)</f>
        <v>0.13900000000000001</v>
      </c>
      <c r="AF14" s="15"/>
      <c r="AG14" s="15"/>
      <c r="AH14" s="15"/>
      <c r="AI14" s="15"/>
      <c r="AJ14" s="15"/>
      <c r="AK14" s="15"/>
      <c r="AL14" s="15"/>
      <c r="AN14" s="57"/>
      <c r="AO14" s="130">
        <f t="shared" si="11"/>
        <v>1</v>
      </c>
      <c r="AP14" s="553">
        <f>AP13+1</f>
        <v>6</v>
      </c>
      <c r="AQ14" s="554">
        <f t="shared" si="12"/>
        <v>45021</v>
      </c>
      <c r="AR14" s="555">
        <f t="shared" si="2"/>
        <v>0.13900000000000001</v>
      </c>
      <c r="AS14" s="546" t="e">
        <f t="shared" si="13"/>
        <v>#REF!</v>
      </c>
      <c r="AT14" s="546">
        <f t="shared" si="14"/>
        <v>23217</v>
      </c>
      <c r="AU14" s="546">
        <f t="shared" si="15"/>
        <v>11098.334787135651</v>
      </c>
      <c r="AV14" s="546">
        <f t="shared" si="16"/>
        <v>12118.665212864349</v>
      </c>
      <c r="AW14" s="546"/>
      <c r="AX14" s="546">
        <v>0</v>
      </c>
      <c r="AY14" s="546" t="e">
        <f t="shared" si="17"/>
        <v>#REF!</v>
      </c>
      <c r="AZ14" s="546" t="e">
        <f>IF(#REF!="Нет",0,IF(#REF!="Серебряный",1800,IF(#REF!="Золотой",2500,IF(#REF!="Платиновый",3500,""))))</f>
        <v>#REF!</v>
      </c>
      <c r="BA14" s="546">
        <f t="shared" si="18"/>
        <v>0</v>
      </c>
      <c r="BB14" s="546"/>
      <c r="BC14" s="546"/>
      <c r="BD14" s="546"/>
      <c r="BE14" s="546"/>
      <c r="BF14" s="546"/>
      <c r="BG14" s="546">
        <f t="shared" si="19"/>
        <v>927981.63585571584</v>
      </c>
      <c r="BH14" s="108">
        <f t="shared" si="28"/>
        <v>55</v>
      </c>
      <c r="BI14" s="108">
        <f t="shared" si="23"/>
        <v>55</v>
      </c>
      <c r="BJ14" s="22">
        <f t="shared" si="24"/>
        <v>45021</v>
      </c>
      <c r="BK14" s="108">
        <f t="shared" si="3"/>
        <v>22562</v>
      </c>
      <c r="BN14" s="831"/>
      <c r="BO14" s="829"/>
      <c r="BP14" s="670" t="s">
        <v>93</v>
      </c>
    </row>
    <row r="15" spans="1:78" ht="20.25" customHeight="1" thickBot="1" x14ac:dyDescent="0.3">
      <c r="A15" s="880"/>
      <c r="B15" s="418" t="s">
        <v>182</v>
      </c>
      <c r="C15" s="505" t="str">
        <f>IF(C14="нет","0",AJ109)</f>
        <v>0</v>
      </c>
      <c r="D15" s="216" t="str">
        <f>IF(D14="нет","",AJ109)</f>
        <v/>
      </c>
      <c r="E15" s="510"/>
      <c r="F15" s="231"/>
      <c r="G15" s="244">
        <f t="shared" si="25"/>
        <v>7</v>
      </c>
      <c r="H15" s="245">
        <f t="shared" si="4"/>
        <v>45051</v>
      </c>
      <c r="I15" s="246">
        <f t="shared" si="5"/>
        <v>4.9000000000000002E-2</v>
      </c>
      <c r="J15" s="242">
        <f t="shared" si="6"/>
        <v>22562</v>
      </c>
      <c r="K15" s="242">
        <f t="shared" si="20"/>
        <v>22562</v>
      </c>
      <c r="L15" s="242">
        <f t="shared" si="7"/>
        <v>4395.0950808065845</v>
      </c>
      <c r="M15" s="242">
        <f t="shared" si="21"/>
        <v>18166.904919193417</v>
      </c>
      <c r="N15" s="242">
        <f t="shared" si="1"/>
        <v>0</v>
      </c>
      <c r="O15" s="242">
        <v>0</v>
      </c>
      <c r="P15" s="242">
        <f t="shared" si="22"/>
        <v>4395.0950808065845</v>
      </c>
      <c r="Q15" s="242">
        <f t="shared" ref="Q15:Q78" si="29">IF(V15=0,0,0)</f>
        <v>0</v>
      </c>
      <c r="R15" s="242">
        <f t="shared" si="8"/>
        <v>0</v>
      </c>
      <c r="S15" s="242">
        <f t="shared" si="9"/>
        <v>1073132.2137844823</v>
      </c>
      <c r="T15" s="467"/>
      <c r="U15" s="198">
        <f t="shared" si="26"/>
        <v>54</v>
      </c>
      <c r="V15" s="36">
        <f t="shared" si="10"/>
        <v>54</v>
      </c>
      <c r="W15" s="112">
        <v>0</v>
      </c>
      <c r="X15" s="112">
        <v>7.9000000000000001E-2</v>
      </c>
      <c r="Y15" s="112">
        <v>7.9000000000000001E-2</v>
      </c>
      <c r="Z15" s="112">
        <v>7.9000000000000001E-2</v>
      </c>
      <c r="AA15" s="112">
        <v>7.9000000000000001E-2</v>
      </c>
      <c r="AB15" s="15"/>
      <c r="AC15" s="15"/>
      <c r="AD15" s="15" t="str">
        <f>IF(OR(C8="Гарантия стандарт",C8="Гарантия плюс",C8="Гарантия пакет"),AD13,"")</f>
        <v/>
      </c>
      <c r="AE15" s="15" t="str">
        <f>IF(OR(D8="Гарантия стандарт",D8="Гарантия плюс",D8="Гарантия пакет"),AE13,"")</f>
        <v/>
      </c>
      <c r="AF15" s="15"/>
      <c r="AG15" s="15"/>
      <c r="AH15" s="15"/>
      <c r="AI15" s="15"/>
      <c r="AJ15" s="15"/>
      <c r="AK15" s="15"/>
      <c r="AL15" s="15"/>
      <c r="AO15" s="130">
        <f t="shared" si="11"/>
        <v>1</v>
      </c>
      <c r="AP15" s="553">
        <f t="shared" si="27"/>
        <v>7</v>
      </c>
      <c r="AQ15" s="554">
        <f t="shared" si="12"/>
        <v>45051</v>
      </c>
      <c r="AR15" s="555">
        <f t="shared" si="2"/>
        <v>0.13900000000000001</v>
      </c>
      <c r="AS15" s="546" t="e">
        <f t="shared" si="13"/>
        <v>#REF!</v>
      </c>
      <c r="AT15" s="546">
        <f t="shared" si="14"/>
        <v>23217</v>
      </c>
      <c r="AU15" s="546">
        <f t="shared" si="15"/>
        <v>10601.872387721467</v>
      </c>
      <c r="AV15" s="546">
        <f t="shared" si="16"/>
        <v>12615.127612278533</v>
      </c>
      <c r="AW15" s="546"/>
      <c r="AX15" s="546">
        <v>0</v>
      </c>
      <c r="AY15" s="546" t="e">
        <f t="shared" si="17"/>
        <v>#REF!</v>
      </c>
      <c r="AZ15" s="546" t="e">
        <f>IF(#REF!="Нет",0,IF(#REF!="Серебряный",1800,IF(#REF!="Золотой",2500,IF(#REF!="Платиновый",3500,""))))</f>
        <v>#REF!</v>
      </c>
      <c r="BA15" s="546">
        <f t="shared" si="18"/>
        <v>0</v>
      </c>
      <c r="BB15" s="546"/>
      <c r="BC15" s="546"/>
      <c r="BD15" s="546"/>
      <c r="BE15" s="546"/>
      <c r="BF15" s="546"/>
      <c r="BG15" s="546">
        <f t="shared" si="19"/>
        <v>915366.50824343727</v>
      </c>
      <c r="BH15" s="108">
        <f t="shared" si="28"/>
        <v>54</v>
      </c>
      <c r="BI15" s="108">
        <f t="shared" si="23"/>
        <v>54</v>
      </c>
      <c r="BJ15" s="22">
        <f t="shared" si="24"/>
        <v>45051</v>
      </c>
      <c r="BK15" s="108">
        <f t="shared" si="3"/>
        <v>22562</v>
      </c>
      <c r="BX15" s="575" t="s">
        <v>368</v>
      </c>
      <c r="BY15" s="571" t="s">
        <v>369</v>
      </c>
      <c r="BZ15" s="576" t="s">
        <v>370</v>
      </c>
    </row>
    <row r="16" spans="1:78" ht="19.2" customHeight="1" thickBot="1" x14ac:dyDescent="0.3">
      <c r="A16" s="888"/>
      <c r="B16" s="888"/>
      <c r="C16" s="888"/>
      <c r="D16" s="888"/>
      <c r="E16" s="888"/>
      <c r="F16" s="232"/>
      <c r="G16" s="244">
        <f t="shared" si="25"/>
        <v>8</v>
      </c>
      <c r="H16" s="245">
        <f t="shared" si="4"/>
        <v>45082</v>
      </c>
      <c r="I16" s="246">
        <f t="shared" si="5"/>
        <v>4.9000000000000002E-2</v>
      </c>
      <c r="J16" s="242">
        <f t="shared" si="6"/>
        <v>22562</v>
      </c>
      <c r="K16" s="242">
        <f t="shared" si="20"/>
        <v>22562</v>
      </c>
      <c r="L16" s="242">
        <f t="shared" si="7"/>
        <v>4465.9940622976128</v>
      </c>
      <c r="M16" s="242">
        <f t="shared" si="21"/>
        <v>18096.005937702386</v>
      </c>
      <c r="N16" s="242">
        <f t="shared" si="1"/>
        <v>0</v>
      </c>
      <c r="O16" s="242">
        <v>0</v>
      </c>
      <c r="P16" s="242">
        <f t="shared" si="22"/>
        <v>4465.9940622976128</v>
      </c>
      <c r="Q16" s="242">
        <f t="shared" si="29"/>
        <v>0</v>
      </c>
      <c r="R16" s="242">
        <f t="shared" si="8"/>
        <v>0</v>
      </c>
      <c r="S16" s="242">
        <f t="shared" si="9"/>
        <v>1055036.2078467798</v>
      </c>
      <c r="T16" s="467"/>
      <c r="U16" s="198">
        <f t="shared" si="26"/>
        <v>53</v>
      </c>
      <c r="V16" s="36">
        <f t="shared" si="10"/>
        <v>53</v>
      </c>
      <c r="W16" s="101"/>
      <c r="X16" s="101"/>
      <c r="Y16" s="101"/>
      <c r="Z16" s="101"/>
      <c r="AA16" s="101"/>
      <c r="AB16" s="112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O16" s="130">
        <f t="shared" si="11"/>
        <v>1</v>
      </c>
      <c r="AP16" s="553">
        <f t="shared" si="27"/>
        <v>8</v>
      </c>
      <c r="AQ16" s="554">
        <f t="shared" si="12"/>
        <v>45082</v>
      </c>
      <c r="AR16" s="555">
        <f t="shared" si="2"/>
        <v>0.13900000000000001</v>
      </c>
      <c r="AS16" s="546" t="e">
        <f t="shared" si="13"/>
        <v>#REF!</v>
      </c>
      <c r="AT16" s="546">
        <f t="shared" si="14"/>
        <v>23217</v>
      </c>
      <c r="AU16" s="546">
        <f t="shared" si="15"/>
        <v>10806.340504167045</v>
      </c>
      <c r="AV16" s="546">
        <f t="shared" si="16"/>
        <v>12410.659495832955</v>
      </c>
      <c r="AW16" s="546"/>
      <c r="AX16" s="546">
        <v>0</v>
      </c>
      <c r="AY16" s="546" t="e">
        <f t="shared" si="17"/>
        <v>#REF!</v>
      </c>
      <c r="AZ16" s="546" t="e">
        <f>IF(#REF!="Нет",0,IF(#REF!="Серебряный",1800,IF(#REF!="Золотой",2500,IF(#REF!="Платиновый",3500,""))))</f>
        <v>#REF!</v>
      </c>
      <c r="BA16" s="546">
        <f t="shared" si="18"/>
        <v>0</v>
      </c>
      <c r="BB16" s="546"/>
      <c r="BC16" s="546"/>
      <c r="BD16" s="546"/>
      <c r="BE16" s="546"/>
      <c r="BF16" s="546"/>
      <c r="BG16" s="546">
        <f t="shared" si="19"/>
        <v>902955.84874760429</v>
      </c>
      <c r="BH16" s="108">
        <f t="shared" si="28"/>
        <v>53</v>
      </c>
      <c r="BI16" s="108">
        <f t="shared" si="23"/>
        <v>53</v>
      </c>
      <c r="BJ16" s="22">
        <f t="shared" si="24"/>
        <v>45082</v>
      </c>
      <c r="BK16" s="108">
        <f t="shared" si="3"/>
        <v>22562</v>
      </c>
      <c r="BX16" s="583" t="s">
        <v>111</v>
      </c>
      <c r="BY16" s="572" t="s">
        <v>371</v>
      </c>
      <c r="BZ16" s="573">
        <v>1.2E-2</v>
      </c>
    </row>
    <row r="17" spans="1:393" ht="19.95" customHeight="1" thickBot="1" x14ac:dyDescent="0.3">
      <c r="A17" s="944" t="s">
        <v>350</v>
      </c>
      <c r="B17" s="944"/>
      <c r="C17" s="945"/>
      <c r="D17" s="678"/>
      <c r="E17" s="678"/>
      <c r="F17" s="232"/>
      <c r="G17" s="244">
        <f t="shared" si="25"/>
        <v>9</v>
      </c>
      <c r="H17" s="245">
        <f t="shared" si="4"/>
        <v>45112</v>
      </c>
      <c r="I17" s="246">
        <f t="shared" si="5"/>
        <v>4.9000000000000002E-2</v>
      </c>
      <c r="J17" s="242">
        <f t="shared" si="6"/>
        <v>22562</v>
      </c>
      <c r="K17" s="242">
        <f t="shared" si="20"/>
        <v>22562</v>
      </c>
      <c r="L17" s="242">
        <f t="shared" si="7"/>
        <v>4249.0499329719632</v>
      </c>
      <c r="M17" s="242">
        <f t="shared" si="21"/>
        <v>18312.950067028036</v>
      </c>
      <c r="N17" s="242">
        <f t="shared" si="1"/>
        <v>0</v>
      </c>
      <c r="O17" s="242">
        <v>0</v>
      </c>
      <c r="P17" s="242">
        <f t="shared" si="22"/>
        <v>4249.0499329719632</v>
      </c>
      <c r="Q17" s="242">
        <f t="shared" si="29"/>
        <v>0</v>
      </c>
      <c r="R17" s="242">
        <f t="shared" si="8"/>
        <v>0</v>
      </c>
      <c r="S17" s="242">
        <f t="shared" si="9"/>
        <v>1036723.2577797518</v>
      </c>
      <c r="T17" s="467"/>
      <c r="U17" s="198">
        <f t="shared" si="26"/>
        <v>52</v>
      </c>
      <c r="V17" s="36">
        <f t="shared" si="10"/>
        <v>52</v>
      </c>
      <c r="W17" s="101"/>
      <c r="X17" s="101"/>
      <c r="Y17" s="101"/>
      <c r="Z17" s="101"/>
      <c r="AA17" s="101"/>
      <c r="AB17" s="84">
        <v>0.129</v>
      </c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O17" s="130">
        <f t="shared" si="11"/>
        <v>1</v>
      </c>
      <c r="AP17" s="553">
        <f t="shared" si="27"/>
        <v>9</v>
      </c>
      <c r="AQ17" s="554">
        <f t="shared" si="12"/>
        <v>45112</v>
      </c>
      <c r="AR17" s="555">
        <f t="shared" si="2"/>
        <v>0.13900000000000001</v>
      </c>
      <c r="AS17" s="546" t="e">
        <f t="shared" si="13"/>
        <v>#REF!</v>
      </c>
      <c r="AT17" s="546">
        <f t="shared" si="14"/>
        <v>23217</v>
      </c>
      <c r="AU17" s="546">
        <f t="shared" si="15"/>
        <v>10315.96134048633</v>
      </c>
      <c r="AV17" s="546">
        <f t="shared" si="16"/>
        <v>12901.03865951367</v>
      </c>
      <c r="AW17" s="546"/>
      <c r="AX17" s="546">
        <v>0</v>
      </c>
      <c r="AY17" s="546" t="e">
        <f t="shared" si="17"/>
        <v>#REF!</v>
      </c>
      <c r="AZ17" s="546" t="e">
        <f>IF(#REF!="Нет",0,IF(#REF!="Серебряный",1800,IF(#REF!="Золотой",2500,IF(#REF!="Платиновый",3500,""))))</f>
        <v>#REF!</v>
      </c>
      <c r="BA17" s="546">
        <f t="shared" si="18"/>
        <v>0</v>
      </c>
      <c r="BB17" s="546"/>
      <c r="BC17" s="546"/>
      <c r="BD17" s="546"/>
      <c r="BE17" s="546"/>
      <c r="BF17" s="546"/>
      <c r="BG17" s="546">
        <f t="shared" si="19"/>
        <v>890054.8100880906</v>
      </c>
      <c r="BH17" s="108">
        <f t="shared" si="28"/>
        <v>52</v>
      </c>
      <c r="BI17" s="108">
        <f t="shared" si="23"/>
        <v>52</v>
      </c>
      <c r="BJ17" s="22">
        <f t="shared" si="24"/>
        <v>45112</v>
      </c>
      <c r="BK17" s="108">
        <f t="shared" si="3"/>
        <v>22562</v>
      </c>
      <c r="BX17" s="574" t="s">
        <v>114</v>
      </c>
      <c r="BY17" s="572" t="s">
        <v>372</v>
      </c>
      <c r="BZ17" s="573">
        <v>1.2E-2</v>
      </c>
    </row>
    <row r="18" spans="1:393" ht="19.95" customHeight="1" thickBot="1" x14ac:dyDescent="0.3">
      <c r="A18" s="896" t="s">
        <v>362</v>
      </c>
      <c r="B18" s="896"/>
      <c r="C18" s="358">
        <f>$C$7+(IF($C$8="Нет",0,C20)+IF(C14="Нет",0,IF(C14="Да",C15,0)))</f>
        <v>1198465.9635666348</v>
      </c>
      <c r="D18" s="355">
        <f>$C$7+(IF($D$8="Нет",0,IF($D$20&lt;&gt;"",$D$20,0))+IF(D14="Нет",0,IF(D14="Да",D15,0)))</f>
        <v>1000000</v>
      </c>
      <c r="E18" s="224">
        <f>C18-D18</f>
        <v>198465.9635666348</v>
      </c>
      <c r="F18" s="232"/>
      <c r="G18" s="244">
        <f t="shared" si="25"/>
        <v>10</v>
      </c>
      <c r="H18" s="245">
        <f t="shared" si="4"/>
        <v>45143</v>
      </c>
      <c r="I18" s="246">
        <f t="shared" si="5"/>
        <v>4.9000000000000002E-2</v>
      </c>
      <c r="J18" s="242">
        <f t="shared" si="6"/>
        <v>22562</v>
      </c>
      <c r="K18" s="242">
        <f t="shared" si="20"/>
        <v>22562</v>
      </c>
      <c r="L18" s="242">
        <f t="shared" si="7"/>
        <v>4314.4729549792955</v>
      </c>
      <c r="M18" s="242">
        <f t="shared" si="21"/>
        <v>18247.527045020703</v>
      </c>
      <c r="N18" s="242">
        <f t="shared" si="1"/>
        <v>0</v>
      </c>
      <c r="O18" s="242">
        <v>0</v>
      </c>
      <c r="P18" s="242">
        <f t="shared" si="22"/>
        <v>4314.4729549792955</v>
      </c>
      <c r="Q18" s="242">
        <f t="shared" si="29"/>
        <v>0</v>
      </c>
      <c r="R18" s="242">
        <f t="shared" si="8"/>
        <v>0</v>
      </c>
      <c r="S18" s="242">
        <f t="shared" si="9"/>
        <v>1018475.7307347311</v>
      </c>
      <c r="T18" s="467"/>
      <c r="U18" s="198">
        <f t="shared" si="26"/>
        <v>51</v>
      </c>
      <c r="V18" s="36">
        <f t="shared" si="10"/>
        <v>51</v>
      </c>
      <c r="W18" s="84">
        <v>8.9999999999999993E-3</v>
      </c>
      <c r="X18" s="84">
        <v>8.9999999999999993E-3</v>
      </c>
      <c r="Y18" s="84">
        <v>8.9999999999999993E-3</v>
      </c>
      <c r="Z18" s="84">
        <v>8.9999999999999993E-3</v>
      </c>
      <c r="AA18" s="84">
        <v>8.9999999999999993E-3</v>
      </c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O18" s="130">
        <f t="shared" si="11"/>
        <v>1</v>
      </c>
      <c r="AP18" s="553">
        <f t="shared" si="27"/>
        <v>10</v>
      </c>
      <c r="AQ18" s="554">
        <f t="shared" si="12"/>
        <v>45143</v>
      </c>
      <c r="AR18" s="555">
        <f t="shared" si="2"/>
        <v>0.13900000000000001</v>
      </c>
      <c r="AS18" s="546" t="e">
        <f t="shared" si="13"/>
        <v>#REF!</v>
      </c>
      <c r="AT18" s="546">
        <f t="shared" si="14"/>
        <v>23217</v>
      </c>
      <c r="AU18" s="546">
        <f t="shared" si="15"/>
        <v>10507.523771697486</v>
      </c>
      <c r="AV18" s="546">
        <f t="shared" si="16"/>
        <v>12709.476228302514</v>
      </c>
      <c r="AW18" s="546"/>
      <c r="AX18" s="546">
        <v>0</v>
      </c>
      <c r="AY18" s="546" t="e">
        <f t="shared" si="17"/>
        <v>#REF!</v>
      </c>
      <c r="AZ18" s="546" t="e">
        <f>IF(#REF!="Нет",0,IF(#REF!="Серебряный",1800,IF(#REF!="Золотой",2500,IF(#REF!="Платиновый",3500,""))))</f>
        <v>#REF!</v>
      </c>
      <c r="BA18" s="546">
        <f t="shared" si="18"/>
        <v>0</v>
      </c>
      <c r="BB18" s="546"/>
      <c r="BC18" s="546"/>
      <c r="BD18" s="546"/>
      <c r="BE18" s="546"/>
      <c r="BF18" s="546"/>
      <c r="BG18" s="546">
        <f t="shared" si="19"/>
        <v>877345.33385978814</v>
      </c>
      <c r="BH18" s="108">
        <f t="shared" si="28"/>
        <v>51</v>
      </c>
      <c r="BI18" s="108">
        <f t="shared" si="23"/>
        <v>51</v>
      </c>
      <c r="BJ18" s="22">
        <f t="shared" si="24"/>
        <v>45143</v>
      </c>
      <c r="BK18" s="108">
        <f t="shared" si="3"/>
        <v>22562</v>
      </c>
      <c r="BX18" s="574" t="s">
        <v>360</v>
      </c>
      <c r="BY18" s="572" t="s">
        <v>372</v>
      </c>
      <c r="BZ18" s="573">
        <v>1.14E-2</v>
      </c>
      <c r="CF18" s="585">
        <f>1000000/(1-BZ18*CF21)</f>
        <v>1047778.7091366303</v>
      </c>
    </row>
    <row r="19" spans="1:393" ht="28.2" customHeight="1" x14ac:dyDescent="0.25">
      <c r="A19" s="852" t="str">
        <f>IF(AND($C$8&lt;&gt;"Нет",$D$8&lt;&gt;"Нет",$C$14&lt;&gt;"Нет"),"Платеж с учетом Финансовой защиты + пакета услуг Всё под контролем, руб.",IF(AND($C$8&lt;&gt;"Нет",$D$8&lt;&gt;"Нет",$C$14&lt;&gt;"Да"),"Платеж с учетом Финансовой защиты, руб.",IF(AND($D$8&lt;&gt;"Нет",$C$14&lt;&gt;"Нет"),"Платеж с учетом пакета услуг Всё под контролем, руб.","Платеж, руб.")))</f>
        <v>Платеж, руб.</v>
      </c>
      <c r="B19" s="852"/>
      <c r="C19" s="358">
        <f>K9</f>
        <v>22562</v>
      </c>
      <c r="D19" s="355">
        <f>AT9</f>
        <v>23217</v>
      </c>
      <c r="E19" s="224">
        <f>C19-D19</f>
        <v>-655</v>
      </c>
      <c r="F19" s="233"/>
      <c r="G19" s="244">
        <f t="shared" si="25"/>
        <v>11</v>
      </c>
      <c r="H19" s="245">
        <f t="shared" si="4"/>
        <v>45174</v>
      </c>
      <c r="I19" s="246">
        <f t="shared" si="5"/>
        <v>4.9000000000000002E-2</v>
      </c>
      <c r="J19" s="242">
        <f t="shared" si="6"/>
        <v>22562</v>
      </c>
      <c r="K19" s="242">
        <f t="shared" si="20"/>
        <v>22562</v>
      </c>
      <c r="L19" s="242">
        <f t="shared" si="7"/>
        <v>4238.5332465371412</v>
      </c>
      <c r="M19" s="242">
        <f t="shared" si="21"/>
        <v>18323.466753462861</v>
      </c>
      <c r="N19" s="242">
        <f t="shared" si="1"/>
        <v>0</v>
      </c>
      <c r="O19" s="242">
        <v>0</v>
      </c>
      <c r="P19" s="242">
        <f t="shared" si="22"/>
        <v>4238.5332465371412</v>
      </c>
      <c r="Q19" s="242">
        <f t="shared" si="29"/>
        <v>0</v>
      </c>
      <c r="R19" s="242">
        <f t="shared" si="8"/>
        <v>0</v>
      </c>
      <c r="S19" s="242">
        <f t="shared" si="9"/>
        <v>1000152.2639812682</v>
      </c>
      <c r="T19" s="467"/>
      <c r="U19" s="198">
        <f>IF((U18-1)&lt;0,0,U18-1)</f>
        <v>50</v>
      </c>
      <c r="V19" s="36">
        <f t="shared" si="10"/>
        <v>50</v>
      </c>
      <c r="W19" s="84">
        <v>1.9E-2</v>
      </c>
      <c r="X19" s="84">
        <v>1.9E-2</v>
      </c>
      <c r="Y19" s="84">
        <v>1.9E-2</v>
      </c>
      <c r="Z19" s="84">
        <v>1.9E-2</v>
      </c>
      <c r="AA19" s="84">
        <v>1.9E-2</v>
      </c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O19" s="130">
        <f t="shared" si="11"/>
        <v>1</v>
      </c>
      <c r="AP19" s="553">
        <f>AP18+1</f>
        <v>11</v>
      </c>
      <c r="AQ19" s="554">
        <f t="shared" si="12"/>
        <v>45174</v>
      </c>
      <c r="AR19" s="555">
        <f t="shared" si="2"/>
        <v>0.13900000000000001</v>
      </c>
      <c r="AS19" s="546" t="e">
        <f t="shared" si="13"/>
        <v>#REF!</v>
      </c>
      <c r="AT19" s="546">
        <f t="shared" si="14"/>
        <v>23217</v>
      </c>
      <c r="AU19" s="546">
        <f t="shared" si="15"/>
        <v>10357.482311237884</v>
      </c>
      <c r="AV19" s="546">
        <f t="shared" si="16"/>
        <v>12859.517688762116</v>
      </c>
      <c r="AW19" s="546"/>
      <c r="AX19" s="546">
        <v>0</v>
      </c>
      <c r="AY19" s="546" t="e">
        <f t="shared" si="17"/>
        <v>#REF!</v>
      </c>
      <c r="AZ19" s="546" t="e">
        <f>IF(#REF!="Нет",0,IF(#REF!="Серебряный",1800,IF(#REF!="Золотой",2500,IF(#REF!="Платиновый",3500,""))))</f>
        <v>#REF!</v>
      </c>
      <c r="BA19" s="546">
        <f>IF(BI25=0,0,0)</f>
        <v>0</v>
      </c>
      <c r="BB19" s="546"/>
      <c r="BC19" s="546"/>
      <c r="BD19" s="546"/>
      <c r="BE19" s="546"/>
      <c r="BF19" s="546"/>
      <c r="BG19" s="546">
        <f t="shared" si="19"/>
        <v>864485.81617102597</v>
      </c>
      <c r="BH19" s="108">
        <f t="shared" si="28"/>
        <v>50</v>
      </c>
      <c r="BI19" s="108">
        <f t="shared" si="23"/>
        <v>50</v>
      </c>
      <c r="BJ19" s="22">
        <f t="shared" si="24"/>
        <v>45174</v>
      </c>
      <c r="BK19" s="108">
        <f t="shared" si="3"/>
        <v>22562</v>
      </c>
      <c r="BZ19" s="62"/>
    </row>
    <row r="20" spans="1:393" ht="16.95" customHeight="1" thickBot="1" x14ac:dyDescent="0.3">
      <c r="A20" s="846" t="s">
        <v>285</v>
      </c>
      <c r="B20" s="846"/>
      <c r="C20" s="561">
        <f>IF(OR(C8="Максимум",C8="Уверенность"),BY23,IF(C8="нет",0,IF(C8="Оптимум",CF23,BY28)))</f>
        <v>198465.96356663469</v>
      </c>
      <c r="D20" s="561">
        <f>IF(OR(D8="Максимум",D8="Уверенность плюс"),(D7*D10*0.17%),IF(D8="нет",0,IF(D8="Оптимум",(D7*D10*0.1%),(D7*D10*0.27%))))</f>
        <v>0</v>
      </c>
      <c r="E20" s="226">
        <f>C20-D20</f>
        <v>198465.96356663469</v>
      </c>
      <c r="F20" s="224"/>
      <c r="G20" s="248">
        <f t="shared" si="25"/>
        <v>12</v>
      </c>
      <c r="H20" s="581">
        <f t="shared" si="4"/>
        <v>45204</v>
      </c>
      <c r="I20" s="250">
        <f t="shared" si="5"/>
        <v>4.9000000000000002E-2</v>
      </c>
      <c r="J20" s="252">
        <f t="shared" si="6"/>
        <v>22562</v>
      </c>
      <c r="K20" s="252">
        <f t="shared" si="20"/>
        <v>22562</v>
      </c>
      <c r="L20" s="252">
        <f t="shared" si="7"/>
        <v>4028.0104878149705</v>
      </c>
      <c r="M20" s="252">
        <f t="shared" si="21"/>
        <v>18533.989512185028</v>
      </c>
      <c r="N20" s="252">
        <f t="shared" si="1"/>
        <v>0</v>
      </c>
      <c r="O20" s="252">
        <v>0</v>
      </c>
      <c r="P20" s="252">
        <f t="shared" si="22"/>
        <v>4028.0104878149705</v>
      </c>
      <c r="Q20" s="252">
        <f t="shared" si="29"/>
        <v>0</v>
      </c>
      <c r="R20" s="252">
        <f t="shared" si="8"/>
        <v>0</v>
      </c>
      <c r="S20" s="252">
        <f t="shared" si="9"/>
        <v>981618.27446908318</v>
      </c>
      <c r="T20" s="468"/>
      <c r="U20" s="198">
        <f>IF((U19-1)&lt;0,0,U19-1)</f>
        <v>49</v>
      </c>
      <c r="V20" s="36">
        <f t="shared" si="10"/>
        <v>49</v>
      </c>
      <c r="W20" s="122">
        <v>2.9000000000000001E-2</v>
      </c>
      <c r="X20" s="122">
        <v>2.9000000000000001E-2</v>
      </c>
      <c r="Y20" s="122">
        <v>2.9000000000000001E-2</v>
      </c>
      <c r="Z20" s="122">
        <v>2.9000000000000001E-2</v>
      </c>
      <c r="AA20" s="122">
        <v>2.9000000000000001E-2</v>
      </c>
      <c r="AB20" s="15">
        <v>4.9000000000000002E-2</v>
      </c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3"/>
      <c r="AN20" s="113"/>
      <c r="AO20" s="130">
        <f t="shared" si="11"/>
        <v>1</v>
      </c>
      <c r="AP20" s="556">
        <f>AP19+1</f>
        <v>12</v>
      </c>
      <c r="AQ20" s="582">
        <f t="shared" si="12"/>
        <v>45204</v>
      </c>
      <c r="AR20" s="557">
        <f t="shared" si="2"/>
        <v>0.13900000000000001</v>
      </c>
      <c r="AS20" s="547" t="e">
        <f t="shared" si="13"/>
        <v>#REF!</v>
      </c>
      <c r="AT20" s="547">
        <f t="shared" si="14"/>
        <v>23217</v>
      </c>
      <c r="AU20" s="547">
        <f t="shared" si="15"/>
        <v>9876.4543929676129</v>
      </c>
      <c r="AV20" s="547">
        <f t="shared" si="16"/>
        <v>13340.545607032387</v>
      </c>
      <c r="AW20" s="547"/>
      <c r="AX20" s="547">
        <v>0</v>
      </c>
      <c r="AY20" s="547" t="e">
        <f t="shared" si="17"/>
        <v>#REF!</v>
      </c>
      <c r="AZ20" s="547" t="e">
        <f>IF(#REF!="Нет",0,IF(#REF!="Серебряный",1800,IF(#REF!="Золотой",2500,IF(#REF!="Платиновый",3500,""))))</f>
        <v>#REF!</v>
      </c>
      <c r="BA20" s="547">
        <f t="shared" ref="BA20:BA83" si="30">IF(BI26=0,0,0)</f>
        <v>0</v>
      </c>
      <c r="BB20" s="547"/>
      <c r="BC20" s="547"/>
      <c r="BD20" s="547"/>
      <c r="BE20" s="547"/>
      <c r="BF20" s="547"/>
      <c r="BG20" s="547">
        <f t="shared" si="19"/>
        <v>851145.2705639936</v>
      </c>
      <c r="BH20" s="108">
        <f t="shared" si="28"/>
        <v>49</v>
      </c>
      <c r="BI20" s="108">
        <f t="shared" si="23"/>
        <v>49</v>
      </c>
      <c r="BJ20" s="22">
        <f t="shared" si="24"/>
        <v>45204</v>
      </c>
      <c r="BK20" s="108">
        <f t="shared" si="3"/>
        <v>22562</v>
      </c>
      <c r="BX20" s="2" t="s">
        <v>377</v>
      </c>
      <c r="CE20" s="116"/>
    </row>
    <row r="21" spans="1:393" ht="38.25" customHeight="1" x14ac:dyDescent="0.25">
      <c r="A21" s="846" t="s">
        <v>75</v>
      </c>
      <c r="B21" s="846"/>
      <c r="C21" s="194">
        <f>L109</f>
        <v>155368.76099127252</v>
      </c>
      <c r="D21" s="209">
        <f>AU109</f>
        <v>393442.9467140286</v>
      </c>
      <c r="E21" s="274">
        <f t="shared" ref="E21" si="31">C21-D21</f>
        <v>-238074.18572275608</v>
      </c>
      <c r="F21" s="224"/>
      <c r="G21" s="244">
        <f t="shared" si="25"/>
        <v>13</v>
      </c>
      <c r="H21" s="245">
        <f t="shared" si="4"/>
        <v>45235</v>
      </c>
      <c r="I21" s="246">
        <f t="shared" si="5"/>
        <v>4.9000000000000002E-2</v>
      </c>
      <c r="J21" s="242">
        <f>K21+Q21</f>
        <v>22562</v>
      </c>
      <c r="K21" s="242">
        <f t="shared" si="20"/>
        <v>22562</v>
      </c>
      <c r="L21" s="242">
        <f t="shared" si="7"/>
        <v>4085.1456408727054</v>
      </c>
      <c r="M21" s="242">
        <f t="shared" si="21"/>
        <v>18476.854359127294</v>
      </c>
      <c r="N21" s="242">
        <f t="shared" si="1"/>
        <v>0</v>
      </c>
      <c r="O21" s="242">
        <v>0</v>
      </c>
      <c r="P21" s="242">
        <f t="shared" si="22"/>
        <v>4085.1456408727054</v>
      </c>
      <c r="Q21" s="242">
        <f t="shared" si="29"/>
        <v>0</v>
      </c>
      <c r="R21" s="242">
        <f t="shared" si="8"/>
        <v>0</v>
      </c>
      <c r="S21" s="242">
        <f t="shared" si="9"/>
        <v>963141.42010995583</v>
      </c>
      <c r="T21" s="467"/>
      <c r="U21" s="198">
        <f>IF((U20-1)&lt;0,0,U20-1)</f>
        <v>48</v>
      </c>
      <c r="V21" s="36">
        <f t="shared" si="10"/>
        <v>48</v>
      </c>
      <c r="W21" s="84">
        <v>4.9000000000000002E-2</v>
      </c>
      <c r="X21" s="84">
        <v>4.9000000000000002E-2</v>
      </c>
      <c r="Y21" s="84">
        <v>4.9000000000000002E-2</v>
      </c>
      <c r="Z21" s="84">
        <v>4.9000000000000002E-2</v>
      </c>
      <c r="AA21" s="84">
        <v>4.9000000000000002E-2</v>
      </c>
      <c r="AB21" s="115"/>
      <c r="AC21" s="84">
        <v>0.129</v>
      </c>
      <c r="AD21" s="84">
        <v>0.129</v>
      </c>
      <c r="AE21" s="84">
        <v>0.129</v>
      </c>
      <c r="AF21" s="84">
        <v>0.129</v>
      </c>
      <c r="AG21" s="84">
        <v>0.129</v>
      </c>
      <c r="AH21" s="84">
        <v>0.129</v>
      </c>
      <c r="AI21" s="84">
        <v>0.129</v>
      </c>
      <c r="AJ21" s="84">
        <v>0.129</v>
      </c>
      <c r="AK21" s="84">
        <v>0.129</v>
      </c>
      <c r="AL21" s="84">
        <v>0.129</v>
      </c>
      <c r="AM21" s="3"/>
      <c r="AN21" s="3"/>
      <c r="AO21" s="130">
        <f t="shared" si="11"/>
        <v>1</v>
      </c>
      <c r="AP21" s="553">
        <f>AP20+1</f>
        <v>13</v>
      </c>
      <c r="AQ21" s="554">
        <f t="shared" si="12"/>
        <v>45235</v>
      </c>
      <c r="AR21" s="555">
        <f t="shared" si="2"/>
        <v>0.13900000000000001</v>
      </c>
      <c r="AS21" s="546">
        <f t="shared" si="13"/>
        <v>23217</v>
      </c>
      <c r="AT21" s="546">
        <f t="shared" si="14"/>
        <v>23217</v>
      </c>
      <c r="AU21" s="546">
        <f t="shared" si="15"/>
        <v>10048.178002356846</v>
      </c>
      <c r="AV21" s="546">
        <f t="shared" si="16"/>
        <v>13168.821997643154</v>
      </c>
      <c r="AW21" s="546"/>
      <c r="AX21" s="546">
        <v>0</v>
      </c>
      <c r="AY21" s="546">
        <f t="shared" si="17"/>
        <v>10048.178002356846</v>
      </c>
      <c r="AZ21" s="546">
        <f t="shared" ref="AZ21:AZ84" si="32">IF(BI27=0,0,0)</f>
        <v>0</v>
      </c>
      <c r="BA21" s="546">
        <f t="shared" si="30"/>
        <v>0</v>
      </c>
      <c r="BB21" s="546"/>
      <c r="BC21" s="546"/>
      <c r="BD21" s="546"/>
      <c r="BE21" s="546"/>
      <c r="BF21" s="546"/>
      <c r="BG21" s="546">
        <f t="shared" si="19"/>
        <v>837976.4485663505</v>
      </c>
      <c r="BH21" s="108">
        <f t="shared" si="28"/>
        <v>48</v>
      </c>
      <c r="BI21" s="108">
        <f t="shared" si="23"/>
        <v>48</v>
      </c>
      <c r="BJ21" s="22">
        <f t="shared" si="24"/>
        <v>45235</v>
      </c>
      <c r="BK21" s="108">
        <f t="shared" si="3"/>
        <v>22562</v>
      </c>
      <c r="BX21" s="2" t="s">
        <v>111</v>
      </c>
      <c r="BY21" s="2">
        <f>IF(AND(C10&lt;=47,OR(C11=22.9%,C11=20.9%)),13,IF(C11=17.9%,16,IF(C11=13.9%,10,IF(AND(C11=27.9%,C10&gt;47),20,IF(OR(C11=22.9%,C11=20.9%),17,16)))))</f>
        <v>10</v>
      </c>
      <c r="CB21" s="2" t="s">
        <v>114</v>
      </c>
      <c r="CC21" s="2">
        <f>BY21</f>
        <v>10</v>
      </c>
      <c r="CE21" s="2" t="s">
        <v>360</v>
      </c>
      <c r="CF21" s="2">
        <f>IF(OR(C11=17.9%,C10&lt;=47),4,4)</f>
        <v>4</v>
      </c>
    </row>
    <row r="22" spans="1:393" ht="34.200000000000003" customHeight="1" x14ac:dyDescent="0.25">
      <c r="A22" s="846" t="s">
        <v>157</v>
      </c>
      <c r="B22" s="846"/>
      <c r="C22" s="199">
        <f>K109</f>
        <v>1353720</v>
      </c>
      <c r="D22" s="209">
        <f>AT109</f>
        <v>1393020</v>
      </c>
      <c r="E22" s="190"/>
      <c r="F22" s="225"/>
      <c r="G22" s="244">
        <f t="shared" si="25"/>
        <v>14</v>
      </c>
      <c r="H22" s="245">
        <f t="shared" si="4"/>
        <v>45265</v>
      </c>
      <c r="I22" s="246">
        <f t="shared" si="5"/>
        <v>4.9000000000000002E-2</v>
      </c>
      <c r="J22" s="242">
        <f t="shared" si="6"/>
        <v>22562</v>
      </c>
      <c r="K22" s="242">
        <f t="shared" si="20"/>
        <v>22562</v>
      </c>
      <c r="L22" s="242">
        <f t="shared" si="7"/>
        <v>3878.9531166072197</v>
      </c>
      <c r="M22" s="242">
        <f t="shared" si="21"/>
        <v>18683.046883392781</v>
      </c>
      <c r="N22" s="242">
        <f t="shared" si="1"/>
        <v>0</v>
      </c>
      <c r="O22" s="242">
        <v>0</v>
      </c>
      <c r="P22" s="242">
        <f t="shared" si="22"/>
        <v>3878.9531166072197</v>
      </c>
      <c r="Q22" s="242">
        <f t="shared" si="29"/>
        <v>0</v>
      </c>
      <c r="R22" s="242">
        <f t="shared" si="8"/>
        <v>0</v>
      </c>
      <c r="S22" s="242">
        <f t="shared" si="9"/>
        <v>944458.3732265631</v>
      </c>
      <c r="T22" s="467"/>
      <c r="U22" s="198">
        <f t="shared" si="26"/>
        <v>47</v>
      </c>
      <c r="V22" s="36">
        <f t="shared" si="10"/>
        <v>47</v>
      </c>
      <c r="W22" s="84">
        <v>6.9000000000000006E-2</v>
      </c>
      <c r="X22" s="84">
        <v>6.9000000000000006E-2</v>
      </c>
      <c r="Y22" s="84">
        <v>6.9000000000000006E-2</v>
      </c>
      <c r="Z22" s="84">
        <v>6.9000000000000006E-2</v>
      </c>
      <c r="AA22" s="84">
        <v>6.9000000000000006E-2</v>
      </c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O22" s="130">
        <f t="shared" si="11"/>
        <v>1</v>
      </c>
      <c r="AP22" s="553">
        <f t="shared" si="27"/>
        <v>14</v>
      </c>
      <c r="AQ22" s="554">
        <f t="shared" si="12"/>
        <v>45265</v>
      </c>
      <c r="AR22" s="555">
        <f t="shared" si="2"/>
        <v>0.13900000000000001</v>
      </c>
      <c r="AS22" s="546">
        <f t="shared" si="13"/>
        <v>23217</v>
      </c>
      <c r="AT22" s="546">
        <f t="shared" si="14"/>
        <v>23217</v>
      </c>
      <c r="AU22" s="546">
        <f t="shared" si="15"/>
        <v>9573.5939466347463</v>
      </c>
      <c r="AV22" s="546">
        <f t="shared" si="16"/>
        <v>13643.406053365254</v>
      </c>
      <c r="AW22" s="546"/>
      <c r="AX22" s="546">
        <v>0</v>
      </c>
      <c r="AY22" s="546">
        <f t="shared" si="17"/>
        <v>9573.5939466347463</v>
      </c>
      <c r="AZ22" s="546">
        <f t="shared" si="32"/>
        <v>0</v>
      </c>
      <c r="BA22" s="546">
        <f t="shared" si="30"/>
        <v>0</v>
      </c>
      <c r="BB22" s="546"/>
      <c r="BC22" s="546"/>
      <c r="BD22" s="546"/>
      <c r="BE22" s="546"/>
      <c r="BF22" s="546"/>
      <c r="BG22" s="546">
        <f t="shared" si="19"/>
        <v>824333.0425129853</v>
      </c>
      <c r="BH22" s="108">
        <f t="shared" si="28"/>
        <v>47</v>
      </c>
      <c r="BI22" s="108">
        <f t="shared" si="23"/>
        <v>47</v>
      </c>
      <c r="BJ22" s="22">
        <f t="shared" si="24"/>
        <v>45265</v>
      </c>
      <c r="BK22" s="108">
        <f t="shared" si="3"/>
        <v>22562</v>
      </c>
      <c r="BX22" s="16" t="s">
        <v>373</v>
      </c>
      <c r="BY22" s="143">
        <f>(C7+C15)/(1-BZ16*BY21)</f>
        <v>1136363.6363636365</v>
      </c>
      <c r="BZ22" s="16"/>
      <c r="CA22" s="16"/>
      <c r="CB22" s="16" t="s">
        <v>373</v>
      </c>
      <c r="CC22" s="143">
        <f>BY22</f>
        <v>1136363.6363636365</v>
      </c>
      <c r="CD22" s="16"/>
      <c r="CE22" s="16" t="s">
        <v>373</v>
      </c>
      <c r="CF22" s="143">
        <f>(C7+C15)/(1-BZ18*CF21)</f>
        <v>1047778.7091366303</v>
      </c>
    </row>
    <row r="23" spans="1:393" ht="38.25" customHeight="1" x14ac:dyDescent="0.25">
      <c r="A23" s="883" t="s">
        <v>175</v>
      </c>
      <c r="B23" s="884"/>
      <c r="C23" s="884"/>
      <c r="D23" s="884"/>
      <c r="E23" s="885"/>
      <c r="F23" s="226"/>
      <c r="G23" s="244">
        <f t="shared" si="25"/>
        <v>15</v>
      </c>
      <c r="H23" s="245">
        <f t="shared" si="4"/>
        <v>45296</v>
      </c>
      <c r="I23" s="246">
        <f t="shared" si="5"/>
        <v>4.9000000000000002E-2</v>
      </c>
      <c r="J23" s="242">
        <f t="shared" si="6"/>
        <v>22562</v>
      </c>
      <c r="K23" s="242">
        <f t="shared" si="20"/>
        <v>22562</v>
      </c>
      <c r="L23" s="242">
        <f t="shared" si="7"/>
        <v>3930.4993669346559</v>
      </c>
      <c r="M23" s="242">
        <f t="shared" si="21"/>
        <v>18631.500633065345</v>
      </c>
      <c r="N23" s="242">
        <f t="shared" si="1"/>
        <v>0</v>
      </c>
      <c r="O23" s="242">
        <v>0</v>
      </c>
      <c r="P23" s="242">
        <f t="shared" si="22"/>
        <v>3930.4993669346559</v>
      </c>
      <c r="Q23" s="242">
        <f t="shared" si="29"/>
        <v>0</v>
      </c>
      <c r="R23" s="242">
        <f t="shared" si="8"/>
        <v>0</v>
      </c>
      <c r="S23" s="242">
        <f t="shared" si="9"/>
        <v>925826.87259349774</v>
      </c>
      <c r="T23" s="467"/>
      <c r="U23" s="198">
        <f t="shared" si="26"/>
        <v>46</v>
      </c>
      <c r="V23" s="36">
        <f t="shared" si="10"/>
        <v>46</v>
      </c>
      <c r="W23" s="2">
        <v>1</v>
      </c>
      <c r="X23" s="2">
        <v>1</v>
      </c>
      <c r="Y23" s="3">
        <v>1</v>
      </c>
      <c r="Z23" s="2">
        <v>1</v>
      </c>
      <c r="AA23" s="3">
        <v>1</v>
      </c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O23" s="130">
        <f t="shared" si="11"/>
        <v>1</v>
      </c>
      <c r="AP23" s="553">
        <f t="shared" si="27"/>
        <v>15</v>
      </c>
      <c r="AQ23" s="554">
        <f t="shared" si="12"/>
        <v>45296</v>
      </c>
      <c r="AR23" s="555">
        <f t="shared" si="2"/>
        <v>0.13900000000000001</v>
      </c>
      <c r="AS23" s="546">
        <f t="shared" si="13"/>
        <v>23217</v>
      </c>
      <c r="AT23" s="546">
        <f t="shared" si="14"/>
        <v>23217</v>
      </c>
      <c r="AU23" s="546">
        <f t="shared" si="15"/>
        <v>9731.6467950368606</v>
      </c>
      <c r="AV23" s="546">
        <f t="shared" si="16"/>
        <v>13485.353204963139</v>
      </c>
      <c r="AW23" s="546"/>
      <c r="AX23" s="546">
        <v>0</v>
      </c>
      <c r="AY23" s="546">
        <f t="shared" si="17"/>
        <v>9731.6467950368606</v>
      </c>
      <c r="AZ23" s="546">
        <f t="shared" si="32"/>
        <v>0</v>
      </c>
      <c r="BA23" s="546">
        <f t="shared" si="30"/>
        <v>0</v>
      </c>
      <c r="BB23" s="546"/>
      <c r="BC23" s="546"/>
      <c r="BD23" s="546"/>
      <c r="BE23" s="546"/>
      <c r="BF23" s="546"/>
      <c r="BG23" s="546">
        <f t="shared" si="19"/>
        <v>810847.68930802215</v>
      </c>
      <c r="BH23" s="108">
        <f t="shared" si="28"/>
        <v>46</v>
      </c>
      <c r="BI23" s="108">
        <f t="shared" si="23"/>
        <v>46</v>
      </c>
      <c r="BJ23" s="22">
        <f t="shared" si="24"/>
        <v>45296</v>
      </c>
      <c r="BK23" s="108">
        <f t="shared" si="3"/>
        <v>22562</v>
      </c>
      <c r="BX23" s="16" t="s">
        <v>374</v>
      </c>
      <c r="BY23" s="143">
        <f>BY22*BZ16*BY21</f>
        <v>136363.63636363638</v>
      </c>
      <c r="BZ23" s="16"/>
      <c r="CA23" s="16"/>
      <c r="CB23" s="16" t="s">
        <v>374</v>
      </c>
      <c r="CC23" s="143">
        <f>BY23</f>
        <v>136363.63636363638</v>
      </c>
      <c r="CD23" s="16"/>
      <c r="CE23" s="16" t="s">
        <v>374</v>
      </c>
      <c r="CF23" s="143">
        <f>CF22*BZ18*CF21</f>
        <v>47778.709136630343</v>
      </c>
    </row>
    <row r="24" spans="1:393" ht="27.75" customHeight="1" x14ac:dyDescent="0.25">
      <c r="A24" s="847" t="s">
        <v>186</v>
      </c>
      <c r="B24" s="677" t="s">
        <v>180</v>
      </c>
      <c r="C24" s="674">
        <f>C21/($C$10/12)</f>
        <v>31073.752198254504</v>
      </c>
      <c r="D24" s="674">
        <f>D21/($C$10/12)</f>
        <v>78688.589342805717</v>
      </c>
      <c r="E24" s="674">
        <f>C24-D24</f>
        <v>-47614.837144551217</v>
      </c>
      <c r="F24" s="226"/>
      <c r="G24" s="244">
        <f t="shared" si="25"/>
        <v>16</v>
      </c>
      <c r="H24" s="245">
        <f t="shared" si="4"/>
        <v>45327</v>
      </c>
      <c r="I24" s="246">
        <f t="shared" si="5"/>
        <v>4.9000000000000002E-2</v>
      </c>
      <c r="J24" s="242">
        <f t="shared" si="6"/>
        <v>22562</v>
      </c>
      <c r="K24" s="242">
        <f t="shared" si="20"/>
        <v>22562</v>
      </c>
      <c r="L24" s="242">
        <f t="shared" si="7"/>
        <v>3852.9616971767755</v>
      </c>
      <c r="M24" s="242">
        <f t="shared" si="21"/>
        <v>18709.038302823225</v>
      </c>
      <c r="N24" s="242">
        <f t="shared" si="1"/>
        <v>0</v>
      </c>
      <c r="O24" s="242">
        <v>0</v>
      </c>
      <c r="P24" s="242">
        <f t="shared" si="22"/>
        <v>3852.9616971767755</v>
      </c>
      <c r="Q24" s="242">
        <f t="shared" si="29"/>
        <v>0</v>
      </c>
      <c r="R24" s="242">
        <f t="shared" si="8"/>
        <v>0</v>
      </c>
      <c r="S24" s="242">
        <f t="shared" si="9"/>
        <v>907117.83429067454</v>
      </c>
      <c r="T24" s="467"/>
      <c r="U24" s="198">
        <f t="shared" si="26"/>
        <v>45</v>
      </c>
      <c r="V24" s="36">
        <f t="shared" si="10"/>
        <v>45</v>
      </c>
      <c r="AB24" s="3">
        <v>1</v>
      </c>
      <c r="AC24" s="15">
        <v>4.9000000000000002E-2</v>
      </c>
      <c r="AD24" s="15">
        <v>4.9000000000000002E-2</v>
      </c>
      <c r="AE24" s="15">
        <v>4.9000000000000002E-2</v>
      </c>
      <c r="AF24" s="80">
        <v>6.9000000000000006E-2</v>
      </c>
      <c r="AG24" s="80">
        <v>6.9000000000000006E-2</v>
      </c>
      <c r="AH24" s="80">
        <v>6.9000000000000006E-2</v>
      </c>
      <c r="AI24" s="80">
        <v>6.9000000000000006E-2</v>
      </c>
      <c r="AJ24" s="80">
        <v>6.9000000000000006E-2</v>
      </c>
      <c r="AK24" s="80">
        <v>6.9000000000000006E-2</v>
      </c>
      <c r="AL24" s="80">
        <v>6.9000000000000006E-2</v>
      </c>
      <c r="AO24" s="130">
        <f t="shared" si="11"/>
        <v>1</v>
      </c>
      <c r="AP24" s="553">
        <f t="shared" si="27"/>
        <v>16</v>
      </c>
      <c r="AQ24" s="554">
        <f t="shared" si="12"/>
        <v>45327</v>
      </c>
      <c r="AR24" s="555">
        <f t="shared" si="2"/>
        <v>0.13900000000000001</v>
      </c>
      <c r="AS24" s="546">
        <f t="shared" si="13"/>
        <v>23217</v>
      </c>
      <c r="AT24" s="546">
        <f t="shared" si="14"/>
        <v>23217</v>
      </c>
      <c r="AU24" s="546">
        <f t="shared" si="15"/>
        <v>9572.4457348719661</v>
      </c>
      <c r="AV24" s="546">
        <f t="shared" si="16"/>
        <v>13644.554265128034</v>
      </c>
      <c r="AW24" s="546"/>
      <c r="AX24" s="546">
        <v>0</v>
      </c>
      <c r="AY24" s="546">
        <f t="shared" si="17"/>
        <v>9572.4457348719661</v>
      </c>
      <c r="AZ24" s="546">
        <f t="shared" si="32"/>
        <v>0</v>
      </c>
      <c r="BA24" s="546">
        <f t="shared" si="30"/>
        <v>0</v>
      </c>
      <c r="BB24" s="546"/>
      <c r="BC24" s="546"/>
      <c r="BD24" s="546"/>
      <c r="BE24" s="546"/>
      <c r="BF24" s="546"/>
      <c r="BG24" s="546">
        <f t="shared" si="19"/>
        <v>797203.13504289417</v>
      </c>
      <c r="BH24" s="108">
        <f t="shared" si="28"/>
        <v>45</v>
      </c>
      <c r="BI24" s="108">
        <f t="shared" si="23"/>
        <v>45</v>
      </c>
      <c r="BJ24" s="22">
        <f t="shared" si="24"/>
        <v>45327</v>
      </c>
      <c r="BK24" s="108">
        <f t="shared" si="3"/>
        <v>22562</v>
      </c>
      <c r="BX24" s="16"/>
      <c r="BY24" s="16"/>
      <c r="BZ24" s="16"/>
      <c r="CA24" s="16"/>
      <c r="CB24" s="16"/>
      <c r="CC24" s="16"/>
      <c r="CD24" s="16"/>
      <c r="CE24" s="16"/>
      <c r="CF24" s="16"/>
    </row>
    <row r="25" spans="1:393" ht="18" customHeight="1" x14ac:dyDescent="0.25">
      <c r="A25" s="847"/>
      <c r="B25" s="677" t="s">
        <v>181</v>
      </c>
      <c r="C25" s="201">
        <f>C24/C18</f>
        <v>2.5927938834223556E-2</v>
      </c>
      <c r="D25" s="201">
        <f>D24/D18</f>
        <v>7.8688589342805718E-2</v>
      </c>
      <c r="E25" s="674"/>
      <c r="F25" s="226"/>
      <c r="G25" s="244">
        <f t="shared" si="25"/>
        <v>17</v>
      </c>
      <c r="H25" s="245">
        <f t="shared" si="4"/>
        <v>45356</v>
      </c>
      <c r="I25" s="246">
        <f t="shared" si="5"/>
        <v>4.9000000000000002E-2</v>
      </c>
      <c r="J25" s="242">
        <f t="shared" si="6"/>
        <v>22562</v>
      </c>
      <c r="K25" s="242">
        <f t="shared" si="20"/>
        <v>22562</v>
      </c>
      <c r="L25" s="242">
        <f t="shared" si="7"/>
        <v>3531.5464178823249</v>
      </c>
      <c r="M25" s="242">
        <f t="shared" si="21"/>
        <v>19030.453582117676</v>
      </c>
      <c r="N25" s="242">
        <f t="shared" si="1"/>
        <v>0</v>
      </c>
      <c r="O25" s="242">
        <v>0</v>
      </c>
      <c r="P25" s="242">
        <f t="shared" si="22"/>
        <v>3531.5464178823249</v>
      </c>
      <c r="Q25" s="242">
        <f t="shared" si="29"/>
        <v>0</v>
      </c>
      <c r="R25" s="242">
        <f t="shared" si="8"/>
        <v>0</v>
      </c>
      <c r="S25" s="242">
        <f t="shared" si="9"/>
        <v>888087.38070855686</v>
      </c>
      <c r="T25" s="467"/>
      <c r="U25" s="198">
        <f t="shared" si="26"/>
        <v>44</v>
      </c>
      <c r="V25" s="36">
        <f t="shared" si="10"/>
        <v>44</v>
      </c>
      <c r="W25" s="2">
        <v>0</v>
      </c>
      <c r="X25" s="2">
        <v>1</v>
      </c>
      <c r="Y25" s="2">
        <v>2</v>
      </c>
      <c r="Z25" s="2">
        <v>3</v>
      </c>
      <c r="AA25" s="2">
        <v>4</v>
      </c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6"/>
      <c r="AN25" s="116"/>
      <c r="AO25" s="130">
        <f t="shared" si="11"/>
        <v>1</v>
      </c>
      <c r="AP25" s="558">
        <f t="shared" si="27"/>
        <v>17</v>
      </c>
      <c r="AQ25" s="554">
        <f t="shared" si="12"/>
        <v>45356</v>
      </c>
      <c r="AR25" s="555">
        <f t="shared" si="2"/>
        <v>0.13900000000000001</v>
      </c>
      <c r="AS25" s="546">
        <f t="shared" si="13"/>
        <v>23217</v>
      </c>
      <c r="AT25" s="546">
        <f t="shared" si="14"/>
        <v>23217</v>
      </c>
      <c r="AU25" s="546">
        <f t="shared" si="15"/>
        <v>8804.1803763230328</v>
      </c>
      <c r="AV25" s="546">
        <f t="shared" si="16"/>
        <v>14412.819623676967</v>
      </c>
      <c r="AW25" s="546"/>
      <c r="AX25" s="546">
        <v>0</v>
      </c>
      <c r="AY25" s="546">
        <f t="shared" si="17"/>
        <v>8804.1803763230328</v>
      </c>
      <c r="AZ25" s="546">
        <f t="shared" si="32"/>
        <v>0</v>
      </c>
      <c r="BA25" s="546">
        <f t="shared" si="30"/>
        <v>0</v>
      </c>
      <c r="BB25" s="546"/>
      <c r="BC25" s="546"/>
      <c r="BD25" s="546"/>
      <c r="BE25" s="546"/>
      <c r="BF25" s="546"/>
      <c r="BG25" s="546">
        <f t="shared" si="19"/>
        <v>782790.31541921722</v>
      </c>
      <c r="BH25" s="108">
        <f t="shared" si="28"/>
        <v>44</v>
      </c>
      <c r="BI25" s="108">
        <f t="shared" si="23"/>
        <v>44</v>
      </c>
      <c r="BJ25" s="22">
        <f t="shared" si="24"/>
        <v>45356</v>
      </c>
      <c r="BK25" s="108">
        <f t="shared" si="3"/>
        <v>22562</v>
      </c>
      <c r="BX25" s="16"/>
      <c r="BY25" s="16"/>
      <c r="BZ25" s="16"/>
      <c r="CA25" s="16"/>
      <c r="CB25" s="16"/>
      <c r="CC25" s="16"/>
      <c r="CD25" s="16"/>
      <c r="CE25" s="16"/>
      <c r="CF25" s="16"/>
    </row>
    <row r="26" spans="1:393" ht="35.25" customHeight="1" x14ac:dyDescent="0.25">
      <c r="A26" s="846" t="s">
        <v>177</v>
      </c>
      <c r="B26" s="846"/>
      <c r="C26" s="190">
        <f>C24/12</f>
        <v>2589.4793498545419</v>
      </c>
      <c r="D26" s="674">
        <f>D24/12</f>
        <v>6557.3824452338094</v>
      </c>
      <c r="E26" s="674">
        <f>C26-D26</f>
        <v>-3967.9030953792676</v>
      </c>
      <c r="F26" s="192"/>
      <c r="G26" s="244">
        <f t="shared" si="25"/>
        <v>18</v>
      </c>
      <c r="H26" s="245">
        <f t="shared" si="4"/>
        <v>45387</v>
      </c>
      <c r="I26" s="246">
        <f t="shared" si="5"/>
        <v>4.9000000000000002E-2</v>
      </c>
      <c r="J26" s="242">
        <f t="shared" si="6"/>
        <v>22562</v>
      </c>
      <c r="K26" s="242">
        <f t="shared" si="20"/>
        <v>22562</v>
      </c>
      <c r="L26" s="242">
        <f t="shared" si="7"/>
        <v>3695.9033734145146</v>
      </c>
      <c r="M26" s="242">
        <f t="shared" si="21"/>
        <v>18866.096626585484</v>
      </c>
      <c r="N26" s="242">
        <f t="shared" si="1"/>
        <v>0</v>
      </c>
      <c r="O26" s="242">
        <v>0</v>
      </c>
      <c r="P26" s="242">
        <f t="shared" si="22"/>
        <v>3695.9033734145146</v>
      </c>
      <c r="Q26" s="242">
        <f t="shared" si="29"/>
        <v>0</v>
      </c>
      <c r="R26" s="242">
        <f t="shared" si="8"/>
        <v>0</v>
      </c>
      <c r="S26" s="242">
        <f t="shared" si="9"/>
        <v>869221.28408197139</v>
      </c>
      <c r="T26" s="467"/>
      <c r="U26" s="198">
        <f t="shared" si="26"/>
        <v>43</v>
      </c>
      <c r="V26" s="36">
        <f t="shared" si="10"/>
        <v>43</v>
      </c>
      <c r="AB26" s="13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O26" s="130">
        <f t="shared" si="11"/>
        <v>1</v>
      </c>
      <c r="AP26" s="553">
        <f t="shared" si="27"/>
        <v>18</v>
      </c>
      <c r="AQ26" s="554">
        <f t="shared" si="12"/>
        <v>45387</v>
      </c>
      <c r="AR26" s="555">
        <f t="shared" si="2"/>
        <v>0.13900000000000001</v>
      </c>
      <c r="AS26" s="546">
        <f t="shared" si="13"/>
        <v>23217</v>
      </c>
      <c r="AT26" s="546">
        <f t="shared" si="14"/>
        <v>23217</v>
      </c>
      <c r="AU26" s="546">
        <f t="shared" si="15"/>
        <v>9241.2149839490612</v>
      </c>
      <c r="AV26" s="546">
        <f t="shared" si="16"/>
        <v>13975.785016050939</v>
      </c>
      <c r="AW26" s="546"/>
      <c r="AX26" s="546">
        <v>0</v>
      </c>
      <c r="AY26" s="546">
        <f t="shared" si="17"/>
        <v>9241.2149839490612</v>
      </c>
      <c r="AZ26" s="546">
        <f t="shared" si="32"/>
        <v>0</v>
      </c>
      <c r="BA26" s="546">
        <f t="shared" si="30"/>
        <v>0</v>
      </c>
      <c r="BB26" s="546"/>
      <c r="BC26" s="546"/>
      <c r="BD26" s="546"/>
      <c r="BE26" s="546"/>
      <c r="BF26" s="546"/>
      <c r="BG26" s="546">
        <f t="shared" si="19"/>
        <v>768814.53040316631</v>
      </c>
      <c r="BH26" s="108">
        <f t="shared" si="28"/>
        <v>43</v>
      </c>
      <c r="BI26" s="108">
        <f t="shared" si="23"/>
        <v>43</v>
      </c>
      <c r="BJ26" s="22">
        <f t="shared" si="24"/>
        <v>45387</v>
      </c>
      <c r="BK26" s="108">
        <f t="shared" si="3"/>
        <v>22562</v>
      </c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2" t="s">
        <v>381</v>
      </c>
      <c r="BZ26" s="16"/>
      <c r="CA26" s="16"/>
      <c r="CB26" s="2" t="s">
        <v>382</v>
      </c>
      <c r="CD26" s="16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97"/>
      <c r="DW26" s="97"/>
      <c r="DX26" s="97"/>
      <c r="DY26" s="97"/>
      <c r="DZ26" s="97"/>
      <c r="EA26" s="97"/>
      <c r="EB26" s="97"/>
      <c r="EC26" s="97"/>
      <c r="ED26" s="97"/>
      <c r="EE26" s="97"/>
      <c r="EF26" s="97"/>
      <c r="EG26" s="97"/>
      <c r="EH26" s="97"/>
      <c r="EI26" s="97"/>
      <c r="EJ26" s="97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97"/>
      <c r="FC26" s="97"/>
      <c r="FD26" s="97"/>
      <c r="FE26" s="97"/>
      <c r="FF26" s="97"/>
      <c r="FG26" s="97"/>
      <c r="FH26" s="97"/>
      <c r="FI26" s="97"/>
      <c r="FJ26" s="97"/>
      <c r="FK26" s="97"/>
      <c r="FL26" s="97"/>
      <c r="FM26" s="97"/>
      <c r="FN26" s="97"/>
      <c r="FO26" s="97"/>
      <c r="FP26" s="97"/>
      <c r="FQ26" s="97"/>
      <c r="FR26" s="97"/>
      <c r="FS26" s="97"/>
      <c r="FT26" s="97"/>
      <c r="FU26" s="97"/>
      <c r="FV26" s="97"/>
      <c r="FW26" s="97"/>
      <c r="FX26" s="97"/>
      <c r="FY26" s="97"/>
      <c r="FZ26" s="97"/>
      <c r="GA26" s="97"/>
      <c r="GB26" s="97"/>
      <c r="GC26" s="97"/>
      <c r="GD26" s="97"/>
      <c r="GE26" s="97"/>
      <c r="GF26" s="97"/>
      <c r="GG26" s="97"/>
      <c r="GH26" s="97"/>
      <c r="GI26" s="97"/>
      <c r="GJ26" s="97"/>
      <c r="GK26" s="97"/>
      <c r="GL26" s="97"/>
      <c r="GM26" s="97"/>
      <c r="GN26" s="97"/>
      <c r="GO26" s="97"/>
      <c r="GP26" s="97"/>
      <c r="GQ26" s="97"/>
      <c r="GR26" s="97"/>
      <c r="GS26" s="97"/>
      <c r="GT26" s="97"/>
      <c r="GU26" s="97"/>
      <c r="GV26" s="97"/>
      <c r="GW26" s="97"/>
      <c r="GX26" s="97"/>
      <c r="GY26" s="97"/>
      <c r="GZ26" s="97"/>
      <c r="HA26" s="97"/>
      <c r="HB26" s="97"/>
      <c r="HC26" s="97"/>
      <c r="HD26" s="97"/>
      <c r="HE26" s="97"/>
      <c r="HF26" s="97"/>
      <c r="HG26" s="97"/>
      <c r="HH26" s="97"/>
      <c r="HI26" s="97"/>
      <c r="HJ26" s="97"/>
      <c r="HK26" s="97"/>
      <c r="HL26" s="97"/>
      <c r="HM26" s="97"/>
      <c r="HN26" s="97"/>
      <c r="HO26" s="97"/>
      <c r="HP26" s="97"/>
      <c r="HQ26" s="97"/>
      <c r="HR26" s="97"/>
      <c r="HS26" s="97"/>
      <c r="HT26" s="97"/>
      <c r="HU26" s="97"/>
      <c r="HV26" s="97"/>
      <c r="HW26" s="97"/>
      <c r="HX26" s="97"/>
      <c r="HY26" s="97"/>
      <c r="HZ26" s="97"/>
      <c r="IA26" s="97"/>
      <c r="IB26" s="97"/>
      <c r="IC26" s="97"/>
      <c r="ID26" s="97"/>
      <c r="IE26" s="97"/>
      <c r="IF26" s="97"/>
      <c r="IG26" s="97"/>
      <c r="IH26" s="97"/>
      <c r="II26" s="97"/>
      <c r="IJ26" s="97"/>
      <c r="IK26" s="97"/>
      <c r="IL26" s="97"/>
      <c r="IM26" s="97"/>
      <c r="IN26" s="97"/>
      <c r="IO26" s="97"/>
      <c r="IP26" s="97"/>
      <c r="IQ26" s="97"/>
      <c r="IR26" s="97"/>
      <c r="IS26" s="97"/>
      <c r="IT26" s="97"/>
      <c r="IU26" s="97"/>
      <c r="IV26" s="97"/>
      <c r="IW26" s="97"/>
      <c r="IX26" s="97"/>
      <c r="IY26" s="97"/>
      <c r="IZ26" s="97"/>
      <c r="JA26" s="97"/>
      <c r="JB26" s="97"/>
      <c r="JC26" s="97"/>
      <c r="JD26" s="97"/>
      <c r="JE26" s="97"/>
      <c r="JF26" s="97"/>
      <c r="JG26" s="97"/>
      <c r="JH26" s="97"/>
      <c r="JI26" s="97"/>
      <c r="JJ26" s="97"/>
      <c r="JK26" s="97"/>
      <c r="JL26" s="97"/>
      <c r="JM26" s="97"/>
      <c r="JN26" s="97"/>
      <c r="JO26" s="97"/>
      <c r="JP26" s="97"/>
      <c r="JQ26" s="97"/>
      <c r="JR26" s="97"/>
      <c r="JS26" s="97"/>
      <c r="JT26" s="97"/>
      <c r="JU26" s="97"/>
      <c r="JV26" s="97"/>
      <c r="JW26" s="97"/>
      <c r="JX26" s="97"/>
      <c r="JY26" s="97"/>
      <c r="JZ26" s="97"/>
      <c r="KA26" s="97"/>
      <c r="KB26" s="97"/>
      <c r="KC26" s="97"/>
      <c r="KD26" s="97"/>
      <c r="KE26" s="97"/>
      <c r="KF26" s="97"/>
      <c r="KG26" s="97"/>
      <c r="KH26" s="97"/>
      <c r="KI26" s="97"/>
      <c r="KJ26" s="97"/>
      <c r="KK26" s="97"/>
      <c r="KL26" s="97"/>
      <c r="KM26" s="97"/>
      <c r="KN26" s="97"/>
      <c r="KO26" s="97"/>
      <c r="KP26" s="97"/>
      <c r="KQ26" s="97"/>
      <c r="KR26" s="97"/>
      <c r="KS26" s="97"/>
      <c r="KT26" s="97"/>
      <c r="KU26" s="97"/>
      <c r="KV26" s="97"/>
      <c r="KW26" s="97"/>
      <c r="KX26" s="97"/>
      <c r="KY26" s="97"/>
      <c r="KZ26" s="97"/>
      <c r="LA26" s="97"/>
      <c r="LB26" s="97"/>
      <c r="LC26" s="97"/>
      <c r="LD26" s="97"/>
      <c r="LE26" s="97"/>
      <c r="LF26" s="97"/>
      <c r="LG26" s="97"/>
      <c r="LH26" s="97"/>
      <c r="LI26" s="97"/>
      <c r="LJ26" s="97"/>
      <c r="LK26" s="97"/>
      <c r="LL26" s="97"/>
      <c r="LM26" s="97"/>
      <c r="LN26" s="97"/>
      <c r="LO26" s="97"/>
      <c r="LP26" s="97"/>
      <c r="LQ26" s="97"/>
      <c r="LR26" s="97"/>
      <c r="LS26" s="97"/>
      <c r="LT26" s="97"/>
      <c r="LU26" s="97"/>
      <c r="LV26" s="97"/>
      <c r="LW26" s="97"/>
      <c r="LX26" s="97"/>
      <c r="LY26" s="97"/>
      <c r="LZ26" s="97"/>
      <c r="MA26" s="97"/>
      <c r="MB26" s="97"/>
      <c r="MC26" s="97"/>
      <c r="MD26" s="97"/>
      <c r="ME26" s="97"/>
      <c r="MF26" s="97"/>
      <c r="MG26" s="97"/>
      <c r="MH26" s="97"/>
      <c r="MI26" s="97"/>
      <c r="MJ26" s="97"/>
      <c r="MK26" s="97"/>
      <c r="ML26" s="97"/>
      <c r="MM26" s="97"/>
      <c r="MN26" s="97"/>
      <c r="MO26" s="97"/>
      <c r="MP26" s="97"/>
      <c r="MQ26" s="97"/>
      <c r="MR26" s="97"/>
      <c r="MS26" s="97"/>
      <c r="MT26" s="97"/>
      <c r="MU26" s="97"/>
      <c r="MV26" s="97"/>
      <c r="MW26" s="97"/>
      <c r="MX26" s="97"/>
      <c r="MY26" s="97"/>
      <c r="MZ26" s="97"/>
      <c r="NA26" s="97"/>
      <c r="NB26" s="97"/>
      <c r="NC26" s="97"/>
      <c r="ND26" s="97"/>
      <c r="NE26" s="97"/>
      <c r="NF26" s="97"/>
      <c r="NG26" s="97"/>
      <c r="NH26" s="97"/>
      <c r="NI26" s="97"/>
      <c r="NJ26" s="97"/>
      <c r="NK26" s="97"/>
      <c r="NL26" s="97"/>
      <c r="NM26" s="97"/>
      <c r="NN26" s="97"/>
      <c r="NO26" s="97"/>
      <c r="NP26" s="97"/>
      <c r="NQ26" s="97"/>
      <c r="NR26" s="97"/>
      <c r="NS26" s="97"/>
      <c r="NT26" s="97"/>
      <c r="NU26" s="97"/>
      <c r="NV26" s="97"/>
      <c r="NW26" s="97"/>
      <c r="NX26" s="97"/>
      <c r="NY26" s="97"/>
      <c r="NZ26" s="97"/>
      <c r="OA26" s="97"/>
      <c r="OB26" s="97"/>
      <c r="OC26" s="97"/>
    </row>
    <row r="27" spans="1:393" ht="16.95" customHeight="1" thickBot="1" x14ac:dyDescent="0.3">
      <c r="A27" s="843" t="s">
        <v>176</v>
      </c>
      <c r="B27" s="843"/>
      <c r="C27" s="203">
        <f>C26/30</f>
        <v>86.315978328484732</v>
      </c>
      <c r="D27" s="202">
        <f>D26/30</f>
        <v>218.57941484112698</v>
      </c>
      <c r="E27" s="202">
        <f>C27-D27</f>
        <v>-132.26343651264224</v>
      </c>
      <c r="F27" s="192"/>
      <c r="G27" s="244">
        <f t="shared" si="25"/>
        <v>19</v>
      </c>
      <c r="H27" s="245">
        <f t="shared" si="4"/>
        <v>45417</v>
      </c>
      <c r="I27" s="246">
        <f t="shared" si="5"/>
        <v>4.9000000000000002E-2</v>
      </c>
      <c r="J27" s="242">
        <f t="shared" si="6"/>
        <v>22562</v>
      </c>
      <c r="K27" s="242">
        <f t="shared" si="20"/>
        <v>22562</v>
      </c>
      <c r="L27" s="242">
        <f t="shared" si="7"/>
        <v>3500.6994180835563</v>
      </c>
      <c r="M27" s="242">
        <f t="shared" si="21"/>
        <v>19061.300581916443</v>
      </c>
      <c r="N27" s="242">
        <f t="shared" si="1"/>
        <v>0</v>
      </c>
      <c r="O27" s="242">
        <v>0</v>
      </c>
      <c r="P27" s="242">
        <f t="shared" si="22"/>
        <v>3500.6994180835563</v>
      </c>
      <c r="Q27" s="242">
        <f t="shared" si="29"/>
        <v>0</v>
      </c>
      <c r="R27" s="242">
        <f t="shared" si="8"/>
        <v>0</v>
      </c>
      <c r="S27" s="242">
        <f t="shared" si="9"/>
        <v>850159.98350005492</v>
      </c>
      <c r="T27" s="467"/>
      <c r="U27" s="198">
        <f t="shared" si="26"/>
        <v>42</v>
      </c>
      <c r="V27" s="36">
        <f t="shared" si="10"/>
        <v>42</v>
      </c>
      <c r="W27" s="16"/>
      <c r="X27" s="16"/>
      <c r="Y27" s="57"/>
      <c r="AB27" s="13" t="s">
        <v>79</v>
      </c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O27" s="130">
        <f t="shared" si="11"/>
        <v>1</v>
      </c>
      <c r="AP27" s="553">
        <f t="shared" si="27"/>
        <v>19</v>
      </c>
      <c r="AQ27" s="554">
        <f t="shared" si="12"/>
        <v>45417</v>
      </c>
      <c r="AR27" s="555">
        <f t="shared" si="2"/>
        <v>0.13900000000000001</v>
      </c>
      <c r="AS27" s="546">
        <f t="shared" si="13"/>
        <v>23217</v>
      </c>
      <c r="AT27" s="546">
        <f t="shared" si="14"/>
        <v>23217</v>
      </c>
      <c r="AU27" s="546">
        <f t="shared" si="15"/>
        <v>8783.442717208778</v>
      </c>
      <c r="AV27" s="546">
        <f t="shared" si="16"/>
        <v>14433.557282791222</v>
      </c>
      <c r="AW27" s="546"/>
      <c r="AX27" s="546">
        <v>0</v>
      </c>
      <c r="AY27" s="546">
        <f t="shared" si="17"/>
        <v>8783.442717208778</v>
      </c>
      <c r="AZ27" s="546">
        <f t="shared" si="32"/>
        <v>0</v>
      </c>
      <c r="BA27" s="546">
        <f t="shared" si="30"/>
        <v>0</v>
      </c>
      <c r="BB27" s="546"/>
      <c r="BC27" s="546"/>
      <c r="BD27" s="546"/>
      <c r="BE27" s="546"/>
      <c r="BF27" s="546"/>
      <c r="BG27" s="546">
        <f t="shared" si="19"/>
        <v>754380.97312037507</v>
      </c>
      <c r="BH27" s="108">
        <f t="shared" si="28"/>
        <v>42</v>
      </c>
      <c r="BI27" s="108">
        <f t="shared" si="23"/>
        <v>42</v>
      </c>
      <c r="BJ27" s="22">
        <f t="shared" si="24"/>
        <v>45417</v>
      </c>
      <c r="BK27" s="108">
        <f t="shared" si="3"/>
        <v>22562</v>
      </c>
      <c r="BX27" s="16" t="s">
        <v>373</v>
      </c>
      <c r="BY27" s="143">
        <f>(C7+C15)/(1-BZ16*BY21-BZ18*CF21)</f>
        <v>1198465.9635666346</v>
      </c>
      <c r="BZ27" s="16"/>
      <c r="CA27" s="16"/>
      <c r="CB27" s="16" t="s">
        <v>373</v>
      </c>
      <c r="CC27" s="143">
        <f>BY27</f>
        <v>1198465.9635666346</v>
      </c>
      <c r="CD27" s="16"/>
      <c r="CE27" s="16"/>
      <c r="CF27" s="143"/>
    </row>
    <row r="28" spans="1:393" ht="22.5" customHeight="1" x14ac:dyDescent="0.3">
      <c r="A28" s="178"/>
      <c r="B28" s="178"/>
      <c r="C28" s="184"/>
      <c r="D28" s="178"/>
      <c r="E28" s="178"/>
      <c r="F28" s="190"/>
      <c r="G28" s="244">
        <f t="shared" si="25"/>
        <v>20</v>
      </c>
      <c r="H28" s="245">
        <f t="shared" si="4"/>
        <v>45448</v>
      </c>
      <c r="I28" s="246">
        <f t="shared" si="5"/>
        <v>4.9000000000000002E-2</v>
      </c>
      <c r="J28" s="242">
        <f t="shared" si="6"/>
        <v>22562</v>
      </c>
      <c r="K28" s="242">
        <f t="shared" si="20"/>
        <v>22562</v>
      </c>
      <c r="L28" s="242">
        <f t="shared" si="7"/>
        <v>3538.0630546207767</v>
      </c>
      <c r="M28" s="242">
        <f t="shared" si="21"/>
        <v>19023.936945379224</v>
      </c>
      <c r="N28" s="242">
        <f t="shared" si="1"/>
        <v>0</v>
      </c>
      <c r="O28" s="242">
        <v>0</v>
      </c>
      <c r="P28" s="242">
        <f t="shared" si="22"/>
        <v>3538.0630546207767</v>
      </c>
      <c r="Q28" s="242">
        <f t="shared" si="29"/>
        <v>0</v>
      </c>
      <c r="R28" s="242">
        <f t="shared" si="8"/>
        <v>0</v>
      </c>
      <c r="S28" s="242">
        <f t="shared" si="9"/>
        <v>831136.04655467567</v>
      </c>
      <c r="T28" s="467"/>
      <c r="U28" s="198">
        <f t="shared" si="26"/>
        <v>41</v>
      </c>
      <c r="V28" s="36">
        <f t="shared" si="10"/>
        <v>41</v>
      </c>
      <c r="W28" s="16"/>
      <c r="X28" s="16"/>
      <c r="Y28" s="57" t="s">
        <v>47</v>
      </c>
      <c r="Z28" s="2" t="s">
        <v>35</v>
      </c>
      <c r="AB28" s="13" t="s">
        <v>80</v>
      </c>
      <c r="AC28" s="3">
        <v>1</v>
      </c>
      <c r="AD28" s="3">
        <v>1</v>
      </c>
      <c r="AE28" s="3">
        <v>1</v>
      </c>
      <c r="AF28" s="81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O28" s="130">
        <f t="shared" si="11"/>
        <v>1</v>
      </c>
      <c r="AP28" s="553">
        <f t="shared" si="27"/>
        <v>20</v>
      </c>
      <c r="AQ28" s="554">
        <f t="shared" si="12"/>
        <v>45448</v>
      </c>
      <c r="AR28" s="555">
        <f t="shared" si="2"/>
        <v>0.13900000000000001</v>
      </c>
      <c r="AS28" s="546">
        <f t="shared" si="13"/>
        <v>23217</v>
      </c>
      <c r="AT28" s="546">
        <f t="shared" si="14"/>
        <v>23217</v>
      </c>
      <c r="AU28" s="546">
        <f t="shared" si="15"/>
        <v>8905.8290771936881</v>
      </c>
      <c r="AV28" s="546">
        <f t="shared" si="16"/>
        <v>14311.170922806312</v>
      </c>
      <c r="AW28" s="546"/>
      <c r="AX28" s="546">
        <v>0</v>
      </c>
      <c r="AY28" s="546">
        <f t="shared" si="17"/>
        <v>8905.8290771936881</v>
      </c>
      <c r="AZ28" s="546">
        <f t="shared" si="32"/>
        <v>0</v>
      </c>
      <c r="BA28" s="546">
        <f t="shared" si="30"/>
        <v>0</v>
      </c>
      <c r="BB28" s="546"/>
      <c r="BC28" s="546"/>
      <c r="BD28" s="546"/>
      <c r="BE28" s="546"/>
      <c r="BF28" s="546"/>
      <c r="BG28" s="546">
        <f t="shared" si="19"/>
        <v>740069.80219756882</v>
      </c>
      <c r="BH28" s="108">
        <f t="shared" si="28"/>
        <v>41</v>
      </c>
      <c r="BI28" s="108">
        <f t="shared" si="23"/>
        <v>41</v>
      </c>
      <c r="BJ28" s="22">
        <f t="shared" si="24"/>
        <v>45448</v>
      </c>
      <c r="BK28" s="108">
        <f t="shared" si="3"/>
        <v>22562</v>
      </c>
      <c r="BX28" s="16" t="s">
        <v>374</v>
      </c>
      <c r="BY28" s="143">
        <f>BY27*BZ16*BY21+BY27*BZ18*CF21</f>
        <v>198465.96356663469</v>
      </c>
      <c r="BZ28" s="16"/>
      <c r="CA28" s="16"/>
      <c r="CB28" s="16" t="s">
        <v>374</v>
      </c>
      <c r="CC28" s="143">
        <f>BY28</f>
        <v>198465.96356663469</v>
      </c>
      <c r="CD28" s="16"/>
      <c r="CE28" s="16"/>
      <c r="CF28" s="143"/>
    </row>
    <row r="29" spans="1:393" ht="19.5" customHeight="1" x14ac:dyDescent="0.3">
      <c r="A29" s="178"/>
      <c r="B29" s="179"/>
      <c r="C29" s="524"/>
      <c r="D29" s="179"/>
      <c r="E29" s="178"/>
      <c r="F29" s="234"/>
      <c r="G29" s="244">
        <f t="shared" si="25"/>
        <v>21</v>
      </c>
      <c r="H29" s="245">
        <f t="shared" si="4"/>
        <v>45478</v>
      </c>
      <c r="I29" s="246">
        <f t="shared" si="5"/>
        <v>4.9000000000000002E-2</v>
      </c>
      <c r="J29" s="242">
        <f t="shared" si="6"/>
        <v>22562</v>
      </c>
      <c r="K29" s="242">
        <f t="shared" si="20"/>
        <v>22562</v>
      </c>
      <c r="L29" s="242">
        <f t="shared" si="7"/>
        <v>3347.315036809242</v>
      </c>
      <c r="M29" s="242">
        <f t="shared" si="21"/>
        <v>19214.684963190757</v>
      </c>
      <c r="N29" s="242">
        <f t="shared" si="1"/>
        <v>0</v>
      </c>
      <c r="O29" s="242">
        <v>0</v>
      </c>
      <c r="P29" s="242">
        <f t="shared" si="22"/>
        <v>3347.315036809242</v>
      </c>
      <c r="Q29" s="242">
        <f t="shared" si="29"/>
        <v>0</v>
      </c>
      <c r="R29" s="242">
        <f t="shared" si="8"/>
        <v>0</v>
      </c>
      <c r="S29" s="242">
        <f t="shared" si="9"/>
        <v>811921.36159148486</v>
      </c>
      <c r="T29" s="467"/>
      <c r="U29" s="198">
        <f t="shared" si="26"/>
        <v>40</v>
      </c>
      <c r="V29" s="36">
        <f t="shared" si="10"/>
        <v>40</v>
      </c>
      <c r="W29" s="16" t="s">
        <v>360</v>
      </c>
      <c r="X29" s="16"/>
      <c r="Y29" s="57"/>
      <c r="AE29" s="82"/>
      <c r="AF29" s="2"/>
      <c r="AG29" s="2"/>
      <c r="AH29" s="2"/>
      <c r="AI29" s="3"/>
      <c r="AJ29" s="3"/>
      <c r="AK29" s="3"/>
      <c r="AL29" s="3"/>
      <c r="AO29" s="130">
        <f t="shared" si="11"/>
        <v>1</v>
      </c>
      <c r="AP29" s="553">
        <f t="shared" si="27"/>
        <v>21</v>
      </c>
      <c r="AQ29" s="554">
        <f t="shared" si="12"/>
        <v>45478</v>
      </c>
      <c r="AR29" s="555">
        <f t="shared" si="2"/>
        <v>0.13900000000000001</v>
      </c>
      <c r="AS29" s="546">
        <f t="shared" si="13"/>
        <v>23217</v>
      </c>
      <c r="AT29" s="546">
        <f t="shared" si="14"/>
        <v>23217</v>
      </c>
      <c r="AU29" s="546">
        <f t="shared" si="15"/>
        <v>8455.0440415448284</v>
      </c>
      <c r="AV29" s="546">
        <f t="shared" si="16"/>
        <v>14761.955958455172</v>
      </c>
      <c r="AW29" s="546"/>
      <c r="AX29" s="546">
        <v>0</v>
      </c>
      <c r="AY29" s="546">
        <f t="shared" si="17"/>
        <v>8455.0440415448284</v>
      </c>
      <c r="AZ29" s="546">
        <f t="shared" si="32"/>
        <v>0</v>
      </c>
      <c r="BA29" s="546">
        <f t="shared" si="30"/>
        <v>0</v>
      </c>
      <c r="BB29" s="546"/>
      <c r="BC29" s="546"/>
      <c r="BD29" s="546"/>
      <c r="BE29" s="546"/>
      <c r="BF29" s="546"/>
      <c r="BG29" s="546">
        <f t="shared" si="19"/>
        <v>725307.8462391136</v>
      </c>
      <c r="BH29" s="108">
        <f t="shared" si="28"/>
        <v>40</v>
      </c>
      <c r="BI29" s="108">
        <f t="shared" si="23"/>
        <v>40</v>
      </c>
      <c r="BJ29" s="22">
        <f t="shared" si="24"/>
        <v>45478</v>
      </c>
      <c r="BK29" s="108">
        <f t="shared" si="3"/>
        <v>22562</v>
      </c>
      <c r="BX29" s="16"/>
      <c r="BY29" s="16"/>
      <c r="BZ29" s="16"/>
      <c r="CA29" s="16"/>
      <c r="CB29" s="16"/>
      <c r="CC29" s="16"/>
      <c r="CD29" s="16"/>
      <c r="CE29" s="16"/>
      <c r="CF29" s="16"/>
    </row>
    <row r="30" spans="1:393" ht="35.25" customHeight="1" x14ac:dyDescent="0.3">
      <c r="A30" s="180"/>
      <c r="B30" s="180"/>
      <c r="C30" s="524"/>
      <c r="D30" s="254"/>
      <c r="E30" s="178"/>
      <c r="F30" s="235"/>
      <c r="G30" s="244">
        <f>G29+1</f>
        <v>22</v>
      </c>
      <c r="H30" s="245">
        <f t="shared" si="4"/>
        <v>45509</v>
      </c>
      <c r="I30" s="246">
        <f t="shared" si="5"/>
        <v>4.9000000000000002E-2</v>
      </c>
      <c r="J30" s="242">
        <f t="shared" si="6"/>
        <v>22562</v>
      </c>
      <c r="K30" s="242">
        <f t="shared" si="20"/>
        <v>22562</v>
      </c>
      <c r="L30" s="242">
        <f t="shared" si="7"/>
        <v>3378.9275294725085</v>
      </c>
      <c r="M30" s="242">
        <f t="shared" si="21"/>
        <v>19183.072470527492</v>
      </c>
      <c r="N30" s="242">
        <f t="shared" si="1"/>
        <v>0</v>
      </c>
      <c r="O30" s="242">
        <v>0</v>
      </c>
      <c r="P30" s="242">
        <f t="shared" si="22"/>
        <v>3378.9275294725085</v>
      </c>
      <c r="Q30" s="242">
        <f t="shared" si="29"/>
        <v>0</v>
      </c>
      <c r="R30" s="242">
        <f t="shared" si="8"/>
        <v>0</v>
      </c>
      <c r="S30" s="242">
        <f t="shared" si="9"/>
        <v>792738.28912095737</v>
      </c>
      <c r="T30" s="467"/>
      <c r="U30" s="198">
        <f>IF((U29-1)&lt;0,0,U29-1)</f>
        <v>39</v>
      </c>
      <c r="V30" s="36">
        <f t="shared" si="10"/>
        <v>39</v>
      </c>
      <c r="W30" s="16" t="s">
        <v>111</v>
      </c>
      <c r="X30" s="16"/>
      <c r="Y30" s="57"/>
      <c r="AC30" s="13" t="s">
        <v>47</v>
      </c>
      <c r="AD30" s="2" t="s">
        <v>35</v>
      </c>
      <c r="AE30" s="82" t="s">
        <v>35</v>
      </c>
      <c r="AF30" s="2" t="s">
        <v>35</v>
      </c>
      <c r="AG30" s="2" t="s">
        <v>35</v>
      </c>
      <c r="AH30" s="2" t="s">
        <v>35</v>
      </c>
      <c r="AK30" s="2"/>
      <c r="AO30" s="130">
        <f t="shared" si="11"/>
        <v>1</v>
      </c>
      <c r="AP30" s="553">
        <f>AP29+1</f>
        <v>22</v>
      </c>
      <c r="AQ30" s="554">
        <f t="shared" si="12"/>
        <v>45509</v>
      </c>
      <c r="AR30" s="555">
        <f t="shared" si="2"/>
        <v>0.13900000000000001</v>
      </c>
      <c r="AS30" s="546">
        <f t="shared" si="13"/>
        <v>23217</v>
      </c>
      <c r="AT30" s="546">
        <f t="shared" si="14"/>
        <v>23217</v>
      </c>
      <c r="AU30" s="546">
        <f t="shared" si="15"/>
        <v>8562.6068751899747</v>
      </c>
      <c r="AV30" s="546">
        <f>IF(BI30=0,0,IF(BI30=1,BG29,IF(BG29+AW30+AU30&gt;AT29,AT30-AU30-AW30,BG29)))</f>
        <v>14654.393124810025</v>
      </c>
      <c r="AW30" s="546"/>
      <c r="AX30" s="546">
        <v>0</v>
      </c>
      <c r="AY30" s="546">
        <f t="shared" si="17"/>
        <v>8562.6068751899747</v>
      </c>
      <c r="AZ30" s="546">
        <f t="shared" si="32"/>
        <v>0</v>
      </c>
      <c r="BA30" s="546">
        <f t="shared" si="30"/>
        <v>0</v>
      </c>
      <c r="BB30" s="546"/>
      <c r="BC30" s="546"/>
      <c r="BD30" s="546"/>
      <c r="BE30" s="546"/>
      <c r="BF30" s="546"/>
      <c r="BG30" s="546">
        <f>IF(OR(BI30=1,BG29=0),0,BG29-AV30)</f>
        <v>710653.45311430353</v>
      </c>
      <c r="BH30" s="108">
        <f>IF((BH29-1)&lt;0,0,BH29-1)</f>
        <v>39</v>
      </c>
      <c r="BI30" s="108">
        <f t="shared" si="23"/>
        <v>39</v>
      </c>
      <c r="BJ30" s="22">
        <f t="shared" si="24"/>
        <v>45509</v>
      </c>
      <c r="BK30" s="108">
        <f t="shared" si="3"/>
        <v>22562</v>
      </c>
      <c r="BX30" s="16"/>
      <c r="BY30" s="16"/>
      <c r="BZ30" s="16"/>
      <c r="CA30" s="16"/>
      <c r="CB30" s="16"/>
      <c r="CC30" s="16"/>
      <c r="CD30" s="16"/>
      <c r="CE30" s="16"/>
      <c r="CF30" s="16"/>
    </row>
    <row r="31" spans="1:393" ht="42" customHeight="1" x14ac:dyDescent="0.3">
      <c r="A31" s="180"/>
      <c r="B31" s="180"/>
      <c r="C31" s="524"/>
      <c r="D31" s="254"/>
      <c r="E31" s="178"/>
      <c r="F31" s="236"/>
      <c r="G31" s="244">
        <f t="shared" si="25"/>
        <v>23</v>
      </c>
      <c r="H31" s="245">
        <f t="shared" si="4"/>
        <v>45540</v>
      </c>
      <c r="I31" s="246">
        <f t="shared" si="5"/>
        <v>4.9000000000000002E-2</v>
      </c>
      <c r="J31" s="242">
        <f t="shared" si="6"/>
        <v>22562</v>
      </c>
      <c r="K31" s="242">
        <f t="shared" si="20"/>
        <v>22562</v>
      </c>
      <c r="L31" s="242">
        <f t="shared" si="7"/>
        <v>3299.0944141773543</v>
      </c>
      <c r="M31" s="242">
        <f t="shared" si="21"/>
        <v>19262.905585822646</v>
      </c>
      <c r="N31" s="242">
        <f t="shared" si="1"/>
        <v>0</v>
      </c>
      <c r="O31" s="242">
        <v>0</v>
      </c>
      <c r="P31" s="242">
        <f t="shared" si="22"/>
        <v>3299.0944141773543</v>
      </c>
      <c r="Q31" s="242">
        <f t="shared" si="29"/>
        <v>0</v>
      </c>
      <c r="R31" s="242">
        <f t="shared" si="8"/>
        <v>0</v>
      </c>
      <c r="S31" s="242">
        <f t="shared" si="9"/>
        <v>773475.38353513472</v>
      </c>
      <c r="T31" s="467"/>
      <c r="U31" s="198">
        <f t="shared" si="26"/>
        <v>38</v>
      </c>
      <c r="V31" s="36">
        <f t="shared" si="10"/>
        <v>38</v>
      </c>
      <c r="W31" s="16" t="s">
        <v>114</v>
      </c>
      <c r="X31" s="16"/>
      <c r="Y31" s="57"/>
      <c r="AC31" s="15">
        <f>IF(C12=W3,W17,IF(C12=Y3,Y17,IF(C12=Z3,Z17,IF(C12=AA3,AA17,IF(C12=X3,X17,)))))</f>
        <v>0</v>
      </c>
      <c r="AD31" s="15">
        <v>0</v>
      </c>
      <c r="AE31" s="2">
        <v>0</v>
      </c>
      <c r="AF31" s="2">
        <v>0</v>
      </c>
      <c r="AG31" s="2">
        <v>0</v>
      </c>
      <c r="AH31" s="2"/>
      <c r="AK31" s="2"/>
      <c r="AO31" s="130">
        <f t="shared" si="11"/>
        <v>1</v>
      </c>
      <c r="AP31" s="553">
        <f t="shared" si="27"/>
        <v>23</v>
      </c>
      <c r="AQ31" s="554">
        <f t="shared" si="12"/>
        <v>45540</v>
      </c>
      <c r="AR31" s="555">
        <f t="shared" si="2"/>
        <v>0.13900000000000001</v>
      </c>
      <c r="AS31" s="546">
        <f t="shared" si="13"/>
        <v>23217</v>
      </c>
      <c r="AT31" s="546">
        <f t="shared" si="14"/>
        <v>23217</v>
      </c>
      <c r="AU31" s="546">
        <f t="shared" si="15"/>
        <v>8389.6047382726956</v>
      </c>
      <c r="AV31" s="546">
        <f t="shared" si="16"/>
        <v>14827.395261727304</v>
      </c>
      <c r="AW31" s="546"/>
      <c r="AX31" s="546">
        <v>0</v>
      </c>
      <c r="AY31" s="546">
        <f t="shared" si="17"/>
        <v>8389.6047382726956</v>
      </c>
      <c r="AZ31" s="546">
        <f t="shared" si="32"/>
        <v>0</v>
      </c>
      <c r="BA31" s="546">
        <f t="shared" si="30"/>
        <v>0</v>
      </c>
      <c r="BB31" s="546"/>
      <c r="BC31" s="546"/>
      <c r="BD31" s="546"/>
      <c r="BE31" s="546"/>
      <c r="BF31" s="546"/>
      <c r="BG31" s="546">
        <f t="shared" si="19"/>
        <v>695826.05785257625</v>
      </c>
      <c r="BH31" s="108">
        <f t="shared" si="28"/>
        <v>38</v>
      </c>
      <c r="BI31" s="108">
        <f t="shared" si="23"/>
        <v>38</v>
      </c>
      <c r="BJ31" s="22">
        <f t="shared" si="24"/>
        <v>45540</v>
      </c>
      <c r="BK31" s="108">
        <f t="shared" si="3"/>
        <v>22562</v>
      </c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6"/>
      <c r="BY31" s="16"/>
      <c r="BZ31" s="16"/>
      <c r="CA31" s="16"/>
      <c r="CB31" s="16"/>
      <c r="CC31" s="16"/>
      <c r="CD31" s="16"/>
      <c r="CE31" s="16"/>
      <c r="CF31" s="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116"/>
      <c r="FX31" s="116"/>
      <c r="FY31" s="116"/>
      <c r="FZ31" s="116"/>
      <c r="GA31" s="116"/>
      <c r="GB31" s="116"/>
      <c r="GC31" s="116"/>
      <c r="GD31" s="116"/>
      <c r="GE31" s="116"/>
      <c r="GF31" s="116"/>
      <c r="GG31" s="116"/>
      <c r="GH31" s="116"/>
      <c r="GI31" s="116"/>
      <c r="GJ31" s="116"/>
      <c r="GK31" s="116"/>
      <c r="GL31" s="116"/>
      <c r="GM31" s="116"/>
      <c r="GN31" s="116"/>
      <c r="GO31" s="116"/>
      <c r="GP31" s="116"/>
      <c r="GQ31" s="116"/>
      <c r="GR31" s="116"/>
      <c r="GS31" s="116"/>
      <c r="GT31" s="116"/>
      <c r="GU31" s="116"/>
      <c r="GV31" s="116"/>
      <c r="GW31" s="116"/>
      <c r="GX31" s="116"/>
      <c r="GY31" s="116"/>
      <c r="GZ31" s="116"/>
      <c r="HA31" s="116"/>
      <c r="HB31" s="116"/>
      <c r="HC31" s="116"/>
      <c r="HD31" s="116"/>
      <c r="HE31" s="116"/>
      <c r="HF31" s="116"/>
      <c r="HG31" s="116"/>
      <c r="HH31" s="116"/>
      <c r="HI31" s="116"/>
      <c r="HJ31" s="116"/>
      <c r="HK31" s="116"/>
      <c r="HL31" s="116"/>
      <c r="HM31" s="116"/>
      <c r="HN31" s="116"/>
      <c r="HO31" s="116"/>
      <c r="HP31" s="116"/>
      <c r="HQ31" s="116"/>
      <c r="HR31" s="116"/>
      <c r="HS31" s="116"/>
      <c r="HT31" s="116"/>
      <c r="HU31" s="116"/>
      <c r="HV31" s="116"/>
      <c r="HW31" s="116"/>
      <c r="HX31" s="116"/>
      <c r="HY31" s="116"/>
      <c r="HZ31" s="116"/>
      <c r="IA31" s="116"/>
      <c r="IB31" s="116"/>
      <c r="IC31" s="116"/>
      <c r="ID31" s="116"/>
      <c r="IE31" s="116"/>
      <c r="IF31" s="116"/>
      <c r="IG31" s="116"/>
      <c r="IH31" s="116"/>
      <c r="II31" s="116"/>
      <c r="IJ31" s="116"/>
      <c r="IK31" s="116"/>
      <c r="IL31" s="116"/>
      <c r="IM31" s="116"/>
      <c r="IN31" s="116"/>
      <c r="IO31" s="116"/>
      <c r="IP31" s="116"/>
      <c r="IQ31" s="116"/>
      <c r="IR31" s="116"/>
      <c r="IS31" s="116"/>
      <c r="IT31" s="116"/>
      <c r="IU31" s="116"/>
      <c r="IV31" s="116"/>
      <c r="IW31" s="116"/>
      <c r="IX31" s="116"/>
      <c r="IY31" s="116"/>
      <c r="IZ31" s="116"/>
      <c r="JA31" s="116"/>
      <c r="JB31" s="116"/>
      <c r="JC31" s="116"/>
      <c r="JD31" s="116"/>
      <c r="JE31" s="116"/>
      <c r="JF31" s="116"/>
      <c r="JG31" s="116"/>
      <c r="JH31" s="116"/>
      <c r="JI31" s="116"/>
      <c r="JJ31" s="116"/>
      <c r="JK31" s="116"/>
      <c r="JL31" s="116"/>
      <c r="JM31" s="116"/>
      <c r="JN31" s="116"/>
      <c r="JO31" s="116"/>
      <c r="JP31" s="116"/>
      <c r="JQ31" s="116"/>
      <c r="JR31" s="116"/>
      <c r="JS31" s="116"/>
      <c r="JT31" s="116"/>
      <c r="JU31" s="116"/>
      <c r="JV31" s="116"/>
      <c r="JW31" s="116"/>
      <c r="JX31" s="116"/>
      <c r="JY31" s="116"/>
      <c r="JZ31" s="116"/>
      <c r="KA31" s="116"/>
      <c r="KB31" s="116"/>
      <c r="KC31" s="116"/>
      <c r="KD31" s="116"/>
      <c r="KE31" s="116"/>
      <c r="KF31" s="116"/>
      <c r="KG31" s="116"/>
      <c r="KH31" s="116"/>
      <c r="KI31" s="116"/>
      <c r="KJ31" s="116"/>
      <c r="KK31" s="116"/>
      <c r="KL31" s="116"/>
      <c r="KM31" s="116"/>
      <c r="KN31" s="116"/>
      <c r="KO31" s="116"/>
      <c r="KP31" s="116"/>
      <c r="KQ31" s="116"/>
      <c r="KR31" s="116"/>
      <c r="KS31" s="116"/>
      <c r="KT31" s="116"/>
      <c r="KU31" s="116"/>
      <c r="KV31" s="116"/>
      <c r="KW31" s="116"/>
      <c r="KX31" s="116"/>
      <c r="KY31" s="116"/>
      <c r="KZ31" s="116"/>
      <c r="LA31" s="116"/>
      <c r="LB31" s="116"/>
      <c r="LC31" s="116"/>
      <c r="LD31" s="116"/>
      <c r="LE31" s="116"/>
      <c r="LF31" s="116"/>
      <c r="LG31" s="116"/>
      <c r="LH31" s="116"/>
      <c r="LI31" s="116"/>
      <c r="LJ31" s="116"/>
      <c r="LK31" s="116"/>
      <c r="LL31" s="116"/>
      <c r="LM31" s="116"/>
      <c r="LN31" s="116"/>
      <c r="LO31" s="116"/>
      <c r="LP31" s="116"/>
      <c r="LQ31" s="116"/>
      <c r="LR31" s="116"/>
      <c r="LS31" s="116"/>
      <c r="LT31" s="116"/>
      <c r="LU31" s="116"/>
      <c r="LV31" s="116"/>
      <c r="LW31" s="116"/>
      <c r="LX31" s="116"/>
      <c r="LY31" s="116"/>
      <c r="LZ31" s="116"/>
      <c r="MA31" s="116"/>
      <c r="MB31" s="116"/>
      <c r="MC31" s="116"/>
      <c r="MD31" s="116"/>
      <c r="ME31" s="116"/>
      <c r="MF31" s="116"/>
      <c r="MG31" s="116"/>
      <c r="MH31" s="116"/>
      <c r="MI31" s="116"/>
      <c r="MJ31" s="116"/>
      <c r="MK31" s="116"/>
      <c r="ML31" s="116"/>
      <c r="MM31" s="116"/>
      <c r="MN31" s="116"/>
      <c r="MO31" s="116"/>
      <c r="MP31" s="116"/>
      <c r="MQ31" s="116"/>
      <c r="MR31" s="116"/>
      <c r="MS31" s="116"/>
      <c r="MT31" s="116"/>
      <c r="MU31" s="116"/>
      <c r="MV31" s="116"/>
      <c r="MW31" s="116"/>
      <c r="MX31" s="116"/>
      <c r="MY31" s="116"/>
      <c r="MZ31" s="116"/>
      <c r="NA31" s="116"/>
      <c r="NB31" s="116"/>
      <c r="NC31" s="116"/>
      <c r="ND31" s="116"/>
      <c r="NE31" s="116"/>
      <c r="NF31" s="116"/>
      <c r="NG31" s="116"/>
      <c r="NH31" s="116"/>
      <c r="NI31" s="116"/>
      <c r="NJ31" s="116"/>
      <c r="NK31" s="116"/>
      <c r="NL31" s="116"/>
      <c r="NM31" s="116"/>
      <c r="NN31" s="116"/>
      <c r="NO31" s="116"/>
      <c r="NP31" s="116"/>
      <c r="NQ31" s="116"/>
    </row>
    <row r="32" spans="1:393" ht="14.4" thickBot="1" x14ac:dyDescent="0.35">
      <c r="A32" s="180"/>
      <c r="B32" s="180"/>
      <c r="C32" s="524"/>
      <c r="D32" s="254"/>
      <c r="E32" s="178"/>
      <c r="F32" s="674"/>
      <c r="G32" s="248">
        <f t="shared" si="25"/>
        <v>24</v>
      </c>
      <c r="H32" s="581">
        <f t="shared" si="4"/>
        <v>45570</v>
      </c>
      <c r="I32" s="250">
        <f t="shared" si="5"/>
        <v>4.9000000000000002E-2</v>
      </c>
      <c r="J32" s="252">
        <f t="shared" si="6"/>
        <v>22562</v>
      </c>
      <c r="K32" s="252">
        <f t="shared" si="20"/>
        <v>22562</v>
      </c>
      <c r="L32" s="252">
        <f t="shared" si="7"/>
        <v>3115.0926405387618</v>
      </c>
      <c r="M32" s="252">
        <f t="shared" si="21"/>
        <v>19446.907359461238</v>
      </c>
      <c r="N32" s="252">
        <f t="shared" si="1"/>
        <v>0</v>
      </c>
      <c r="O32" s="252">
        <v>0</v>
      </c>
      <c r="P32" s="252">
        <f t="shared" si="22"/>
        <v>3115.0926405387618</v>
      </c>
      <c r="Q32" s="252">
        <f t="shared" si="29"/>
        <v>0</v>
      </c>
      <c r="R32" s="252">
        <f t="shared" si="8"/>
        <v>0</v>
      </c>
      <c r="S32" s="252">
        <f t="shared" si="9"/>
        <v>754028.47617567354</v>
      </c>
      <c r="T32" s="468"/>
      <c r="U32" s="198">
        <f t="shared" si="26"/>
        <v>37</v>
      </c>
      <c r="V32" s="36">
        <f t="shared" si="10"/>
        <v>37</v>
      </c>
      <c r="W32" s="16" t="s">
        <v>361</v>
      </c>
      <c r="X32" s="16"/>
      <c r="Y32" s="57"/>
      <c r="AC32" s="15" t="e">
        <f>IF(#REF!=W3,W17,IF(#REF!=Y3,Y17,IF(#REF!=Z3,Z17,IF(#REF!=AA3,AA17,IF(#REF!=X3,X17,)))))</f>
        <v>#REF!</v>
      </c>
      <c r="AD32" s="15">
        <v>0</v>
      </c>
      <c r="AE32" s="15"/>
      <c r="AF32" s="2"/>
      <c r="AG32" s="2"/>
      <c r="AH32" s="2"/>
      <c r="AK32" s="2"/>
      <c r="AN32" s="16"/>
      <c r="AO32" s="130">
        <f t="shared" si="11"/>
        <v>1</v>
      </c>
      <c r="AP32" s="556">
        <f t="shared" si="27"/>
        <v>24</v>
      </c>
      <c r="AQ32" s="582">
        <f t="shared" si="12"/>
        <v>45570</v>
      </c>
      <c r="AR32" s="557">
        <f t="shared" si="2"/>
        <v>0.13900000000000001</v>
      </c>
      <c r="AS32" s="547">
        <f t="shared" si="13"/>
        <v>23217</v>
      </c>
      <c r="AT32" s="547">
        <f t="shared" si="14"/>
        <v>23217</v>
      </c>
      <c r="AU32" s="547">
        <f t="shared" si="15"/>
        <v>7949.5744143705297</v>
      </c>
      <c r="AV32" s="547">
        <f t="shared" si="16"/>
        <v>15267.425585629469</v>
      </c>
      <c r="AW32" s="547"/>
      <c r="AX32" s="547">
        <v>0</v>
      </c>
      <c r="AY32" s="547">
        <f t="shared" si="17"/>
        <v>7949.5744143705297</v>
      </c>
      <c r="AZ32" s="547">
        <f t="shared" si="32"/>
        <v>0</v>
      </c>
      <c r="BA32" s="547">
        <f t="shared" si="30"/>
        <v>0</v>
      </c>
      <c r="BB32" s="547"/>
      <c r="BC32" s="547"/>
      <c r="BD32" s="547"/>
      <c r="BE32" s="547"/>
      <c r="BF32" s="547"/>
      <c r="BG32" s="547">
        <f t="shared" si="19"/>
        <v>680558.63226694684</v>
      </c>
      <c r="BH32" s="108">
        <f t="shared" si="28"/>
        <v>37</v>
      </c>
      <c r="BI32" s="108">
        <f t="shared" si="23"/>
        <v>37</v>
      </c>
      <c r="BJ32" s="22">
        <f t="shared" si="24"/>
        <v>45570</v>
      </c>
      <c r="BK32" s="108">
        <f t="shared" si="3"/>
        <v>22562</v>
      </c>
      <c r="BX32" s="16"/>
      <c r="BY32" s="16"/>
      <c r="BZ32" s="16"/>
      <c r="CA32" s="16"/>
      <c r="CB32" s="16"/>
      <c r="CC32" s="16"/>
      <c r="CD32" s="16"/>
      <c r="CE32" s="16"/>
      <c r="CF32" s="16"/>
    </row>
    <row r="33" spans="1:1217" ht="29.4" thickBot="1" x14ac:dyDescent="0.35">
      <c r="A33" s="180"/>
      <c r="B33" s="180"/>
      <c r="C33" s="524"/>
      <c r="D33" s="254"/>
      <c r="E33" s="178"/>
      <c r="F33" s="674"/>
      <c r="G33" s="244">
        <f t="shared" si="25"/>
        <v>25</v>
      </c>
      <c r="H33" s="245">
        <f t="shared" si="4"/>
        <v>45601</v>
      </c>
      <c r="I33" s="246">
        <f t="shared" si="5"/>
        <v>4.9000000000000002E-2</v>
      </c>
      <c r="J33" s="242">
        <f t="shared" si="6"/>
        <v>22562</v>
      </c>
      <c r="K33" s="242">
        <f t="shared" si="20"/>
        <v>22562</v>
      </c>
      <c r="L33" s="242">
        <f t="shared" si="7"/>
        <v>3137.9979597557485</v>
      </c>
      <c r="M33" s="242">
        <f t="shared" si="21"/>
        <v>19424.002040244253</v>
      </c>
      <c r="N33" s="242">
        <f t="shared" si="1"/>
        <v>0</v>
      </c>
      <c r="O33" s="242">
        <v>0</v>
      </c>
      <c r="P33" s="242">
        <f t="shared" si="22"/>
        <v>3137.9979597557485</v>
      </c>
      <c r="Q33" s="242">
        <f t="shared" si="29"/>
        <v>0</v>
      </c>
      <c r="R33" s="242">
        <f t="shared" si="8"/>
        <v>0</v>
      </c>
      <c r="S33" s="242">
        <f t="shared" si="9"/>
        <v>734604.47413542925</v>
      </c>
      <c r="T33" s="467"/>
      <c r="U33" s="198">
        <f t="shared" si="26"/>
        <v>36</v>
      </c>
      <c r="V33" s="36">
        <f t="shared" si="10"/>
        <v>36</v>
      </c>
      <c r="W33" s="16" t="s">
        <v>380</v>
      </c>
      <c r="X33" s="16"/>
      <c r="Y33" s="57"/>
      <c r="AE33" s="15"/>
      <c r="AF33" s="173">
        <f>$C$19-AG33</f>
        <v>-2308</v>
      </c>
      <c r="AG33" s="2">
        <f>ROUNDUP(((S20)*AG37/12*(1+AG37/12)^(U21)/((1+AG37/12)^(U21)-1)+S20/10000*IF(U21&lt;11,20,IF(U21&lt;34,0.7,IF(U21&lt;58,0.3,0.1)))*IF(AG37&lt;0.3,AG37/0.2,AG37/0.1))/AG47,0)*AG47</f>
        <v>24870</v>
      </c>
      <c r="AH33" s="16">
        <v>6000000</v>
      </c>
      <c r="AM33" s="16"/>
      <c r="AN33" s="16"/>
      <c r="AO33" s="130">
        <f t="shared" si="11"/>
        <v>1</v>
      </c>
      <c r="AP33" s="553">
        <f t="shared" si="27"/>
        <v>25</v>
      </c>
      <c r="AQ33" s="554">
        <f t="shared" si="12"/>
        <v>45601</v>
      </c>
      <c r="AR33" s="555">
        <f t="shared" si="2"/>
        <v>0.13900000000000001</v>
      </c>
      <c r="AS33" s="546">
        <f t="shared" si="13"/>
        <v>23217</v>
      </c>
      <c r="AT33" s="546">
        <f t="shared" si="14"/>
        <v>23217</v>
      </c>
      <c r="AU33" s="546">
        <f t="shared" si="15"/>
        <v>8034.3209491459565</v>
      </c>
      <c r="AV33" s="546">
        <f t="shared" si="16"/>
        <v>15182.679050854043</v>
      </c>
      <c r="AW33" s="546"/>
      <c r="AX33" s="546">
        <v>0</v>
      </c>
      <c r="AY33" s="546">
        <f t="shared" si="17"/>
        <v>8034.3209491459565</v>
      </c>
      <c r="AZ33" s="546">
        <f t="shared" si="32"/>
        <v>0</v>
      </c>
      <c r="BA33" s="546">
        <f t="shared" si="30"/>
        <v>0</v>
      </c>
      <c r="BB33" s="546"/>
      <c r="BC33" s="546"/>
      <c r="BD33" s="546"/>
      <c r="BE33" s="546"/>
      <c r="BF33" s="546"/>
      <c r="BG33" s="546">
        <f t="shared" si="19"/>
        <v>665375.95321609278</v>
      </c>
      <c r="BH33" s="108">
        <f t="shared" si="28"/>
        <v>36</v>
      </c>
      <c r="BI33" s="108">
        <f t="shared" si="23"/>
        <v>36</v>
      </c>
      <c r="BJ33" s="22">
        <f t="shared" si="24"/>
        <v>45601</v>
      </c>
      <c r="BK33" s="108">
        <f t="shared" si="3"/>
        <v>22562</v>
      </c>
      <c r="BN33" s="853"/>
      <c r="BP33" s="131"/>
      <c r="BW33" s="586" t="s">
        <v>390</v>
      </c>
      <c r="BX33" s="592" t="s">
        <v>391</v>
      </c>
      <c r="BY33" s="593" t="s">
        <v>409</v>
      </c>
      <c r="BZ33" s="587" t="s">
        <v>392</v>
      </c>
      <c r="CA33" s="587" t="s">
        <v>393</v>
      </c>
      <c r="CB33" s="587" t="s">
        <v>394</v>
      </c>
      <c r="CC33" s="587" t="s">
        <v>395</v>
      </c>
      <c r="CD33" s="587" t="s">
        <v>396</v>
      </c>
      <c r="CE33" s="16"/>
      <c r="CF33" s="16"/>
    </row>
    <row r="34" spans="1:1217" ht="15" customHeight="1" thickBot="1" x14ac:dyDescent="0.35">
      <c r="A34" s="180"/>
      <c r="B34" s="180"/>
      <c r="C34" s="524"/>
      <c r="D34" s="254"/>
      <c r="E34" s="178"/>
      <c r="F34" s="674"/>
      <c r="G34" s="244">
        <f t="shared" si="25"/>
        <v>26</v>
      </c>
      <c r="H34" s="245">
        <f t="shared" si="4"/>
        <v>45631</v>
      </c>
      <c r="I34" s="246">
        <f t="shared" si="5"/>
        <v>4.9000000000000002E-2</v>
      </c>
      <c r="J34" s="242">
        <f t="shared" si="6"/>
        <v>22562</v>
      </c>
      <c r="K34" s="242">
        <f t="shared" si="20"/>
        <v>22562</v>
      </c>
      <c r="L34" s="242">
        <f t="shared" si="7"/>
        <v>2958.5440465180304</v>
      </c>
      <c r="M34" s="242">
        <f t="shared" si="21"/>
        <v>19603.455953481971</v>
      </c>
      <c r="N34" s="242">
        <f t="shared" si="1"/>
        <v>0</v>
      </c>
      <c r="O34" s="242">
        <v>0</v>
      </c>
      <c r="P34" s="242">
        <f t="shared" si="22"/>
        <v>2958.5440465180304</v>
      </c>
      <c r="Q34" s="242">
        <f t="shared" si="29"/>
        <v>0</v>
      </c>
      <c r="R34" s="242">
        <f t="shared" si="8"/>
        <v>0</v>
      </c>
      <c r="S34" s="242">
        <f t="shared" si="9"/>
        <v>715001.01818194729</v>
      </c>
      <c r="T34" s="467"/>
      <c r="U34" s="198">
        <f t="shared" si="26"/>
        <v>35</v>
      </c>
      <c r="V34" s="36">
        <f t="shared" si="10"/>
        <v>35</v>
      </c>
      <c r="W34" s="2" t="s">
        <v>29</v>
      </c>
      <c r="AB34" s="2" t="str">
        <f>IF(C10 &lt;=W31,W33,IF(C10 &lt;=X31,X33,IF(C10 &lt;=Y31,Y33,IF(C10 &lt;=Z31,Z33,AA33))))</f>
        <v>Оптимум + Уверенность</v>
      </c>
      <c r="AE34" s="2"/>
      <c r="AF34" s="16"/>
      <c r="AG34" s="16"/>
      <c r="AH34" s="16"/>
      <c r="AM34" s="16"/>
      <c r="AN34" s="16"/>
      <c r="AO34" s="130">
        <f t="shared" si="11"/>
        <v>1</v>
      </c>
      <c r="AP34" s="553">
        <f t="shared" si="27"/>
        <v>26</v>
      </c>
      <c r="AQ34" s="554">
        <f t="shared" si="12"/>
        <v>45631</v>
      </c>
      <c r="AR34" s="555">
        <f t="shared" si="2"/>
        <v>0.13900000000000001</v>
      </c>
      <c r="AS34" s="546">
        <f t="shared" si="13"/>
        <v>23217</v>
      </c>
      <c r="AT34" s="546">
        <f t="shared" si="14"/>
        <v>23217</v>
      </c>
      <c r="AU34" s="546">
        <f t="shared" si="15"/>
        <v>7601.6923970167327</v>
      </c>
      <c r="AV34" s="546">
        <f t="shared" si="16"/>
        <v>15615.307602983266</v>
      </c>
      <c r="AW34" s="546"/>
      <c r="AX34" s="546">
        <v>0</v>
      </c>
      <c r="AY34" s="546">
        <f t="shared" si="17"/>
        <v>7601.6923970167327</v>
      </c>
      <c r="AZ34" s="546">
        <f t="shared" si="32"/>
        <v>0</v>
      </c>
      <c r="BA34" s="546">
        <f t="shared" si="30"/>
        <v>0</v>
      </c>
      <c r="BB34" s="546"/>
      <c r="BC34" s="546"/>
      <c r="BD34" s="546"/>
      <c r="BE34" s="546"/>
      <c r="BF34" s="546"/>
      <c r="BG34" s="546">
        <f t="shared" si="19"/>
        <v>649760.64561310946</v>
      </c>
      <c r="BH34" s="108">
        <f t="shared" si="28"/>
        <v>35</v>
      </c>
      <c r="BI34" s="108">
        <f t="shared" si="23"/>
        <v>35</v>
      </c>
      <c r="BJ34" s="22">
        <f t="shared" si="24"/>
        <v>45631</v>
      </c>
      <c r="BK34" s="108">
        <f t="shared" si="3"/>
        <v>22562</v>
      </c>
      <c r="BN34" s="853"/>
      <c r="BW34" s="588" t="s">
        <v>397</v>
      </c>
      <c r="BX34" s="594" t="s">
        <v>398</v>
      </c>
      <c r="BY34" s="595">
        <v>0.27900000000000003</v>
      </c>
      <c r="BZ34" s="590">
        <v>1.14E-2</v>
      </c>
      <c r="CA34" s="589" t="s">
        <v>399</v>
      </c>
      <c r="CB34" s="590">
        <v>1.2E-2</v>
      </c>
      <c r="CC34" s="591" t="s">
        <v>410</v>
      </c>
      <c r="CD34" s="589" t="s">
        <v>401</v>
      </c>
      <c r="CE34" s="16"/>
      <c r="CF34" s="16"/>
    </row>
    <row r="35" spans="1:1217" ht="31.5" customHeight="1" thickBot="1" x14ac:dyDescent="0.35">
      <c r="A35" s="180"/>
      <c r="B35" s="180"/>
      <c r="C35" s="524"/>
      <c r="D35" s="254"/>
      <c r="E35" s="178"/>
      <c r="F35" s="674"/>
      <c r="G35" s="244">
        <f t="shared" si="25"/>
        <v>27</v>
      </c>
      <c r="H35" s="245">
        <f t="shared" si="4"/>
        <v>45662</v>
      </c>
      <c r="I35" s="246">
        <f t="shared" si="5"/>
        <v>4.9000000000000002E-2</v>
      </c>
      <c r="J35" s="242">
        <f t="shared" si="6"/>
        <v>22562</v>
      </c>
      <c r="K35" s="242">
        <f t="shared" si="20"/>
        <v>22562</v>
      </c>
      <c r="L35" s="242">
        <f t="shared" si="7"/>
        <v>2975.5795797763781</v>
      </c>
      <c r="M35" s="242">
        <f t="shared" si="21"/>
        <v>19586.420420223621</v>
      </c>
      <c r="N35" s="242">
        <f t="shared" si="1"/>
        <v>0</v>
      </c>
      <c r="O35" s="242">
        <v>0</v>
      </c>
      <c r="P35" s="242">
        <f t="shared" si="22"/>
        <v>2975.5795797763781</v>
      </c>
      <c r="Q35" s="242">
        <f t="shared" si="29"/>
        <v>0</v>
      </c>
      <c r="R35" s="242">
        <f t="shared" si="8"/>
        <v>0</v>
      </c>
      <c r="S35" s="242">
        <f t="shared" si="9"/>
        <v>695414.59776172368</v>
      </c>
      <c r="T35" s="467"/>
      <c r="U35" s="198">
        <f t="shared" si="26"/>
        <v>34</v>
      </c>
      <c r="V35" s="36">
        <f t="shared" si="10"/>
        <v>34</v>
      </c>
      <c r="AE35" s="15"/>
      <c r="AF35" s="47">
        <f>ROUNDUP(AH35/AH33*C7/1,0)*1</f>
        <v>1667</v>
      </c>
      <c r="AG35" s="169">
        <v>0.04</v>
      </c>
      <c r="AH35" s="16">
        <f>IF(AG35=3%,INDEX(W40:AE40,MATCH($C$11,$W$39:$AE$39,0)),IF(AG35=4%,INDEX(W37:AE37,MATCH($C$11,$W$36:$AE$36,0)),0))</f>
        <v>10000</v>
      </c>
      <c r="AL35" s="47">
        <f>ROUNDUP(AH35/AH33*C7/1,0)*1</f>
        <v>1667</v>
      </c>
      <c r="AM35" s="169">
        <v>0.04</v>
      </c>
      <c r="AN35" s="16"/>
      <c r="AO35" s="130">
        <f t="shared" si="11"/>
        <v>1</v>
      </c>
      <c r="AP35" s="553">
        <f t="shared" si="27"/>
        <v>27</v>
      </c>
      <c r="AQ35" s="554">
        <f t="shared" si="12"/>
        <v>45662</v>
      </c>
      <c r="AR35" s="555">
        <f t="shared" si="2"/>
        <v>0.13900000000000001</v>
      </c>
      <c r="AS35" s="546">
        <f t="shared" si="13"/>
        <v>23217</v>
      </c>
      <c r="AT35" s="546">
        <f t="shared" si="14"/>
        <v>23217</v>
      </c>
      <c r="AU35" s="546">
        <f t="shared" si="15"/>
        <v>7670.7359505394215</v>
      </c>
      <c r="AV35" s="546">
        <f t="shared" si="16"/>
        <v>15546.264049460578</v>
      </c>
      <c r="AW35" s="546"/>
      <c r="AX35" s="546">
        <v>0</v>
      </c>
      <c r="AY35" s="546">
        <f t="shared" si="17"/>
        <v>7670.7359505394215</v>
      </c>
      <c r="AZ35" s="546">
        <f t="shared" si="32"/>
        <v>0</v>
      </c>
      <c r="BA35" s="546">
        <f t="shared" si="30"/>
        <v>0</v>
      </c>
      <c r="BB35" s="546"/>
      <c r="BC35" s="546"/>
      <c r="BD35" s="546"/>
      <c r="BE35" s="546"/>
      <c r="BF35" s="546"/>
      <c r="BG35" s="546">
        <f t="shared" si="19"/>
        <v>634214.38156364893</v>
      </c>
      <c r="BH35" s="108">
        <f t="shared" si="28"/>
        <v>34</v>
      </c>
      <c r="BI35" s="108">
        <f t="shared" si="23"/>
        <v>34</v>
      </c>
      <c r="BJ35" s="22">
        <f t="shared" si="24"/>
        <v>45662</v>
      </c>
      <c r="BK35" s="108">
        <f t="shared" si="3"/>
        <v>22562</v>
      </c>
      <c r="BN35" s="853"/>
      <c r="BW35" s="588" t="s">
        <v>402</v>
      </c>
      <c r="BX35" s="594" t="s">
        <v>403</v>
      </c>
      <c r="BY35" s="595">
        <v>0.22900000000000001</v>
      </c>
      <c r="BZ35" s="590">
        <v>1.14E-2</v>
      </c>
      <c r="CA35" s="589" t="s">
        <v>399</v>
      </c>
      <c r="CB35" s="590">
        <v>1.2E-2</v>
      </c>
      <c r="CC35" s="589" t="s">
        <v>404</v>
      </c>
      <c r="CD35" s="589" t="s">
        <v>400</v>
      </c>
      <c r="CE35" s="16"/>
      <c r="CF35" s="16"/>
    </row>
    <row r="36" spans="1:1217" ht="21.75" customHeight="1" thickBot="1" x14ac:dyDescent="0.35">
      <c r="A36" s="180"/>
      <c r="B36" s="180"/>
      <c r="C36" s="524"/>
      <c r="D36" s="254"/>
      <c r="E36" s="178"/>
      <c r="F36" s="178"/>
      <c r="G36" s="244">
        <f t="shared" si="25"/>
        <v>28</v>
      </c>
      <c r="H36" s="245">
        <f t="shared" si="4"/>
        <v>45693</v>
      </c>
      <c r="I36" s="246">
        <f t="shared" si="5"/>
        <v>4.9000000000000002E-2</v>
      </c>
      <c r="J36" s="242">
        <f t="shared" si="6"/>
        <v>22562</v>
      </c>
      <c r="K36" s="242">
        <f t="shared" si="20"/>
        <v>22562</v>
      </c>
      <c r="L36" s="242">
        <f t="shared" si="7"/>
        <v>2894.0678739727623</v>
      </c>
      <c r="M36" s="242">
        <f t="shared" si="21"/>
        <v>19667.932126027237</v>
      </c>
      <c r="N36" s="242">
        <f t="shared" si="1"/>
        <v>0</v>
      </c>
      <c r="O36" s="242">
        <v>0</v>
      </c>
      <c r="P36" s="242">
        <f t="shared" si="22"/>
        <v>2894.0678739727623</v>
      </c>
      <c r="Q36" s="242">
        <f t="shared" si="29"/>
        <v>0</v>
      </c>
      <c r="R36" s="242">
        <f t="shared" si="8"/>
        <v>0</v>
      </c>
      <c r="S36" s="242">
        <f t="shared" si="9"/>
        <v>675746.6656356965</v>
      </c>
      <c r="T36" s="467"/>
      <c r="U36" s="198">
        <f t="shared" si="26"/>
        <v>33</v>
      </c>
      <c r="V36" s="36">
        <f t="shared" si="10"/>
        <v>33</v>
      </c>
      <c r="W36" s="15">
        <v>0.11899999999999999</v>
      </c>
      <c r="X36" s="101">
        <v>0.129</v>
      </c>
      <c r="Y36" s="484">
        <v>0.13900000000000001</v>
      </c>
      <c r="Z36" s="101">
        <v>0.14899999999999999</v>
      </c>
      <c r="AA36" s="484">
        <v>0.159</v>
      </c>
      <c r="AB36" s="15">
        <v>0.19900000000000001</v>
      </c>
      <c r="AC36" s="169">
        <v>0.17899999999999999</v>
      </c>
      <c r="AD36" s="15">
        <v>0.189</v>
      </c>
      <c r="AE36" s="15">
        <v>0.19900000000000001</v>
      </c>
      <c r="AF36" s="47">
        <f>C19</f>
        <v>22562</v>
      </c>
      <c r="AG36" s="15">
        <f>IF(OR(C$8="Гарантия стандарт",C$8="Гарантия пакет"),AD13,C11)</f>
        <v>0.13900000000000001</v>
      </c>
      <c r="AH36" s="16">
        <f>IF(AG35=3%,INDEX(W41:AE41,MATCH($C$11,$W$39:$AE$39,0)),IF(AG35=4%,INDEX(W38:AE38,MATCH($C$11,$W$36:$AE$36,0)),0))</f>
        <v>139400</v>
      </c>
      <c r="AI36" s="2">
        <f>INDEX(W41:AE41,MATCH($D$11,$W$39:$AE$39,0))</f>
        <v>139400</v>
      </c>
      <c r="AL36" s="47">
        <f>D19</f>
        <v>23217</v>
      </c>
      <c r="AM36" s="15">
        <f>IF(OR(D$8="Гарантия стандарт",D$8="Гарантия пакет"),AD13,D11)</f>
        <v>0.13900000000000001</v>
      </c>
      <c r="AN36" s="16"/>
      <c r="AO36" s="130">
        <f t="shared" si="11"/>
        <v>1</v>
      </c>
      <c r="AP36" s="553">
        <f t="shared" si="27"/>
        <v>28</v>
      </c>
      <c r="AQ36" s="554">
        <f t="shared" si="12"/>
        <v>45693</v>
      </c>
      <c r="AR36" s="555">
        <f t="shared" si="2"/>
        <v>0.13900000000000001</v>
      </c>
      <c r="AS36" s="546">
        <f t="shared" si="13"/>
        <v>23217</v>
      </c>
      <c r="AT36" s="546">
        <f t="shared" si="14"/>
        <v>23217</v>
      </c>
      <c r="AU36" s="546">
        <f t="shared" si="15"/>
        <v>7487.204849747297</v>
      </c>
      <c r="AV36" s="546">
        <f t="shared" si="16"/>
        <v>15729.795150252703</v>
      </c>
      <c r="AW36" s="546"/>
      <c r="AX36" s="546">
        <v>0</v>
      </c>
      <c r="AY36" s="546">
        <f t="shared" si="17"/>
        <v>7487.204849747297</v>
      </c>
      <c r="AZ36" s="546">
        <f t="shared" si="32"/>
        <v>0</v>
      </c>
      <c r="BA36" s="546">
        <f t="shared" si="30"/>
        <v>0</v>
      </c>
      <c r="BB36" s="546"/>
      <c r="BC36" s="546"/>
      <c r="BD36" s="546"/>
      <c r="BE36" s="546"/>
      <c r="BF36" s="546"/>
      <c r="BG36" s="546">
        <f t="shared" si="19"/>
        <v>618484.58641339617</v>
      </c>
      <c r="BH36" s="108">
        <f t="shared" si="28"/>
        <v>33</v>
      </c>
      <c r="BI36" s="108">
        <f t="shared" si="23"/>
        <v>33</v>
      </c>
      <c r="BJ36" s="22">
        <f t="shared" si="24"/>
        <v>45693</v>
      </c>
      <c r="BK36" s="108">
        <f t="shared" si="3"/>
        <v>22562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588" t="s">
        <v>405</v>
      </c>
      <c r="BX36" s="594" t="s">
        <v>406</v>
      </c>
      <c r="BY36" s="595">
        <v>0.20899999999999999</v>
      </c>
      <c r="BZ36" s="590">
        <v>1.14E-2</v>
      </c>
      <c r="CA36" s="589" t="s">
        <v>399</v>
      </c>
      <c r="CB36" s="590">
        <v>1.2E-2</v>
      </c>
      <c r="CC36" s="589" t="s">
        <v>404</v>
      </c>
      <c r="CD36" s="589" t="s">
        <v>400</v>
      </c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  <c r="AMK36" s="16"/>
      <c r="AML36" s="16"/>
      <c r="AMM36" s="16"/>
      <c r="AMN36" s="16"/>
      <c r="AMO36" s="16"/>
      <c r="AMP36" s="16"/>
      <c r="AMQ36" s="16"/>
      <c r="AMR36" s="16"/>
      <c r="AMS36" s="16"/>
      <c r="AMT36" s="16"/>
      <c r="AMU36" s="16"/>
      <c r="AMV36" s="16"/>
      <c r="AMW36" s="16"/>
      <c r="AMX36" s="16"/>
      <c r="AMY36" s="16"/>
      <c r="AMZ36" s="16"/>
      <c r="ANA36" s="16"/>
      <c r="ANB36" s="16"/>
      <c r="ANC36" s="16"/>
      <c r="AND36" s="16"/>
      <c r="ANE36" s="16"/>
      <c r="ANF36" s="16"/>
      <c r="ANG36" s="16"/>
      <c r="ANH36" s="16"/>
      <c r="ANI36" s="16"/>
      <c r="ANJ36" s="16"/>
      <c r="ANK36" s="16"/>
      <c r="ANL36" s="16"/>
      <c r="ANM36" s="16"/>
      <c r="ANN36" s="16"/>
      <c r="ANO36" s="16"/>
      <c r="ANP36" s="16"/>
      <c r="ANQ36" s="16"/>
      <c r="ANR36" s="16"/>
      <c r="ANS36" s="16"/>
      <c r="ANT36" s="16"/>
      <c r="ANU36" s="16"/>
      <c r="ANV36" s="16"/>
      <c r="ANW36" s="16"/>
      <c r="ANX36" s="16"/>
      <c r="ANY36" s="16"/>
      <c r="ANZ36" s="16"/>
      <c r="AOA36" s="16"/>
      <c r="AOB36" s="16"/>
      <c r="AOC36" s="16"/>
      <c r="AOD36" s="16"/>
      <c r="AOE36" s="16"/>
      <c r="AOF36" s="16"/>
      <c r="AOG36" s="16"/>
      <c r="AOH36" s="16"/>
      <c r="AOI36" s="16"/>
      <c r="AOJ36" s="16"/>
      <c r="AOK36" s="16"/>
      <c r="AOL36" s="16"/>
      <c r="AOM36" s="16"/>
      <c r="AON36" s="16"/>
      <c r="AOO36" s="16"/>
      <c r="AOP36" s="16"/>
      <c r="AOQ36" s="16"/>
      <c r="AOR36" s="16"/>
      <c r="AOS36" s="16"/>
      <c r="AOT36" s="16"/>
      <c r="AOU36" s="16"/>
      <c r="AOV36" s="16"/>
      <c r="AOW36" s="16"/>
      <c r="AOX36" s="16"/>
      <c r="AOY36" s="16"/>
      <c r="AOZ36" s="16"/>
      <c r="APA36" s="16"/>
      <c r="APB36" s="16"/>
      <c r="APC36" s="16"/>
      <c r="APD36" s="16"/>
      <c r="APE36" s="16"/>
      <c r="APF36" s="16"/>
      <c r="APG36" s="16"/>
      <c r="APH36" s="16"/>
      <c r="API36" s="16"/>
      <c r="APJ36" s="16"/>
      <c r="APK36" s="16"/>
      <c r="APL36" s="16"/>
      <c r="APM36" s="16"/>
      <c r="APN36" s="16"/>
      <c r="APO36" s="16"/>
      <c r="APP36" s="16"/>
      <c r="APQ36" s="16"/>
      <c r="APR36" s="16"/>
      <c r="APS36" s="16"/>
      <c r="APT36" s="16"/>
      <c r="APU36" s="16"/>
      <c r="APV36" s="16"/>
      <c r="APW36" s="16"/>
      <c r="APX36" s="16"/>
      <c r="APY36" s="16"/>
      <c r="APZ36" s="16"/>
      <c r="AQA36" s="16"/>
      <c r="AQB36" s="16"/>
      <c r="AQC36" s="16"/>
      <c r="AQD36" s="16"/>
      <c r="AQE36" s="16"/>
      <c r="AQF36" s="16"/>
      <c r="AQG36" s="16"/>
      <c r="AQH36" s="16"/>
      <c r="AQI36" s="16"/>
      <c r="AQJ36" s="16"/>
      <c r="AQK36" s="16"/>
      <c r="AQL36" s="16"/>
      <c r="AQM36" s="16"/>
      <c r="AQN36" s="16"/>
      <c r="AQO36" s="16"/>
      <c r="AQP36" s="16"/>
      <c r="AQQ36" s="16"/>
      <c r="AQR36" s="16"/>
      <c r="AQS36" s="16"/>
      <c r="AQT36" s="16"/>
      <c r="AQU36" s="16"/>
      <c r="AQV36" s="16"/>
      <c r="AQW36" s="16"/>
      <c r="AQX36" s="16"/>
      <c r="AQY36" s="16"/>
      <c r="AQZ36" s="16"/>
      <c r="ARA36" s="16"/>
      <c r="ARB36" s="16"/>
      <c r="ARC36" s="16"/>
      <c r="ARD36" s="16"/>
      <c r="ARE36" s="16"/>
      <c r="ARF36" s="16"/>
      <c r="ARG36" s="16"/>
      <c r="ARH36" s="16"/>
      <c r="ARI36" s="16"/>
      <c r="ARJ36" s="16"/>
      <c r="ARK36" s="16"/>
      <c r="ARL36" s="16"/>
      <c r="ARM36" s="16"/>
      <c r="ARN36" s="16"/>
      <c r="ARO36" s="16"/>
      <c r="ARP36" s="16"/>
      <c r="ARQ36" s="16"/>
      <c r="ARR36" s="16"/>
      <c r="ARS36" s="16"/>
      <c r="ART36" s="16"/>
      <c r="ARU36" s="16"/>
      <c r="ARV36" s="16"/>
      <c r="ARW36" s="16"/>
      <c r="ARX36" s="16"/>
      <c r="ARY36" s="16"/>
      <c r="ARZ36" s="16"/>
      <c r="ASA36" s="16"/>
      <c r="ASB36" s="16"/>
      <c r="ASC36" s="16"/>
      <c r="ASD36" s="16"/>
      <c r="ASE36" s="16"/>
      <c r="ASF36" s="16"/>
      <c r="ASG36" s="16"/>
      <c r="ASH36" s="16"/>
      <c r="ASI36" s="16"/>
      <c r="ASJ36" s="16"/>
      <c r="ASK36" s="16"/>
      <c r="ASL36" s="16"/>
      <c r="ASM36" s="16"/>
      <c r="ASN36" s="16"/>
      <c r="ASO36" s="16"/>
      <c r="ASP36" s="16"/>
      <c r="ASQ36" s="16"/>
      <c r="ASR36" s="16"/>
      <c r="ASS36" s="16"/>
      <c r="AST36" s="16"/>
      <c r="ASU36" s="16"/>
      <c r="ASV36" s="16"/>
      <c r="ASW36" s="16"/>
      <c r="ASX36" s="16"/>
      <c r="ASY36" s="16"/>
      <c r="ASZ36" s="16"/>
      <c r="ATA36" s="16"/>
      <c r="ATB36" s="16"/>
      <c r="ATC36" s="16"/>
      <c r="ATD36" s="16"/>
      <c r="ATE36" s="16"/>
      <c r="ATF36" s="16"/>
      <c r="ATG36" s="16"/>
      <c r="ATH36" s="16"/>
      <c r="ATI36" s="16"/>
      <c r="ATJ36" s="16"/>
      <c r="ATK36" s="16"/>
      <c r="ATL36" s="16"/>
      <c r="ATM36" s="16"/>
      <c r="ATN36" s="16"/>
      <c r="ATO36" s="16"/>
      <c r="ATP36" s="16"/>
      <c r="ATQ36" s="16"/>
      <c r="ATR36" s="16"/>
      <c r="ATS36" s="16"/>
      <c r="ATT36" s="16"/>
      <c r="ATU36" s="16"/>
    </row>
    <row r="37" spans="1:1217" s="16" customFormat="1" ht="24.75" customHeight="1" thickBot="1" x14ac:dyDescent="0.35">
      <c r="A37" s="180"/>
      <c r="B37" s="180"/>
      <c r="C37" s="524"/>
      <c r="D37" s="254"/>
      <c r="E37" s="178"/>
      <c r="F37" s="178"/>
      <c r="G37" s="244">
        <f t="shared" si="25"/>
        <v>29</v>
      </c>
      <c r="H37" s="245">
        <f t="shared" si="4"/>
        <v>45721</v>
      </c>
      <c r="I37" s="246">
        <f t="shared" si="5"/>
        <v>4.9000000000000002E-2</v>
      </c>
      <c r="J37" s="242">
        <f t="shared" si="6"/>
        <v>22562</v>
      </c>
      <c r="K37" s="242">
        <f t="shared" si="20"/>
        <v>22562</v>
      </c>
      <c r="L37" s="242">
        <f t="shared" si="7"/>
        <v>2540.0669184991116</v>
      </c>
      <c r="M37" s="242">
        <f t="shared" si="21"/>
        <v>20021.933081500887</v>
      </c>
      <c r="N37" s="242">
        <f t="shared" si="1"/>
        <v>0</v>
      </c>
      <c r="O37" s="242">
        <v>0</v>
      </c>
      <c r="P37" s="242">
        <f t="shared" si="22"/>
        <v>2540.0669184991116</v>
      </c>
      <c r="Q37" s="242">
        <f t="shared" si="29"/>
        <v>0</v>
      </c>
      <c r="R37" s="242">
        <f t="shared" si="8"/>
        <v>0</v>
      </c>
      <c r="S37" s="242">
        <f t="shared" si="9"/>
        <v>655724.73255419557</v>
      </c>
      <c r="T37" s="467"/>
      <c r="U37" s="198">
        <f t="shared" si="26"/>
        <v>32</v>
      </c>
      <c r="V37" s="36">
        <f t="shared" si="10"/>
        <v>32</v>
      </c>
      <c r="W37" s="16">
        <f>INDEX('[2]Для Перспективы'!$B$6:$F$6,MATCH($C$10,'[2]Для Перспективы'!$B$1:$F$1,0))</f>
        <v>5500</v>
      </c>
      <c r="X37" s="16">
        <f>INDEX('[2]Для Перспективы'!$B$8:$F$8,MATCH($C$10,'[2]Для Перспективы'!$B$1:$F$1,0))</f>
        <v>10000</v>
      </c>
      <c r="Y37" s="16">
        <f>INDEX('[2]Для Перспективы'!$B$10:$F$10,MATCH($C$10,'[2]Для Перспективы'!$B$1:$F$1,0))</f>
        <v>10000</v>
      </c>
      <c r="Z37" s="16">
        <f>INDEX('[2]Для Перспективы'!$B$12:$F$12,MATCH($C$10,'[2]Для Перспективы'!$B$1:$F$1,0))</f>
        <v>10000</v>
      </c>
      <c r="AA37" s="16">
        <f>INDEX('[2]Для Перспективы'!$B$14:$F$14,MATCH($C$10,'[2]Для Перспективы'!$B$1:$F$1,0))</f>
        <v>11000</v>
      </c>
      <c r="AB37" s="16">
        <f>INDEX('[2]Для Перспективы'!$B$22:$D$22,MATCH($C$10,'[2]Для Перспективы'!$B$1:$D$1,0))</f>
        <v>11000</v>
      </c>
      <c r="AC37" s="16">
        <f>INDEX('[2]Для Перспективы'!$B$20:$F$20,MATCH($C$10,'[2]Для Перспективы'!$B$1:$F$1,0))</f>
        <v>11000</v>
      </c>
      <c r="AD37" s="16">
        <f>INDEX('[2]Для Перспективы'!$B$6:$F$6,MATCH($C$10,'[2]Для Перспективы'!$B$1:$F$1,0))</f>
        <v>5500</v>
      </c>
      <c r="AE37" s="16">
        <f>INDEX('[2]Для Перспективы'!$B$6:$F$6,MATCH($C$10,'[2]Для Перспективы'!$B$1:$F$1,0))</f>
        <v>5500</v>
      </c>
      <c r="AF37" s="47">
        <f>IF(AG37=AG36,AF36,AF36-$AF$35)</f>
        <v>20895</v>
      </c>
      <c r="AG37" s="169">
        <f>AG36-$AG$35</f>
        <v>9.9000000000000005E-2</v>
      </c>
      <c r="AI37" s="2"/>
      <c r="AJ37" s="2"/>
      <c r="AK37" s="57"/>
      <c r="AL37" s="47">
        <f>AL36-$AL$35</f>
        <v>21550</v>
      </c>
      <c r="AM37" s="169">
        <f>AM36-$AM$35</f>
        <v>9.9000000000000005E-2</v>
      </c>
      <c r="AO37" s="130">
        <f t="shared" si="11"/>
        <v>1</v>
      </c>
      <c r="AP37" s="553">
        <f t="shared" si="27"/>
        <v>29</v>
      </c>
      <c r="AQ37" s="554">
        <f t="shared" si="12"/>
        <v>45721</v>
      </c>
      <c r="AR37" s="555">
        <f t="shared" si="2"/>
        <v>0.13900000000000001</v>
      </c>
      <c r="AS37" s="546">
        <f t="shared" si="13"/>
        <v>23217</v>
      </c>
      <c r="AT37" s="546">
        <f t="shared" si="14"/>
        <v>23217</v>
      </c>
      <c r="AU37" s="546">
        <f t="shared" si="15"/>
        <v>6594.9096173176395</v>
      </c>
      <c r="AV37" s="546">
        <f t="shared" si="16"/>
        <v>16622.09038268236</v>
      </c>
      <c r="AW37" s="546"/>
      <c r="AX37" s="546">
        <v>0</v>
      </c>
      <c r="AY37" s="546">
        <f t="shared" si="17"/>
        <v>6594.9096173176395</v>
      </c>
      <c r="AZ37" s="546">
        <f t="shared" si="32"/>
        <v>0</v>
      </c>
      <c r="BA37" s="546">
        <f t="shared" si="30"/>
        <v>0</v>
      </c>
      <c r="BB37" s="546"/>
      <c r="BC37" s="546"/>
      <c r="BD37" s="546"/>
      <c r="BE37" s="546"/>
      <c r="BF37" s="546"/>
      <c r="BG37" s="546">
        <f t="shared" si="19"/>
        <v>601862.49603071378</v>
      </c>
      <c r="BH37" s="108">
        <f t="shared" si="28"/>
        <v>32</v>
      </c>
      <c r="BI37" s="108">
        <f t="shared" si="23"/>
        <v>32</v>
      </c>
      <c r="BJ37" s="22">
        <f t="shared" si="24"/>
        <v>45721</v>
      </c>
      <c r="BK37" s="108">
        <f t="shared" si="3"/>
        <v>22562</v>
      </c>
      <c r="BW37" s="596" t="s">
        <v>407</v>
      </c>
      <c r="BX37" s="597" t="s">
        <v>408</v>
      </c>
      <c r="BY37" s="595">
        <v>0.17899999999999999</v>
      </c>
      <c r="BZ37" s="598">
        <v>1.14E-2</v>
      </c>
      <c r="CA37" s="599" t="s">
        <v>399</v>
      </c>
      <c r="CB37" s="598">
        <v>1.2E-2</v>
      </c>
      <c r="CC37" s="600" t="s">
        <v>410</v>
      </c>
      <c r="CD37" s="600" t="s">
        <v>410</v>
      </c>
    </row>
    <row r="38" spans="1:1217" s="16" customFormat="1" ht="16.5" customHeight="1" thickBot="1" x14ac:dyDescent="0.35">
      <c r="A38" s="180"/>
      <c r="B38" s="180"/>
      <c r="C38" s="524"/>
      <c r="D38" s="254"/>
      <c r="E38" s="178"/>
      <c r="F38" s="178"/>
      <c r="G38" s="244">
        <f t="shared" si="25"/>
        <v>30</v>
      </c>
      <c r="H38" s="245">
        <f t="shared" si="4"/>
        <v>45752</v>
      </c>
      <c r="I38" s="246">
        <f t="shared" si="5"/>
        <v>4.9000000000000002E-2</v>
      </c>
      <c r="J38" s="242">
        <f t="shared" si="6"/>
        <v>22562</v>
      </c>
      <c r="K38" s="242">
        <f t="shared" si="20"/>
        <v>22562</v>
      </c>
      <c r="L38" s="242">
        <f t="shared" si="7"/>
        <v>2728.8927910954058</v>
      </c>
      <c r="M38" s="242">
        <f t="shared" si="21"/>
        <v>19833.107208904596</v>
      </c>
      <c r="N38" s="242">
        <f t="shared" si="1"/>
        <v>0</v>
      </c>
      <c r="O38" s="242">
        <v>0</v>
      </c>
      <c r="P38" s="242">
        <f t="shared" si="22"/>
        <v>2728.8927910954058</v>
      </c>
      <c r="Q38" s="242">
        <f t="shared" si="29"/>
        <v>0</v>
      </c>
      <c r="R38" s="242">
        <f t="shared" si="8"/>
        <v>0</v>
      </c>
      <c r="S38" s="242">
        <f t="shared" si="9"/>
        <v>635891.62534529099</v>
      </c>
      <c r="T38" s="467"/>
      <c r="U38" s="198">
        <f t="shared" si="26"/>
        <v>31</v>
      </c>
      <c r="V38" s="36">
        <f t="shared" si="10"/>
        <v>31</v>
      </c>
      <c r="W38" s="16">
        <f>INDEX('[2]Для Перспективы'!B7:F7,MATCH($C$10,'[2]Для Перспективы'!$B$1:$F$1,0))</f>
        <v>134000</v>
      </c>
      <c r="X38" s="16">
        <f>INDEX('[2]Для Перспективы'!$B$9:$F$9,MATCH($C$10,'[2]Для Перспективы'!$B$1:$F$1,0))</f>
        <v>136300</v>
      </c>
      <c r="Y38" s="16">
        <f>INDEX('[2]Для Перспективы'!$B$11:$F$11,MATCH($C$10,'[2]Для Перспективы'!$B$1:$F$1,0))</f>
        <v>139400</v>
      </c>
      <c r="Z38" s="16">
        <f>INDEX('[2]Для Перспективы'!$B$13:$F$13,MATCH($C$10,'[2]Для Перспективы'!$B$1:$F$1,0))</f>
        <v>142500</v>
      </c>
      <c r="AA38" s="16">
        <f>INDEX('[2]Для Перспективы'!$B$15:$F$15,MATCH($C$10,'[2]Для Перспективы'!$B$1:$F$1,0))</f>
        <v>145800</v>
      </c>
      <c r="AB38" s="16">
        <f>INDEX('[2]Для Перспективы'!$B$23:$D$23,MATCH($C$10,'[2]Для Перспективы'!$B$1:$D$1,0))</f>
        <v>158700</v>
      </c>
      <c r="AC38" s="16">
        <f>INDEX('[2]Для Перспективы'!$B$11:$D$11,MATCH($C$10,'[2]Для Перспективы'!$B$1:$D$1,0))</f>
        <v>139400</v>
      </c>
      <c r="AD38" s="16">
        <f>INDEX('[2]Для Перспективы'!$B$11:$D$11,MATCH($C$10,'[2]Для Перспективы'!$B$1:$D$1,0))</f>
        <v>139400</v>
      </c>
      <c r="AE38" s="16" t="e">
        <f>INDEX('[2]Для Перспективы'!$G21:$I21,MATCH($C$10,'[2]Для Перспективы'!$G$1:$I$1,0))</f>
        <v>#N/A</v>
      </c>
      <c r="AF38" s="47">
        <f t="shared" ref="AF38:AF40" si="33">IF(AG38=AG37,AF37,AF37-$AF$35)</f>
        <v>20895</v>
      </c>
      <c r="AG38" s="169">
        <f>AG36-$AG$35</f>
        <v>9.9000000000000005E-2</v>
      </c>
      <c r="AI38" s="2"/>
      <c r="AJ38" s="2"/>
      <c r="AK38" s="57"/>
      <c r="AL38" s="47">
        <f>AL36-$AL$35</f>
        <v>21550</v>
      </c>
      <c r="AM38" s="169">
        <f>AM36-$AM$35</f>
        <v>9.9000000000000005E-2</v>
      </c>
      <c r="AN38" s="63"/>
      <c r="AO38" s="130">
        <f t="shared" si="11"/>
        <v>1</v>
      </c>
      <c r="AP38" s="553">
        <f t="shared" si="27"/>
        <v>30</v>
      </c>
      <c r="AQ38" s="554">
        <f t="shared" si="12"/>
        <v>45752</v>
      </c>
      <c r="AR38" s="555">
        <f t="shared" si="2"/>
        <v>0.13900000000000001</v>
      </c>
      <c r="AS38" s="546">
        <f t="shared" si="13"/>
        <v>23217</v>
      </c>
      <c r="AT38" s="546">
        <f t="shared" si="14"/>
        <v>23217</v>
      </c>
      <c r="AU38" s="546">
        <f t="shared" si="15"/>
        <v>7105.2753298530024</v>
      </c>
      <c r="AV38" s="546">
        <f t="shared" si="16"/>
        <v>16111.724670146998</v>
      </c>
      <c r="AW38" s="546"/>
      <c r="AX38" s="546">
        <v>0</v>
      </c>
      <c r="AY38" s="546">
        <f t="shared" si="17"/>
        <v>7105.2753298530024</v>
      </c>
      <c r="AZ38" s="546">
        <f t="shared" si="32"/>
        <v>0</v>
      </c>
      <c r="BA38" s="546">
        <f t="shared" si="30"/>
        <v>0</v>
      </c>
      <c r="BB38" s="546"/>
      <c r="BC38" s="546"/>
      <c r="BD38" s="546"/>
      <c r="BE38" s="546"/>
      <c r="BF38" s="546"/>
      <c r="BG38" s="546">
        <f t="shared" si="19"/>
        <v>585750.77136056684</v>
      </c>
      <c r="BH38" s="108">
        <f t="shared" si="28"/>
        <v>31</v>
      </c>
      <c r="BI38" s="108">
        <f t="shared" si="23"/>
        <v>31</v>
      </c>
      <c r="BJ38" s="22">
        <f t="shared" si="24"/>
        <v>45752</v>
      </c>
      <c r="BK38" s="108">
        <f t="shared" si="3"/>
        <v>22562</v>
      </c>
      <c r="BW38" s="601" t="s">
        <v>407</v>
      </c>
      <c r="BX38" s="597" t="s">
        <v>408</v>
      </c>
      <c r="BY38" s="595">
        <v>0.13900000000000001</v>
      </c>
      <c r="BZ38" s="602">
        <v>1.14E-2</v>
      </c>
      <c r="CA38" s="597" t="s">
        <v>399</v>
      </c>
      <c r="CB38" s="602">
        <v>1.2E-2</v>
      </c>
      <c r="CC38" s="603" t="s">
        <v>411</v>
      </c>
      <c r="CD38" s="603" t="s">
        <v>411</v>
      </c>
    </row>
    <row r="39" spans="1:1217" s="16" customFormat="1" ht="17.25" customHeight="1" x14ac:dyDescent="0.3">
      <c r="A39" s="180"/>
      <c r="B39" s="180"/>
      <c r="C39" s="524"/>
      <c r="D39" s="254"/>
      <c r="E39" s="178"/>
      <c r="F39" s="178"/>
      <c r="G39" s="244">
        <f t="shared" si="25"/>
        <v>31</v>
      </c>
      <c r="H39" s="245">
        <f t="shared" si="4"/>
        <v>45782</v>
      </c>
      <c r="I39" s="246">
        <f t="shared" si="5"/>
        <v>4.9000000000000002E-2</v>
      </c>
      <c r="J39" s="242">
        <f t="shared" si="6"/>
        <v>22562</v>
      </c>
      <c r="K39" s="242">
        <f t="shared" si="20"/>
        <v>22562</v>
      </c>
      <c r="L39" s="242">
        <f t="shared" si="7"/>
        <v>2560.9881897467885</v>
      </c>
      <c r="M39" s="242">
        <f t="shared" si="21"/>
        <v>20001.011810253211</v>
      </c>
      <c r="N39" s="242">
        <f t="shared" si="1"/>
        <v>0</v>
      </c>
      <c r="O39" s="242">
        <v>0</v>
      </c>
      <c r="P39" s="242">
        <f t="shared" si="22"/>
        <v>2560.9881897467885</v>
      </c>
      <c r="Q39" s="242">
        <f t="shared" si="29"/>
        <v>0</v>
      </c>
      <c r="R39" s="242">
        <f t="shared" si="8"/>
        <v>0</v>
      </c>
      <c r="S39" s="242">
        <f t="shared" si="9"/>
        <v>615890.61353503773</v>
      </c>
      <c r="T39" s="467"/>
      <c r="U39" s="198">
        <f t="shared" si="26"/>
        <v>30</v>
      </c>
      <c r="V39" s="36">
        <f t="shared" si="10"/>
        <v>30</v>
      </c>
      <c r="W39" s="15">
        <v>0.11899999999999999</v>
      </c>
      <c r="X39" s="101">
        <v>0.22900000000000001</v>
      </c>
      <c r="Y39" s="484">
        <v>0.13900000000000001</v>
      </c>
      <c r="Z39" s="101">
        <v>0.14899999999999999</v>
      </c>
      <c r="AA39" s="484">
        <v>0.29899999999999999</v>
      </c>
      <c r="AB39" s="15">
        <v>0.19900000000000001</v>
      </c>
      <c r="AC39" s="169">
        <v>0.17899999999999999</v>
      </c>
      <c r="AD39" s="15">
        <v>0.189</v>
      </c>
      <c r="AE39" s="15">
        <v>0.19900000000000001</v>
      </c>
      <c r="AF39" s="47">
        <f t="shared" si="33"/>
        <v>20895</v>
      </c>
      <c r="AG39" s="169">
        <f>AG36-$AG$35</f>
        <v>9.9000000000000005E-2</v>
      </c>
      <c r="AI39" s="2"/>
      <c r="AJ39" s="2"/>
      <c r="AK39" s="57"/>
      <c r="AL39" s="47">
        <f>AL36-$AL$35</f>
        <v>21550</v>
      </c>
      <c r="AM39" s="169">
        <f>AM36-$AM$35</f>
        <v>9.9000000000000005E-2</v>
      </c>
      <c r="AN39" s="15"/>
      <c r="AO39" s="130">
        <f t="shared" si="11"/>
        <v>1</v>
      </c>
      <c r="AP39" s="553">
        <f t="shared" si="27"/>
        <v>31</v>
      </c>
      <c r="AQ39" s="554">
        <f t="shared" si="12"/>
        <v>45782</v>
      </c>
      <c r="AR39" s="555">
        <f t="shared" si="2"/>
        <v>0.13900000000000001</v>
      </c>
      <c r="AS39" s="546">
        <f t="shared" si="13"/>
        <v>23217</v>
      </c>
      <c r="AT39" s="546">
        <f t="shared" si="14"/>
        <v>23217</v>
      </c>
      <c r="AU39" s="546">
        <f t="shared" si="15"/>
        <v>6692.0019632152444</v>
      </c>
      <c r="AV39" s="546">
        <f t="shared" si="16"/>
        <v>16524.998036784757</v>
      </c>
      <c r="AW39" s="546"/>
      <c r="AX39" s="546">
        <v>0</v>
      </c>
      <c r="AY39" s="546">
        <f t="shared" si="17"/>
        <v>6692.0019632152444</v>
      </c>
      <c r="AZ39" s="546">
        <f t="shared" si="32"/>
        <v>0</v>
      </c>
      <c r="BA39" s="546">
        <f t="shared" si="30"/>
        <v>0</v>
      </c>
      <c r="BB39" s="546"/>
      <c r="BC39" s="546"/>
      <c r="BD39" s="546"/>
      <c r="BE39" s="546"/>
      <c r="BF39" s="546"/>
      <c r="BG39" s="546">
        <f t="shared" si="19"/>
        <v>569225.77332378214</v>
      </c>
      <c r="BH39" s="108">
        <f t="shared" si="28"/>
        <v>30</v>
      </c>
      <c r="BI39" s="108">
        <f t="shared" si="23"/>
        <v>30</v>
      </c>
      <c r="BJ39" s="22">
        <f t="shared" si="24"/>
        <v>45782</v>
      </c>
      <c r="BK39" s="108">
        <f t="shared" si="3"/>
        <v>22562</v>
      </c>
    </row>
    <row r="40" spans="1:1217" s="16" customFormat="1" ht="13.95" customHeight="1" x14ac:dyDescent="0.3">
      <c r="A40" s="180"/>
      <c r="B40" s="180"/>
      <c r="C40" s="524"/>
      <c r="D40" s="254"/>
      <c r="E40" s="178"/>
      <c r="F40" s="178"/>
      <c r="G40" s="244">
        <f t="shared" si="25"/>
        <v>32</v>
      </c>
      <c r="H40" s="245">
        <f t="shared" si="4"/>
        <v>45813</v>
      </c>
      <c r="I40" s="246">
        <f t="shared" si="5"/>
        <v>4.9000000000000002E-2</v>
      </c>
      <c r="J40" s="242">
        <f t="shared" si="6"/>
        <v>22562</v>
      </c>
      <c r="K40" s="242">
        <f t="shared" si="20"/>
        <v>22562</v>
      </c>
      <c r="L40" s="242">
        <f t="shared" si="7"/>
        <v>2563.117375232116</v>
      </c>
      <c r="M40" s="242">
        <f t="shared" si="21"/>
        <v>19998.882624767884</v>
      </c>
      <c r="N40" s="242">
        <f t="shared" si="1"/>
        <v>0</v>
      </c>
      <c r="O40" s="242">
        <v>0</v>
      </c>
      <c r="P40" s="242">
        <f t="shared" si="22"/>
        <v>2563.117375232116</v>
      </c>
      <c r="Q40" s="242">
        <f t="shared" si="29"/>
        <v>0</v>
      </c>
      <c r="R40" s="242">
        <f t="shared" si="8"/>
        <v>0</v>
      </c>
      <c r="S40" s="242">
        <f t="shared" si="9"/>
        <v>595891.73091026989</v>
      </c>
      <c r="T40" s="467"/>
      <c r="U40" s="198">
        <f t="shared" si="26"/>
        <v>29</v>
      </c>
      <c r="V40" s="36">
        <f t="shared" si="10"/>
        <v>29</v>
      </c>
      <c r="W40" s="16">
        <f>INDEX('[2]Для Перспективы'!B2:F2,MATCH($C$10,'[2]Для Перспективы'!$B$1:$F$1,0))</f>
        <v>4000</v>
      </c>
      <c r="X40" s="16">
        <f>INDEX('[2]Для Перспективы'!B8:F8,MATCH($C$10,'[2]Для Перспективы'!$B$1:$F$1,0))</f>
        <v>10000</v>
      </c>
      <c r="Y40" s="16">
        <f>INDEX('[2]Для Перспективы'!B10:F10,MATCH($C$10,'[2]Для Перспективы'!$B$1:$F$1,0))</f>
        <v>10000</v>
      </c>
      <c r="Z40" s="16">
        <f>INDEX('[2]Для Перспективы'!B12:F12,MATCH($C$10,'[2]Для Перспективы'!$B$1:$F$1,0))</f>
        <v>10000</v>
      </c>
      <c r="AA40" s="16">
        <f>INDEX('[2]Для Перспективы'!B14:F14,MATCH($C$10,'[2]Для Перспективы'!$B$1:$F$1,0))</f>
        <v>11000</v>
      </c>
      <c r="AB40" s="16">
        <f>INDEX('[2]Для Перспективы'!B14:D14,MATCH($C$10,'[2]Для Перспективы'!$B$1:$D$1,0))</f>
        <v>11000</v>
      </c>
      <c r="AC40" s="16">
        <f>INDEX('[2]Для Перспективы'!B16:D16,MATCH($C$10,'[2]Для Перспективы'!$B$1:$D$1,0))</f>
        <v>11000</v>
      </c>
      <c r="AD40" s="16">
        <f>INDEX('[2]Для Перспективы'!B18:D18,MATCH($C$10,'[2]Для Перспективы'!$B$1:$D$1,0))</f>
        <v>8000</v>
      </c>
      <c r="AE40" s="16">
        <f>INDEX('[2]Для Перспективы'!B20:D20,MATCH($C$10,'[2]Для Перспективы'!$B$1:$D$1,0))</f>
        <v>11000</v>
      </c>
      <c r="AF40" s="47">
        <f t="shared" si="33"/>
        <v>20895</v>
      </c>
      <c r="AG40" s="169">
        <f>AG36-$AG$35</f>
        <v>9.9000000000000005E-2</v>
      </c>
      <c r="AI40" s="2"/>
      <c r="AJ40" s="2"/>
      <c r="AK40" s="57"/>
      <c r="AL40" s="47">
        <f>AL36-$AL$35</f>
        <v>21550</v>
      </c>
      <c r="AM40" s="169">
        <f>AM36-$AM$35</f>
        <v>9.9000000000000005E-2</v>
      </c>
      <c r="AN40" s="15"/>
      <c r="AO40" s="130">
        <f t="shared" si="11"/>
        <v>1</v>
      </c>
      <c r="AP40" s="553">
        <f t="shared" si="27"/>
        <v>32</v>
      </c>
      <c r="AQ40" s="554">
        <f t="shared" si="12"/>
        <v>45813</v>
      </c>
      <c r="AR40" s="555">
        <f t="shared" si="2"/>
        <v>0.13900000000000001</v>
      </c>
      <c r="AS40" s="546">
        <f t="shared" si="13"/>
        <v>23217</v>
      </c>
      <c r="AT40" s="546">
        <f t="shared" si="14"/>
        <v>23217</v>
      </c>
      <c r="AU40" s="546">
        <f t="shared" si="15"/>
        <v>6719.9831705539109</v>
      </c>
      <c r="AV40" s="546">
        <f t="shared" si="16"/>
        <v>16497.016829446089</v>
      </c>
      <c r="AW40" s="546"/>
      <c r="AX40" s="546">
        <v>0</v>
      </c>
      <c r="AY40" s="546">
        <f t="shared" si="17"/>
        <v>6719.9831705539109</v>
      </c>
      <c r="AZ40" s="546">
        <f t="shared" si="32"/>
        <v>0</v>
      </c>
      <c r="BA40" s="546">
        <f t="shared" si="30"/>
        <v>0</v>
      </c>
      <c r="BB40" s="546"/>
      <c r="BC40" s="546"/>
      <c r="BD40" s="546"/>
      <c r="BE40" s="546"/>
      <c r="BF40" s="546"/>
      <c r="BG40" s="546">
        <f t="shared" si="19"/>
        <v>552728.75649433606</v>
      </c>
      <c r="BH40" s="108">
        <f t="shared" si="28"/>
        <v>29</v>
      </c>
      <c r="BI40" s="108">
        <f t="shared" si="23"/>
        <v>29</v>
      </c>
      <c r="BJ40" s="22">
        <f t="shared" si="24"/>
        <v>45813</v>
      </c>
      <c r="BK40" s="108">
        <f t="shared" si="3"/>
        <v>22562</v>
      </c>
    </row>
    <row r="41" spans="1:1217" s="16" customFormat="1" ht="39" customHeight="1" x14ac:dyDescent="0.3">
      <c r="A41" s="178"/>
      <c r="B41" s="178"/>
      <c r="C41" s="524"/>
      <c r="D41" s="182"/>
      <c r="E41" s="180"/>
      <c r="F41" s="178"/>
      <c r="G41" s="244">
        <f t="shared" si="25"/>
        <v>33</v>
      </c>
      <c r="H41" s="245">
        <f t="shared" si="4"/>
        <v>45843</v>
      </c>
      <c r="I41" s="246">
        <f t="shared" si="5"/>
        <v>4.9000000000000002E-2</v>
      </c>
      <c r="J41" s="242">
        <f t="shared" si="6"/>
        <v>22562</v>
      </c>
      <c r="K41" s="242">
        <f t="shared" si="20"/>
        <v>22562</v>
      </c>
      <c r="L41" s="242">
        <f t="shared" si="7"/>
        <v>2399.8927244879364</v>
      </c>
      <c r="M41" s="242">
        <f t="shared" si="21"/>
        <v>20162.107275512062</v>
      </c>
      <c r="N41" s="242">
        <f t="shared" si="1"/>
        <v>0</v>
      </c>
      <c r="O41" s="242">
        <v>0</v>
      </c>
      <c r="P41" s="242">
        <f t="shared" si="22"/>
        <v>2399.8927244879364</v>
      </c>
      <c r="Q41" s="242">
        <f t="shared" si="29"/>
        <v>0</v>
      </c>
      <c r="R41" s="242">
        <f t="shared" si="8"/>
        <v>0</v>
      </c>
      <c r="S41" s="242">
        <f t="shared" si="9"/>
        <v>575729.62363475782</v>
      </c>
      <c r="T41" s="467"/>
      <c r="U41" s="198">
        <f t="shared" si="26"/>
        <v>28</v>
      </c>
      <c r="V41" s="36">
        <f t="shared" si="10"/>
        <v>28</v>
      </c>
      <c r="W41" s="16">
        <f>INDEX('[2]Для Перспективы'!B3:F3,MATCH($C$10,'[2]Для Перспективы'!$B$1:$F$1,0))</f>
        <v>128000</v>
      </c>
      <c r="X41" s="16">
        <f>INDEX('[2]Для Перспективы'!B9:F9,MATCH($C$10,'[2]Для Перспективы'!$B$1:$F$1,0))</f>
        <v>136300</v>
      </c>
      <c r="Y41" s="16">
        <f>INDEX('[2]Для Перспективы'!B11:F11,MATCH($C$10,'[2]Для Перспективы'!$B$1:$F$1,0))</f>
        <v>139400</v>
      </c>
      <c r="Z41" s="16">
        <f>INDEX('[2]Для Перспективы'!B13:F13,MATCH($C$10,'[2]Для Перспективы'!$B$1:$F$1,0))</f>
        <v>142500</v>
      </c>
      <c r="AA41" s="16">
        <f>INDEX('[2]Для Перспективы'!B15:F15,MATCH($C$10,'[2]Для Перспективы'!$B$1:$F$1,0))</f>
        <v>145800</v>
      </c>
      <c r="AB41" s="16">
        <f>INDEX('[2]Для Перспективы'!B15:D15,MATCH($C$10,'[2]Для Перспективы'!$B$1:$D$1,0))</f>
        <v>145800</v>
      </c>
      <c r="AC41" s="16">
        <f>INDEX('[2]Для Перспективы'!B17:D17,MATCH($C$10,'[2]Для Перспективы'!$B$1:$D$1,0))</f>
        <v>148900</v>
      </c>
      <c r="AD41" s="16">
        <f>INDEX('[2]Для Перспективы'!B19:D19,MATCH($C$10,'[2]Для Перспективы'!$B$1:$D$1,0))</f>
        <v>151980</v>
      </c>
      <c r="AE41" s="16">
        <f>INDEX('[2]Для Перспективы'!B21:D21,MATCH($C$10,'[2]Для Перспективы'!$B$1:$D$1,0))</f>
        <v>152200</v>
      </c>
      <c r="AF41" s="3"/>
      <c r="AG41" s="3"/>
      <c r="AH41" s="3"/>
      <c r="AI41" s="2"/>
      <c r="AJ41" s="2"/>
      <c r="AK41" s="57"/>
      <c r="AL41" s="2"/>
      <c r="AM41" s="15"/>
      <c r="AN41" s="15"/>
      <c r="AO41" s="130">
        <f t="shared" si="11"/>
        <v>1</v>
      </c>
      <c r="AP41" s="553">
        <f t="shared" si="27"/>
        <v>33</v>
      </c>
      <c r="AQ41" s="554">
        <f t="shared" si="12"/>
        <v>45843</v>
      </c>
      <c r="AR41" s="555">
        <f t="shared" si="2"/>
        <v>0.13900000000000001</v>
      </c>
      <c r="AS41" s="546">
        <f t="shared" si="13"/>
        <v>23217</v>
      </c>
      <c r="AT41" s="546">
        <f t="shared" si="14"/>
        <v>23217</v>
      </c>
      <c r="AU41" s="546">
        <f t="shared" si="15"/>
        <v>6314.7367522777586</v>
      </c>
      <c r="AV41" s="546">
        <f t="shared" si="16"/>
        <v>16902.263247722243</v>
      </c>
      <c r="AW41" s="546"/>
      <c r="AX41" s="546">
        <v>0</v>
      </c>
      <c r="AY41" s="546">
        <f t="shared" si="17"/>
        <v>6314.7367522777586</v>
      </c>
      <c r="AZ41" s="546">
        <f t="shared" si="32"/>
        <v>0</v>
      </c>
      <c r="BA41" s="546">
        <f t="shared" si="30"/>
        <v>0</v>
      </c>
      <c r="BB41" s="546"/>
      <c r="BC41" s="546"/>
      <c r="BD41" s="546"/>
      <c r="BE41" s="546"/>
      <c r="BF41" s="546"/>
      <c r="BG41" s="546">
        <f t="shared" si="19"/>
        <v>535826.49324661377</v>
      </c>
      <c r="BH41" s="108">
        <f t="shared" si="28"/>
        <v>28</v>
      </c>
      <c r="BI41" s="108">
        <f t="shared" si="23"/>
        <v>28</v>
      </c>
      <c r="BJ41" s="22">
        <f t="shared" si="24"/>
        <v>45843</v>
      </c>
      <c r="BK41" s="108">
        <f t="shared" si="3"/>
        <v>22562</v>
      </c>
    </row>
    <row r="42" spans="1:1217" s="16" customFormat="1" ht="18.75" customHeight="1" x14ac:dyDescent="0.3">
      <c r="A42" s="178"/>
      <c r="B42" s="178"/>
      <c r="C42" s="524"/>
      <c r="D42" s="182"/>
      <c r="E42" s="178"/>
      <c r="F42" s="178"/>
      <c r="G42" s="244">
        <f t="shared" si="25"/>
        <v>34</v>
      </c>
      <c r="H42" s="245">
        <f t="shared" si="4"/>
        <v>45874</v>
      </c>
      <c r="I42" s="246">
        <f t="shared" si="5"/>
        <v>4.9000000000000002E-2</v>
      </c>
      <c r="J42" s="242">
        <f t="shared" si="6"/>
        <v>22562</v>
      </c>
      <c r="K42" s="242">
        <f t="shared" si="20"/>
        <v>22562</v>
      </c>
      <c r="L42" s="242">
        <f t="shared" si="7"/>
        <v>2395.981639181362</v>
      </c>
      <c r="M42" s="242">
        <f t="shared" si="21"/>
        <v>20166.018360818638</v>
      </c>
      <c r="N42" s="242">
        <f t="shared" si="1"/>
        <v>0</v>
      </c>
      <c r="O42" s="242">
        <v>0</v>
      </c>
      <c r="P42" s="242">
        <f t="shared" si="22"/>
        <v>2395.981639181362</v>
      </c>
      <c r="Q42" s="242">
        <f t="shared" si="29"/>
        <v>0</v>
      </c>
      <c r="R42" s="242">
        <f t="shared" si="8"/>
        <v>0</v>
      </c>
      <c r="S42" s="242">
        <f t="shared" si="9"/>
        <v>555563.6052739392</v>
      </c>
      <c r="T42" s="467"/>
      <c r="U42" s="198">
        <f t="shared" si="26"/>
        <v>27</v>
      </c>
      <c r="V42" s="36">
        <f t="shared" si="10"/>
        <v>27</v>
      </c>
      <c r="W42" s="2"/>
      <c r="X42" s="18">
        <f>K8</f>
        <v>-1198465.9635666348</v>
      </c>
      <c r="Y42" s="57">
        <f>H8</f>
        <v>44839</v>
      </c>
      <c r="Z42" s="2"/>
      <c r="AA42" s="2"/>
      <c r="AB42" s="2"/>
      <c r="AF42" s="2"/>
      <c r="AG42" s="2"/>
      <c r="AH42" s="2"/>
      <c r="AI42" s="2"/>
      <c r="AJ42" s="2"/>
      <c r="AK42" s="57"/>
      <c r="AL42" s="2"/>
      <c r="AM42" s="15"/>
      <c r="AN42" s="15"/>
      <c r="AO42" s="130">
        <f t="shared" si="11"/>
        <v>1</v>
      </c>
      <c r="AP42" s="553">
        <f t="shared" si="27"/>
        <v>34</v>
      </c>
      <c r="AQ42" s="554">
        <f t="shared" si="12"/>
        <v>45874</v>
      </c>
      <c r="AR42" s="555">
        <f t="shared" si="2"/>
        <v>0.13900000000000001</v>
      </c>
      <c r="AS42" s="546">
        <f t="shared" si="13"/>
        <v>23217</v>
      </c>
      <c r="AT42" s="546">
        <f t="shared" si="14"/>
        <v>23217</v>
      </c>
      <c r="AU42" s="546">
        <f t="shared" si="15"/>
        <v>6325.6886558894766</v>
      </c>
      <c r="AV42" s="546">
        <f t="shared" si="16"/>
        <v>16891.311344110523</v>
      </c>
      <c r="AW42" s="546"/>
      <c r="AX42" s="546">
        <v>0</v>
      </c>
      <c r="AY42" s="546">
        <f t="shared" si="17"/>
        <v>6325.6886558894766</v>
      </c>
      <c r="AZ42" s="546">
        <f t="shared" si="32"/>
        <v>0</v>
      </c>
      <c r="BA42" s="546">
        <f t="shared" si="30"/>
        <v>0</v>
      </c>
      <c r="BB42" s="546"/>
      <c r="BC42" s="546"/>
      <c r="BD42" s="546"/>
      <c r="BE42" s="546"/>
      <c r="BF42" s="546"/>
      <c r="BG42" s="546">
        <f t="shared" si="19"/>
        <v>518935.18190250325</v>
      </c>
      <c r="BH42" s="108">
        <f t="shared" si="28"/>
        <v>27</v>
      </c>
      <c r="BI42" s="108">
        <f t="shared" si="23"/>
        <v>27</v>
      </c>
      <c r="BJ42" s="22">
        <f t="shared" si="24"/>
        <v>45874</v>
      </c>
      <c r="BK42" s="108">
        <f t="shared" si="3"/>
        <v>22562</v>
      </c>
    </row>
    <row r="43" spans="1:1217" s="16" customFormat="1" x14ac:dyDescent="0.3">
      <c r="A43" s="178"/>
      <c r="B43" s="178"/>
      <c r="C43" s="524"/>
      <c r="D43" s="178"/>
      <c r="E43" s="178"/>
      <c r="F43" s="178"/>
      <c r="G43" s="244">
        <f t="shared" si="25"/>
        <v>35</v>
      </c>
      <c r="H43" s="245">
        <f t="shared" si="4"/>
        <v>45905</v>
      </c>
      <c r="I43" s="246">
        <f t="shared" si="5"/>
        <v>4.9000000000000002E-2</v>
      </c>
      <c r="J43" s="242">
        <f t="shared" si="6"/>
        <v>22562</v>
      </c>
      <c r="K43" s="242">
        <f t="shared" si="20"/>
        <v>22562</v>
      </c>
      <c r="L43" s="242">
        <f t="shared" si="7"/>
        <v>2312.0578531811334</v>
      </c>
      <c r="M43" s="242">
        <f t="shared" si="21"/>
        <v>20249.942146818867</v>
      </c>
      <c r="N43" s="242">
        <f t="shared" si="1"/>
        <v>0</v>
      </c>
      <c r="O43" s="242">
        <v>0</v>
      </c>
      <c r="P43" s="242">
        <f t="shared" si="22"/>
        <v>2312.0578531811334</v>
      </c>
      <c r="Q43" s="242">
        <f t="shared" si="29"/>
        <v>0</v>
      </c>
      <c r="R43" s="242">
        <f t="shared" si="8"/>
        <v>0</v>
      </c>
      <c r="S43" s="242">
        <f t="shared" si="9"/>
        <v>535313.66312712035</v>
      </c>
      <c r="T43" s="467"/>
      <c r="U43" s="198">
        <f t="shared" si="26"/>
        <v>26</v>
      </c>
      <c r="V43" s="36">
        <f t="shared" si="10"/>
        <v>26</v>
      </c>
      <c r="X43" s="34">
        <f>IF(OR(C8="Гарантия стандарт",C8="Гарантия пакет"),AH65*AH79*$C$10,0)</f>
        <v>0</v>
      </c>
      <c r="Y43" s="57">
        <f>H8</f>
        <v>44839</v>
      </c>
      <c r="Z43" s="5" t="s">
        <v>11</v>
      </c>
      <c r="AA43" s="4"/>
      <c r="AB43" s="37"/>
      <c r="AF43" s="2"/>
      <c r="AG43" s="2"/>
      <c r="AH43" s="2"/>
      <c r="AI43" s="2"/>
      <c r="AJ43" s="2"/>
      <c r="AK43" s="57"/>
      <c r="AL43" s="2"/>
      <c r="AM43" s="15"/>
      <c r="AN43" s="15"/>
      <c r="AO43" s="130">
        <f t="shared" si="11"/>
        <v>1</v>
      </c>
      <c r="AP43" s="553">
        <f t="shared" si="27"/>
        <v>35</v>
      </c>
      <c r="AQ43" s="554">
        <f t="shared" si="12"/>
        <v>45905</v>
      </c>
      <c r="AR43" s="555">
        <f t="shared" si="2"/>
        <v>0.13900000000000001</v>
      </c>
      <c r="AS43" s="546">
        <f t="shared" si="13"/>
        <v>23217</v>
      </c>
      <c r="AT43" s="546">
        <f t="shared" si="14"/>
        <v>23217</v>
      </c>
      <c r="AU43" s="546">
        <f t="shared" si="15"/>
        <v>6126.27862689832</v>
      </c>
      <c r="AV43" s="546">
        <f t="shared" si="16"/>
        <v>17090.721373101682</v>
      </c>
      <c r="AW43" s="546"/>
      <c r="AX43" s="546">
        <v>0</v>
      </c>
      <c r="AY43" s="546">
        <f t="shared" si="17"/>
        <v>6126.27862689832</v>
      </c>
      <c r="AZ43" s="546">
        <f t="shared" si="32"/>
        <v>0</v>
      </c>
      <c r="BA43" s="546">
        <f t="shared" si="30"/>
        <v>0</v>
      </c>
      <c r="BB43" s="546"/>
      <c r="BC43" s="546"/>
      <c r="BD43" s="546"/>
      <c r="BE43" s="546"/>
      <c r="BF43" s="546"/>
      <c r="BG43" s="546">
        <f t="shared" si="19"/>
        <v>501844.46052940155</v>
      </c>
      <c r="BH43" s="108">
        <f t="shared" si="28"/>
        <v>26</v>
      </c>
      <c r="BI43" s="108">
        <f t="shared" si="23"/>
        <v>26</v>
      </c>
      <c r="BJ43" s="22">
        <f t="shared" si="24"/>
        <v>45905</v>
      </c>
      <c r="BK43" s="108">
        <f t="shared" si="3"/>
        <v>22562</v>
      </c>
    </row>
    <row r="44" spans="1:1217" s="16" customFormat="1" ht="15.75" customHeight="1" thickBot="1" x14ac:dyDescent="0.35">
      <c r="A44" s="178"/>
      <c r="B44" s="178"/>
      <c r="C44" s="524"/>
      <c r="D44" s="178"/>
      <c r="E44" s="178"/>
      <c r="F44" s="178"/>
      <c r="G44" s="248">
        <f t="shared" si="25"/>
        <v>36</v>
      </c>
      <c r="H44" s="581">
        <f t="shared" si="4"/>
        <v>45935</v>
      </c>
      <c r="I44" s="250">
        <f t="shared" si="5"/>
        <v>4.9000000000000002E-2</v>
      </c>
      <c r="J44" s="252">
        <f t="shared" si="6"/>
        <v>22562</v>
      </c>
      <c r="K44" s="252">
        <f t="shared" si="20"/>
        <v>22562</v>
      </c>
      <c r="L44" s="252">
        <f t="shared" si="7"/>
        <v>2155.9207802653891</v>
      </c>
      <c r="M44" s="252">
        <f t="shared" si="21"/>
        <v>20406.079219734609</v>
      </c>
      <c r="N44" s="252">
        <f t="shared" si="1"/>
        <v>0</v>
      </c>
      <c r="O44" s="252">
        <v>0</v>
      </c>
      <c r="P44" s="252">
        <f t="shared" si="22"/>
        <v>2155.9207802653891</v>
      </c>
      <c r="Q44" s="252">
        <f t="shared" si="29"/>
        <v>0</v>
      </c>
      <c r="R44" s="252">
        <f t="shared" si="8"/>
        <v>0</v>
      </c>
      <c r="S44" s="252">
        <f t="shared" si="9"/>
        <v>514907.58390738576</v>
      </c>
      <c r="T44" s="468"/>
      <c r="U44" s="198">
        <f t="shared" si="26"/>
        <v>25</v>
      </c>
      <c r="V44" s="36">
        <f t="shared" si="10"/>
        <v>25</v>
      </c>
      <c r="W44" s="2">
        <f>IF(AND(G9&gt;=$W$9,G9&lt;=$W$9+5),0,IF($C$9&gt;$AF$51,ROUND(S8*#REF!/(DATEVALUE(CONCATENATE("01/01/",YEAR(H9)+1))-DATEVALUE(CONCATENATE("01/01/",YEAR(H9))))*(H9-H8),2),0))</f>
        <v>0</v>
      </c>
      <c r="X44" s="34">
        <f>K9</f>
        <v>22562</v>
      </c>
      <c r="Y44" s="57">
        <f>Y43+365</f>
        <v>45204</v>
      </c>
      <c r="Z44" s="8" t="s">
        <v>10</v>
      </c>
      <c r="AA44" s="8"/>
      <c r="AB44" s="37"/>
      <c r="AF44" s="3"/>
      <c r="AG44" s="3"/>
      <c r="AH44" s="3"/>
      <c r="AI44" s="2"/>
      <c r="AJ44" s="2"/>
      <c r="AK44" s="57"/>
      <c r="AL44" s="2"/>
      <c r="AM44" s="15"/>
      <c r="AN44" s="3"/>
      <c r="AO44" s="130">
        <f t="shared" si="11"/>
        <v>1</v>
      </c>
      <c r="AP44" s="556">
        <f t="shared" si="27"/>
        <v>36</v>
      </c>
      <c r="AQ44" s="582">
        <f t="shared" si="12"/>
        <v>45935</v>
      </c>
      <c r="AR44" s="557">
        <f t="shared" si="2"/>
        <v>0.13900000000000001</v>
      </c>
      <c r="AS44" s="547">
        <f t="shared" si="13"/>
        <v>23217</v>
      </c>
      <c r="AT44" s="547">
        <f t="shared" si="14"/>
        <v>23217</v>
      </c>
      <c r="AU44" s="547">
        <f t="shared" si="15"/>
        <v>5733.4010970071367</v>
      </c>
      <c r="AV44" s="547">
        <f t="shared" si="16"/>
        <v>17483.598902992864</v>
      </c>
      <c r="AW44" s="547"/>
      <c r="AX44" s="547">
        <v>0</v>
      </c>
      <c r="AY44" s="547">
        <f t="shared" si="17"/>
        <v>5733.4010970071367</v>
      </c>
      <c r="AZ44" s="547">
        <f t="shared" si="32"/>
        <v>0</v>
      </c>
      <c r="BA44" s="547">
        <f t="shared" si="30"/>
        <v>0</v>
      </c>
      <c r="BB44" s="547"/>
      <c r="BC44" s="547"/>
      <c r="BD44" s="547"/>
      <c r="BE44" s="547"/>
      <c r="BF44" s="547"/>
      <c r="BG44" s="547">
        <f t="shared" si="19"/>
        <v>484360.8616264087</v>
      </c>
      <c r="BH44" s="108">
        <f t="shared" si="28"/>
        <v>25</v>
      </c>
      <c r="BI44" s="108">
        <f t="shared" si="23"/>
        <v>25</v>
      </c>
      <c r="BJ44" s="22">
        <f t="shared" si="24"/>
        <v>45935</v>
      </c>
      <c r="BK44" s="108">
        <f t="shared" si="3"/>
        <v>22562</v>
      </c>
    </row>
    <row r="45" spans="1:1217" s="16" customFormat="1" ht="16.95" customHeight="1" x14ac:dyDescent="0.3">
      <c r="A45" s="178"/>
      <c r="B45" s="178"/>
      <c r="C45" s="184"/>
      <c r="D45" s="178"/>
      <c r="E45" s="178"/>
      <c r="F45" s="178"/>
      <c r="G45" s="244">
        <f t="shared" si="25"/>
        <v>37</v>
      </c>
      <c r="H45" s="245">
        <f t="shared" si="4"/>
        <v>45966</v>
      </c>
      <c r="I45" s="246">
        <f t="shared" si="5"/>
        <v>4.9000000000000002E-2</v>
      </c>
      <c r="J45" s="242">
        <f t="shared" si="6"/>
        <v>22562</v>
      </c>
      <c r="K45" s="242">
        <f t="shared" si="20"/>
        <v>22562</v>
      </c>
      <c r="L45" s="242">
        <f t="shared" si="7"/>
        <v>2142.8619724803261</v>
      </c>
      <c r="M45" s="242">
        <f t="shared" si="21"/>
        <v>20419.138027519675</v>
      </c>
      <c r="N45" s="242">
        <f t="shared" si="1"/>
        <v>0</v>
      </c>
      <c r="O45" s="242">
        <v>0</v>
      </c>
      <c r="P45" s="242">
        <f t="shared" si="22"/>
        <v>2142.8619724803261</v>
      </c>
      <c r="Q45" s="242">
        <f t="shared" si="29"/>
        <v>0</v>
      </c>
      <c r="R45" s="242">
        <f t="shared" si="8"/>
        <v>0</v>
      </c>
      <c r="S45" s="242">
        <f t="shared" si="9"/>
        <v>494488.44587986608</v>
      </c>
      <c r="T45" s="467"/>
      <c r="U45" s="198">
        <f t="shared" si="26"/>
        <v>24</v>
      </c>
      <c r="V45" s="36">
        <f t="shared" si="10"/>
        <v>24</v>
      </c>
      <c r="W45" s="2">
        <f>IF(AND(G10&gt;=$W$9,G10&lt;=$W$9+5),0,IF($C$9&gt;$AF$51,ROUND(S9*#REF!/(DATEVALUE(CONCATENATE("01/01/",YEAR(H10)+1))-DATEVALUE(CONCATENATE("01/01/",YEAR(H10))))*(H10-H9),2),0))</f>
        <v>0</v>
      </c>
      <c r="X45" s="34">
        <f>IF(K10 &gt; 0, K10, 0)</f>
        <v>22562</v>
      </c>
      <c r="Y45" s="57">
        <f t="shared" ref="Y45:Y108" si="34">Y44+365</f>
        <v>45569</v>
      </c>
      <c r="Z45" s="8" t="s">
        <v>8</v>
      </c>
      <c r="AA45" s="8"/>
      <c r="AB45" s="37"/>
      <c r="AF45" s="3"/>
      <c r="AG45" s="3"/>
      <c r="AH45" s="3"/>
      <c r="AI45" s="2"/>
      <c r="AJ45" s="2"/>
      <c r="AK45" s="57"/>
      <c r="AL45" s="2"/>
      <c r="AM45" s="3"/>
      <c r="AO45" s="130">
        <f t="shared" si="11"/>
        <v>1</v>
      </c>
      <c r="AP45" s="553">
        <f t="shared" si="27"/>
        <v>37</v>
      </c>
      <c r="AQ45" s="554">
        <f t="shared" si="12"/>
        <v>45966</v>
      </c>
      <c r="AR45" s="555">
        <f t="shared" si="2"/>
        <v>0.13900000000000001</v>
      </c>
      <c r="AS45" s="546">
        <f t="shared" si="13"/>
        <v>23217</v>
      </c>
      <c r="AT45" s="546">
        <f t="shared" si="14"/>
        <v>23217</v>
      </c>
      <c r="AU45" s="546">
        <f t="shared" si="15"/>
        <v>5718.1121993101242</v>
      </c>
      <c r="AV45" s="546">
        <f t="shared" si="16"/>
        <v>17498.887800689874</v>
      </c>
      <c r="AW45" s="546"/>
      <c r="AX45" s="546">
        <v>0</v>
      </c>
      <c r="AY45" s="546">
        <f t="shared" si="17"/>
        <v>5718.1121993101242</v>
      </c>
      <c r="AZ45" s="546">
        <f t="shared" si="32"/>
        <v>0</v>
      </c>
      <c r="BA45" s="546">
        <f t="shared" si="30"/>
        <v>0</v>
      </c>
      <c r="BB45" s="546"/>
      <c r="BC45" s="546"/>
      <c r="BD45" s="546"/>
      <c r="BE45" s="546"/>
      <c r="BF45" s="546"/>
      <c r="BG45" s="546">
        <f t="shared" si="19"/>
        <v>466861.97382571886</v>
      </c>
      <c r="BH45" s="108">
        <f t="shared" si="28"/>
        <v>24</v>
      </c>
      <c r="BI45" s="108">
        <f t="shared" si="23"/>
        <v>24</v>
      </c>
      <c r="BJ45" s="22">
        <f t="shared" si="24"/>
        <v>45966</v>
      </c>
      <c r="BK45" s="108">
        <f t="shared" si="3"/>
        <v>22562</v>
      </c>
    </row>
    <row r="46" spans="1:1217" s="16" customFormat="1" ht="41.25" customHeight="1" x14ac:dyDescent="0.3">
      <c r="A46" s="178"/>
      <c r="B46" s="178"/>
      <c r="C46" s="184"/>
      <c r="D46" s="178"/>
      <c r="E46" s="178"/>
      <c r="F46" s="178"/>
      <c r="G46" s="244">
        <f t="shared" si="25"/>
        <v>38</v>
      </c>
      <c r="H46" s="245">
        <f t="shared" si="4"/>
        <v>45996</v>
      </c>
      <c r="I46" s="246">
        <f t="shared" si="5"/>
        <v>4.9000000000000002E-2</v>
      </c>
      <c r="J46" s="242">
        <f t="shared" si="6"/>
        <v>22562</v>
      </c>
      <c r="K46" s="242">
        <f t="shared" si="20"/>
        <v>22562</v>
      </c>
      <c r="L46" s="242">
        <f t="shared" si="7"/>
        <v>1991.5014121737072</v>
      </c>
      <c r="M46" s="242">
        <f t="shared" si="21"/>
        <v>20570.498587826292</v>
      </c>
      <c r="N46" s="242">
        <f t="shared" si="1"/>
        <v>0</v>
      </c>
      <c r="O46" s="242">
        <v>0</v>
      </c>
      <c r="P46" s="242">
        <f t="shared" si="22"/>
        <v>1991.5014121737072</v>
      </c>
      <c r="Q46" s="242">
        <f t="shared" si="29"/>
        <v>0</v>
      </c>
      <c r="R46" s="242">
        <f t="shared" si="8"/>
        <v>0</v>
      </c>
      <c r="S46" s="242">
        <f t="shared" si="9"/>
        <v>473917.94729203981</v>
      </c>
      <c r="T46" s="467"/>
      <c r="U46" s="198">
        <f t="shared" si="26"/>
        <v>23</v>
      </c>
      <c r="V46" s="36">
        <f t="shared" si="10"/>
        <v>23</v>
      </c>
      <c r="W46" s="2">
        <f>IF(AND(G11&gt;=$W$9,G11&lt;=$W$9+5),0,IF($C$9&gt;$AF$51,ROUND(S10*#REF!/(DATEVALUE(CONCATENATE("01/01/",YEAR(H11)+1))-DATEVALUE(CONCATENATE("01/01/",YEAR(H11))))*(H11-H10),2),0))</f>
        <v>0</v>
      </c>
      <c r="X46" s="34">
        <f t="shared" ref="X46:X109" si="35">IF(K11 &gt; 0, K11, 0)</f>
        <v>22562</v>
      </c>
      <c r="Y46" s="57">
        <f t="shared" si="34"/>
        <v>45934</v>
      </c>
      <c r="Z46" s="5" t="s">
        <v>1</v>
      </c>
      <c r="AA46" s="8"/>
      <c r="AB46" s="40"/>
      <c r="AC46" s="2"/>
      <c r="AD46" s="2"/>
      <c r="AE46" s="3"/>
      <c r="AF46" s="3"/>
      <c r="AG46" s="3"/>
      <c r="AH46" s="3"/>
      <c r="AI46" s="2"/>
      <c r="AJ46" s="2"/>
      <c r="AK46" s="57"/>
      <c r="AL46" s="2"/>
      <c r="AM46" s="18">
        <f>AT8</f>
        <v>-1000000</v>
      </c>
      <c r="AN46" s="57">
        <f>AQ8</f>
        <v>44839</v>
      </c>
      <c r="AO46" s="130">
        <f t="shared" si="11"/>
        <v>1</v>
      </c>
      <c r="AP46" s="553">
        <f t="shared" si="27"/>
        <v>38</v>
      </c>
      <c r="AQ46" s="554">
        <f t="shared" si="12"/>
        <v>45996</v>
      </c>
      <c r="AR46" s="555">
        <f t="shared" si="2"/>
        <v>0.13900000000000001</v>
      </c>
      <c r="AS46" s="546">
        <f t="shared" si="13"/>
        <v>23217</v>
      </c>
      <c r="AT46" s="546">
        <f t="shared" si="14"/>
        <v>23217</v>
      </c>
      <c r="AU46" s="546">
        <f t="shared" si="15"/>
        <v>5333.7381667212276</v>
      </c>
      <c r="AV46" s="546">
        <f t="shared" si="16"/>
        <v>17883.261833278772</v>
      </c>
      <c r="AW46" s="546"/>
      <c r="AX46" s="546">
        <v>0</v>
      </c>
      <c r="AY46" s="546">
        <f t="shared" si="17"/>
        <v>5333.7381667212276</v>
      </c>
      <c r="AZ46" s="546">
        <f t="shared" si="32"/>
        <v>0</v>
      </c>
      <c r="BA46" s="546">
        <f t="shared" si="30"/>
        <v>0</v>
      </c>
      <c r="BB46" s="546"/>
      <c r="BC46" s="546"/>
      <c r="BD46" s="546"/>
      <c r="BE46" s="546"/>
      <c r="BF46" s="546"/>
      <c r="BG46" s="546">
        <f t="shared" si="19"/>
        <v>448978.7119924401</v>
      </c>
      <c r="BH46" s="108">
        <f t="shared" si="28"/>
        <v>23</v>
      </c>
      <c r="BI46" s="108">
        <f t="shared" si="23"/>
        <v>23</v>
      </c>
      <c r="BJ46" s="22">
        <f t="shared" si="24"/>
        <v>45996</v>
      </c>
      <c r="BK46" s="108">
        <f t="shared" si="3"/>
        <v>22562</v>
      </c>
    </row>
    <row r="47" spans="1:1217" s="16" customFormat="1" ht="30.75" customHeight="1" x14ac:dyDescent="0.3">
      <c r="A47" s="178"/>
      <c r="B47" s="178"/>
      <c r="C47" s="184"/>
      <c r="D47" s="178"/>
      <c r="E47" s="178"/>
      <c r="F47" s="178"/>
      <c r="G47" s="244">
        <f t="shared" si="25"/>
        <v>39</v>
      </c>
      <c r="H47" s="245">
        <f t="shared" si="4"/>
        <v>46027</v>
      </c>
      <c r="I47" s="246">
        <f t="shared" si="5"/>
        <v>4.9000000000000002E-2</v>
      </c>
      <c r="J47" s="242">
        <f t="shared" si="6"/>
        <v>22562</v>
      </c>
      <c r="K47" s="242">
        <f t="shared" si="20"/>
        <v>22562</v>
      </c>
      <c r="L47" s="242">
        <f t="shared" si="7"/>
        <v>1972.2777039359137</v>
      </c>
      <c r="M47" s="242">
        <f t="shared" si="21"/>
        <v>20589.722296064087</v>
      </c>
      <c r="N47" s="242">
        <f t="shared" si="1"/>
        <v>0</v>
      </c>
      <c r="O47" s="242">
        <v>0</v>
      </c>
      <c r="P47" s="242">
        <f t="shared" si="22"/>
        <v>1972.2777039359137</v>
      </c>
      <c r="Q47" s="242">
        <f t="shared" si="29"/>
        <v>0</v>
      </c>
      <c r="R47" s="242">
        <f t="shared" si="8"/>
        <v>0</v>
      </c>
      <c r="S47" s="242">
        <f t="shared" si="9"/>
        <v>453328.22499597573</v>
      </c>
      <c r="T47" s="467"/>
      <c r="U47" s="198">
        <f t="shared" si="26"/>
        <v>22</v>
      </c>
      <c r="V47" s="36">
        <f t="shared" si="10"/>
        <v>22</v>
      </c>
      <c r="W47" s="2">
        <f>IF(AND(G12&gt;=$W$9,G12&lt;=$W$9+5),0,IF($C$9&gt;$AF$51,ROUND(S11*#REF!/(DATEVALUE(CONCATENATE("01/01/",YEAR(H12)+1))-DATEVALUE(CONCATENATE("01/01/",YEAR(H12))))*(H12-H11),2),0))</f>
        <v>0</v>
      </c>
      <c r="X47" s="34">
        <f t="shared" si="35"/>
        <v>22562</v>
      </c>
      <c r="Y47" s="57">
        <f t="shared" si="34"/>
        <v>46299</v>
      </c>
      <c r="Z47" s="5" t="s">
        <v>42</v>
      </c>
      <c r="AA47" s="8"/>
      <c r="AB47" s="17">
        <f>AC51/C7</f>
        <v>0.39301999999999998</v>
      </c>
      <c r="AC47" s="38">
        <v>0</v>
      </c>
      <c r="AD47" s="1" t="s">
        <v>20</v>
      </c>
      <c r="AE47" s="6" t="s">
        <v>15</v>
      </c>
      <c r="AF47" s="6"/>
      <c r="AG47" s="6">
        <f>IF(S8&gt;=200000,10,1)</f>
        <v>10</v>
      </c>
      <c r="AH47" s="27">
        <v>41274</v>
      </c>
      <c r="AI47" s="2">
        <v>6</v>
      </c>
      <c r="AJ47" s="2"/>
      <c r="AK47" s="2"/>
      <c r="AM47" s="34">
        <f>IF(OR(D8="Гарантия стандарт",D8="Гарантия пакет"),AH65*AH79*$C$10,0)</f>
        <v>0</v>
      </c>
      <c r="AN47" s="57">
        <f>AQ8</f>
        <v>44839</v>
      </c>
      <c r="AO47" s="130">
        <f t="shared" si="11"/>
        <v>1</v>
      </c>
      <c r="AP47" s="553">
        <f t="shared" si="27"/>
        <v>39</v>
      </c>
      <c r="AQ47" s="554">
        <f t="shared" si="12"/>
        <v>46027</v>
      </c>
      <c r="AR47" s="555">
        <f t="shared" si="2"/>
        <v>0.13900000000000001</v>
      </c>
      <c r="AS47" s="546">
        <f t="shared" si="13"/>
        <v>23217</v>
      </c>
      <c r="AT47" s="546">
        <f t="shared" si="14"/>
        <v>23217</v>
      </c>
      <c r="AU47" s="546">
        <f t="shared" si="15"/>
        <v>5300.4089588367797</v>
      </c>
      <c r="AV47" s="546">
        <f t="shared" si="16"/>
        <v>17916.591041163221</v>
      </c>
      <c r="AW47" s="546"/>
      <c r="AX47" s="546">
        <v>0</v>
      </c>
      <c r="AY47" s="546">
        <f t="shared" si="17"/>
        <v>5300.4089588367797</v>
      </c>
      <c r="AZ47" s="546">
        <f t="shared" si="32"/>
        <v>0</v>
      </c>
      <c r="BA47" s="546">
        <f t="shared" si="30"/>
        <v>0</v>
      </c>
      <c r="BB47" s="546"/>
      <c r="BC47" s="546"/>
      <c r="BD47" s="546"/>
      <c r="BE47" s="546"/>
      <c r="BF47" s="546"/>
      <c r="BG47" s="546">
        <f t="shared" si="19"/>
        <v>431062.12095127685</v>
      </c>
      <c r="BH47" s="108">
        <f t="shared" si="28"/>
        <v>22</v>
      </c>
      <c r="BI47" s="108">
        <f t="shared" si="23"/>
        <v>22</v>
      </c>
      <c r="BJ47" s="22">
        <f t="shared" si="24"/>
        <v>46027</v>
      </c>
      <c r="BK47" s="108">
        <f t="shared" si="3"/>
        <v>22562</v>
      </c>
    </row>
    <row r="48" spans="1:1217" s="16" customFormat="1" ht="44.25" customHeight="1" x14ac:dyDescent="0.3">
      <c r="A48" s="178"/>
      <c r="B48" s="178"/>
      <c r="C48" s="184"/>
      <c r="D48" s="178"/>
      <c r="E48" s="178"/>
      <c r="F48" s="178"/>
      <c r="G48" s="244">
        <f t="shared" si="25"/>
        <v>40</v>
      </c>
      <c r="H48" s="245">
        <f t="shared" si="4"/>
        <v>46058</v>
      </c>
      <c r="I48" s="246">
        <f t="shared" si="5"/>
        <v>4.9000000000000002E-2</v>
      </c>
      <c r="J48" s="242">
        <f t="shared" si="6"/>
        <v>22562</v>
      </c>
      <c r="K48" s="242">
        <f t="shared" si="20"/>
        <v>22562</v>
      </c>
      <c r="L48" s="242">
        <f t="shared" si="7"/>
        <v>1886.5906130654444</v>
      </c>
      <c r="M48" s="242">
        <f t="shared" si="21"/>
        <v>20675.409386934556</v>
      </c>
      <c r="N48" s="242">
        <f t="shared" si="1"/>
        <v>0</v>
      </c>
      <c r="O48" s="242">
        <v>0</v>
      </c>
      <c r="P48" s="242">
        <f t="shared" si="22"/>
        <v>1886.5906130654444</v>
      </c>
      <c r="Q48" s="242">
        <f t="shared" si="29"/>
        <v>0</v>
      </c>
      <c r="R48" s="242">
        <f t="shared" si="8"/>
        <v>0</v>
      </c>
      <c r="S48" s="242">
        <f t="shared" si="9"/>
        <v>432652.81560904119</v>
      </c>
      <c r="T48" s="467"/>
      <c r="U48" s="198">
        <f t="shared" si="26"/>
        <v>21</v>
      </c>
      <c r="V48" s="36">
        <f t="shared" si="10"/>
        <v>21</v>
      </c>
      <c r="W48" s="2">
        <f>IF(AND(G13&gt;=$W$9,G13&lt;=$W$9+5),0,IF($C$9&gt;$AF$51,ROUND(S12*#REF!/(DATEVALUE(CONCATENATE("01/01/",YEAR(H13)+1))-DATEVALUE(CONCATENATE("01/01/",YEAR(H13))))*(H13-H12),2),0))</f>
        <v>0</v>
      </c>
      <c r="X48" s="34">
        <f t="shared" si="35"/>
        <v>22562</v>
      </c>
      <c r="Y48" s="57">
        <f t="shared" si="34"/>
        <v>46664</v>
      </c>
      <c r="Z48" s="5"/>
      <c r="AA48" s="8"/>
      <c r="AB48" s="17">
        <f>IF(C8=AC59,AC65,IF(C8=AD59,AD65,IF(C8=AF59,AF65,IF(C8=AG59,AG65,IF(C8=AE59,AE65,IF(C8=AH59,AH65,IF(C8=AI59,AI65,IF(C8=AJ59,AJ65,Y23))))))))</f>
        <v>1</v>
      </c>
      <c r="AC48" s="39">
        <f>C7*(1-AC47)</f>
        <v>1000000</v>
      </c>
      <c r="AD48" s="9" t="s">
        <v>29</v>
      </c>
      <c r="AE48" s="2" t="s">
        <v>17</v>
      </c>
      <c r="AF48" s="2"/>
      <c r="AG48" s="2">
        <v>7.4000000000000003E-3</v>
      </c>
      <c r="AH48" s="59">
        <v>41750</v>
      </c>
      <c r="AI48" s="2">
        <v>72</v>
      </c>
      <c r="AJ48" s="2"/>
      <c r="AK48" s="2"/>
      <c r="AL48" s="2" t="e">
        <f>IF(AND(Y5&gt;=$W$9,Y5&lt;=$W$9+5),0,IF($C$9&gt;$AF$51,ROUND(AI8*#REF!/(DATEVALUE(CONCATENATE("01/01/",YEAR(Z5)+1))-DATEVALUE(CONCATENATE("01/01/",YEAR(Z5))))*(Z5-Z4),2),0))</f>
        <v>#REF!</v>
      </c>
      <c r="AM48" s="34">
        <f>AT9</f>
        <v>23217</v>
      </c>
      <c r="AN48" s="57">
        <f>AN47+365</f>
        <v>45204</v>
      </c>
      <c r="AO48" s="130">
        <f t="shared" si="11"/>
        <v>1</v>
      </c>
      <c r="AP48" s="553">
        <f t="shared" si="27"/>
        <v>40</v>
      </c>
      <c r="AQ48" s="554">
        <f t="shared" si="12"/>
        <v>46058</v>
      </c>
      <c r="AR48" s="555">
        <f t="shared" si="2"/>
        <v>0.13900000000000001</v>
      </c>
      <c r="AS48" s="546">
        <f t="shared" si="13"/>
        <v>23217</v>
      </c>
      <c r="AT48" s="546">
        <f t="shared" si="14"/>
        <v>23217</v>
      </c>
      <c r="AU48" s="546">
        <f t="shared" si="15"/>
        <v>5088.8950114494573</v>
      </c>
      <c r="AV48" s="546">
        <f t="shared" si="16"/>
        <v>18128.104988550542</v>
      </c>
      <c r="AW48" s="546"/>
      <c r="AX48" s="546">
        <v>0</v>
      </c>
      <c r="AY48" s="546">
        <f t="shared" si="17"/>
        <v>5088.8950114494573</v>
      </c>
      <c r="AZ48" s="546">
        <f t="shared" si="32"/>
        <v>0</v>
      </c>
      <c r="BA48" s="546">
        <f t="shared" si="30"/>
        <v>0</v>
      </c>
      <c r="BB48" s="546"/>
      <c r="BC48" s="546"/>
      <c r="BD48" s="546"/>
      <c r="BE48" s="546"/>
      <c r="BF48" s="546"/>
      <c r="BG48" s="546">
        <f t="shared" si="19"/>
        <v>412934.01596272632</v>
      </c>
      <c r="BH48" s="108">
        <f t="shared" si="28"/>
        <v>21</v>
      </c>
      <c r="BI48" s="108">
        <f t="shared" si="23"/>
        <v>21</v>
      </c>
      <c r="BJ48" s="22">
        <f t="shared" si="24"/>
        <v>46058</v>
      </c>
      <c r="BK48" s="108">
        <f t="shared" si="3"/>
        <v>22562</v>
      </c>
    </row>
    <row r="49" spans="1:64" s="16" customFormat="1" ht="55.2" customHeight="1" x14ac:dyDescent="0.3">
      <c r="A49" s="178"/>
      <c r="B49" s="178"/>
      <c r="C49" s="184"/>
      <c r="D49" s="178"/>
      <c r="E49" s="178"/>
      <c r="F49" s="180"/>
      <c r="G49" s="244">
        <f t="shared" si="25"/>
        <v>41</v>
      </c>
      <c r="H49" s="245">
        <f t="shared" si="4"/>
        <v>46086</v>
      </c>
      <c r="I49" s="246">
        <f t="shared" si="5"/>
        <v>4.9000000000000002E-2</v>
      </c>
      <c r="J49" s="242">
        <f t="shared" si="6"/>
        <v>22562</v>
      </c>
      <c r="K49" s="242">
        <f t="shared" si="20"/>
        <v>22562</v>
      </c>
      <c r="L49" s="242">
        <f t="shared" si="7"/>
        <v>1626.3004466180946</v>
      </c>
      <c r="M49" s="242">
        <f t="shared" si="21"/>
        <v>20935.699553381906</v>
      </c>
      <c r="N49" s="242">
        <f t="shared" si="1"/>
        <v>0</v>
      </c>
      <c r="O49" s="242">
        <v>0</v>
      </c>
      <c r="P49" s="242">
        <f t="shared" si="22"/>
        <v>1626.3004466180946</v>
      </c>
      <c r="Q49" s="242">
        <f t="shared" si="29"/>
        <v>0</v>
      </c>
      <c r="R49" s="242">
        <f t="shared" si="8"/>
        <v>0</v>
      </c>
      <c r="S49" s="242">
        <f t="shared" si="9"/>
        <v>411717.11605565931</v>
      </c>
      <c r="T49" s="467"/>
      <c r="U49" s="198">
        <f t="shared" si="26"/>
        <v>20</v>
      </c>
      <c r="V49" s="36">
        <f t="shared" si="10"/>
        <v>20</v>
      </c>
      <c r="W49" s="2">
        <f>IF(AND(G14&gt;=$W$9,G14&lt;=$W$9+5),0,IF($C$9&gt;$AF$51,ROUND(S13*#REF!/(DATEVALUE(CONCATENATE("01/01/",YEAR(H14)+1))-DATEVALUE(CONCATENATE("01/01/",YEAR(H14))))*(H14-H13),2),0))</f>
        <v>0</v>
      </c>
      <c r="X49" s="34">
        <f t="shared" si="35"/>
        <v>22562</v>
      </c>
      <c r="Y49" s="57">
        <f t="shared" si="34"/>
        <v>47029</v>
      </c>
      <c r="Z49" s="2"/>
      <c r="AA49" s="2"/>
      <c r="AB49" s="15">
        <f>IF(D8=AC59,AC65,IF(D8=AD59,AD65,IF(D8=AF59,AF65,IF(D8=AG59,AG65,IF(D8=AE59,AE65,IF(D8=AH59,AH65,IF(D8=AI59,AI65,Y23)))))))</f>
        <v>0</v>
      </c>
      <c r="AC49" s="41">
        <f>ROUNDUP(C7*AD49,0)</f>
        <v>0</v>
      </c>
      <c r="AD49" s="12">
        <v>0</v>
      </c>
      <c r="AE49" s="1">
        <v>15000</v>
      </c>
      <c r="AF49" s="53">
        <v>41365</v>
      </c>
      <c r="AG49" s="1">
        <v>500</v>
      </c>
      <c r="AH49" s="2">
        <f>ROUNDUP(($AD$55)/AG47,0)*AG47</f>
        <v>27840</v>
      </c>
      <c r="AI49" s="2"/>
      <c r="AJ49" s="2"/>
      <c r="AK49" s="2"/>
      <c r="AL49" s="2" t="e">
        <f>IF(AND(Y6&gt;=$W$9,Y6&lt;=$W$9+5),0,IF($C$9&gt;$AF$51,ROUND(AI9*#REF!/(DATEVALUE(CONCATENATE("01/01/",YEAR(Z6)+1))-DATEVALUE(CONCATENATE("01/01/",YEAR(Z6))))*(Z6-Z5),2),0))</f>
        <v>#REF!</v>
      </c>
      <c r="AM49" s="34">
        <f>AT10</f>
        <v>23217</v>
      </c>
      <c r="AN49" s="57">
        <f t="shared" ref="AN49:AN112" si="36">AN48+365</f>
        <v>45569</v>
      </c>
      <c r="AO49" s="130">
        <f t="shared" si="11"/>
        <v>1</v>
      </c>
      <c r="AP49" s="553">
        <f t="shared" si="27"/>
        <v>41</v>
      </c>
      <c r="AQ49" s="554">
        <f t="shared" si="12"/>
        <v>46086</v>
      </c>
      <c r="AR49" s="555">
        <f t="shared" si="2"/>
        <v>0.13900000000000001</v>
      </c>
      <c r="AS49" s="546">
        <f t="shared" si="13"/>
        <v>23217</v>
      </c>
      <c r="AT49" s="546">
        <f t="shared" si="14"/>
        <v>23217</v>
      </c>
      <c r="AU49" s="546">
        <f t="shared" si="15"/>
        <v>4403.1210688409074</v>
      </c>
      <c r="AV49" s="546">
        <f t="shared" si="16"/>
        <v>18813.878931159092</v>
      </c>
      <c r="AW49" s="546"/>
      <c r="AX49" s="546">
        <v>0</v>
      </c>
      <c r="AY49" s="546">
        <f t="shared" si="17"/>
        <v>4403.1210688409074</v>
      </c>
      <c r="AZ49" s="546">
        <f t="shared" si="32"/>
        <v>0</v>
      </c>
      <c r="BA49" s="546">
        <f t="shared" si="30"/>
        <v>0</v>
      </c>
      <c r="BB49" s="546"/>
      <c r="BC49" s="546"/>
      <c r="BD49" s="546"/>
      <c r="BE49" s="546"/>
      <c r="BF49" s="546"/>
      <c r="BG49" s="546">
        <f t="shared" si="19"/>
        <v>394120.13703156722</v>
      </c>
      <c r="BH49" s="108">
        <f t="shared" si="28"/>
        <v>20</v>
      </c>
      <c r="BI49" s="108">
        <f t="shared" si="23"/>
        <v>20</v>
      </c>
      <c r="BJ49" s="22">
        <f t="shared" si="24"/>
        <v>46086</v>
      </c>
      <c r="BK49" s="108">
        <f t="shared" si="3"/>
        <v>22562</v>
      </c>
    </row>
    <row r="50" spans="1:64" s="16" customFormat="1" ht="55.5" customHeight="1" thickBot="1" x14ac:dyDescent="0.35">
      <c r="A50" s="178"/>
      <c r="B50" s="178"/>
      <c r="C50" s="184"/>
      <c r="D50" s="178"/>
      <c r="E50" s="178"/>
      <c r="F50" s="180"/>
      <c r="G50" s="244">
        <f t="shared" si="25"/>
        <v>42</v>
      </c>
      <c r="H50" s="245">
        <f t="shared" si="4"/>
        <v>46117</v>
      </c>
      <c r="I50" s="246">
        <f t="shared" si="5"/>
        <v>4.9000000000000002E-2</v>
      </c>
      <c r="J50" s="242">
        <f t="shared" si="6"/>
        <v>22562</v>
      </c>
      <c r="K50" s="242">
        <f t="shared" si="20"/>
        <v>22562</v>
      </c>
      <c r="L50" s="242">
        <f t="shared" si="7"/>
        <v>1713.4199980508124</v>
      </c>
      <c r="M50" s="242">
        <f t="shared" si="21"/>
        <v>20848.580001949187</v>
      </c>
      <c r="N50" s="242">
        <f t="shared" si="1"/>
        <v>0</v>
      </c>
      <c r="O50" s="242">
        <v>0</v>
      </c>
      <c r="P50" s="242">
        <f t="shared" si="22"/>
        <v>1713.4199980508124</v>
      </c>
      <c r="Q50" s="242">
        <f t="shared" si="29"/>
        <v>0</v>
      </c>
      <c r="R50" s="242">
        <f t="shared" si="8"/>
        <v>0</v>
      </c>
      <c r="S50" s="242">
        <f t="shared" si="9"/>
        <v>390868.53605371015</v>
      </c>
      <c r="T50" s="467"/>
      <c r="U50" s="198">
        <f t="shared" si="26"/>
        <v>19</v>
      </c>
      <c r="V50" s="36">
        <f t="shared" si="10"/>
        <v>19</v>
      </c>
      <c r="W50" s="2" t="e">
        <f>IF(AND(G15&gt;=$W$9,G15&lt;=$W$9+5),0,IF($C$9&gt;$AF$51,ROUND(S14*#REF!/(DATEVALUE(CONCATENATE("01/01/",YEAR(H15)+1))-DATEVALUE(CONCATENATE("01/01/",YEAR(H15))))*(H15-H14),2),0))</f>
        <v>#REF!</v>
      </c>
      <c r="X50" s="34">
        <f t="shared" si="35"/>
        <v>22562</v>
      </c>
      <c r="Y50" s="57">
        <f t="shared" si="34"/>
        <v>47394</v>
      </c>
      <c r="Z50" s="6" t="s">
        <v>0</v>
      </c>
      <c r="AA50" s="6"/>
      <c r="AB50" s="6"/>
      <c r="AC50" s="42">
        <v>24</v>
      </c>
      <c r="AD50" s="14"/>
      <c r="AE50" s="1">
        <f>IF(C9&lt;AF49,300000,1000000)</f>
        <v>1000000</v>
      </c>
      <c r="AF50" s="53">
        <v>41501</v>
      </c>
      <c r="AG50" s="53">
        <v>41882</v>
      </c>
      <c r="AH50" s="2" t="e">
        <f>IF(C9&gt;AG50,XIRR(X43:X122,Y43:Y122)*12,XIRR(X43:X121,H8:H86))</f>
        <v>#NUM!</v>
      </c>
      <c r="AI50" s="2"/>
      <c r="AJ50" s="2"/>
      <c r="AK50" s="2"/>
      <c r="AL50" s="2" t="e">
        <f>IF(AND(#REF!&gt;=$W$9,#REF!&lt;=$W$9+5),0,IF($C$9&gt;$AF$51,ROUND(AI10*#REF!/(DATEVALUE(CONCATENATE("01/01/",YEAR(#REF!)+1))-DATEVALUE(CONCATENATE("01/01/",YEAR(#REF!))))*(#REF!-Z6),2),0))</f>
        <v>#REF!</v>
      </c>
      <c r="AM50" s="34">
        <f t="shared" ref="AM50:AM113" si="37">AT11</f>
        <v>23217</v>
      </c>
      <c r="AN50" s="57">
        <f t="shared" si="36"/>
        <v>45934</v>
      </c>
      <c r="AO50" s="130">
        <f t="shared" si="11"/>
        <v>1</v>
      </c>
      <c r="AP50" s="553">
        <f t="shared" si="27"/>
        <v>42</v>
      </c>
      <c r="AQ50" s="554">
        <f t="shared" si="12"/>
        <v>46117</v>
      </c>
      <c r="AR50" s="555">
        <f t="shared" si="2"/>
        <v>0.13900000000000001</v>
      </c>
      <c r="AS50" s="546">
        <f t="shared" si="13"/>
        <v>23217</v>
      </c>
      <c r="AT50" s="546">
        <f t="shared" si="14"/>
        <v>23217</v>
      </c>
      <c r="AU50" s="546">
        <f t="shared" si="15"/>
        <v>4652.7771793671873</v>
      </c>
      <c r="AV50" s="546">
        <f t="shared" si="16"/>
        <v>18564.222820632815</v>
      </c>
      <c r="AW50" s="546"/>
      <c r="AX50" s="546">
        <v>0</v>
      </c>
      <c r="AY50" s="546">
        <f t="shared" si="17"/>
        <v>4652.7771793671873</v>
      </c>
      <c r="AZ50" s="546">
        <f t="shared" si="32"/>
        <v>0</v>
      </c>
      <c r="BA50" s="546">
        <f t="shared" si="30"/>
        <v>0</v>
      </c>
      <c r="BB50" s="546"/>
      <c r="BC50" s="546"/>
      <c r="BD50" s="546"/>
      <c r="BE50" s="546"/>
      <c r="BF50" s="546"/>
      <c r="BG50" s="546">
        <f t="shared" si="19"/>
        <v>375555.91421093442</v>
      </c>
      <c r="BH50" s="108">
        <f t="shared" si="28"/>
        <v>19</v>
      </c>
      <c r="BI50" s="108">
        <f t="shared" si="23"/>
        <v>19</v>
      </c>
      <c r="BJ50" s="22">
        <f t="shared" si="24"/>
        <v>46117</v>
      </c>
      <c r="BK50" s="108">
        <f t="shared" si="3"/>
        <v>22562</v>
      </c>
    </row>
    <row r="51" spans="1:64" s="16" customFormat="1" ht="19.5" customHeight="1" x14ac:dyDescent="0.3">
      <c r="A51" s="178"/>
      <c r="B51" s="178"/>
      <c r="C51" s="525"/>
      <c r="D51" s="182"/>
      <c r="E51" s="178"/>
      <c r="F51" s="178"/>
      <c r="G51" s="244">
        <f t="shared" si="25"/>
        <v>43</v>
      </c>
      <c r="H51" s="245">
        <f t="shared" si="4"/>
        <v>46147</v>
      </c>
      <c r="I51" s="246">
        <f t="shared" si="5"/>
        <v>4.9000000000000002E-2</v>
      </c>
      <c r="J51" s="242">
        <f t="shared" si="6"/>
        <v>22562</v>
      </c>
      <c r="K51" s="242">
        <f t="shared" si="20"/>
        <v>22562</v>
      </c>
      <c r="L51" s="242">
        <f t="shared" si="7"/>
        <v>1574.1828712300107</v>
      </c>
      <c r="M51" s="242">
        <f t="shared" si="21"/>
        <v>20987.817128769988</v>
      </c>
      <c r="N51" s="242">
        <f t="shared" si="1"/>
        <v>0</v>
      </c>
      <c r="O51" s="242">
        <v>0</v>
      </c>
      <c r="P51" s="242">
        <f t="shared" si="22"/>
        <v>1574.1828712300107</v>
      </c>
      <c r="Q51" s="242">
        <f t="shared" si="29"/>
        <v>0</v>
      </c>
      <c r="R51" s="242">
        <f t="shared" si="8"/>
        <v>0</v>
      </c>
      <c r="S51" s="242">
        <f t="shared" si="9"/>
        <v>369880.71892494016</v>
      </c>
      <c r="T51" s="467"/>
      <c r="U51" s="198">
        <f t="shared" si="26"/>
        <v>18</v>
      </c>
      <c r="V51" s="36">
        <f t="shared" si="10"/>
        <v>18</v>
      </c>
      <c r="W51" s="2" t="e">
        <f>IF(AND(G16&gt;=$W$9,G16&lt;=$W$9+5),0,IF($C$9&gt;$AF$51,ROUND(S15*#REF!/(DATEVALUE(CONCATENATE("01/01/",YEAR(H16)+1))-DATEVALUE(CONCATENATE("01/01/",YEAR(H16))))*(H16-H15),2),0))</f>
        <v>#REF!</v>
      </c>
      <c r="X51" s="34">
        <f t="shared" si="35"/>
        <v>22562</v>
      </c>
      <c r="Y51" s="57">
        <f t="shared" si="34"/>
        <v>47759</v>
      </c>
      <c r="Z51" s="11" t="s">
        <v>18</v>
      </c>
      <c r="AA51" s="11"/>
      <c r="AB51" s="11"/>
      <c r="AC51" s="42">
        <f>(D22-C7)</f>
        <v>393020</v>
      </c>
      <c r="AD51" s="58"/>
      <c r="AE51" s="53">
        <v>41632</v>
      </c>
      <c r="AF51" s="53">
        <v>41820</v>
      </c>
      <c r="AG51" s="53">
        <v>41857</v>
      </c>
      <c r="AH51" s="46">
        <v>41991</v>
      </c>
      <c r="AI51" s="18">
        <v>0</v>
      </c>
      <c r="AJ51" s="3"/>
      <c r="AK51" s="3"/>
      <c r="AL51" s="2" t="e">
        <f>IF(AND(Y7&gt;=$W$9,Y7&lt;=$W$9+5),0,IF($C$9&gt;$AF$51,ROUND(AI11*#REF!/(DATEVALUE(CONCATENATE("01/01/",YEAR(Z7)+1))-DATEVALUE(CONCATENATE("01/01/",YEAR(Z7))))*(Z7-#REF!),2),0))</f>
        <v>#REF!</v>
      </c>
      <c r="AM51" s="34">
        <f t="shared" si="37"/>
        <v>23217</v>
      </c>
      <c r="AN51" s="57">
        <f t="shared" si="36"/>
        <v>46299</v>
      </c>
      <c r="AO51" s="130">
        <f t="shared" si="11"/>
        <v>1</v>
      </c>
      <c r="AP51" s="553">
        <f t="shared" si="27"/>
        <v>43</v>
      </c>
      <c r="AQ51" s="554">
        <f t="shared" si="12"/>
        <v>46147</v>
      </c>
      <c r="AR51" s="555">
        <f t="shared" si="2"/>
        <v>0.13900000000000001</v>
      </c>
      <c r="AS51" s="546">
        <f t="shared" si="13"/>
        <v>23217</v>
      </c>
      <c r="AT51" s="546">
        <f t="shared" si="14"/>
        <v>23217</v>
      </c>
      <c r="AU51" s="546">
        <f t="shared" si="15"/>
        <v>4290.5977048208133</v>
      </c>
      <c r="AV51" s="546">
        <f t="shared" si="16"/>
        <v>18926.402295179185</v>
      </c>
      <c r="AW51" s="546"/>
      <c r="AX51" s="546">
        <v>0</v>
      </c>
      <c r="AY51" s="546">
        <f t="shared" si="17"/>
        <v>4290.5977048208133</v>
      </c>
      <c r="AZ51" s="546">
        <f t="shared" si="32"/>
        <v>0</v>
      </c>
      <c r="BA51" s="546">
        <f t="shared" si="30"/>
        <v>0</v>
      </c>
      <c r="BB51" s="546"/>
      <c r="BC51" s="546"/>
      <c r="BD51" s="546"/>
      <c r="BE51" s="546"/>
      <c r="BF51" s="546"/>
      <c r="BG51" s="546">
        <f t="shared" si="19"/>
        <v>356629.51191575523</v>
      </c>
      <c r="BH51" s="108">
        <f t="shared" si="28"/>
        <v>18</v>
      </c>
      <c r="BI51" s="108">
        <f t="shared" si="23"/>
        <v>18</v>
      </c>
      <c r="BJ51" s="22">
        <f t="shared" si="24"/>
        <v>46147</v>
      </c>
      <c r="BK51" s="108">
        <f t="shared" si="3"/>
        <v>22562</v>
      </c>
    </row>
    <row r="52" spans="1:64" s="16" customFormat="1" ht="24" customHeight="1" x14ac:dyDescent="0.3">
      <c r="A52" s="178"/>
      <c r="B52" s="178"/>
      <c r="C52" s="184"/>
      <c r="D52" s="182"/>
      <c r="E52" s="178"/>
      <c r="F52" s="178"/>
      <c r="G52" s="244">
        <f t="shared" si="25"/>
        <v>44</v>
      </c>
      <c r="H52" s="245">
        <f t="shared" si="4"/>
        <v>46178</v>
      </c>
      <c r="I52" s="246">
        <f t="shared" si="5"/>
        <v>4.9000000000000002E-2</v>
      </c>
      <c r="J52" s="242">
        <f t="shared" si="6"/>
        <v>22562</v>
      </c>
      <c r="K52" s="242">
        <f t="shared" si="20"/>
        <v>22562</v>
      </c>
      <c r="L52" s="242">
        <f t="shared" si="7"/>
        <v>1539.3118138273537</v>
      </c>
      <c r="M52" s="242">
        <f t="shared" si="21"/>
        <v>21022.688186172647</v>
      </c>
      <c r="N52" s="242">
        <f t="shared" si="1"/>
        <v>0</v>
      </c>
      <c r="O52" s="242">
        <v>0</v>
      </c>
      <c r="P52" s="242">
        <f t="shared" si="22"/>
        <v>1539.3118138273537</v>
      </c>
      <c r="Q52" s="242">
        <f t="shared" si="29"/>
        <v>0</v>
      </c>
      <c r="R52" s="242">
        <f t="shared" si="8"/>
        <v>0</v>
      </c>
      <c r="S52" s="242">
        <f t="shared" si="9"/>
        <v>348858.03073876753</v>
      </c>
      <c r="T52" s="467"/>
      <c r="U52" s="198">
        <f t="shared" si="26"/>
        <v>17</v>
      </c>
      <c r="V52" s="36">
        <f t="shared" si="10"/>
        <v>17</v>
      </c>
      <c r="W52" s="2" t="e">
        <f>IF(AND(G17&gt;=$W$9,G17&lt;=$W$9+5),0,IF($C$9&gt;$AF$51,ROUND(S16*#REF!/(DATEVALUE(CONCATENATE("01/01/",YEAR(H17)+1))-DATEVALUE(CONCATENATE("01/01/",YEAR(H17))))*(H17-H16),2),0))</f>
        <v>#REF!</v>
      </c>
      <c r="X52" s="34">
        <f t="shared" si="35"/>
        <v>22562</v>
      </c>
      <c r="Y52" s="57">
        <f t="shared" si="34"/>
        <v>48124</v>
      </c>
      <c r="Z52" s="3" t="s">
        <v>22</v>
      </c>
      <c r="AA52" s="3"/>
      <c r="AB52" s="3"/>
      <c r="AC52" s="42"/>
      <c r="AD52" s="58"/>
      <c r="AE52" s="53">
        <v>42124</v>
      </c>
      <c r="AF52" s="53"/>
      <c r="AG52" s="53"/>
      <c r="AH52" s="46"/>
      <c r="AI52" s="2"/>
      <c r="AJ52" s="3"/>
      <c r="AK52" s="3"/>
      <c r="AL52" s="2" t="e">
        <f>IF(AND(Y8&gt;=$W$9,Y8&lt;=$W$9+5),0,IF($C$9&gt;$AF$51,ROUND(AI12*#REF!/(DATEVALUE(CONCATENATE("01/01/",YEAR(Z8)+1))-DATEVALUE(CONCATENATE("01/01/",YEAR(Z8))))*(Z8-Z7),2),0))</f>
        <v>#REF!</v>
      </c>
      <c r="AM52" s="34">
        <f t="shared" si="37"/>
        <v>23217</v>
      </c>
      <c r="AN52" s="57">
        <f t="shared" si="36"/>
        <v>46664</v>
      </c>
      <c r="AO52" s="130">
        <f t="shared" si="11"/>
        <v>1</v>
      </c>
      <c r="AP52" s="553">
        <f t="shared" si="27"/>
        <v>44</v>
      </c>
      <c r="AQ52" s="554">
        <f t="shared" si="12"/>
        <v>46178</v>
      </c>
      <c r="AR52" s="555">
        <f t="shared" si="2"/>
        <v>0.13900000000000001</v>
      </c>
      <c r="AS52" s="546">
        <f t="shared" si="13"/>
        <v>23217</v>
      </c>
      <c r="AT52" s="546">
        <f t="shared" si="14"/>
        <v>23217</v>
      </c>
      <c r="AU52" s="546">
        <f t="shared" si="15"/>
        <v>4210.1823749177793</v>
      </c>
      <c r="AV52" s="546">
        <f t="shared" si="16"/>
        <v>19006.817625082222</v>
      </c>
      <c r="AW52" s="546"/>
      <c r="AX52" s="546">
        <v>0</v>
      </c>
      <c r="AY52" s="546">
        <f t="shared" si="17"/>
        <v>4210.1823749177793</v>
      </c>
      <c r="AZ52" s="546">
        <f t="shared" si="32"/>
        <v>0</v>
      </c>
      <c r="BA52" s="546">
        <f t="shared" si="30"/>
        <v>0</v>
      </c>
      <c r="BB52" s="546"/>
      <c r="BC52" s="546"/>
      <c r="BD52" s="546"/>
      <c r="BE52" s="546"/>
      <c r="BF52" s="546"/>
      <c r="BG52" s="546">
        <f t="shared" si="19"/>
        <v>337622.69429067301</v>
      </c>
      <c r="BH52" s="108">
        <f t="shared" si="28"/>
        <v>17</v>
      </c>
      <c r="BI52" s="108">
        <f t="shared" si="23"/>
        <v>17</v>
      </c>
      <c r="BJ52" s="22">
        <f t="shared" si="24"/>
        <v>46178</v>
      </c>
      <c r="BK52" s="108">
        <f t="shared" si="3"/>
        <v>22562</v>
      </c>
    </row>
    <row r="53" spans="1:64" s="16" customFormat="1" ht="24" customHeight="1" x14ac:dyDescent="0.3">
      <c r="A53" s="178"/>
      <c r="B53" s="178"/>
      <c r="C53" s="184"/>
      <c r="D53" s="178"/>
      <c r="E53" s="178"/>
      <c r="F53" s="178"/>
      <c r="G53" s="244">
        <f t="shared" si="25"/>
        <v>45</v>
      </c>
      <c r="H53" s="245">
        <f t="shared" si="4"/>
        <v>46208</v>
      </c>
      <c r="I53" s="246">
        <f t="shared" si="5"/>
        <v>4.9000000000000002E-2</v>
      </c>
      <c r="J53" s="242">
        <f t="shared" si="6"/>
        <v>22562</v>
      </c>
      <c r="K53" s="242">
        <f t="shared" si="20"/>
        <v>22562</v>
      </c>
      <c r="L53" s="242">
        <f t="shared" si="7"/>
        <v>1404.9898772218858</v>
      </c>
      <c r="M53" s="242">
        <f t="shared" si="21"/>
        <v>21157.010122778112</v>
      </c>
      <c r="N53" s="242">
        <f t="shared" si="1"/>
        <v>0</v>
      </c>
      <c r="O53" s="242">
        <v>0</v>
      </c>
      <c r="P53" s="242">
        <f t="shared" si="22"/>
        <v>1404.9898772218858</v>
      </c>
      <c r="Q53" s="242">
        <f t="shared" si="29"/>
        <v>0</v>
      </c>
      <c r="R53" s="242">
        <f t="shared" si="8"/>
        <v>0</v>
      </c>
      <c r="S53" s="242">
        <f t="shared" si="9"/>
        <v>327701.0206159894</v>
      </c>
      <c r="T53" s="467"/>
      <c r="U53" s="198">
        <f t="shared" si="26"/>
        <v>16</v>
      </c>
      <c r="V53" s="36">
        <f t="shared" si="10"/>
        <v>16</v>
      </c>
      <c r="W53" s="2" t="e">
        <f>IF(AND(G18&gt;=$W$9,G18&lt;=$W$9+5),0,IF($C$9&gt;$AF$51,ROUND(S17*#REF!/(DATEVALUE(CONCATENATE("01/01/",YEAR(H18)+1))-DATEVALUE(CONCATENATE("01/01/",YEAR(H18))))*(H18-H17),2),0))</f>
        <v>#REF!</v>
      </c>
      <c r="X53" s="34">
        <f t="shared" si="35"/>
        <v>22562</v>
      </c>
      <c r="Y53" s="57">
        <f t="shared" si="34"/>
        <v>48489</v>
      </c>
      <c r="Z53" s="3"/>
      <c r="AA53" s="3"/>
      <c r="AB53" s="3"/>
      <c r="AC53" s="2"/>
      <c r="AD53" s="2"/>
      <c r="AE53" s="2"/>
      <c r="AF53" s="2"/>
      <c r="AG53" s="2"/>
      <c r="AH53" s="2"/>
      <c r="AI53" s="2"/>
      <c r="AJ53" s="2"/>
      <c r="AK53" s="2"/>
      <c r="AL53" s="2" t="e">
        <f>IF(AND(Y9&gt;=$W$9,Y9&lt;=$W$9+5),0,IF($C$9&gt;$AF$51,ROUND(AI13*#REF!/(DATEVALUE(CONCATENATE("01/01/",YEAR(Z9)+1))-DATEVALUE(CONCATENATE("01/01/",YEAR(Z9))))*(Z9-Z8),2),0))</f>
        <v>#REF!</v>
      </c>
      <c r="AM53" s="34">
        <f t="shared" si="37"/>
        <v>23217</v>
      </c>
      <c r="AN53" s="57">
        <f t="shared" si="36"/>
        <v>47029</v>
      </c>
      <c r="AO53" s="130">
        <f t="shared" si="11"/>
        <v>1</v>
      </c>
      <c r="AP53" s="553">
        <f t="shared" si="27"/>
        <v>45</v>
      </c>
      <c r="AQ53" s="554">
        <f t="shared" si="12"/>
        <v>46208</v>
      </c>
      <c r="AR53" s="555">
        <f t="shared" si="2"/>
        <v>0.13900000000000001</v>
      </c>
      <c r="AS53" s="546">
        <f t="shared" si="13"/>
        <v>23217</v>
      </c>
      <c r="AT53" s="546">
        <f t="shared" si="14"/>
        <v>23217</v>
      </c>
      <c r="AU53" s="546">
        <f t="shared" si="15"/>
        <v>3857.2236580605663</v>
      </c>
      <c r="AV53" s="546">
        <f t="shared" si="16"/>
        <v>19359.776341939432</v>
      </c>
      <c r="AW53" s="546"/>
      <c r="AX53" s="546">
        <v>0</v>
      </c>
      <c r="AY53" s="546">
        <f t="shared" si="17"/>
        <v>3857.2236580605663</v>
      </c>
      <c r="AZ53" s="546">
        <f t="shared" si="32"/>
        <v>0</v>
      </c>
      <c r="BA53" s="546">
        <f t="shared" si="30"/>
        <v>0</v>
      </c>
      <c r="BB53" s="546"/>
      <c r="BC53" s="546"/>
      <c r="BD53" s="546"/>
      <c r="BE53" s="546"/>
      <c r="BF53" s="546"/>
      <c r="BG53" s="546">
        <f t="shared" si="19"/>
        <v>318262.91794873355</v>
      </c>
      <c r="BH53" s="108">
        <f t="shared" si="28"/>
        <v>16</v>
      </c>
      <c r="BI53" s="108">
        <f t="shared" si="23"/>
        <v>16</v>
      </c>
      <c r="BJ53" s="22">
        <f t="shared" si="24"/>
        <v>46208</v>
      </c>
      <c r="BK53" s="108">
        <f t="shared" si="3"/>
        <v>22562</v>
      </c>
    </row>
    <row r="54" spans="1:64" s="16" customFormat="1" ht="24" customHeight="1" x14ac:dyDescent="0.3">
      <c r="A54" s="178"/>
      <c r="B54" s="178"/>
      <c r="C54" s="184"/>
      <c r="D54" s="178"/>
      <c r="E54" s="178"/>
      <c r="F54" s="178"/>
      <c r="G54" s="244">
        <f t="shared" si="25"/>
        <v>46</v>
      </c>
      <c r="H54" s="245">
        <f t="shared" si="4"/>
        <v>46239</v>
      </c>
      <c r="I54" s="246">
        <f t="shared" si="5"/>
        <v>4.9000000000000002E-2</v>
      </c>
      <c r="J54" s="242">
        <f t="shared" si="6"/>
        <v>22562</v>
      </c>
      <c r="K54" s="242">
        <f t="shared" si="20"/>
        <v>22562</v>
      </c>
      <c r="L54" s="242">
        <f t="shared" si="7"/>
        <v>1363.7749323717478</v>
      </c>
      <c r="M54" s="242">
        <f t="shared" si="21"/>
        <v>21198.225067628253</v>
      </c>
      <c r="N54" s="242">
        <f t="shared" si="1"/>
        <v>0</v>
      </c>
      <c r="O54" s="242">
        <v>0</v>
      </c>
      <c r="P54" s="242">
        <f t="shared" si="22"/>
        <v>1363.7749323717478</v>
      </c>
      <c r="Q54" s="242">
        <f t="shared" si="29"/>
        <v>0</v>
      </c>
      <c r="R54" s="242">
        <f t="shared" si="8"/>
        <v>0</v>
      </c>
      <c r="S54" s="242">
        <f t="shared" si="9"/>
        <v>306502.79554836114</v>
      </c>
      <c r="T54" s="467"/>
      <c r="U54" s="198">
        <f t="shared" si="26"/>
        <v>15</v>
      </c>
      <c r="V54" s="36">
        <f t="shared" si="10"/>
        <v>15</v>
      </c>
      <c r="W54" s="2" t="e">
        <f>IF(AND(G19&gt;=$W$9,G19&lt;=$W$9+5),0,IF($C$9&gt;$AF$51,ROUND(S18*#REF!/(DATEVALUE(CONCATENATE("01/01/",YEAR(H19)+1))-DATEVALUE(CONCATENATE("01/01/",YEAR(H19))))*(H19-H18),2),0))</f>
        <v>#REF!</v>
      </c>
      <c r="X54" s="34">
        <f t="shared" si="35"/>
        <v>22562</v>
      </c>
      <c r="Y54" s="57">
        <f t="shared" si="34"/>
        <v>48854</v>
      </c>
      <c r="Z54" s="2"/>
      <c r="AA54" s="2"/>
      <c r="AB54" s="2"/>
      <c r="AC54" s="1"/>
      <c r="AD54" s="7">
        <f>H8</f>
        <v>44839</v>
      </c>
      <c r="AE54" s="47">
        <f>(C18+AI51)*AG36/12*(1+AG36/12)^(C10)/((1+AG36/12)^(C10)-1)+C18/10000*IF(C10&lt;11,20,IF(C10&lt;20,2.5,IF(C10&lt;37,1.5,IF(C10&lt;60,0.7,0.5))))*IF(AG36&lt;0.3,AG36/0.2,AG36/0.1)</f>
        <v>27865.759398180624</v>
      </c>
      <c r="AF54" s="2"/>
      <c r="AG54" s="47">
        <f>(D18+AI51)*AE14/12*(1+AE14/12)^(C10)/((1+AE14/12)^(C10)-1)+D18/10000*IF(C10&lt;11,20,IF(C10&lt;20,2.5,IF(C10&lt;37,1.5,IF(C10&lt;60,0.7,0.5))))*IF(AE14&lt;0.3,AE14/0.2,AE14/0.1)</f>
        <v>23251.189641841909</v>
      </c>
      <c r="AH54" s="2"/>
      <c r="AI54" s="2"/>
      <c r="AJ54" s="2"/>
      <c r="AK54" s="2"/>
      <c r="AL54" s="2" t="e">
        <f>IF(AND(Y10&gt;=$W$9,Y10&lt;=$W$9+5),0,IF($C$9&gt;$AF$51,ROUND(AI14*#REF!/(DATEVALUE(CONCATENATE("01/01/",YEAR(Z10)+1))-DATEVALUE(CONCATENATE("01/01/",YEAR(Z10))))*(Z10-Z9),2),0))</f>
        <v>#REF!</v>
      </c>
      <c r="AM54" s="34">
        <f t="shared" si="37"/>
        <v>23217</v>
      </c>
      <c r="AN54" s="57">
        <f t="shared" si="36"/>
        <v>47394</v>
      </c>
      <c r="AO54" s="130">
        <f t="shared" si="11"/>
        <v>1</v>
      </c>
      <c r="AP54" s="553">
        <f t="shared" si="27"/>
        <v>46</v>
      </c>
      <c r="AQ54" s="554">
        <f t="shared" si="12"/>
        <v>46239</v>
      </c>
      <c r="AR54" s="555">
        <f t="shared" si="2"/>
        <v>0.13900000000000001</v>
      </c>
      <c r="AS54" s="546">
        <f t="shared" si="13"/>
        <v>23217</v>
      </c>
      <c r="AT54" s="546">
        <f t="shared" si="14"/>
        <v>23217</v>
      </c>
      <c r="AU54" s="546">
        <f t="shared" si="15"/>
        <v>3757.246338194775</v>
      </c>
      <c r="AV54" s="546">
        <f t="shared" si="16"/>
        <v>19459.753661805225</v>
      </c>
      <c r="AW54" s="546"/>
      <c r="AX54" s="546">
        <v>0</v>
      </c>
      <c r="AY54" s="546">
        <f t="shared" si="17"/>
        <v>3757.246338194775</v>
      </c>
      <c r="AZ54" s="546">
        <f t="shared" si="32"/>
        <v>0</v>
      </c>
      <c r="BA54" s="546">
        <f t="shared" si="30"/>
        <v>0</v>
      </c>
      <c r="BB54" s="546"/>
      <c r="BC54" s="546"/>
      <c r="BD54" s="546"/>
      <c r="BE54" s="546"/>
      <c r="BF54" s="546"/>
      <c r="BG54" s="546">
        <f t="shared" si="19"/>
        <v>298803.16428692831</v>
      </c>
      <c r="BH54" s="108">
        <f t="shared" si="28"/>
        <v>15</v>
      </c>
      <c r="BI54" s="108">
        <f t="shared" si="23"/>
        <v>15</v>
      </c>
      <c r="BJ54" s="22">
        <f t="shared" si="24"/>
        <v>46239</v>
      </c>
      <c r="BK54" s="108">
        <f t="shared" si="3"/>
        <v>22562</v>
      </c>
      <c r="BL54" s="2">
        <f>IF(AND(G9&gt;=$W$9,G9&lt;=$W$9+5),0,IF($C$9&gt;$AF$51,ROUND(BG8*IF(#REF!="",0,#REF!)/(DATEVALUE(CONCATENATE("01/01/",YEAR(AQ9)+1))-DATEVALUE(CONCATENATE("01/01/",YEAR(AQ9))))*(AQ9-AQ8),2),0))</f>
        <v>0</v>
      </c>
    </row>
    <row r="55" spans="1:64" s="16" customFormat="1" x14ac:dyDescent="0.3">
      <c r="A55" s="178"/>
      <c r="B55" s="178"/>
      <c r="C55" s="184"/>
      <c r="D55" s="178"/>
      <c r="E55" s="178"/>
      <c r="F55" s="178"/>
      <c r="G55" s="244">
        <f t="shared" si="25"/>
        <v>47</v>
      </c>
      <c r="H55" s="245">
        <f t="shared" si="4"/>
        <v>46270</v>
      </c>
      <c r="I55" s="246">
        <f t="shared" si="5"/>
        <v>4.9000000000000002E-2</v>
      </c>
      <c r="J55" s="242">
        <f t="shared" si="6"/>
        <v>22562</v>
      </c>
      <c r="K55" s="242">
        <f t="shared" si="20"/>
        <v>22562</v>
      </c>
      <c r="L55" s="242">
        <f t="shared" si="7"/>
        <v>1275.5554696930428</v>
      </c>
      <c r="M55" s="242">
        <f t="shared" si="21"/>
        <v>21286.444530306959</v>
      </c>
      <c r="N55" s="242">
        <f t="shared" si="1"/>
        <v>0</v>
      </c>
      <c r="O55" s="242">
        <v>0</v>
      </c>
      <c r="P55" s="242">
        <f t="shared" si="22"/>
        <v>1275.5554696930428</v>
      </c>
      <c r="Q55" s="242">
        <f t="shared" si="29"/>
        <v>0</v>
      </c>
      <c r="R55" s="242">
        <f t="shared" si="8"/>
        <v>0</v>
      </c>
      <c r="S55" s="242">
        <f t="shared" si="9"/>
        <v>285216.35101805418</v>
      </c>
      <c r="T55" s="467"/>
      <c r="U55" s="198">
        <f t="shared" si="26"/>
        <v>14</v>
      </c>
      <c r="V55" s="36">
        <f t="shared" si="10"/>
        <v>14</v>
      </c>
      <c r="W55" s="2" t="e">
        <f>IF(AND(G20&gt;=$W$9,G20&lt;=$W$9+5),0,IF($C$9&gt;$AF$51,ROUND(S19*#REF!/(DATEVALUE(CONCATENATE("01/01/",YEAR(H20)+1))-DATEVALUE(CONCATENATE("01/01/",YEAR(H20))))*(H20-H19),2),0))</f>
        <v>#REF!</v>
      </c>
      <c r="X55" s="34">
        <f t="shared" si="35"/>
        <v>22562</v>
      </c>
      <c r="Y55" s="57">
        <f t="shared" si="34"/>
        <v>49219</v>
      </c>
      <c r="AA55" s="170" t="s">
        <v>134</v>
      </c>
      <c r="AD55" s="47">
        <f>IF(DAY(C9)&lt;4,AE54,IF(DAY(C9)&gt;28,AE56,AE55))</f>
        <v>27832.442044393469</v>
      </c>
      <c r="AE55" s="47">
        <f>(C18+AI51)*AG36/12*(1+AG36/12)^(C10)/((1+AG36/12)^(C10)-1)+C18/10000*IF(C10&lt;11,20,IF(C10&lt;34,0.7,IF(C10&lt;58,0.3,0.1)))*IF(AG36&lt;0.3,AG36/0.2,AG36/0.1)</f>
        <v>27832.442044393469</v>
      </c>
      <c r="AF55" s="13">
        <f>IF(DAY(C9)&lt;4,AG54,IF(DAY(C9)&gt;28,AG56,AG55))</f>
        <v>23223.38964184191</v>
      </c>
      <c r="AG55" s="156">
        <f>(D18+AI51)*AE14/12*(1+AE14/12)^(C10)/((1+AE14/12)^(C10)-1)+D18/10000*IF(C10&lt;11,20,IF(C10&lt;34,0.7,IF(C10&lt;58,0.3,0.1)))*IF(AE14&lt;0.3,AE14/0.2,AE14/0.1)</f>
        <v>23223.38964184191</v>
      </c>
      <c r="AH55" s="2"/>
      <c r="AI55" s="2"/>
      <c r="AJ55" s="2"/>
      <c r="AK55" s="2"/>
      <c r="AL55" s="2" t="e">
        <f>IF(AND(Y11&gt;=$W$9,Y11&lt;=$W$9+5),0,IF($C$9&gt;$AF$51,ROUND(AI15*#REF!/(DATEVALUE(CONCATENATE("01/01/",YEAR(Z11)+1))-DATEVALUE(CONCATENATE("01/01/",YEAR(Z11))))*(Z11-Z10),2),0))</f>
        <v>#REF!</v>
      </c>
      <c r="AM55" s="34">
        <f t="shared" si="37"/>
        <v>23217</v>
      </c>
      <c r="AN55" s="57">
        <f t="shared" si="36"/>
        <v>47759</v>
      </c>
      <c r="AO55" s="130">
        <f t="shared" si="11"/>
        <v>1</v>
      </c>
      <c r="AP55" s="553">
        <f t="shared" si="27"/>
        <v>47</v>
      </c>
      <c r="AQ55" s="554">
        <f t="shared" si="12"/>
        <v>46270</v>
      </c>
      <c r="AR55" s="555">
        <f t="shared" si="2"/>
        <v>0.13900000000000001</v>
      </c>
      <c r="AS55" s="546">
        <f t="shared" si="13"/>
        <v>23217</v>
      </c>
      <c r="AT55" s="546">
        <f t="shared" si="14"/>
        <v>23217</v>
      </c>
      <c r="AU55" s="546">
        <f t="shared" si="15"/>
        <v>3527.5146161982852</v>
      </c>
      <c r="AV55" s="546">
        <f t="shared" si="16"/>
        <v>19689.485383801715</v>
      </c>
      <c r="AW55" s="546"/>
      <c r="AX55" s="546">
        <v>0</v>
      </c>
      <c r="AY55" s="546">
        <f t="shared" si="17"/>
        <v>3527.5146161982852</v>
      </c>
      <c r="AZ55" s="546">
        <f t="shared" si="32"/>
        <v>0</v>
      </c>
      <c r="BA55" s="546">
        <f t="shared" si="30"/>
        <v>0</v>
      </c>
      <c r="BB55" s="546"/>
      <c r="BC55" s="546"/>
      <c r="BD55" s="546"/>
      <c r="BE55" s="546"/>
      <c r="BF55" s="546"/>
      <c r="BG55" s="546">
        <f t="shared" si="19"/>
        <v>279113.67890312662</v>
      </c>
      <c r="BH55" s="108">
        <f t="shared" si="28"/>
        <v>14</v>
      </c>
      <c r="BI55" s="108">
        <f t="shared" si="23"/>
        <v>14</v>
      </c>
      <c r="BJ55" s="22">
        <f t="shared" si="24"/>
        <v>46270</v>
      </c>
      <c r="BK55" s="108">
        <f t="shared" si="3"/>
        <v>22562</v>
      </c>
      <c r="BL55" s="2">
        <f>IF(AND(G10&gt;=$W$9,G10&lt;=$W$9+5),0,IF($C$9&gt;$AF$51,ROUND(BG9*IF(#REF!="",0,#REF!)/(DATEVALUE(CONCATENATE("01/01/",YEAR(AQ10)+1))-DATEVALUE(CONCATENATE("01/01/",YEAR(AQ10))))*(AQ10-AQ9),2),0))</f>
        <v>0</v>
      </c>
    </row>
    <row r="56" spans="1:64" s="16" customFormat="1" ht="13.8" thickBot="1" x14ac:dyDescent="0.35">
      <c r="A56" s="178"/>
      <c r="B56" s="178"/>
      <c r="C56" s="184"/>
      <c r="D56" s="178"/>
      <c r="E56" s="178"/>
      <c r="F56" s="178"/>
      <c r="G56" s="248">
        <f t="shared" si="25"/>
        <v>48</v>
      </c>
      <c r="H56" s="581">
        <f t="shared" si="4"/>
        <v>46300</v>
      </c>
      <c r="I56" s="250">
        <f t="shared" si="5"/>
        <v>4.9000000000000002E-2</v>
      </c>
      <c r="J56" s="252">
        <f t="shared" si="6"/>
        <v>22562</v>
      </c>
      <c r="K56" s="252">
        <f t="shared" si="20"/>
        <v>22562</v>
      </c>
      <c r="L56" s="252">
        <f t="shared" si="7"/>
        <v>1148.6795506754511</v>
      </c>
      <c r="M56" s="252">
        <f t="shared" si="21"/>
        <v>21413.32044932455</v>
      </c>
      <c r="N56" s="252">
        <f t="shared" si="1"/>
        <v>0</v>
      </c>
      <c r="O56" s="252">
        <v>0</v>
      </c>
      <c r="P56" s="252">
        <f t="shared" si="22"/>
        <v>1148.6795506754511</v>
      </c>
      <c r="Q56" s="252">
        <f t="shared" si="29"/>
        <v>0</v>
      </c>
      <c r="R56" s="252">
        <f t="shared" si="8"/>
        <v>0</v>
      </c>
      <c r="S56" s="252">
        <f t="shared" si="9"/>
        <v>263803.03056872962</v>
      </c>
      <c r="T56" s="468"/>
      <c r="U56" s="198">
        <f t="shared" si="26"/>
        <v>13</v>
      </c>
      <c r="V56" s="36">
        <f t="shared" si="10"/>
        <v>13</v>
      </c>
      <c r="W56" s="2" t="e">
        <f>IF(AND(G21&gt;=$W$9,G21&lt;=$W$9+5),0,IF($C$9&gt;$AF$51,ROUND(S20*#REF!/(DATEVALUE(CONCATENATE("01/01/",YEAR(H21)+1))-DATEVALUE(CONCATENATE("01/01/",YEAR(H21))))*(H21-H20),2),0))</f>
        <v>#REF!</v>
      </c>
      <c r="X56" s="34">
        <f t="shared" si="35"/>
        <v>22562</v>
      </c>
      <c r="Y56" s="57">
        <f t="shared" si="34"/>
        <v>49584</v>
      </c>
      <c r="AA56" s="171">
        <v>20000</v>
      </c>
      <c r="AB56" s="133" t="s">
        <v>135</v>
      </c>
      <c r="AC56" s="118">
        <f>ROUNDUP(AD56/AG47,0)*AG47</f>
        <v>20840</v>
      </c>
      <c r="AD56" s="13">
        <f>(C18+AI51)*AC57/12*(1+AC57/12)^(C10+AD57)/((1+AC57/12)^(C10+AD57)-1)+10*C18/100000*IF(C10+AD57&lt;24,4,IF(C10+AD57&lt;36,3,IF(C10+AD57&lt;48,2,IF(C10+AD57&lt;60,1.5,1))))*AC57/0.2</f>
        <v>20834.298759818739</v>
      </c>
      <c r="AE56" s="47">
        <f>(C18+AI51)*AG36/12*(1+AG36/12)^(C10)/((1+AG36/12)^(C10)-1)+C18/10000*IF(C10&lt;11,20,IF(C10&lt;34,0.7,IF(C10&lt;48,0.3,0)))*IF(AG36&lt;0.3,AG36/0.2,AG36/0.1)</f>
        <v>27824.112705946682</v>
      </c>
      <c r="AF56" s="13">
        <f>(D18+AI51)*AF57/12*(1+AF57/12)^(C10+AD57)/((1+AF57/12)^(C10+AD57)-1)+10*D18/100000*IF(C10+AD57&lt;24,4,IF(C10+AD57&lt;36,3,IF(C10+AD57&lt;48,2,IF(C10+AD57&lt;60,1.5,1))))*AF57/0.2</f>
        <v>17384.138885192751</v>
      </c>
      <c r="AG56" s="157">
        <f>(D18+AI51)*AE14/12*(1+AE14/12)^(C10)/((1+AE14/12)^(C10)-1)+D18/10000*IF(C10&lt;11,20,IF(C10&lt;34,0.7,IF(C10&lt;48,0.3,0)))*IF(AE14&lt;0.3,AE14/0.2,AE14/0.1)</f>
        <v>23216.439641841909</v>
      </c>
      <c r="AH56" s="2"/>
      <c r="AI56" s="2"/>
      <c r="AJ56" s="2"/>
      <c r="AK56" s="2"/>
      <c r="AL56" s="2" t="e">
        <f>IF(AND(Y12&gt;=$W$9,Y12&lt;=$W$9+5),0,IF($C$9&gt;$AF$51,ROUND(AI16*#REF!/(DATEVALUE(CONCATENATE("01/01/",YEAR(Z12)+1))-DATEVALUE(CONCATENATE("01/01/",YEAR(Z12))))*(Z12-Z11),2),0))</f>
        <v>#REF!</v>
      </c>
      <c r="AM56" s="34">
        <f t="shared" si="37"/>
        <v>23217</v>
      </c>
      <c r="AN56" s="57">
        <f t="shared" si="36"/>
        <v>48124</v>
      </c>
      <c r="AO56" s="130">
        <f t="shared" si="11"/>
        <v>1</v>
      </c>
      <c r="AP56" s="556">
        <f t="shared" si="27"/>
        <v>48</v>
      </c>
      <c r="AQ56" s="582">
        <f t="shared" si="12"/>
        <v>46300</v>
      </c>
      <c r="AR56" s="557">
        <f t="shared" si="2"/>
        <v>0.13900000000000001</v>
      </c>
      <c r="AS56" s="547">
        <f t="shared" si="13"/>
        <v>23217</v>
      </c>
      <c r="AT56" s="547">
        <f t="shared" si="14"/>
        <v>23217</v>
      </c>
      <c r="AU56" s="547">
        <f t="shared" si="15"/>
        <v>3188.7781945918855</v>
      </c>
      <c r="AV56" s="547">
        <f t="shared" si="16"/>
        <v>20028.221805408113</v>
      </c>
      <c r="AW56" s="547"/>
      <c r="AX56" s="547">
        <v>0</v>
      </c>
      <c r="AY56" s="547">
        <f t="shared" si="17"/>
        <v>3188.7781945918855</v>
      </c>
      <c r="AZ56" s="547">
        <f t="shared" si="32"/>
        <v>0</v>
      </c>
      <c r="BA56" s="547">
        <f t="shared" si="30"/>
        <v>0</v>
      </c>
      <c r="BB56" s="547"/>
      <c r="BC56" s="547"/>
      <c r="BD56" s="547"/>
      <c r="BE56" s="547"/>
      <c r="BF56" s="547"/>
      <c r="BG56" s="547">
        <f t="shared" si="19"/>
        <v>259085.45709771852</v>
      </c>
      <c r="BH56" s="108">
        <f t="shared" si="28"/>
        <v>13</v>
      </c>
      <c r="BI56" s="108">
        <f t="shared" si="23"/>
        <v>13</v>
      </c>
      <c r="BJ56" s="22">
        <f t="shared" si="24"/>
        <v>46300</v>
      </c>
      <c r="BK56" s="108">
        <f t="shared" si="3"/>
        <v>22562</v>
      </c>
      <c r="BL56" s="2">
        <f>IF(AND(G11&gt;=$W$9,G11&lt;=$W$9+5),0,IF($C$9&gt;$AF$51,ROUND(BG10*IF(#REF!="",0,#REF!)/(DATEVALUE(CONCATENATE("01/01/",YEAR(AQ11)+1))-DATEVALUE(CONCATENATE("01/01/",YEAR(AQ11))))*(AQ11-AQ10),2),0))</f>
        <v>0</v>
      </c>
    </row>
    <row r="57" spans="1:64" s="16" customFormat="1" x14ac:dyDescent="0.3">
      <c r="A57" s="178"/>
      <c r="B57" s="178"/>
      <c r="C57" s="184"/>
      <c r="D57" s="178"/>
      <c r="E57" s="178"/>
      <c r="F57" s="178"/>
      <c r="G57" s="244">
        <f t="shared" si="25"/>
        <v>49</v>
      </c>
      <c r="H57" s="245">
        <f t="shared" si="4"/>
        <v>46331</v>
      </c>
      <c r="I57" s="246">
        <f t="shared" si="5"/>
        <v>4.9000000000000002E-2</v>
      </c>
      <c r="J57" s="242">
        <f t="shared" si="6"/>
        <v>22562</v>
      </c>
      <c r="K57" s="242">
        <f t="shared" si="20"/>
        <v>22562</v>
      </c>
      <c r="L57" s="242">
        <f t="shared" si="7"/>
        <v>1097.8542559832886</v>
      </c>
      <c r="M57" s="242">
        <f t="shared" si="21"/>
        <v>21464.145744016711</v>
      </c>
      <c r="N57" s="242">
        <f t="shared" si="1"/>
        <v>0</v>
      </c>
      <c r="O57" s="242">
        <v>0</v>
      </c>
      <c r="P57" s="242">
        <f t="shared" si="22"/>
        <v>1097.8542559832886</v>
      </c>
      <c r="Q57" s="242">
        <f t="shared" si="29"/>
        <v>0</v>
      </c>
      <c r="R57" s="242">
        <f t="shared" si="8"/>
        <v>0</v>
      </c>
      <c r="S57" s="242">
        <f t="shared" si="9"/>
        <v>242338.88482471291</v>
      </c>
      <c r="T57" s="467"/>
      <c r="U57" s="198">
        <f t="shared" si="26"/>
        <v>12</v>
      </c>
      <c r="V57" s="36">
        <f t="shared" si="10"/>
        <v>12</v>
      </c>
      <c r="W57" s="2" t="e">
        <f>IF(AND(G22&gt;=$W$9,G22&lt;=$W$9+5),0,IF($C$9&gt;$AF$51,ROUND(S21*#REF!/(DATEVALUE(CONCATENATE("01/01/",YEAR(H22)+1))-DATEVALUE(CONCATENATE("01/01/",YEAR(H22))))*(H22-H21),2),0))</f>
        <v>#REF!</v>
      </c>
      <c r="X57" s="34">
        <f t="shared" si="35"/>
        <v>22562</v>
      </c>
      <c r="Y57" s="57">
        <f t="shared" si="34"/>
        <v>49949</v>
      </c>
      <c r="AA57" s="171">
        <v>200000</v>
      </c>
      <c r="AB57" s="171">
        <v>200000</v>
      </c>
      <c r="AC57" s="15">
        <f>IF(C9&gt;AH48,C11,C11+0.05)</f>
        <v>0.13900000000000001</v>
      </c>
      <c r="AD57" s="2">
        <f xml:space="preserve"> IF(C9&gt;AH48,36,24)</f>
        <v>36</v>
      </c>
      <c r="AE57" s="44">
        <f>(C18+AI51)*AG36/12*(1+AG36/12)^(C10)/((1+AG36/12)^(C10)-1)</f>
        <v>27824.112705946682</v>
      </c>
      <c r="AF57" s="15">
        <f>IF(C9&gt;AH48,D13,D13+0.05)</f>
        <v>0.13900000000000001</v>
      </c>
      <c r="AG57" s="118">
        <f>(D18+AI51)*AE14/12*(1+AE14/12)^(C10)/((1+AE14/12)^(C10)-1)</f>
        <v>23216.439641841909</v>
      </c>
      <c r="AH57" s="2"/>
      <c r="AI57" s="2"/>
      <c r="AJ57" s="2"/>
      <c r="AK57" s="2"/>
      <c r="AL57" s="2" t="e">
        <f>IF(AND(Y13&gt;=$W$9,Y13&lt;=$W$9+5),0,IF($C$9&gt;$AF$51,ROUND(AI17*#REF!/(DATEVALUE(CONCATENATE("01/01/",YEAR(Z13)+1))-DATEVALUE(CONCATENATE("01/01/",YEAR(Z13))))*(Z13-Z12),2),0))</f>
        <v>#REF!</v>
      </c>
      <c r="AM57" s="34">
        <f t="shared" si="37"/>
        <v>23217</v>
      </c>
      <c r="AN57" s="57">
        <f t="shared" si="36"/>
        <v>48489</v>
      </c>
      <c r="AO57" s="130">
        <f t="shared" si="11"/>
        <v>1</v>
      </c>
      <c r="AP57" s="553">
        <f t="shared" si="27"/>
        <v>49</v>
      </c>
      <c r="AQ57" s="554">
        <f t="shared" si="12"/>
        <v>46331</v>
      </c>
      <c r="AR57" s="555">
        <f t="shared" si="2"/>
        <v>0.13900000000000001</v>
      </c>
      <c r="AS57" s="546">
        <f t="shared" si="13"/>
        <v>23217</v>
      </c>
      <c r="AT57" s="546">
        <f t="shared" si="14"/>
        <v>23217</v>
      </c>
      <c r="AU57" s="546">
        <f t="shared" si="15"/>
        <v>3058.6280400933401</v>
      </c>
      <c r="AV57" s="546">
        <f t="shared" si="16"/>
        <v>20158.371959906661</v>
      </c>
      <c r="AW57" s="546"/>
      <c r="AX57" s="546">
        <v>0</v>
      </c>
      <c r="AY57" s="546">
        <f t="shared" si="17"/>
        <v>3058.6280400933401</v>
      </c>
      <c r="AZ57" s="546">
        <f t="shared" si="32"/>
        <v>0</v>
      </c>
      <c r="BA57" s="546">
        <f t="shared" si="30"/>
        <v>0</v>
      </c>
      <c r="BB57" s="546"/>
      <c r="BC57" s="546"/>
      <c r="BD57" s="546"/>
      <c r="BE57" s="546"/>
      <c r="BF57" s="546"/>
      <c r="BG57" s="546">
        <f t="shared" si="19"/>
        <v>238927.08513781187</v>
      </c>
      <c r="BH57" s="108">
        <f t="shared" si="28"/>
        <v>12</v>
      </c>
      <c r="BI57" s="108">
        <f t="shared" si="23"/>
        <v>12</v>
      </c>
      <c r="BJ57" s="22">
        <f t="shared" si="24"/>
        <v>46331</v>
      </c>
      <c r="BK57" s="108">
        <f t="shared" si="3"/>
        <v>22562</v>
      </c>
      <c r="BL57" s="2">
        <f>IF(AND(G12&gt;=$W$9,G12&lt;=$W$9+5),0,IF($C$9&gt;$AF$51,ROUND(BG11*IF(#REF!="",0,#REF!)/(DATEVALUE(CONCATENATE("01/01/",YEAR(AQ12)+1))-DATEVALUE(CONCATENATE("01/01/",YEAR(AQ12))))*(AQ12-AQ11),2),0))</f>
        <v>0</v>
      </c>
    </row>
    <row r="58" spans="1:64" s="16" customFormat="1" ht="15.75" customHeight="1" x14ac:dyDescent="0.3">
      <c r="A58" s="178"/>
      <c r="B58" s="178"/>
      <c r="C58" s="184"/>
      <c r="D58" s="178"/>
      <c r="E58" s="178"/>
      <c r="F58" s="178"/>
      <c r="G58" s="244">
        <f t="shared" si="25"/>
        <v>50</v>
      </c>
      <c r="H58" s="245">
        <f t="shared" si="4"/>
        <v>46361</v>
      </c>
      <c r="I58" s="246">
        <f t="shared" si="5"/>
        <v>4.9000000000000002E-2</v>
      </c>
      <c r="J58" s="242">
        <f t="shared" si="6"/>
        <v>22562</v>
      </c>
      <c r="K58" s="242">
        <f t="shared" si="20"/>
        <v>22562</v>
      </c>
      <c r="L58" s="242">
        <f t="shared" si="7"/>
        <v>975.99496080089864</v>
      </c>
      <c r="M58" s="242">
        <f t="shared" si="21"/>
        <v>21586.005039199103</v>
      </c>
      <c r="N58" s="242">
        <f t="shared" si="1"/>
        <v>0</v>
      </c>
      <c r="O58" s="242">
        <v>0</v>
      </c>
      <c r="P58" s="242">
        <f t="shared" si="22"/>
        <v>975.99496080089864</v>
      </c>
      <c r="Q58" s="242">
        <f t="shared" si="29"/>
        <v>0</v>
      </c>
      <c r="R58" s="242">
        <f t="shared" si="8"/>
        <v>0</v>
      </c>
      <c r="S58" s="242">
        <f t="shared" si="9"/>
        <v>220752.8797855138</v>
      </c>
      <c r="T58" s="467"/>
      <c r="U58" s="198">
        <f t="shared" si="26"/>
        <v>11</v>
      </c>
      <c r="V58" s="36">
        <f t="shared" si="10"/>
        <v>11</v>
      </c>
      <c r="W58" s="2" t="e">
        <f>IF(AND(G23&gt;=$W$9,G23&lt;=$W$9+5),0,IF($C$9&gt;$AF$51,ROUND(S22*#REF!/(DATEVALUE(CONCATENATE("01/01/",YEAR(H23)+1))-DATEVALUE(CONCATENATE("01/01/",YEAR(H23))))*(H23-H22),2),0))</f>
        <v>#REF!</v>
      </c>
      <c r="X58" s="34">
        <f t="shared" si="35"/>
        <v>22562</v>
      </c>
      <c r="Y58" s="57">
        <f t="shared" si="34"/>
        <v>50314</v>
      </c>
      <c r="AA58" s="170">
        <v>600000</v>
      </c>
      <c r="AB58" s="171">
        <v>600000</v>
      </c>
      <c r="AC58" s="2"/>
      <c r="AD58" s="2"/>
      <c r="AE58" s="2"/>
      <c r="AF58" s="2"/>
      <c r="AG58" s="2"/>
      <c r="AH58" s="2"/>
      <c r="AI58" s="2"/>
      <c r="AJ58" s="2"/>
      <c r="AK58" s="2"/>
      <c r="AL58" s="2" t="e">
        <f>IF(AND(Y14&gt;=$W$9,Y14&lt;=$W$9+5),0,IF($C$9&gt;$AF$51,ROUND(AI18*#REF!/(DATEVALUE(CONCATENATE("01/01/",YEAR(Z14)+1))-DATEVALUE(CONCATENATE("01/01/",YEAR(Z14))))*(Z14-Z13),2),0))</f>
        <v>#REF!</v>
      </c>
      <c r="AM58" s="34">
        <f t="shared" si="37"/>
        <v>23217</v>
      </c>
      <c r="AN58" s="57">
        <f t="shared" si="36"/>
        <v>48854</v>
      </c>
      <c r="AO58" s="130">
        <f t="shared" si="11"/>
        <v>1</v>
      </c>
      <c r="AP58" s="553">
        <f t="shared" si="27"/>
        <v>50</v>
      </c>
      <c r="AQ58" s="554">
        <f t="shared" si="12"/>
        <v>46361</v>
      </c>
      <c r="AR58" s="555">
        <f t="shared" si="2"/>
        <v>0.13900000000000001</v>
      </c>
      <c r="AS58" s="546">
        <f t="shared" si="13"/>
        <v>23217</v>
      </c>
      <c r="AT58" s="546">
        <f t="shared" si="14"/>
        <v>23217</v>
      </c>
      <c r="AU58" s="546">
        <f t="shared" si="15"/>
        <v>2729.6601233552756</v>
      </c>
      <c r="AV58" s="546">
        <f t="shared" si="16"/>
        <v>20487.339876644724</v>
      </c>
      <c r="AW58" s="546"/>
      <c r="AX58" s="546">
        <v>0</v>
      </c>
      <c r="AY58" s="546">
        <f t="shared" si="17"/>
        <v>2729.6601233552756</v>
      </c>
      <c r="AZ58" s="546">
        <f t="shared" si="32"/>
        <v>0</v>
      </c>
      <c r="BA58" s="546">
        <f t="shared" si="30"/>
        <v>0</v>
      </c>
      <c r="BB58" s="546"/>
      <c r="BC58" s="546"/>
      <c r="BD58" s="546"/>
      <c r="BE58" s="546"/>
      <c r="BF58" s="546"/>
      <c r="BG58" s="546">
        <f t="shared" si="19"/>
        <v>218439.74526116715</v>
      </c>
      <c r="BH58" s="108">
        <f t="shared" si="28"/>
        <v>11</v>
      </c>
      <c r="BI58" s="108">
        <f t="shared" si="23"/>
        <v>11</v>
      </c>
      <c r="BJ58" s="22">
        <f t="shared" si="24"/>
        <v>46361</v>
      </c>
      <c r="BK58" s="108">
        <f t="shared" si="3"/>
        <v>22562</v>
      </c>
      <c r="BL58" s="2">
        <f>IF(AND(G13&gt;=$W$9,G13&lt;=$W$9+5),0,IF($C$9&gt;$AF$51,ROUND(BG12*IF(#REF!="",0,#REF!)/(DATEVALUE(CONCATENATE("01/01/",YEAR(AQ13)+1))-DATEVALUE(CONCATENATE("01/01/",YEAR(AQ13))))*(AQ13-AQ12),2),0))</f>
        <v>0</v>
      </c>
    </row>
    <row r="59" spans="1:64" s="16" customFormat="1" x14ac:dyDescent="0.3">
      <c r="A59" s="178"/>
      <c r="B59" s="178"/>
      <c r="C59" s="184"/>
      <c r="D59" s="178"/>
      <c r="E59" s="178"/>
      <c r="F59" s="178"/>
      <c r="G59" s="244">
        <f t="shared" si="25"/>
        <v>51</v>
      </c>
      <c r="H59" s="245">
        <f t="shared" si="4"/>
        <v>46392</v>
      </c>
      <c r="I59" s="246">
        <f t="shared" si="5"/>
        <v>4.9000000000000002E-2</v>
      </c>
      <c r="J59" s="242">
        <f t="shared" si="6"/>
        <v>22562</v>
      </c>
      <c r="K59" s="242">
        <f t="shared" si="20"/>
        <v>22562</v>
      </c>
      <c r="L59" s="242">
        <f t="shared" si="7"/>
        <v>918.69486135396016</v>
      </c>
      <c r="M59" s="242">
        <f t="shared" si="21"/>
        <v>21643.305138646039</v>
      </c>
      <c r="N59" s="242">
        <f t="shared" si="1"/>
        <v>0</v>
      </c>
      <c r="O59" s="242">
        <v>0</v>
      </c>
      <c r="P59" s="242">
        <f t="shared" si="22"/>
        <v>918.69486135396016</v>
      </c>
      <c r="Q59" s="242">
        <f t="shared" si="29"/>
        <v>0</v>
      </c>
      <c r="R59" s="242">
        <f t="shared" si="8"/>
        <v>0</v>
      </c>
      <c r="S59" s="242">
        <f t="shared" si="9"/>
        <v>199109.57464686775</v>
      </c>
      <c r="T59" s="467"/>
      <c r="U59" s="198">
        <f t="shared" si="26"/>
        <v>10</v>
      </c>
      <c r="V59" s="36">
        <f t="shared" si="10"/>
        <v>10</v>
      </c>
      <c r="W59" s="2" t="e">
        <f>IF(AND(G24&gt;=$W$9,G24&lt;=$W$9+5),0,IF($C$9&gt;$AF$51,ROUND(S23*#REF!/(DATEVALUE(CONCATENATE("01/01/",YEAR(H24)+1))-DATEVALUE(CONCATENATE("01/01/",YEAR(H24))))*(H24-H23),2),0))</f>
        <v>#REF!</v>
      </c>
      <c r="X59" s="34">
        <f t="shared" si="35"/>
        <v>22562</v>
      </c>
      <c r="Y59" s="57">
        <f t="shared" si="34"/>
        <v>50679</v>
      </c>
      <c r="AA59" s="171">
        <v>1000000</v>
      </c>
      <c r="AB59" s="171">
        <v>1000000</v>
      </c>
      <c r="AC59" s="144" t="s">
        <v>330</v>
      </c>
      <c r="AD59" s="144" t="s">
        <v>111</v>
      </c>
      <c r="AE59" s="145" t="s">
        <v>114</v>
      </c>
      <c r="AF59" s="144" t="s">
        <v>115</v>
      </c>
      <c r="AG59" s="2" t="s">
        <v>35</v>
      </c>
      <c r="AH59" s="144" t="s">
        <v>118</v>
      </c>
      <c r="AI59" s="144" t="s">
        <v>119</v>
      </c>
      <c r="AJ59" s="145" t="s">
        <v>120</v>
      </c>
      <c r="AK59" s="2" t="s">
        <v>35</v>
      </c>
      <c r="AL59" s="2" t="e">
        <f>IF(AND(Y15&gt;=$W$9,Y15&lt;=$W$9+5),0,IF($C$9&gt;$AF$51,ROUND(AI19*#REF!/(DATEVALUE(CONCATENATE("01/01/",YEAR(Z15)+1))-DATEVALUE(CONCATENATE("01/01/",YEAR(Z15))))*(Z15-Z14),2),0))</f>
        <v>#REF!</v>
      </c>
      <c r="AM59" s="34">
        <f t="shared" si="37"/>
        <v>23217</v>
      </c>
      <c r="AN59" s="57">
        <f t="shared" si="36"/>
        <v>49219</v>
      </c>
      <c r="AO59" s="130">
        <f t="shared" si="11"/>
        <v>1</v>
      </c>
      <c r="AP59" s="553">
        <f t="shared" si="27"/>
        <v>51</v>
      </c>
      <c r="AQ59" s="554">
        <f t="shared" si="12"/>
        <v>46392</v>
      </c>
      <c r="AR59" s="555">
        <f t="shared" si="2"/>
        <v>0.13900000000000001</v>
      </c>
      <c r="AS59" s="546">
        <f t="shared" si="13"/>
        <v>23217</v>
      </c>
      <c r="AT59" s="546">
        <f t="shared" si="14"/>
        <v>23217</v>
      </c>
      <c r="AU59" s="546">
        <f t="shared" si="15"/>
        <v>2578.7859241927927</v>
      </c>
      <c r="AV59" s="546">
        <f t="shared" si="16"/>
        <v>20638.214075807206</v>
      </c>
      <c r="AW59" s="546"/>
      <c r="AX59" s="546">
        <v>0</v>
      </c>
      <c r="AY59" s="546">
        <f t="shared" si="17"/>
        <v>2578.7859241927927</v>
      </c>
      <c r="AZ59" s="546">
        <f t="shared" si="32"/>
        <v>0</v>
      </c>
      <c r="BA59" s="546">
        <f t="shared" si="30"/>
        <v>0</v>
      </c>
      <c r="BB59" s="546"/>
      <c r="BC59" s="546"/>
      <c r="BD59" s="546"/>
      <c r="BE59" s="546"/>
      <c r="BF59" s="546"/>
      <c r="BG59" s="546">
        <f t="shared" si="19"/>
        <v>197801.53118535993</v>
      </c>
      <c r="BH59" s="108">
        <f t="shared" si="28"/>
        <v>10</v>
      </c>
      <c r="BI59" s="108">
        <f t="shared" si="23"/>
        <v>10</v>
      </c>
      <c r="BJ59" s="22">
        <f t="shared" si="24"/>
        <v>46392</v>
      </c>
      <c r="BK59" s="108">
        <f t="shared" si="3"/>
        <v>22562</v>
      </c>
      <c r="BL59" s="2">
        <f>IF(AND(G14&gt;=$W$9,G14&lt;=$W$9+5),0,IF($C$9&gt;$AF$51,ROUND(BG13*IF(#REF!="",0,#REF!)/(DATEVALUE(CONCATENATE("01/01/",YEAR(AQ14)+1))-DATEVALUE(CONCATENATE("01/01/",YEAR(AQ14))))*(AQ14-AQ13),2),0))</f>
        <v>0</v>
      </c>
    </row>
    <row r="60" spans="1:64" s="16" customFormat="1" x14ac:dyDescent="0.3">
      <c r="A60" s="178"/>
      <c r="B60" s="178"/>
      <c r="C60" s="184"/>
      <c r="D60" s="178"/>
      <c r="E60" s="178"/>
      <c r="F60" s="178"/>
      <c r="G60" s="244">
        <f t="shared" si="25"/>
        <v>52</v>
      </c>
      <c r="H60" s="245">
        <f t="shared" si="4"/>
        <v>46423</v>
      </c>
      <c r="I60" s="246">
        <f t="shared" si="5"/>
        <v>4.9000000000000002E-2</v>
      </c>
      <c r="J60" s="242">
        <f t="shared" si="6"/>
        <v>22562</v>
      </c>
      <c r="K60" s="242">
        <f t="shared" si="20"/>
        <v>22562</v>
      </c>
      <c r="L60" s="242">
        <f t="shared" si="7"/>
        <v>828.62313394134833</v>
      </c>
      <c r="M60" s="242">
        <f t="shared" si="21"/>
        <v>21733.37686605865</v>
      </c>
      <c r="N60" s="242">
        <f t="shared" si="1"/>
        <v>0</v>
      </c>
      <c r="O60" s="242">
        <v>0</v>
      </c>
      <c r="P60" s="242">
        <f t="shared" si="22"/>
        <v>828.62313394134833</v>
      </c>
      <c r="Q60" s="242">
        <f t="shared" si="29"/>
        <v>0</v>
      </c>
      <c r="R60" s="242">
        <f t="shared" si="8"/>
        <v>0</v>
      </c>
      <c r="S60" s="242">
        <f t="shared" si="9"/>
        <v>177376.1977808091</v>
      </c>
      <c r="T60" s="467"/>
      <c r="U60" s="198">
        <f t="shared" si="26"/>
        <v>9</v>
      </c>
      <c r="V60" s="36">
        <f t="shared" si="10"/>
        <v>9</v>
      </c>
      <c r="W60" s="2" t="e">
        <f>IF(AND(G25&gt;=$W$9,G25&lt;=$W$9+5),0,IF($C$9&gt;$AF$51,ROUND(S24*#REF!/(DATEVALUE(CONCATENATE("01/01/",YEAR(H25)+1))-DATEVALUE(CONCATENATE("01/01/",YEAR(H25))))*(H25-H24),2),0))</f>
        <v>#REF!</v>
      </c>
      <c r="X60" s="34">
        <f t="shared" si="35"/>
        <v>22562</v>
      </c>
      <c r="Y60" s="57">
        <f t="shared" si="34"/>
        <v>51044</v>
      </c>
      <c r="AA60" s="171"/>
      <c r="AB60" s="171">
        <v>3000000</v>
      </c>
      <c r="AC60" s="133" t="s">
        <v>379</v>
      </c>
      <c r="AD60" s="155"/>
      <c r="AE60" s="155"/>
      <c r="AF60" s="155"/>
      <c r="AG60" s="155"/>
      <c r="AH60" s="155"/>
      <c r="AI60" s="155"/>
      <c r="AJ60" s="155"/>
      <c r="AK60" s="2"/>
      <c r="AL60" s="2" t="e">
        <f>IF(AND(Y16&gt;=$W$9,Y16&lt;=$W$9+5),0,IF($C$9&gt;$AF$51,ROUND(AI20*#REF!/(DATEVALUE(CONCATENATE("01/01/",YEAR(Z16)+1))-DATEVALUE(CONCATENATE("01/01/",YEAR(Z16))))*(Z16-Z15),2),0))</f>
        <v>#REF!</v>
      </c>
      <c r="AM60" s="34">
        <f t="shared" si="37"/>
        <v>23217</v>
      </c>
      <c r="AN60" s="57">
        <f t="shared" si="36"/>
        <v>49584</v>
      </c>
      <c r="AO60" s="130">
        <f t="shared" si="11"/>
        <v>1</v>
      </c>
      <c r="AP60" s="553">
        <f t="shared" si="27"/>
        <v>52</v>
      </c>
      <c r="AQ60" s="554">
        <f t="shared" si="12"/>
        <v>46423</v>
      </c>
      <c r="AR60" s="555">
        <f t="shared" si="2"/>
        <v>0.13900000000000001</v>
      </c>
      <c r="AS60" s="546">
        <f t="shared" si="13"/>
        <v>23217</v>
      </c>
      <c r="AT60" s="546">
        <f t="shared" si="14"/>
        <v>23217</v>
      </c>
      <c r="AU60" s="546">
        <f t="shared" si="15"/>
        <v>2335.1419119937423</v>
      </c>
      <c r="AV60" s="546">
        <f t="shared" si="16"/>
        <v>20881.858088006258</v>
      </c>
      <c r="AW60" s="546"/>
      <c r="AX60" s="546">
        <v>0</v>
      </c>
      <c r="AY60" s="546">
        <f t="shared" si="17"/>
        <v>2335.1419119937423</v>
      </c>
      <c r="AZ60" s="546">
        <f t="shared" si="32"/>
        <v>0</v>
      </c>
      <c r="BA60" s="546">
        <f t="shared" si="30"/>
        <v>0</v>
      </c>
      <c r="BB60" s="546"/>
      <c r="BC60" s="546"/>
      <c r="BD60" s="546"/>
      <c r="BE60" s="546"/>
      <c r="BF60" s="546"/>
      <c r="BG60" s="546">
        <f t="shared" si="19"/>
        <v>176919.67309735366</v>
      </c>
      <c r="BH60" s="108">
        <f t="shared" si="28"/>
        <v>9</v>
      </c>
      <c r="BI60" s="108">
        <f t="shared" si="23"/>
        <v>9</v>
      </c>
      <c r="BJ60" s="22">
        <f t="shared" si="24"/>
        <v>46423</v>
      </c>
      <c r="BK60" s="108">
        <f t="shared" si="3"/>
        <v>22562</v>
      </c>
      <c r="BL60" s="2" t="e">
        <f>IF(AND(G15&gt;=$W$9,G15&lt;=$W$9+5),0,IF($C$9&gt;$AF$51,ROUND(BG14*IF(#REF!="",0,#REF!)/(DATEVALUE(CONCATENATE("01/01/",YEAR(AQ15)+1))-DATEVALUE(CONCATENATE("01/01/",YEAR(AQ15))))*(AQ15-AQ14),2),0))</f>
        <v>#REF!</v>
      </c>
    </row>
    <row r="61" spans="1:64" s="16" customFormat="1" ht="15.75" customHeight="1" x14ac:dyDescent="0.3">
      <c r="A61" s="178"/>
      <c r="B61" s="178"/>
      <c r="C61" s="525"/>
      <c r="D61" s="182"/>
      <c r="E61" s="178"/>
      <c r="F61" s="178"/>
      <c r="G61" s="244">
        <f t="shared" si="25"/>
        <v>53</v>
      </c>
      <c r="H61" s="245">
        <f t="shared" si="4"/>
        <v>46451</v>
      </c>
      <c r="I61" s="246">
        <f t="shared" si="5"/>
        <v>4.9000000000000002E-2</v>
      </c>
      <c r="J61" s="242">
        <f t="shared" si="6"/>
        <v>22562</v>
      </c>
      <c r="K61" s="242">
        <f t="shared" si="20"/>
        <v>22562</v>
      </c>
      <c r="L61" s="242">
        <f t="shared" si="7"/>
        <v>666.74011878156193</v>
      </c>
      <c r="M61" s="242">
        <f t="shared" si="21"/>
        <v>21895.259881218437</v>
      </c>
      <c r="N61" s="242">
        <f t="shared" si="1"/>
        <v>0</v>
      </c>
      <c r="O61" s="242">
        <v>0</v>
      </c>
      <c r="P61" s="242">
        <f t="shared" si="22"/>
        <v>666.74011878156193</v>
      </c>
      <c r="Q61" s="242">
        <f t="shared" si="29"/>
        <v>0</v>
      </c>
      <c r="R61" s="242">
        <f t="shared" si="8"/>
        <v>0</v>
      </c>
      <c r="S61" s="242">
        <f t="shared" si="9"/>
        <v>155480.93789959067</v>
      </c>
      <c r="T61" s="467"/>
      <c r="U61" s="198">
        <f t="shared" si="26"/>
        <v>8</v>
      </c>
      <c r="V61" s="36">
        <f t="shared" si="10"/>
        <v>8</v>
      </c>
      <c r="W61" s="2" t="e">
        <f>IF(AND(G26&gt;=$W$9,G26&lt;=$W$9+5),0,IF($C$9&gt;$AF$51,ROUND(S25*#REF!/(DATEVALUE(CONCATENATE("01/01/",YEAR(H26)+1))-DATEVALUE(CONCATENATE("01/01/",YEAR(H26))))*(H26-H25),2),0))</f>
        <v>#REF!</v>
      </c>
      <c r="X61" s="34">
        <f t="shared" si="35"/>
        <v>22562</v>
      </c>
      <c r="Y61" s="57">
        <f t="shared" si="34"/>
        <v>51409</v>
      </c>
      <c r="AB61" s="172"/>
      <c r="AC61" s="133">
        <v>3.5000000000000001E-3</v>
      </c>
      <c r="AD61" s="133">
        <v>3.5000000000000001E-3</v>
      </c>
      <c r="AE61" s="133">
        <v>2.5000000000000001E-3</v>
      </c>
      <c r="AF61" s="133">
        <v>3.0000000000000001E-3</v>
      </c>
      <c r="AG61" s="133">
        <v>0</v>
      </c>
      <c r="AH61" s="133">
        <v>1E-3</v>
      </c>
      <c r="AI61" s="133">
        <v>4.0000000000000001E-3</v>
      </c>
      <c r="AJ61" s="133">
        <v>0</v>
      </c>
      <c r="AK61" s="2"/>
      <c r="AL61" s="2" t="e">
        <f>IF(AND(Y17&gt;=$W$9,Y17&lt;=$W$9+5),0,IF($C$9&gt;$AF$51,ROUND(AI21*#REF!/(DATEVALUE(CONCATENATE("01/01/",YEAR(Z17)+1))-DATEVALUE(CONCATENATE("01/01/",YEAR(Z17))))*(Z17-Z16),2),0))</f>
        <v>#REF!</v>
      </c>
      <c r="AM61" s="34">
        <f t="shared" si="37"/>
        <v>23217</v>
      </c>
      <c r="AN61" s="57">
        <f t="shared" si="36"/>
        <v>49949</v>
      </c>
      <c r="AO61" s="130">
        <f t="shared" si="11"/>
        <v>1</v>
      </c>
      <c r="AP61" s="553">
        <f t="shared" si="27"/>
        <v>53</v>
      </c>
      <c r="AQ61" s="554">
        <f t="shared" si="12"/>
        <v>46451</v>
      </c>
      <c r="AR61" s="555">
        <f t="shared" si="2"/>
        <v>0.13900000000000001</v>
      </c>
      <c r="AS61" s="546">
        <f t="shared" si="13"/>
        <v>23217</v>
      </c>
      <c r="AT61" s="546">
        <f t="shared" si="14"/>
        <v>23217</v>
      </c>
      <c r="AU61" s="546">
        <f t="shared" si="15"/>
        <v>1886.4968977942481</v>
      </c>
      <c r="AV61" s="546">
        <f t="shared" si="16"/>
        <v>21330.503102205752</v>
      </c>
      <c r="AW61" s="546"/>
      <c r="AX61" s="546">
        <v>0</v>
      </c>
      <c r="AY61" s="546">
        <f t="shared" si="17"/>
        <v>1886.4968977942481</v>
      </c>
      <c r="AZ61" s="546">
        <f t="shared" si="32"/>
        <v>0</v>
      </c>
      <c r="BA61" s="546">
        <f t="shared" si="30"/>
        <v>0</v>
      </c>
      <c r="BB61" s="546"/>
      <c r="BC61" s="546"/>
      <c r="BD61" s="546"/>
      <c r="BE61" s="546"/>
      <c r="BF61" s="546"/>
      <c r="BG61" s="546">
        <f t="shared" si="19"/>
        <v>155589.16999514791</v>
      </c>
      <c r="BH61" s="108">
        <f t="shared" si="28"/>
        <v>8</v>
      </c>
      <c r="BI61" s="108">
        <f t="shared" si="23"/>
        <v>8</v>
      </c>
      <c r="BJ61" s="22">
        <f t="shared" si="24"/>
        <v>46451</v>
      </c>
      <c r="BK61" s="108">
        <f t="shared" si="3"/>
        <v>22562</v>
      </c>
      <c r="BL61" s="2" t="e">
        <f>IF(AND(G16&gt;=$W$9,G16&lt;=$W$9+5),0,IF($C$9&gt;$AF$51,ROUND(BG15*IF(#REF!="",0,#REF!)/(DATEVALUE(CONCATENATE("01/01/",YEAR(AQ16)+1))-DATEVALUE(CONCATENATE("01/01/",YEAR(AQ16))))*(AQ16-AQ15),2),0))</f>
        <v>#REF!</v>
      </c>
    </row>
    <row r="62" spans="1:64" s="16" customFormat="1" x14ac:dyDescent="0.3">
      <c r="A62" s="178"/>
      <c r="B62" s="178"/>
      <c r="C62" s="184"/>
      <c r="D62" s="182"/>
      <c r="E62" s="178"/>
      <c r="F62" s="178"/>
      <c r="G62" s="244">
        <f t="shared" si="25"/>
        <v>54</v>
      </c>
      <c r="H62" s="245">
        <f t="shared" si="4"/>
        <v>46482</v>
      </c>
      <c r="I62" s="246">
        <f t="shared" si="5"/>
        <v>4.9000000000000002E-2</v>
      </c>
      <c r="J62" s="242">
        <f t="shared" si="6"/>
        <v>22562</v>
      </c>
      <c r="K62" s="242">
        <f t="shared" si="20"/>
        <v>22562</v>
      </c>
      <c r="L62" s="242">
        <f t="shared" si="7"/>
        <v>647.05628676569381</v>
      </c>
      <c r="M62" s="242">
        <f t="shared" si="21"/>
        <v>21914.943713234305</v>
      </c>
      <c r="N62" s="242">
        <f t="shared" si="1"/>
        <v>0</v>
      </c>
      <c r="O62" s="242">
        <v>0</v>
      </c>
      <c r="P62" s="242">
        <f t="shared" si="22"/>
        <v>647.05628676569381</v>
      </c>
      <c r="Q62" s="242">
        <f t="shared" si="29"/>
        <v>0</v>
      </c>
      <c r="R62" s="242">
        <f t="shared" si="8"/>
        <v>0</v>
      </c>
      <c r="S62" s="242">
        <f t="shared" si="9"/>
        <v>133565.99418635637</v>
      </c>
      <c r="T62" s="467"/>
      <c r="U62" s="198">
        <f t="shared" si="26"/>
        <v>7</v>
      </c>
      <c r="V62" s="36">
        <f t="shared" si="10"/>
        <v>7</v>
      </c>
      <c r="W62" s="2" t="e">
        <f>IF(AND(G27&gt;=$W$9,G27&lt;=$W$9+5),0,IF($C$9&gt;$AF$51,ROUND(S26*#REF!/(DATEVALUE(CONCATENATE("01/01/",YEAR(H27)+1))-DATEVALUE(CONCATENATE("01/01/",YEAR(H27))))*(H27-H26),2),0))</f>
        <v>#REF!</v>
      </c>
      <c r="X62" s="34">
        <f t="shared" si="35"/>
        <v>22562</v>
      </c>
      <c r="Y62" s="57">
        <f t="shared" si="34"/>
        <v>51774</v>
      </c>
      <c r="AC62" s="133">
        <v>3.0000000000000001E-3</v>
      </c>
      <c r="AD62" s="133">
        <v>3.0000000000000001E-3</v>
      </c>
      <c r="AE62" s="133">
        <v>2.5000000000000001E-3</v>
      </c>
      <c r="AF62" s="133">
        <v>3.0000000000000001E-3</v>
      </c>
      <c r="AG62" s="133">
        <v>0</v>
      </c>
      <c r="AH62" s="133">
        <v>1E-3</v>
      </c>
      <c r="AI62" s="133">
        <v>4.0000000000000001E-3</v>
      </c>
      <c r="AJ62" s="133">
        <v>0</v>
      </c>
      <c r="AK62" s="2"/>
      <c r="AL62" s="2" t="e">
        <f>IF(AND(Y18&gt;=$W$9,Y18&lt;=$W$9+5),0,IF($C$9&gt;$AF$51,ROUND(AI22*#REF!/(DATEVALUE(CONCATENATE("01/01/",YEAR(Z18)+1))-DATEVALUE(CONCATENATE("01/01/",YEAR(Z18))))*(Z18-Z17),2),0))</f>
        <v>#REF!</v>
      </c>
      <c r="AM62" s="34">
        <f t="shared" si="37"/>
        <v>23217</v>
      </c>
      <c r="AN62" s="57">
        <f t="shared" si="36"/>
        <v>50314</v>
      </c>
      <c r="AO62" s="130">
        <f t="shared" si="11"/>
        <v>1</v>
      </c>
      <c r="AP62" s="553">
        <f t="shared" si="27"/>
        <v>54</v>
      </c>
      <c r="AQ62" s="554">
        <f t="shared" si="12"/>
        <v>46482</v>
      </c>
      <c r="AR62" s="555">
        <f t="shared" si="2"/>
        <v>0.13900000000000001</v>
      </c>
      <c r="AS62" s="546">
        <f t="shared" si="13"/>
        <v>23217</v>
      </c>
      <c r="AT62" s="546">
        <f t="shared" si="14"/>
        <v>23217</v>
      </c>
      <c r="AU62" s="546">
        <f t="shared" si="15"/>
        <v>1836.8047493399793</v>
      </c>
      <c r="AV62" s="546">
        <f t="shared" si="16"/>
        <v>21380.195250660021</v>
      </c>
      <c r="AW62" s="546"/>
      <c r="AX62" s="546">
        <v>0</v>
      </c>
      <c r="AY62" s="546">
        <f t="shared" si="17"/>
        <v>1836.8047493399793</v>
      </c>
      <c r="AZ62" s="546">
        <f t="shared" si="32"/>
        <v>0</v>
      </c>
      <c r="BA62" s="546">
        <f t="shared" si="30"/>
        <v>0</v>
      </c>
      <c r="BB62" s="546"/>
      <c r="BC62" s="546"/>
      <c r="BD62" s="546"/>
      <c r="BE62" s="546"/>
      <c r="BF62" s="546"/>
      <c r="BG62" s="546">
        <f t="shared" si="19"/>
        <v>134208.9747444879</v>
      </c>
      <c r="BH62" s="108">
        <f t="shared" si="28"/>
        <v>7</v>
      </c>
      <c r="BI62" s="108">
        <f t="shared" si="23"/>
        <v>7</v>
      </c>
      <c r="BJ62" s="22">
        <f t="shared" si="24"/>
        <v>46482</v>
      </c>
      <c r="BK62" s="108">
        <f t="shared" si="3"/>
        <v>22562</v>
      </c>
      <c r="BL62" s="2" t="e">
        <f>IF(AND(G17&gt;=$W$9,G17&lt;=$W$9+5),0,IF($C$9&gt;$AF$51,ROUND(BG16*IF(#REF!="",0,#REF!)/(DATEVALUE(CONCATENATE("01/01/",YEAR(AQ17)+1))-DATEVALUE(CONCATENATE("01/01/",YEAR(AQ17))))*(AQ17-AQ16),2),0))</f>
        <v>#REF!</v>
      </c>
    </row>
    <row r="63" spans="1:64" s="16" customFormat="1" x14ac:dyDescent="0.3">
      <c r="A63" s="178"/>
      <c r="B63" s="178"/>
      <c r="C63" s="184"/>
      <c r="D63" s="178"/>
      <c r="E63" s="178"/>
      <c r="F63" s="178"/>
      <c r="G63" s="244">
        <f t="shared" si="25"/>
        <v>55</v>
      </c>
      <c r="H63" s="245">
        <f t="shared" si="4"/>
        <v>46512</v>
      </c>
      <c r="I63" s="246">
        <f t="shared" si="5"/>
        <v>4.9000000000000002E-2</v>
      </c>
      <c r="J63" s="242">
        <f t="shared" si="6"/>
        <v>22562</v>
      </c>
      <c r="K63" s="242">
        <f t="shared" si="20"/>
        <v>22562</v>
      </c>
      <c r="L63" s="242">
        <f t="shared" si="7"/>
        <v>537.92331905190099</v>
      </c>
      <c r="M63" s="242">
        <f t="shared" si="21"/>
        <v>22024.076680948099</v>
      </c>
      <c r="N63" s="242">
        <f t="shared" si="1"/>
        <v>0</v>
      </c>
      <c r="O63" s="242">
        <v>0</v>
      </c>
      <c r="P63" s="242">
        <f t="shared" si="22"/>
        <v>537.92331905190099</v>
      </c>
      <c r="Q63" s="242">
        <f t="shared" si="29"/>
        <v>0</v>
      </c>
      <c r="R63" s="242">
        <f t="shared" si="8"/>
        <v>0</v>
      </c>
      <c r="S63" s="242">
        <f t="shared" si="9"/>
        <v>111541.91750540827</v>
      </c>
      <c r="T63" s="467"/>
      <c r="U63" s="198">
        <f t="shared" si="26"/>
        <v>6</v>
      </c>
      <c r="V63" s="36">
        <f t="shared" si="10"/>
        <v>6</v>
      </c>
      <c r="W63" s="2" t="e">
        <f>IF(AND(G28&gt;=$W$9,G28&lt;=$W$9+5),0,IF($C$9&gt;$AF$51,ROUND(S27*#REF!/(DATEVALUE(CONCATENATE("01/01/",YEAR(H28)+1))-DATEVALUE(CONCATENATE("01/01/",YEAR(H28))))*(H28-H27),2),0))</f>
        <v>#REF!</v>
      </c>
      <c r="X63" s="34">
        <f t="shared" si="35"/>
        <v>22562</v>
      </c>
      <c r="Y63" s="57">
        <f t="shared" si="34"/>
        <v>52139</v>
      </c>
      <c r="AC63" s="133">
        <v>2.5000000000000001E-3</v>
      </c>
      <c r="AD63" s="133">
        <v>2.5000000000000001E-3</v>
      </c>
      <c r="AE63" s="133">
        <v>2.5000000000000001E-3</v>
      </c>
      <c r="AF63" s="133">
        <v>3.0000000000000001E-3</v>
      </c>
      <c r="AG63" s="133">
        <v>0</v>
      </c>
      <c r="AH63" s="133">
        <v>1E-3</v>
      </c>
      <c r="AI63" s="133">
        <v>3.2000000000000002E-3</v>
      </c>
      <c r="AJ63" s="133">
        <v>0</v>
      </c>
      <c r="AL63" s="2" t="e">
        <f>IF(AND(Y19&gt;=$W$9,Y19&lt;=$W$9+5),0,IF($C$9&gt;$AF$51,ROUND(AI23*#REF!/(DATEVALUE(CONCATENATE("01/01/",YEAR(Z19)+1))-DATEVALUE(CONCATENATE("01/01/",YEAR(Z19))))*(Z19-Z18),2),0))</f>
        <v>#REF!</v>
      </c>
      <c r="AM63" s="34">
        <f t="shared" si="37"/>
        <v>23217</v>
      </c>
      <c r="AN63" s="57">
        <f t="shared" si="36"/>
        <v>50679</v>
      </c>
      <c r="AO63" s="130">
        <f t="shared" si="11"/>
        <v>1</v>
      </c>
      <c r="AP63" s="553">
        <f t="shared" si="27"/>
        <v>55</v>
      </c>
      <c r="AQ63" s="554">
        <f t="shared" si="12"/>
        <v>46512</v>
      </c>
      <c r="AR63" s="555">
        <f t="shared" si="2"/>
        <v>0.13900000000000001</v>
      </c>
      <c r="AS63" s="546">
        <f t="shared" si="13"/>
        <v>23217</v>
      </c>
      <c r="AT63" s="546">
        <f t="shared" si="14"/>
        <v>23217</v>
      </c>
      <c r="AU63" s="546">
        <f t="shared" si="15"/>
        <v>1533.2915744781224</v>
      </c>
      <c r="AV63" s="546">
        <f t="shared" si="16"/>
        <v>21683.708425521876</v>
      </c>
      <c r="AW63" s="546"/>
      <c r="AX63" s="546">
        <v>0</v>
      </c>
      <c r="AY63" s="546">
        <f t="shared" si="17"/>
        <v>1533.2915744781224</v>
      </c>
      <c r="AZ63" s="546">
        <f t="shared" si="32"/>
        <v>0</v>
      </c>
      <c r="BA63" s="546">
        <f t="shared" si="30"/>
        <v>0</v>
      </c>
      <c r="BB63" s="546"/>
      <c r="BC63" s="546"/>
      <c r="BD63" s="546"/>
      <c r="BE63" s="546"/>
      <c r="BF63" s="546"/>
      <c r="BG63" s="546">
        <f t="shared" si="19"/>
        <v>112525.26631896602</v>
      </c>
      <c r="BH63" s="108">
        <f t="shared" si="28"/>
        <v>6</v>
      </c>
      <c r="BI63" s="108">
        <f t="shared" si="23"/>
        <v>6</v>
      </c>
      <c r="BJ63" s="22">
        <f t="shared" si="24"/>
        <v>46512</v>
      </c>
      <c r="BK63" s="108">
        <f t="shared" si="3"/>
        <v>22562</v>
      </c>
      <c r="BL63" s="2" t="e">
        <f>IF(AND(G18&gt;=$W$9,G18&lt;=$W$9+5),0,IF($C$9&gt;$AF$51,ROUND(BG17*IF(#REF!="",0,#REF!)/(DATEVALUE(CONCATENATE("01/01/",YEAR(AQ18)+1))-DATEVALUE(CONCATENATE("01/01/",YEAR(AQ18))))*(AQ18-AQ17),2),0))</f>
        <v>#REF!</v>
      </c>
    </row>
    <row r="64" spans="1:64" s="16" customFormat="1" x14ac:dyDescent="0.3">
      <c r="A64" s="178"/>
      <c r="B64" s="178"/>
      <c r="C64" s="184"/>
      <c r="D64" s="178"/>
      <c r="E64" s="178"/>
      <c r="F64" s="178"/>
      <c r="G64" s="244">
        <f t="shared" si="25"/>
        <v>56</v>
      </c>
      <c r="H64" s="245">
        <f t="shared" si="4"/>
        <v>46543</v>
      </c>
      <c r="I64" s="246">
        <f t="shared" si="5"/>
        <v>4.9000000000000002E-2</v>
      </c>
      <c r="J64" s="242">
        <f t="shared" si="6"/>
        <v>22562</v>
      </c>
      <c r="K64" s="242">
        <f t="shared" si="20"/>
        <v>22562</v>
      </c>
      <c r="L64" s="242">
        <f t="shared" si="7"/>
        <v>464.19773339921966</v>
      </c>
      <c r="M64" s="242">
        <f t="shared" si="21"/>
        <v>22097.802266600782</v>
      </c>
      <c r="N64" s="242">
        <f t="shared" si="1"/>
        <v>0</v>
      </c>
      <c r="O64" s="242">
        <v>0</v>
      </c>
      <c r="P64" s="242">
        <f t="shared" si="22"/>
        <v>464.19773339921966</v>
      </c>
      <c r="Q64" s="242">
        <f t="shared" si="29"/>
        <v>0</v>
      </c>
      <c r="R64" s="242">
        <f t="shared" si="8"/>
        <v>0</v>
      </c>
      <c r="S64" s="242">
        <f t="shared" si="9"/>
        <v>89444.115238807484</v>
      </c>
      <c r="T64" s="467"/>
      <c r="U64" s="198">
        <f t="shared" si="26"/>
        <v>5</v>
      </c>
      <c r="V64" s="36">
        <f t="shared" si="10"/>
        <v>5</v>
      </c>
      <c r="W64" s="2" t="e">
        <f>IF(AND(G29&gt;=$W$9,G29&lt;=$W$9+5),0,IF($C$9&gt;$AF$51,ROUND(S28*#REF!/(DATEVALUE(CONCATENATE("01/01/",YEAR(H29)+1))-DATEVALUE(CONCATENATE("01/01/",YEAR(H29))))*(H29-H28),2),0))</f>
        <v>#REF!</v>
      </c>
      <c r="X64" s="34">
        <f t="shared" si="35"/>
        <v>22562</v>
      </c>
      <c r="Y64" s="57">
        <f t="shared" si="34"/>
        <v>52504</v>
      </c>
      <c r="AC64" s="133">
        <v>2E-3</v>
      </c>
      <c r="AD64" s="133">
        <v>2E-3</v>
      </c>
      <c r="AE64" s="155"/>
      <c r="AF64" s="155"/>
      <c r="AG64" s="133">
        <v>0</v>
      </c>
      <c r="AH64" s="133">
        <v>1E-3</v>
      </c>
      <c r="AI64" s="133">
        <v>2E-3</v>
      </c>
      <c r="AJ64" s="133">
        <v>0</v>
      </c>
      <c r="AL64" s="2" t="e">
        <f>IF(AND(Y20&gt;=$W$9,Y20&lt;=$W$9+5),0,IF($C$9&gt;$AF$51,ROUND(AI24*#REF!/(DATEVALUE(CONCATENATE("01/01/",YEAR(Z20)+1))-DATEVALUE(CONCATENATE("01/01/",YEAR(Z20))))*(Z20-Z19),2),0))</f>
        <v>#REF!</v>
      </c>
      <c r="AM64" s="34">
        <f t="shared" si="37"/>
        <v>23217</v>
      </c>
      <c r="AN64" s="57">
        <f t="shared" si="36"/>
        <v>51044</v>
      </c>
      <c r="AO64" s="130">
        <f t="shared" si="11"/>
        <v>1</v>
      </c>
      <c r="AP64" s="553">
        <f t="shared" si="27"/>
        <v>56</v>
      </c>
      <c r="AQ64" s="554">
        <f t="shared" si="12"/>
        <v>46543</v>
      </c>
      <c r="AR64" s="555">
        <f t="shared" si="2"/>
        <v>0.13900000000000001</v>
      </c>
      <c r="AS64" s="546">
        <f t="shared" si="13"/>
        <v>23217</v>
      </c>
      <c r="AT64" s="546">
        <f t="shared" si="14"/>
        <v>23217</v>
      </c>
      <c r="AU64" s="546">
        <f t="shared" si="15"/>
        <v>1328.4147193655469</v>
      </c>
      <c r="AV64" s="546">
        <f t="shared" si="16"/>
        <v>21888.585280634452</v>
      </c>
      <c r="AW64" s="546"/>
      <c r="AX64" s="546">
        <v>0</v>
      </c>
      <c r="AY64" s="546">
        <f t="shared" si="17"/>
        <v>1328.4147193655469</v>
      </c>
      <c r="AZ64" s="546">
        <f t="shared" si="32"/>
        <v>0</v>
      </c>
      <c r="BA64" s="546">
        <f t="shared" si="30"/>
        <v>0</v>
      </c>
      <c r="BB64" s="546"/>
      <c r="BC64" s="546"/>
      <c r="BD64" s="546"/>
      <c r="BE64" s="546"/>
      <c r="BF64" s="546"/>
      <c r="BG64" s="546">
        <f t="shared" si="19"/>
        <v>90636.681038331575</v>
      </c>
      <c r="BH64" s="108">
        <f t="shared" si="28"/>
        <v>5</v>
      </c>
      <c r="BI64" s="108">
        <f t="shared" si="23"/>
        <v>5</v>
      </c>
      <c r="BJ64" s="22">
        <f t="shared" si="24"/>
        <v>46543</v>
      </c>
      <c r="BK64" s="108">
        <f t="shared" si="3"/>
        <v>22562</v>
      </c>
      <c r="BL64" s="2" t="e">
        <f>IF(AND(G19&gt;=$W$9,G19&lt;=$W$9+5),0,IF($C$9&gt;$AF$51,ROUND(BG18*IF(#REF!="",0,#REF!)/(DATEVALUE(CONCATENATE("01/01/",YEAR(AQ19)+1))-DATEVALUE(CONCATENATE("01/01/",YEAR(AQ19))))*(AQ19-AQ18),2),0))</f>
        <v>#REF!</v>
      </c>
    </row>
    <row r="65" spans="1:64" s="16" customFormat="1" x14ac:dyDescent="0.3">
      <c r="A65" s="178"/>
      <c r="B65" s="178"/>
      <c r="C65" s="184"/>
      <c r="D65" s="178"/>
      <c r="E65" s="178"/>
      <c r="F65" s="178"/>
      <c r="G65" s="244">
        <f t="shared" si="25"/>
        <v>57</v>
      </c>
      <c r="H65" s="245">
        <f t="shared" si="4"/>
        <v>46573</v>
      </c>
      <c r="I65" s="246">
        <f t="shared" si="5"/>
        <v>4.9000000000000002E-2</v>
      </c>
      <c r="J65" s="242">
        <f t="shared" si="6"/>
        <v>22562</v>
      </c>
      <c r="K65" s="242">
        <f t="shared" si="20"/>
        <v>22562</v>
      </c>
      <c r="L65" s="242">
        <f t="shared" si="7"/>
        <v>360.22698466040276</v>
      </c>
      <c r="M65" s="242">
        <f t="shared" si="21"/>
        <v>22201.773015339597</v>
      </c>
      <c r="N65" s="242">
        <f t="shared" si="1"/>
        <v>0</v>
      </c>
      <c r="O65" s="242">
        <v>0</v>
      </c>
      <c r="P65" s="242">
        <f t="shared" si="22"/>
        <v>360.22698466040276</v>
      </c>
      <c r="Q65" s="242">
        <f t="shared" si="29"/>
        <v>0</v>
      </c>
      <c r="R65" s="242">
        <f t="shared" si="8"/>
        <v>0</v>
      </c>
      <c r="S65" s="242">
        <f t="shared" si="9"/>
        <v>67242.342223467887</v>
      </c>
      <c r="T65" s="467"/>
      <c r="U65" s="198">
        <f t="shared" si="26"/>
        <v>4</v>
      </c>
      <c r="V65" s="36">
        <f t="shared" si="10"/>
        <v>4</v>
      </c>
      <c r="W65" s="2" t="e">
        <f>IF(AND(G30&gt;=$W$9,G30&lt;=$W$9+5),0,IF($C$9&gt;$AF$51,ROUND(S29*#REF!/(DATEVALUE(CONCATENATE("01/01/",YEAR(H30)+1))-DATEVALUE(CONCATENATE("01/01/",YEAR(H30))))*(H30-H29),2),0))</f>
        <v>#REF!</v>
      </c>
      <c r="X65" s="34">
        <f t="shared" si="35"/>
        <v>22562</v>
      </c>
      <c r="Y65" s="57">
        <f t="shared" si="34"/>
        <v>52869</v>
      </c>
      <c r="AB65" s="2"/>
      <c r="AC65" s="66">
        <f t="shared" ref="AC65:AI65" si="38">IF(AC79&gt;$AA$59,AC64,IF(AC79&gt;$AA$58,AC63,IF(AC79&gt;$AA$57,AC62,AC61)))</f>
        <v>2.5000000000000001E-3</v>
      </c>
      <c r="AD65" s="66">
        <f t="shared" si="38"/>
        <v>2E-3</v>
      </c>
      <c r="AE65" s="66">
        <f t="shared" si="38"/>
        <v>0</v>
      </c>
      <c r="AF65" s="66">
        <f t="shared" si="38"/>
        <v>0</v>
      </c>
      <c r="AG65" s="66">
        <f t="shared" si="38"/>
        <v>0</v>
      </c>
      <c r="AH65" s="66">
        <f t="shared" si="38"/>
        <v>1E-3</v>
      </c>
      <c r="AI65" s="66">
        <f t="shared" si="38"/>
        <v>2E-3</v>
      </c>
      <c r="AJ65" s="15" t="s">
        <v>126</v>
      </c>
      <c r="AL65" s="2" t="e">
        <f>IF(AND(Y21&gt;=$W$9,Y21&lt;=$W$9+5),0,IF($C$9&gt;$AF$51,ROUND(AI25*#REF!/(DATEVALUE(CONCATENATE("01/01/",YEAR(Z21)+1))-DATEVALUE(CONCATENATE("01/01/",YEAR(Z21))))*(Z21-Z20),2),0))</f>
        <v>#REF!</v>
      </c>
      <c r="AM65" s="34">
        <f t="shared" si="37"/>
        <v>23217</v>
      </c>
      <c r="AN65" s="57">
        <f t="shared" si="36"/>
        <v>51409</v>
      </c>
      <c r="AO65" s="130">
        <f t="shared" si="11"/>
        <v>1</v>
      </c>
      <c r="AP65" s="553">
        <f t="shared" si="27"/>
        <v>57</v>
      </c>
      <c r="AQ65" s="554">
        <f t="shared" si="12"/>
        <v>46573</v>
      </c>
      <c r="AR65" s="555">
        <f t="shared" si="2"/>
        <v>0.13900000000000001</v>
      </c>
      <c r="AS65" s="546">
        <f t="shared" si="13"/>
        <v>23217</v>
      </c>
      <c r="AT65" s="546">
        <f t="shared" si="14"/>
        <v>23217</v>
      </c>
      <c r="AU65" s="546">
        <f t="shared" si="15"/>
        <v>1035.4930409036788</v>
      </c>
      <c r="AV65" s="546">
        <f t="shared" si="16"/>
        <v>22181.506959096321</v>
      </c>
      <c r="AW65" s="546"/>
      <c r="AX65" s="546">
        <v>0</v>
      </c>
      <c r="AY65" s="546">
        <f t="shared" si="17"/>
        <v>1035.4930409036788</v>
      </c>
      <c r="AZ65" s="546">
        <f t="shared" si="32"/>
        <v>0</v>
      </c>
      <c r="BA65" s="546">
        <f t="shared" si="30"/>
        <v>0</v>
      </c>
      <c r="BB65" s="546"/>
      <c r="BC65" s="546"/>
      <c r="BD65" s="546"/>
      <c r="BE65" s="546"/>
      <c r="BF65" s="546"/>
      <c r="BG65" s="546">
        <f t="shared" si="19"/>
        <v>68455.17407923525</v>
      </c>
      <c r="BH65" s="108">
        <f t="shared" si="28"/>
        <v>4</v>
      </c>
      <c r="BI65" s="108">
        <f t="shared" si="23"/>
        <v>4</v>
      </c>
      <c r="BJ65" s="22">
        <f t="shared" si="24"/>
        <v>46573</v>
      </c>
      <c r="BK65" s="108">
        <f t="shared" si="3"/>
        <v>22562</v>
      </c>
      <c r="BL65" s="2" t="e">
        <f>IF(AND(G20&gt;=$W$9,G20&lt;=$W$9+5),0,IF($C$9&gt;$AF$51,ROUND(BG19*IF(#REF!="",0,#REF!)/(DATEVALUE(CONCATENATE("01/01/",YEAR(AQ20)+1))-DATEVALUE(CONCATENATE("01/01/",YEAR(AQ20))))*(AQ20-AQ19),2),0))</f>
        <v>#REF!</v>
      </c>
    </row>
    <row r="66" spans="1:64" s="16" customFormat="1" x14ac:dyDescent="0.3">
      <c r="A66" s="178"/>
      <c r="B66" s="178"/>
      <c r="C66" s="184"/>
      <c r="D66" s="178"/>
      <c r="E66" s="178"/>
      <c r="F66" s="178"/>
      <c r="G66" s="244">
        <f t="shared" si="25"/>
        <v>58</v>
      </c>
      <c r="H66" s="245">
        <f t="shared" si="4"/>
        <v>46604</v>
      </c>
      <c r="I66" s="246">
        <f t="shared" si="5"/>
        <v>4.9000000000000002E-2</v>
      </c>
      <c r="J66" s="242">
        <f t="shared" si="6"/>
        <v>22562</v>
      </c>
      <c r="K66" s="242">
        <f t="shared" si="20"/>
        <v>22562</v>
      </c>
      <c r="L66" s="242">
        <f t="shared" si="7"/>
        <v>279.83867900670612</v>
      </c>
      <c r="M66" s="242">
        <f t="shared" si="21"/>
        <v>22282.161320993295</v>
      </c>
      <c r="N66" s="242">
        <f t="shared" si="1"/>
        <v>0</v>
      </c>
      <c r="O66" s="242">
        <v>0</v>
      </c>
      <c r="P66" s="242">
        <f t="shared" si="22"/>
        <v>279.83867900670612</v>
      </c>
      <c r="Q66" s="242">
        <f t="shared" si="29"/>
        <v>0</v>
      </c>
      <c r="R66" s="242">
        <f t="shared" si="8"/>
        <v>0</v>
      </c>
      <c r="S66" s="242">
        <f t="shared" si="9"/>
        <v>44960.180902474589</v>
      </c>
      <c r="T66" s="467"/>
      <c r="U66" s="198">
        <f t="shared" si="26"/>
        <v>3</v>
      </c>
      <c r="V66" s="36">
        <f t="shared" si="10"/>
        <v>3</v>
      </c>
      <c r="W66" s="2" t="e">
        <f>IF(AND(G31&gt;=$W$9,G31&lt;=$W$9+5),0,IF($C$9&gt;$AF$51,ROUND(S30*#REF!/(DATEVALUE(CONCATENATE("01/01/",YEAR(H31)+1))-DATEVALUE(CONCATENATE("01/01/",YEAR(H31))))*(H31-H30),2),0))</f>
        <v>#REF!</v>
      </c>
      <c r="X66" s="34">
        <f t="shared" si="35"/>
        <v>22562</v>
      </c>
      <c r="Y66" s="57">
        <f t="shared" si="34"/>
        <v>53234</v>
      </c>
      <c r="AA66" s="133" t="s">
        <v>96</v>
      </c>
      <c r="AB66" s="15"/>
      <c r="AC66" s="143">
        <f>AC65*AC79*IF($C$10&gt;60,60,$C$10)</f>
        <v>150000</v>
      </c>
      <c r="AD66" s="143">
        <f>AD65*AD79*IF($C$10&gt;60,60,$C$10)</f>
        <v>156000</v>
      </c>
      <c r="AE66" s="143">
        <f>AE65*AE79*IF($C$10&gt;60,60,$C$10)</f>
        <v>0</v>
      </c>
      <c r="AF66" s="143">
        <f>AF65*AF79*IF($C$10&gt;60,60,$C$10)</f>
        <v>0</v>
      </c>
      <c r="AG66" s="143">
        <f t="shared" ref="AG66:AH66" si="39">AG65*AG79*$C$10</f>
        <v>0</v>
      </c>
      <c r="AH66" s="143">
        <f t="shared" si="39"/>
        <v>60000</v>
      </c>
      <c r="AI66" s="143">
        <f>AI65*AI79*$C$10</f>
        <v>156000</v>
      </c>
      <c r="AJ66" s="143">
        <f>AI66+AH66</f>
        <v>216000</v>
      </c>
      <c r="AL66" s="2" t="e">
        <f>IF(AND(Y22&gt;=$W$9,Y22&lt;=$W$9+5),0,IF($C$9&gt;$AF$51,ROUND(AI26*#REF!/(DATEVALUE(CONCATENATE("01/01/",YEAR(Z22)+1))-DATEVALUE(CONCATENATE("01/01/",YEAR(Z22))))*(Z22-Z21),2),0))</f>
        <v>#REF!</v>
      </c>
      <c r="AM66" s="34">
        <f t="shared" si="37"/>
        <v>23217</v>
      </c>
      <c r="AN66" s="57">
        <f t="shared" si="36"/>
        <v>51774</v>
      </c>
      <c r="AO66" s="130">
        <f t="shared" si="11"/>
        <v>1</v>
      </c>
      <c r="AP66" s="553">
        <f t="shared" si="27"/>
        <v>58</v>
      </c>
      <c r="AQ66" s="554">
        <f t="shared" si="12"/>
        <v>46604</v>
      </c>
      <c r="AR66" s="555">
        <f t="shared" si="2"/>
        <v>0.13900000000000001</v>
      </c>
      <c r="AS66" s="546">
        <f t="shared" si="13"/>
        <v>23217</v>
      </c>
      <c r="AT66" s="546">
        <f t="shared" si="14"/>
        <v>23217</v>
      </c>
      <c r="AU66" s="546">
        <f t="shared" si="15"/>
        <v>808.14615097924582</v>
      </c>
      <c r="AV66" s="546">
        <f t="shared" si="16"/>
        <v>22408.853849020754</v>
      </c>
      <c r="AW66" s="546"/>
      <c r="AX66" s="546">
        <v>0</v>
      </c>
      <c r="AY66" s="546">
        <f t="shared" si="17"/>
        <v>808.14615097924582</v>
      </c>
      <c r="AZ66" s="546">
        <f t="shared" si="32"/>
        <v>0</v>
      </c>
      <c r="BA66" s="546">
        <f t="shared" si="30"/>
        <v>0</v>
      </c>
      <c r="BB66" s="546"/>
      <c r="BC66" s="546"/>
      <c r="BD66" s="546"/>
      <c r="BE66" s="546"/>
      <c r="BF66" s="546"/>
      <c r="BG66" s="546">
        <f t="shared" si="19"/>
        <v>46046.320230214493</v>
      </c>
      <c r="BH66" s="108">
        <f t="shared" si="28"/>
        <v>3</v>
      </c>
      <c r="BI66" s="108">
        <f t="shared" si="23"/>
        <v>3</v>
      </c>
      <c r="BJ66" s="22">
        <f t="shared" si="24"/>
        <v>46604</v>
      </c>
      <c r="BK66" s="108">
        <f t="shared" si="3"/>
        <v>22562</v>
      </c>
      <c r="BL66" s="2" t="e">
        <f>IF(AND(G21&gt;=$W$9,G21&lt;=$W$9+5),0,IF($C$9&gt;$AF$51,ROUND(BG20*IF(#REF!="",0,#REF!)/(DATEVALUE(CONCATENATE("01/01/",YEAR(AQ21)+1))-DATEVALUE(CONCATENATE("01/01/",YEAR(AQ21))))*(AQ21-AQ20),2),0))</f>
        <v>#REF!</v>
      </c>
    </row>
    <row r="67" spans="1:64" s="16" customFormat="1" x14ac:dyDescent="0.3">
      <c r="A67" s="178"/>
      <c r="B67" s="178"/>
      <c r="C67" s="184"/>
      <c r="D67" s="178"/>
      <c r="E67" s="178"/>
      <c r="F67" s="178"/>
      <c r="G67" s="244">
        <f t="shared" si="25"/>
        <v>59</v>
      </c>
      <c r="H67" s="245">
        <f t="shared" si="4"/>
        <v>46635</v>
      </c>
      <c r="I67" s="246">
        <f t="shared" si="5"/>
        <v>4.9000000000000002E-2</v>
      </c>
      <c r="J67" s="242">
        <f t="shared" si="6"/>
        <v>22562</v>
      </c>
      <c r="K67" s="242">
        <f t="shared" si="20"/>
        <v>22562</v>
      </c>
      <c r="L67" s="242">
        <f t="shared" si="7"/>
        <v>187.1082597009833</v>
      </c>
      <c r="M67" s="242">
        <f t="shared" si="21"/>
        <v>22374.891740299016</v>
      </c>
      <c r="N67" s="242">
        <f t="shared" si="1"/>
        <v>0</v>
      </c>
      <c r="O67" s="242">
        <v>0</v>
      </c>
      <c r="P67" s="242">
        <f t="shared" si="22"/>
        <v>187.1082597009833</v>
      </c>
      <c r="Q67" s="242">
        <f t="shared" si="29"/>
        <v>0</v>
      </c>
      <c r="R67" s="242">
        <f t="shared" si="8"/>
        <v>0</v>
      </c>
      <c r="S67" s="242">
        <f t="shared" si="9"/>
        <v>22585.289162175573</v>
      </c>
      <c r="T67" s="467"/>
      <c r="U67" s="198">
        <f t="shared" si="26"/>
        <v>2</v>
      </c>
      <c r="V67" s="36">
        <f t="shared" si="10"/>
        <v>2</v>
      </c>
      <c r="W67" s="2" t="e">
        <f>IF(AND(G32&gt;=$W$9,G32&lt;=$W$9+5),0,IF($C$9&gt;$AF$51,ROUND(S31*#REF!/(DATEVALUE(CONCATENATE("01/01/",YEAR(H32)+1))-DATEVALUE(CONCATENATE("01/01/",YEAR(H32))))*(H32-H31),2),0))</f>
        <v>#REF!</v>
      </c>
      <c r="X67" s="34">
        <f t="shared" si="35"/>
        <v>22562</v>
      </c>
      <c r="Y67" s="57">
        <f t="shared" si="34"/>
        <v>53599</v>
      </c>
      <c r="AA67" s="170">
        <v>20000</v>
      </c>
      <c r="AB67" s="133" t="s">
        <v>323</v>
      </c>
      <c r="AL67" s="2">
        <f>IF(AND(Y23&gt;=$W$9,Y23&lt;=$W$9+5),0,IF($C$9&gt;$AF$51,ROUND(AI27*#REF!/(DATEVALUE(CONCATENATE("01/01/",YEAR(Z23)+1))-DATEVALUE(CONCATENATE("01/01/",YEAR(Z23))))*(Z23-Z22),2),0))</f>
        <v>0</v>
      </c>
      <c r="AM67" s="34">
        <f t="shared" si="37"/>
        <v>23217</v>
      </c>
      <c r="AN67" s="57">
        <f t="shared" si="36"/>
        <v>52139</v>
      </c>
      <c r="AO67" s="130">
        <f t="shared" si="11"/>
        <v>1</v>
      </c>
      <c r="AP67" s="553">
        <f t="shared" si="27"/>
        <v>59</v>
      </c>
      <c r="AQ67" s="554">
        <f t="shared" si="12"/>
        <v>46635</v>
      </c>
      <c r="AR67" s="555">
        <f t="shared" si="2"/>
        <v>0.13900000000000001</v>
      </c>
      <c r="AS67" s="546">
        <f t="shared" si="13"/>
        <v>23217</v>
      </c>
      <c r="AT67" s="546">
        <f t="shared" si="14"/>
        <v>23217</v>
      </c>
      <c r="AU67" s="546">
        <f t="shared" si="15"/>
        <v>543.59888732053219</v>
      </c>
      <c r="AV67" s="546">
        <f t="shared" si="16"/>
        <v>22673.401112679468</v>
      </c>
      <c r="AW67" s="546"/>
      <c r="AX67" s="546">
        <v>0</v>
      </c>
      <c r="AY67" s="546">
        <f t="shared" si="17"/>
        <v>543.59888732053219</v>
      </c>
      <c r="AZ67" s="546">
        <f t="shared" si="32"/>
        <v>0</v>
      </c>
      <c r="BA67" s="546">
        <f t="shared" si="30"/>
        <v>0</v>
      </c>
      <c r="BB67" s="546"/>
      <c r="BC67" s="546"/>
      <c r="BD67" s="546"/>
      <c r="BE67" s="546"/>
      <c r="BF67" s="546"/>
      <c r="BG67" s="546">
        <f t="shared" si="19"/>
        <v>23372.919117535024</v>
      </c>
      <c r="BH67" s="108">
        <f t="shared" si="28"/>
        <v>2</v>
      </c>
      <c r="BI67" s="108">
        <f t="shared" si="23"/>
        <v>2</v>
      </c>
      <c r="BJ67" s="22">
        <f t="shared" si="24"/>
        <v>46635</v>
      </c>
      <c r="BK67" s="108">
        <f t="shared" si="3"/>
        <v>22562</v>
      </c>
      <c r="BL67" s="2" t="e">
        <f>IF(AND(G22&gt;=$W$9,G22&lt;=$W$9+5),0,IF($C$9&gt;$AF$51,ROUND(BG21*IF(#REF!="",0,#REF!)/(DATEVALUE(CONCATENATE("01/01/",YEAR(AQ22)+1))-DATEVALUE(CONCATENATE("01/01/",YEAR(AQ22))))*(AQ22-AQ21),2),0))</f>
        <v>#REF!</v>
      </c>
    </row>
    <row r="68" spans="1:64" s="16" customFormat="1" ht="13.8" thickBot="1" x14ac:dyDescent="0.35">
      <c r="A68" s="178"/>
      <c r="B68" s="178"/>
      <c r="C68" s="184"/>
      <c r="D68" s="178"/>
      <c r="E68" s="178"/>
      <c r="F68" s="178"/>
      <c r="G68" s="248">
        <f t="shared" si="25"/>
        <v>60</v>
      </c>
      <c r="H68" s="581">
        <f t="shared" si="4"/>
        <v>46665</v>
      </c>
      <c r="I68" s="250">
        <f t="shared" si="5"/>
        <v>4.9000000000000002E-2</v>
      </c>
      <c r="J68" s="242">
        <f t="shared" si="6"/>
        <v>22562</v>
      </c>
      <c r="K68" s="252">
        <f t="shared" si="20"/>
        <v>22562</v>
      </c>
      <c r="L68" s="252">
        <f t="shared" si="7"/>
        <v>90.959931694241348</v>
      </c>
      <c r="M68" s="252">
        <f t="shared" si="21"/>
        <v>22471.04006830576</v>
      </c>
      <c r="N68" s="252">
        <f t="shared" si="1"/>
        <v>0</v>
      </c>
      <c r="O68" s="252">
        <v>0</v>
      </c>
      <c r="P68" s="252">
        <f t="shared" si="22"/>
        <v>90.959931694241348</v>
      </c>
      <c r="Q68" s="252">
        <f t="shared" si="29"/>
        <v>0</v>
      </c>
      <c r="R68" s="252">
        <f t="shared" si="8"/>
        <v>0</v>
      </c>
      <c r="S68" s="252">
        <f t="shared" si="9"/>
        <v>114.24909386981381</v>
      </c>
      <c r="T68" s="252"/>
      <c r="U68" s="198">
        <f t="shared" si="26"/>
        <v>1</v>
      </c>
      <c r="V68" s="36">
        <f t="shared" si="10"/>
        <v>1</v>
      </c>
      <c r="W68" s="2" t="e">
        <f>IF(AND(G33&gt;=$W$9,G33&lt;=$W$9+5),0,IF($C$9&gt;$AF$51,ROUND(S32*#REF!/(DATEVALUE(CONCATENATE("01/01/",YEAR(H33)+1))-DATEVALUE(CONCATENATE("01/01/",YEAR(H33))))*(H33-H32),2),0))</f>
        <v>#REF!</v>
      </c>
      <c r="X68" s="34">
        <f t="shared" si="35"/>
        <v>22562</v>
      </c>
      <c r="Y68" s="57">
        <f t="shared" si="34"/>
        <v>53964</v>
      </c>
      <c r="AA68" s="170">
        <v>300001</v>
      </c>
      <c r="AB68" s="135">
        <v>160000</v>
      </c>
      <c r="AL68" s="2" t="e">
        <f>IF(AND(Y24&gt;=$W$9,Y24&lt;=$W$9+5),0,IF($C$9&gt;$AF$51,ROUND(AI28*#REF!/(DATEVALUE(CONCATENATE("01/01/",YEAR(Z24)+1))-DATEVALUE(CONCATENATE("01/01/",YEAR(Z24))))*(Z24-Z23),2),0))</f>
        <v>#REF!</v>
      </c>
      <c r="AM68" s="34">
        <f t="shared" si="37"/>
        <v>23217</v>
      </c>
      <c r="AN68" s="57">
        <f t="shared" si="36"/>
        <v>52504</v>
      </c>
      <c r="AO68" s="130">
        <f t="shared" si="11"/>
        <v>1</v>
      </c>
      <c r="AP68" s="556">
        <f t="shared" si="27"/>
        <v>60</v>
      </c>
      <c r="AQ68" s="582">
        <f t="shared" si="12"/>
        <v>46665</v>
      </c>
      <c r="AR68" s="557">
        <f t="shared" si="2"/>
        <v>0.13900000000000001</v>
      </c>
      <c r="AS68" s="547">
        <f t="shared" si="13"/>
        <v>23217</v>
      </c>
      <c r="AT68" s="547">
        <f t="shared" si="14"/>
        <v>23217</v>
      </c>
      <c r="AU68" s="547">
        <f t="shared" si="15"/>
        <v>267.02759649348235</v>
      </c>
      <c r="AV68" s="547">
        <f t="shared" si="16"/>
        <v>23372.919117535024</v>
      </c>
      <c r="AW68" s="547"/>
      <c r="AX68" s="547">
        <v>0</v>
      </c>
      <c r="AY68" s="547">
        <f t="shared" si="17"/>
        <v>267.02759649348235</v>
      </c>
      <c r="AZ68" s="547">
        <f t="shared" si="32"/>
        <v>0</v>
      </c>
      <c r="BA68" s="547">
        <f t="shared" si="30"/>
        <v>0</v>
      </c>
      <c r="BB68" s="547"/>
      <c r="BC68" s="547"/>
      <c r="BD68" s="547"/>
      <c r="BE68" s="547"/>
      <c r="BF68" s="547"/>
      <c r="BG68" s="547">
        <f t="shared" si="19"/>
        <v>0</v>
      </c>
      <c r="BH68" s="108">
        <f t="shared" si="28"/>
        <v>1</v>
      </c>
      <c r="BI68" s="108">
        <f t="shared" si="23"/>
        <v>1</v>
      </c>
      <c r="BJ68" s="22">
        <f t="shared" si="24"/>
        <v>46665</v>
      </c>
      <c r="BK68" s="108">
        <f t="shared" si="3"/>
        <v>22562</v>
      </c>
      <c r="BL68" s="2" t="e">
        <f>IF(AND(G23&gt;=$W$9,G23&lt;=$W$9+5),0,IF($C$9&gt;$AF$51,ROUND(BG22*IF(#REF!="",0,#REF!)/(DATEVALUE(CONCATENATE("01/01/",YEAR(AQ23)+1))-DATEVALUE(CONCATENATE("01/01/",YEAR(AQ23))))*(AQ23-AQ22),2),0))</f>
        <v>#REF!</v>
      </c>
    </row>
    <row r="69" spans="1:64" s="16" customFormat="1" x14ac:dyDescent="0.3">
      <c r="A69" s="178"/>
      <c r="B69" s="178"/>
      <c r="C69" s="184"/>
      <c r="D69" s="178"/>
      <c r="E69" s="178"/>
      <c r="F69" s="178"/>
      <c r="G69" s="244">
        <f t="shared" si="25"/>
        <v>61</v>
      </c>
      <c r="H69" s="245">
        <f t="shared" si="4"/>
        <v>46696</v>
      </c>
      <c r="I69" s="246">
        <f t="shared" si="5"/>
        <v>4.9000000000000002E-2</v>
      </c>
      <c r="J69" s="242">
        <f t="shared" si="6"/>
        <v>0</v>
      </c>
      <c r="K69" s="242">
        <f t="shared" si="20"/>
        <v>0</v>
      </c>
      <c r="L69" s="242">
        <f t="shared" si="7"/>
        <v>0.47546403722807445</v>
      </c>
      <c r="M69" s="242">
        <f t="shared" si="21"/>
        <v>114.24909386981381</v>
      </c>
      <c r="N69" s="242">
        <f t="shared" si="1"/>
        <v>0</v>
      </c>
      <c r="O69" s="242">
        <v>0</v>
      </c>
      <c r="P69" s="242">
        <f t="shared" si="22"/>
        <v>0.47546403722807445</v>
      </c>
      <c r="Q69" s="242">
        <f t="shared" si="29"/>
        <v>0</v>
      </c>
      <c r="R69" s="242">
        <f t="shared" si="8"/>
        <v>0</v>
      </c>
      <c r="S69" s="242">
        <f t="shared" si="9"/>
        <v>0</v>
      </c>
      <c r="T69" s="467"/>
      <c r="U69" s="36">
        <f t="shared" si="26"/>
        <v>0</v>
      </c>
      <c r="V69" s="36">
        <f t="shared" si="10"/>
        <v>0</v>
      </c>
      <c r="W69" s="2" t="e">
        <f>IF(AND(G34&gt;=$W$9,G34&lt;=$W$9+5),0,IF($C$9&gt;$AF$51,ROUND(S33*#REF!/(DATEVALUE(CONCATENATE("01/01/",YEAR(H34)+1))-DATEVALUE(CONCATENATE("01/01/",YEAR(H34))))*(H34-H33),2),0))</f>
        <v>#REF!</v>
      </c>
      <c r="X69" s="34">
        <f t="shared" si="35"/>
        <v>22562</v>
      </c>
      <c r="Y69" s="57">
        <f t="shared" si="34"/>
        <v>54329</v>
      </c>
      <c r="AA69" s="170">
        <v>500001</v>
      </c>
      <c r="AB69" s="135">
        <v>400000</v>
      </c>
      <c r="AD69" s="2"/>
      <c r="AE69" s="2"/>
      <c r="AF69" s="2"/>
      <c r="AG69" s="2"/>
      <c r="AH69" s="2"/>
      <c r="AI69" s="63"/>
      <c r="AJ69" s="63"/>
      <c r="AK69" s="63"/>
      <c r="AL69" s="2">
        <f>IF(AND(Y25&gt;=$W$9,Y25&lt;=$W$9+5),0,IF($C$9&gt;$AF$51,ROUND(AI29*#REF!/(DATEVALUE(CONCATENATE("01/01/",YEAR(Z25)+1))-DATEVALUE(CONCATENATE("01/01/",YEAR(Z25))))*(Z25-Z24),2),0))</f>
        <v>0</v>
      </c>
      <c r="AM69" s="34">
        <f t="shared" si="37"/>
        <v>23217</v>
      </c>
      <c r="AN69" s="57">
        <f t="shared" si="36"/>
        <v>52869</v>
      </c>
      <c r="AO69" s="130">
        <f t="shared" si="11"/>
        <v>0</v>
      </c>
      <c r="AP69" s="553">
        <f t="shared" si="27"/>
        <v>61</v>
      </c>
      <c r="AQ69" s="554">
        <f t="shared" si="12"/>
        <v>46696</v>
      </c>
      <c r="AR69" s="555">
        <f t="shared" si="2"/>
        <v>0.13900000000000001</v>
      </c>
      <c r="AS69" s="546">
        <f t="shared" si="13"/>
        <v>0</v>
      </c>
      <c r="AT69" s="546">
        <f t="shared" si="14"/>
        <v>0</v>
      </c>
      <c r="AU69" s="546">
        <f t="shared" si="15"/>
        <v>0</v>
      </c>
      <c r="AV69" s="546">
        <f t="shared" si="16"/>
        <v>0</v>
      </c>
      <c r="AW69" s="546"/>
      <c r="AX69" s="546">
        <v>0</v>
      </c>
      <c r="AY69" s="546">
        <f t="shared" si="17"/>
        <v>0</v>
      </c>
      <c r="AZ69" s="546">
        <f t="shared" si="32"/>
        <v>0</v>
      </c>
      <c r="BA69" s="546">
        <f t="shared" si="30"/>
        <v>0</v>
      </c>
      <c r="BB69" s="546"/>
      <c r="BC69" s="546"/>
      <c r="BD69" s="546"/>
      <c r="BE69" s="546"/>
      <c r="BF69" s="546"/>
      <c r="BG69" s="546">
        <f t="shared" si="19"/>
        <v>0</v>
      </c>
      <c r="BH69" s="108">
        <f t="shared" si="28"/>
        <v>0</v>
      </c>
      <c r="BI69" s="108">
        <f t="shared" si="23"/>
        <v>0</v>
      </c>
      <c r="BJ69" s="22">
        <f t="shared" si="24"/>
        <v>46696</v>
      </c>
      <c r="BK69" s="108">
        <f t="shared" si="3"/>
        <v>0</v>
      </c>
      <c r="BL69" s="2" t="e">
        <f>IF(AND(G24&gt;=$W$9,G24&lt;=$W$9+5),0,IF($C$9&gt;$AF$51,ROUND(BG23*IF(#REF!="",0,#REF!)/(DATEVALUE(CONCATENATE("01/01/",YEAR(AQ24)+1))-DATEVALUE(CONCATENATE("01/01/",YEAR(AQ24))))*(AQ24-AQ23),2),0))</f>
        <v>#REF!</v>
      </c>
    </row>
    <row r="70" spans="1:64" s="16" customFormat="1" x14ac:dyDescent="0.3">
      <c r="A70" s="178"/>
      <c r="B70" s="178"/>
      <c r="C70" s="184"/>
      <c r="D70" s="178"/>
      <c r="E70" s="178"/>
      <c r="F70" s="178"/>
      <c r="G70" s="244">
        <f t="shared" si="25"/>
        <v>62</v>
      </c>
      <c r="H70" s="245">
        <f t="shared" si="4"/>
        <v>46726</v>
      </c>
      <c r="I70" s="246">
        <f t="shared" si="5"/>
        <v>4.9000000000000002E-2</v>
      </c>
      <c r="J70" s="242">
        <f t="shared" si="6"/>
        <v>0</v>
      </c>
      <c r="K70" s="242">
        <f t="shared" si="20"/>
        <v>0</v>
      </c>
      <c r="L70" s="242">
        <f t="shared" si="7"/>
        <v>0</v>
      </c>
      <c r="M70" s="242">
        <f t="shared" si="21"/>
        <v>0</v>
      </c>
      <c r="N70" s="242">
        <f t="shared" si="1"/>
        <v>0</v>
      </c>
      <c r="O70" s="242">
        <v>0</v>
      </c>
      <c r="P70" s="242">
        <f t="shared" si="22"/>
        <v>0</v>
      </c>
      <c r="Q70" s="242">
        <f t="shared" si="29"/>
        <v>0</v>
      </c>
      <c r="R70" s="242">
        <f t="shared" si="8"/>
        <v>0</v>
      </c>
      <c r="S70" s="242">
        <f t="shared" si="9"/>
        <v>0</v>
      </c>
      <c r="T70" s="467"/>
      <c r="U70" s="36">
        <f t="shared" si="26"/>
        <v>0</v>
      </c>
      <c r="V70" s="36">
        <f t="shared" si="10"/>
        <v>0</v>
      </c>
      <c r="W70" s="2" t="e">
        <f>IF(AND(G35&gt;=$W$9,G35&lt;=$W$9+5),0,IF($C$9&gt;$AF$51,ROUND(S34*#REF!/(DATEVALUE(CONCATENATE("01/01/",YEAR(H35)+1))-DATEVALUE(CONCATENATE("01/01/",YEAR(H35))))*(H35-H34),2),0))</f>
        <v>#REF!</v>
      </c>
      <c r="X70" s="34">
        <f t="shared" si="35"/>
        <v>22562</v>
      </c>
      <c r="Y70" s="57">
        <f t="shared" si="34"/>
        <v>54694</v>
      </c>
      <c r="AA70" s="171">
        <v>600001</v>
      </c>
      <c r="AB70" s="135">
        <v>500000</v>
      </c>
      <c r="AC70" s="145" t="s">
        <v>330</v>
      </c>
      <c r="AD70" s="145" t="s">
        <v>111</v>
      </c>
      <c r="AE70" s="145" t="s">
        <v>114</v>
      </c>
      <c r="AF70" s="144" t="s">
        <v>115</v>
      </c>
      <c r="AG70" s="2" t="s">
        <v>35</v>
      </c>
      <c r="AH70" s="144" t="s">
        <v>118</v>
      </c>
      <c r="AI70" s="144" t="s">
        <v>119</v>
      </c>
      <c r="AJ70" s="145" t="s">
        <v>120</v>
      </c>
      <c r="AK70" s="15"/>
      <c r="AL70" s="2" t="e">
        <f>IF(AND(Y26&gt;=$W$9,Y26&lt;=$W$9+5),0,IF($C$9&gt;$AF$51,ROUND(AI30*#REF!/(DATEVALUE(CONCATENATE("01/01/",YEAR(Z26)+1))-DATEVALUE(CONCATENATE("01/01/",YEAR(Z26))))*(Z26-Z25),2),0))</f>
        <v>#REF!</v>
      </c>
      <c r="AM70" s="34">
        <f t="shared" si="37"/>
        <v>23217</v>
      </c>
      <c r="AN70" s="57">
        <f t="shared" si="36"/>
        <v>53234</v>
      </c>
      <c r="AO70" s="130">
        <f t="shared" si="11"/>
        <v>0</v>
      </c>
      <c r="AP70" s="553">
        <f t="shared" si="27"/>
        <v>62</v>
      </c>
      <c r="AQ70" s="554">
        <f t="shared" si="12"/>
        <v>46726</v>
      </c>
      <c r="AR70" s="555">
        <f t="shared" si="2"/>
        <v>0.13900000000000001</v>
      </c>
      <c r="AS70" s="546">
        <f t="shared" si="13"/>
        <v>0</v>
      </c>
      <c r="AT70" s="546">
        <f t="shared" si="14"/>
        <v>0</v>
      </c>
      <c r="AU70" s="546">
        <f t="shared" si="15"/>
        <v>0</v>
      </c>
      <c r="AV70" s="546">
        <f t="shared" si="16"/>
        <v>0</v>
      </c>
      <c r="AW70" s="546"/>
      <c r="AX70" s="546">
        <v>0</v>
      </c>
      <c r="AY70" s="546">
        <f t="shared" si="17"/>
        <v>0</v>
      </c>
      <c r="AZ70" s="546">
        <f t="shared" si="32"/>
        <v>0</v>
      </c>
      <c r="BA70" s="546">
        <f t="shared" si="30"/>
        <v>0</v>
      </c>
      <c r="BB70" s="546"/>
      <c r="BC70" s="546"/>
      <c r="BD70" s="546"/>
      <c r="BE70" s="546"/>
      <c r="BF70" s="546"/>
      <c r="BG70" s="546">
        <f t="shared" si="19"/>
        <v>0</v>
      </c>
      <c r="BH70" s="108">
        <f t="shared" si="28"/>
        <v>0</v>
      </c>
      <c r="BI70" s="108">
        <f t="shared" si="23"/>
        <v>0</v>
      </c>
      <c r="BJ70" s="22">
        <f t="shared" si="24"/>
        <v>46726</v>
      </c>
      <c r="BK70" s="108">
        <f t="shared" si="3"/>
        <v>0</v>
      </c>
      <c r="BL70" s="2" t="e">
        <f>IF(AND(G25&gt;=$W$9,G25&lt;=$W$9+5),0,IF($C$9&gt;$AF$51,ROUND(BG24*IF(#REF!="",0,#REF!)/(DATEVALUE(CONCATENATE("01/01/",YEAR(AQ25)+1))-DATEVALUE(CONCATENATE("01/01/",YEAR(AQ25))))*(AQ25-AQ24),2),0))</f>
        <v>#REF!</v>
      </c>
    </row>
    <row r="71" spans="1:64" s="16" customFormat="1" x14ac:dyDescent="0.3">
      <c r="A71" s="178"/>
      <c r="B71" s="178"/>
      <c r="C71" s="184"/>
      <c r="D71" s="178"/>
      <c r="E71" s="178"/>
      <c r="F71" s="178"/>
      <c r="G71" s="244">
        <f t="shared" si="25"/>
        <v>63</v>
      </c>
      <c r="H71" s="245">
        <f t="shared" si="4"/>
        <v>46757</v>
      </c>
      <c r="I71" s="246">
        <f t="shared" si="5"/>
        <v>4.9000000000000002E-2</v>
      </c>
      <c r="J71" s="242">
        <f t="shared" si="6"/>
        <v>0</v>
      </c>
      <c r="K71" s="242">
        <f t="shared" si="20"/>
        <v>0</v>
      </c>
      <c r="L71" s="242">
        <f t="shared" si="7"/>
        <v>0</v>
      </c>
      <c r="M71" s="242">
        <f t="shared" si="21"/>
        <v>0</v>
      </c>
      <c r="N71" s="242">
        <f t="shared" si="1"/>
        <v>0</v>
      </c>
      <c r="O71" s="242">
        <v>0</v>
      </c>
      <c r="P71" s="242">
        <f t="shared" si="22"/>
        <v>0</v>
      </c>
      <c r="Q71" s="242">
        <f t="shared" si="29"/>
        <v>0</v>
      </c>
      <c r="R71" s="242">
        <f t="shared" si="8"/>
        <v>0</v>
      </c>
      <c r="S71" s="242">
        <f t="shared" si="9"/>
        <v>0</v>
      </c>
      <c r="T71" s="467"/>
      <c r="U71" s="36">
        <f t="shared" si="26"/>
        <v>0</v>
      </c>
      <c r="V71" s="36">
        <f t="shared" si="10"/>
        <v>0</v>
      </c>
      <c r="W71" s="2" t="e">
        <f>IF(AND(G36&gt;=$W$9,G36&lt;=$W$9+5),0,IF($C$9&gt;$AF$51,ROUND(S35*#REF!/(DATEVALUE(CONCATENATE("01/01/",YEAR(H36)+1))-DATEVALUE(CONCATENATE("01/01/",YEAR(H36))))*(H36-H35),2),0))</f>
        <v>#REF!</v>
      </c>
      <c r="X71" s="34">
        <f t="shared" si="35"/>
        <v>22562</v>
      </c>
      <c r="Y71" s="57">
        <f t="shared" si="34"/>
        <v>55059</v>
      </c>
      <c r="AA71" s="171">
        <v>1000001</v>
      </c>
      <c r="AB71" s="135">
        <v>800000</v>
      </c>
      <c r="AC71" s="133" t="s">
        <v>98</v>
      </c>
      <c r="AD71" s="134"/>
      <c r="AE71" s="134"/>
      <c r="AF71" s="134"/>
      <c r="AG71" s="134"/>
      <c r="AH71" s="134"/>
      <c r="AI71" s="134"/>
      <c r="AJ71" s="134"/>
      <c r="AK71" s="15"/>
      <c r="AL71" s="2" t="e">
        <f>IF(AND(Y27&gt;=$W$9,Y27&lt;=$W$9+5),0,IF($C$9&gt;$AF$51,ROUND(AI31*#REF!/(DATEVALUE(CONCATENATE("01/01/",YEAR(Z27)+1))-DATEVALUE(CONCATENATE("01/01/",YEAR(Z27))))*(Z27-Z26),2),0))</f>
        <v>#REF!</v>
      </c>
      <c r="AM71" s="34">
        <f t="shared" si="37"/>
        <v>23217</v>
      </c>
      <c r="AN71" s="57">
        <f t="shared" si="36"/>
        <v>53599</v>
      </c>
      <c r="AO71" s="130">
        <f t="shared" si="11"/>
        <v>0</v>
      </c>
      <c r="AP71" s="553">
        <f t="shared" si="27"/>
        <v>63</v>
      </c>
      <c r="AQ71" s="554">
        <f t="shared" si="12"/>
        <v>46757</v>
      </c>
      <c r="AR71" s="555">
        <f t="shared" si="2"/>
        <v>0.13900000000000001</v>
      </c>
      <c r="AS71" s="546">
        <f t="shared" si="13"/>
        <v>0</v>
      </c>
      <c r="AT71" s="546">
        <f t="shared" si="14"/>
        <v>0</v>
      </c>
      <c r="AU71" s="546">
        <f t="shared" si="15"/>
        <v>0</v>
      </c>
      <c r="AV71" s="546">
        <f t="shared" si="16"/>
        <v>0</v>
      </c>
      <c r="AW71" s="546"/>
      <c r="AX71" s="546">
        <v>0</v>
      </c>
      <c r="AY71" s="546">
        <f t="shared" si="17"/>
        <v>0</v>
      </c>
      <c r="AZ71" s="546">
        <f t="shared" si="32"/>
        <v>0</v>
      </c>
      <c r="BA71" s="546">
        <f t="shared" si="30"/>
        <v>0</v>
      </c>
      <c r="BB71" s="546"/>
      <c r="BC71" s="546"/>
      <c r="BD71" s="546"/>
      <c r="BE71" s="546"/>
      <c r="BF71" s="546"/>
      <c r="BG71" s="546">
        <f t="shared" si="19"/>
        <v>0</v>
      </c>
      <c r="BH71" s="108">
        <f t="shared" si="28"/>
        <v>0</v>
      </c>
      <c r="BI71" s="108">
        <f t="shared" si="23"/>
        <v>0</v>
      </c>
      <c r="BJ71" s="22">
        <f t="shared" si="24"/>
        <v>46757</v>
      </c>
      <c r="BK71" s="108">
        <f t="shared" si="3"/>
        <v>0</v>
      </c>
      <c r="BL71" s="2" t="e">
        <f>IF(AND(G26&gt;=$W$9,G26&lt;=$W$9+5),0,IF($C$9&gt;$AF$51,ROUND(BG25*IF(#REF!="",0,#REF!)/(DATEVALUE(CONCATENATE("01/01/",YEAR(AQ26)+1))-DATEVALUE(CONCATENATE("01/01/",YEAR(AQ26))))*(AQ26-AQ25),2),0))</f>
        <v>#REF!</v>
      </c>
    </row>
    <row r="72" spans="1:64" s="16" customFormat="1" x14ac:dyDescent="0.3">
      <c r="A72" s="178"/>
      <c r="B72" s="178"/>
      <c r="C72" s="184"/>
      <c r="D72" s="178"/>
      <c r="E72" s="178"/>
      <c r="F72" s="178"/>
      <c r="G72" s="244">
        <f t="shared" si="25"/>
        <v>64</v>
      </c>
      <c r="H72" s="245">
        <f t="shared" si="4"/>
        <v>46788</v>
      </c>
      <c r="I72" s="246">
        <f t="shared" si="5"/>
        <v>4.9000000000000002E-2</v>
      </c>
      <c r="J72" s="242">
        <f t="shared" si="6"/>
        <v>0</v>
      </c>
      <c r="K72" s="242">
        <f t="shared" si="20"/>
        <v>0</v>
      </c>
      <c r="L72" s="242">
        <f t="shared" si="7"/>
        <v>0</v>
      </c>
      <c r="M72" s="242">
        <f t="shared" si="21"/>
        <v>0</v>
      </c>
      <c r="N72" s="242">
        <f t="shared" si="1"/>
        <v>0</v>
      </c>
      <c r="O72" s="242">
        <v>0</v>
      </c>
      <c r="P72" s="242">
        <f t="shared" si="22"/>
        <v>0</v>
      </c>
      <c r="Q72" s="242">
        <f t="shared" si="29"/>
        <v>0</v>
      </c>
      <c r="R72" s="242">
        <f t="shared" si="8"/>
        <v>0</v>
      </c>
      <c r="S72" s="242">
        <f t="shared" si="9"/>
        <v>0</v>
      </c>
      <c r="T72" s="467"/>
      <c r="U72" s="36">
        <f t="shared" si="26"/>
        <v>0</v>
      </c>
      <c r="V72" s="36">
        <f t="shared" si="10"/>
        <v>0</v>
      </c>
      <c r="W72" s="2" t="e">
        <f>IF(AND(G37&gt;=$W$9,G37&lt;=$W$9+5),0,IF($C$9&gt;$AF$51,ROUND(S36*#REF!/(DATEVALUE(CONCATENATE("01/01/",YEAR(H37)+1))-DATEVALUE(CONCATENATE("01/01/",YEAR(H37))))*(H37-H36),2),0))</f>
        <v>#REF!</v>
      </c>
      <c r="X72" s="34">
        <f t="shared" si="35"/>
        <v>22562</v>
      </c>
      <c r="Y72" s="57">
        <f t="shared" si="34"/>
        <v>55424</v>
      </c>
      <c r="AA72" s="16" t="s">
        <v>101</v>
      </c>
      <c r="AB72" s="135">
        <v>900000</v>
      </c>
      <c r="AC72" s="134">
        <v>1</v>
      </c>
      <c r="AD72" s="134">
        <v>1.25</v>
      </c>
      <c r="AE72" s="134">
        <v>1.5</v>
      </c>
      <c r="AF72" s="134">
        <v>1.3</v>
      </c>
      <c r="AG72" s="134">
        <v>0</v>
      </c>
      <c r="AH72" s="134">
        <v>1</v>
      </c>
      <c r="AI72" s="134">
        <v>2</v>
      </c>
      <c r="AJ72" s="134">
        <v>2.5</v>
      </c>
      <c r="AK72" s="15"/>
      <c r="AL72" s="2" t="e">
        <f>IF(AND(Y28&gt;=$W$9,Y28&lt;=$W$9+5),0,IF($C$9&gt;$AF$51,ROUND(AI32*#REF!/(DATEVALUE(CONCATENATE("01/01/",YEAR(Z28)+1))-DATEVALUE(CONCATENATE("01/01/",YEAR(Z28))))*(Z28-Z27),2),0))</f>
        <v>#REF!</v>
      </c>
      <c r="AM72" s="34">
        <f t="shared" si="37"/>
        <v>23217</v>
      </c>
      <c r="AN72" s="57">
        <f t="shared" si="36"/>
        <v>53964</v>
      </c>
      <c r="AO72" s="130">
        <f t="shared" si="11"/>
        <v>0</v>
      </c>
      <c r="AP72" s="553">
        <f t="shared" si="27"/>
        <v>64</v>
      </c>
      <c r="AQ72" s="554">
        <f t="shared" si="12"/>
        <v>46788</v>
      </c>
      <c r="AR72" s="555">
        <f t="shared" si="2"/>
        <v>0.13900000000000001</v>
      </c>
      <c r="AS72" s="546">
        <f t="shared" si="13"/>
        <v>0</v>
      </c>
      <c r="AT72" s="546">
        <f t="shared" si="14"/>
        <v>0</v>
      </c>
      <c r="AU72" s="546">
        <f t="shared" si="15"/>
        <v>0</v>
      </c>
      <c r="AV72" s="546">
        <f t="shared" si="16"/>
        <v>0</v>
      </c>
      <c r="AW72" s="546"/>
      <c r="AX72" s="546">
        <v>0</v>
      </c>
      <c r="AY72" s="546">
        <f t="shared" si="17"/>
        <v>0</v>
      </c>
      <c r="AZ72" s="546">
        <f t="shared" si="32"/>
        <v>0</v>
      </c>
      <c r="BA72" s="546">
        <f t="shared" si="30"/>
        <v>0</v>
      </c>
      <c r="BB72" s="546"/>
      <c r="BC72" s="546"/>
      <c r="BD72" s="546"/>
      <c r="BE72" s="546"/>
      <c r="BF72" s="546"/>
      <c r="BG72" s="546">
        <f t="shared" si="19"/>
        <v>0</v>
      </c>
      <c r="BH72" s="108">
        <f t="shared" si="28"/>
        <v>0</v>
      </c>
      <c r="BI72" s="108">
        <f t="shared" si="23"/>
        <v>0</v>
      </c>
      <c r="BJ72" s="22">
        <f t="shared" si="24"/>
        <v>46788</v>
      </c>
      <c r="BK72" s="108">
        <f t="shared" si="3"/>
        <v>0</v>
      </c>
      <c r="BL72" s="2" t="e">
        <f>IF(AND(G27&gt;=$W$9,G27&lt;=$W$9+5),0,IF($C$9&gt;$AF$51,ROUND(BG26*IF(#REF!="",0,#REF!)/(DATEVALUE(CONCATENATE("01/01/",YEAR(AQ27)+1))-DATEVALUE(CONCATENATE("01/01/",YEAR(AQ27))))*(AQ27-AQ26),2),0))</f>
        <v>#REF!</v>
      </c>
    </row>
    <row r="73" spans="1:64" s="16" customFormat="1" x14ac:dyDescent="0.3">
      <c r="A73" s="183"/>
      <c r="B73" s="180"/>
      <c r="C73" s="184"/>
      <c r="D73" s="182"/>
      <c r="E73" s="178"/>
      <c r="F73" s="178"/>
      <c r="G73" s="244">
        <f t="shared" si="25"/>
        <v>65</v>
      </c>
      <c r="H73" s="245">
        <f t="shared" si="4"/>
        <v>46817</v>
      </c>
      <c r="I73" s="246">
        <f t="shared" si="5"/>
        <v>4.9000000000000002E-2</v>
      </c>
      <c r="J73" s="242">
        <f t="shared" si="6"/>
        <v>0</v>
      </c>
      <c r="K73" s="242">
        <f t="shared" si="20"/>
        <v>0</v>
      </c>
      <c r="L73" s="242">
        <f t="shared" si="7"/>
        <v>0</v>
      </c>
      <c r="M73" s="242">
        <f t="shared" si="21"/>
        <v>0</v>
      </c>
      <c r="N73" s="242">
        <f t="shared" ref="N73:N108" si="40">IF(P73-Q73&gt;$C$19,$C$19-L73,IF(V73=0,0,R73)+$AI$51)</f>
        <v>0</v>
      </c>
      <c r="O73" s="242">
        <v>0</v>
      </c>
      <c r="P73" s="242">
        <f t="shared" si="22"/>
        <v>0</v>
      </c>
      <c r="Q73" s="242">
        <f t="shared" si="29"/>
        <v>0</v>
      </c>
      <c r="R73" s="242">
        <f t="shared" si="8"/>
        <v>0</v>
      </c>
      <c r="S73" s="242">
        <f t="shared" si="9"/>
        <v>0</v>
      </c>
      <c r="T73" s="467"/>
      <c r="U73" s="36">
        <f t="shared" si="26"/>
        <v>0</v>
      </c>
      <c r="V73" s="36">
        <f t="shared" si="10"/>
        <v>0</v>
      </c>
      <c r="W73" s="2" t="e">
        <f>IF(AND(G38&gt;=$W$9,G38&lt;=$W$9+5),0,IF($C$9&gt;$AF$51,ROUND(S37*#REF!/(DATEVALUE(CONCATENATE("01/01/",YEAR(H38)+1))-DATEVALUE(CONCATENATE("01/01/",YEAR(H38))))*(H38-H37),2),0))</f>
        <v>#REF!</v>
      </c>
      <c r="X73" s="34">
        <f t="shared" si="35"/>
        <v>22562</v>
      </c>
      <c r="Y73" s="57">
        <f t="shared" si="34"/>
        <v>55789</v>
      </c>
      <c r="AB73" s="16">
        <v>1500000</v>
      </c>
      <c r="AC73" s="134">
        <v>1.1000000000000001</v>
      </c>
      <c r="AD73" s="134">
        <v>1.35</v>
      </c>
      <c r="AE73" s="134">
        <v>1.5</v>
      </c>
      <c r="AF73" s="134">
        <v>1.3</v>
      </c>
      <c r="AG73" s="134">
        <v>0</v>
      </c>
      <c r="AH73" s="134">
        <v>1</v>
      </c>
      <c r="AI73" s="134">
        <v>2</v>
      </c>
      <c r="AJ73" s="134">
        <v>2</v>
      </c>
      <c r="AK73" s="15"/>
      <c r="AL73" s="2" t="e">
        <f>IF(AND(Y29&gt;=$W$9,Y29&lt;=$W$9+5),0,IF($C$9&gt;$AF$51,ROUND(AI33*#REF!/(DATEVALUE(CONCATENATE("01/01/",YEAR(Z29)+1))-DATEVALUE(CONCATENATE("01/01/",YEAR(Z29))))*(Z29-Z28),2),0))</f>
        <v>#REF!</v>
      </c>
      <c r="AM73" s="34">
        <f t="shared" si="37"/>
        <v>23217</v>
      </c>
      <c r="AN73" s="57">
        <f t="shared" si="36"/>
        <v>54329</v>
      </c>
      <c r="AO73" s="130">
        <f t="shared" si="11"/>
        <v>0</v>
      </c>
      <c r="AP73" s="553">
        <f t="shared" si="27"/>
        <v>65</v>
      </c>
      <c r="AQ73" s="554">
        <f t="shared" si="12"/>
        <v>46817</v>
      </c>
      <c r="AR73" s="555">
        <f t="shared" ref="AR73:AR108" si="41">$D$13</f>
        <v>0.13900000000000001</v>
      </c>
      <c r="AS73" s="546">
        <f t="shared" si="13"/>
        <v>0</v>
      </c>
      <c r="AT73" s="546">
        <f t="shared" si="14"/>
        <v>0</v>
      </c>
      <c r="AU73" s="546">
        <f t="shared" si="15"/>
        <v>0</v>
      </c>
      <c r="AV73" s="546">
        <f t="shared" si="16"/>
        <v>0</v>
      </c>
      <c r="AW73" s="546"/>
      <c r="AX73" s="546">
        <v>0</v>
      </c>
      <c r="AY73" s="546">
        <f t="shared" si="17"/>
        <v>0</v>
      </c>
      <c r="AZ73" s="546">
        <f t="shared" si="32"/>
        <v>0</v>
      </c>
      <c r="BA73" s="546">
        <f t="shared" si="30"/>
        <v>0</v>
      </c>
      <c r="BB73" s="546"/>
      <c r="BC73" s="546"/>
      <c r="BD73" s="546"/>
      <c r="BE73" s="546"/>
      <c r="BF73" s="546"/>
      <c r="BG73" s="546">
        <f t="shared" si="19"/>
        <v>0</v>
      </c>
      <c r="BH73" s="108">
        <f t="shared" si="28"/>
        <v>0</v>
      </c>
      <c r="BI73" s="108">
        <f t="shared" si="23"/>
        <v>0</v>
      </c>
      <c r="BJ73" s="22">
        <f t="shared" si="24"/>
        <v>46817</v>
      </c>
      <c r="BK73" s="108">
        <f t="shared" ref="BK73:BK114" si="42">K73</f>
        <v>0</v>
      </c>
      <c r="BL73" s="2" t="e">
        <f>IF(AND(G28&gt;=$W$9,G28&lt;=$W$9+5),0,IF($C$9&gt;$AF$51,ROUND(BG27*IF(#REF!="",0,#REF!)/(DATEVALUE(CONCATENATE("01/01/",YEAR(AQ28)+1))-DATEVALUE(CONCATENATE("01/01/",YEAR(AQ28))))*(AQ28-AQ27),2),0))</f>
        <v>#REF!</v>
      </c>
    </row>
    <row r="74" spans="1:64" s="16" customFormat="1" x14ac:dyDescent="0.3">
      <c r="A74" s="183"/>
      <c r="B74" s="178"/>
      <c r="C74" s="184"/>
      <c r="D74" s="178"/>
      <c r="E74" s="178"/>
      <c r="F74" s="178"/>
      <c r="G74" s="244">
        <f t="shared" si="25"/>
        <v>66</v>
      </c>
      <c r="H74" s="245">
        <f t="shared" ref="H74:H92" si="43">IF((OR(DAY($AD$54)=29,DAY($AD$54)=30,DAY($AD$54)=31)),(EDATE($C$9-28,G74+1)),EDATE($C$9,G74))</f>
        <v>46848</v>
      </c>
      <c r="I74" s="246">
        <f t="shared" ref="I74:I108" si="44">IF($C$8="нет",$C$11,$C$13)</f>
        <v>4.9000000000000002E-2</v>
      </c>
      <c r="J74" s="242">
        <f t="shared" ref="J74:J108" si="45">K74+Q74</f>
        <v>0</v>
      </c>
      <c r="K74" s="242">
        <f t="shared" si="20"/>
        <v>0</v>
      </c>
      <c r="L74" s="242">
        <f t="shared" ref="L74:L108" si="46">S73*($C$13/365*(H74-H73))</f>
        <v>0</v>
      </c>
      <c r="M74" s="242">
        <f t="shared" si="21"/>
        <v>0</v>
      </c>
      <c r="N74" s="242">
        <f t="shared" si="40"/>
        <v>0</v>
      </c>
      <c r="O74" s="242">
        <v>0</v>
      </c>
      <c r="P74" s="242">
        <f t="shared" si="22"/>
        <v>0</v>
      </c>
      <c r="Q74" s="242">
        <f t="shared" si="29"/>
        <v>0</v>
      </c>
      <c r="R74" s="242">
        <f t="shared" ref="R74:R108" si="47">IF(V74=0,0,0)</f>
        <v>0</v>
      </c>
      <c r="S74" s="242">
        <f t="shared" ref="S74" si="48">S73-M74-T74</f>
        <v>0</v>
      </c>
      <c r="T74" s="467"/>
      <c r="U74" s="36">
        <f t="shared" si="26"/>
        <v>0</v>
      </c>
      <c r="V74" s="36">
        <f t="shared" ref="V74:V107" si="49">U74</f>
        <v>0</v>
      </c>
      <c r="W74" s="2" t="e">
        <f>IF(AND(G39&gt;=$W$9,G39&lt;=$W$9+5),0,IF($C$9&gt;$AF$51,ROUND(S38*#REF!/(DATEVALUE(CONCATENATE("01/01/",YEAR(H39)+1))-DATEVALUE(CONCATENATE("01/01/",YEAR(H39))))*(H39-H38),2),0))</f>
        <v>#REF!</v>
      </c>
      <c r="X74" s="34">
        <f t="shared" si="35"/>
        <v>22562</v>
      </c>
      <c r="Y74" s="57">
        <f t="shared" si="34"/>
        <v>56154</v>
      </c>
      <c r="AC74" s="134">
        <v>1.2</v>
      </c>
      <c r="AD74" s="134">
        <v>1.5</v>
      </c>
      <c r="AE74" s="134">
        <v>1.3</v>
      </c>
      <c r="AF74" s="134">
        <v>1.2</v>
      </c>
      <c r="AG74" s="134">
        <v>0</v>
      </c>
      <c r="AH74" s="134">
        <v>1</v>
      </c>
      <c r="AI74" s="134">
        <v>1.5</v>
      </c>
      <c r="AJ74" s="134">
        <v>1.5</v>
      </c>
      <c r="AK74" s="15"/>
      <c r="AL74" s="2" t="e">
        <f>IF(AND(Y30&gt;=$W$9,Y30&lt;=$W$9+5),0,IF($C$9&gt;$AF$51,ROUND(AI34*#REF!/(DATEVALUE(CONCATENATE("01/01/",YEAR(Z30)+1))-DATEVALUE(CONCATENATE("01/01/",YEAR(Z30))))*(Z30-Z29),2),0))</f>
        <v>#REF!</v>
      </c>
      <c r="AM74" s="34">
        <f t="shared" si="37"/>
        <v>23217</v>
      </c>
      <c r="AN74" s="57">
        <f t="shared" si="36"/>
        <v>54694</v>
      </c>
      <c r="AO74" s="130">
        <f t="shared" ref="AO74:AO108" si="50">IF(OR(AT74="",AT74=0),0,1)</f>
        <v>0</v>
      </c>
      <c r="AP74" s="553">
        <f t="shared" si="27"/>
        <v>66</v>
      </c>
      <c r="AQ74" s="554">
        <f t="shared" ref="AQ74:AQ92" si="51">IF((OR(DAY($AD$54)=29,DAY($AD$54)=30,DAY($AD$54)=31)),(EDATE($C$9-28,AP74+1)),EDATE($C$9,AP74))</f>
        <v>46848</v>
      </c>
      <c r="AR74" s="555">
        <f t="shared" si="41"/>
        <v>0.13900000000000001</v>
      </c>
      <c r="AS74" s="546">
        <f t="shared" ref="AS74:AS108" si="52">AT74+AZ74</f>
        <v>0</v>
      </c>
      <c r="AT74" s="546">
        <f t="shared" ref="AT74:AT92" si="53">IF(AP74&gt;$C$10,0,ROUNDUP($BG$8*$C$11/12/((1-(1+$C$11/12)^(0-$C$10))),0))</f>
        <v>0</v>
      </c>
      <c r="AU74" s="546">
        <f t="shared" ref="AU74:AU92" si="54">BG73*($C$11/365*(AQ74-AQ73))</f>
        <v>0</v>
      </c>
      <c r="AV74" s="546">
        <f t="shared" ref="AV74:AV108" si="55">IF(BI74=0,0,IF(BI74=1,BG73,IF(BG73+AW74+AU74&gt;AT73,AT74-AU74-AW74,BG73)))</f>
        <v>0</v>
      </c>
      <c r="AW74" s="546"/>
      <c r="AX74" s="546">
        <v>0</v>
      </c>
      <c r="AY74" s="546">
        <f t="shared" si="17"/>
        <v>0</v>
      </c>
      <c r="AZ74" s="546">
        <f t="shared" si="32"/>
        <v>0</v>
      </c>
      <c r="BA74" s="546">
        <f t="shared" si="30"/>
        <v>0</v>
      </c>
      <c r="BB74" s="546"/>
      <c r="BC74" s="546"/>
      <c r="BD74" s="546"/>
      <c r="BE74" s="546"/>
      <c r="BF74" s="546"/>
      <c r="BG74" s="546">
        <f t="shared" ref="BG74:BG108" si="56">IF(OR(BI74=1,BG73=0),0,BG73-AV74)</f>
        <v>0</v>
      </c>
      <c r="BH74" s="108">
        <f t="shared" si="28"/>
        <v>0</v>
      </c>
      <c r="BI74" s="108">
        <f t="shared" si="23"/>
        <v>0</v>
      </c>
      <c r="BJ74" s="22">
        <f t="shared" si="24"/>
        <v>46848</v>
      </c>
      <c r="BK74" s="108">
        <f t="shared" si="42"/>
        <v>0</v>
      </c>
      <c r="BL74" s="2" t="e">
        <f>IF(AND(G29&gt;=$W$9,G29&lt;=$W$9+5),0,IF($C$9&gt;$AF$51,ROUND(BG28*IF(#REF!="",0,#REF!)/(DATEVALUE(CONCATENATE("01/01/",YEAR(AQ29)+1))-DATEVALUE(CONCATENATE("01/01/",YEAR(AQ29))))*(AQ29-AQ28),2),0))</f>
        <v>#REF!</v>
      </c>
    </row>
    <row r="75" spans="1:64" s="16" customFormat="1" x14ac:dyDescent="0.3">
      <c r="A75" s="178"/>
      <c r="B75" s="178"/>
      <c r="C75" s="184"/>
      <c r="D75" s="184"/>
      <c r="E75" s="178"/>
      <c r="F75" s="178"/>
      <c r="G75" s="244">
        <f t="shared" si="25"/>
        <v>67</v>
      </c>
      <c r="H75" s="245">
        <f t="shared" si="43"/>
        <v>46878</v>
      </c>
      <c r="I75" s="246">
        <f t="shared" si="44"/>
        <v>4.9000000000000002E-2</v>
      </c>
      <c r="J75" s="242">
        <f t="shared" si="45"/>
        <v>0</v>
      </c>
      <c r="K75" s="242">
        <f t="shared" ref="K75:K92" si="57">IF(G75&gt;$C$10,0,IF(T74=0,K74,ROUNDUP(S74*$C$13/12/((1-(1+$C$13/12)^(0-($C$10-G75)))),0)))</f>
        <v>0</v>
      </c>
      <c r="L75" s="242">
        <f t="shared" si="46"/>
        <v>0</v>
      </c>
      <c r="M75" s="242">
        <f t="shared" ref="M75:M92" si="58">IF(S74=0,0,IF(S74+L75&gt;K74,K75-L75,S74))</f>
        <v>0</v>
      </c>
      <c r="N75" s="242">
        <f t="shared" si="40"/>
        <v>0</v>
      </c>
      <c r="O75" s="242">
        <v>0</v>
      </c>
      <c r="P75" s="242">
        <f t="shared" si="22"/>
        <v>0</v>
      </c>
      <c r="Q75" s="242">
        <f t="shared" si="29"/>
        <v>0</v>
      </c>
      <c r="R75" s="242">
        <f t="shared" si="47"/>
        <v>0</v>
      </c>
      <c r="S75" s="242">
        <f t="shared" ref="S75:S108" si="59">IF(OR(V75=1,S74=0),0,S74-M75)</f>
        <v>0</v>
      </c>
      <c r="T75" s="467"/>
      <c r="U75" s="36">
        <f t="shared" si="26"/>
        <v>0</v>
      </c>
      <c r="V75" s="36">
        <f t="shared" si="49"/>
        <v>0</v>
      </c>
      <c r="W75" s="2" t="e">
        <f>IF(AND(G40&gt;=$W$9,G40&lt;=$W$9+5),0,IF($C$9&gt;$AF$51,ROUND(S39*#REF!/(DATEVALUE(CONCATENATE("01/01/",YEAR(H40)+1))-DATEVALUE(CONCATENATE("01/01/",YEAR(H40))))*(H40-H39),2),0))</f>
        <v>#REF!</v>
      </c>
      <c r="X75" s="34">
        <f t="shared" si="35"/>
        <v>22562</v>
      </c>
      <c r="Y75" s="57">
        <f t="shared" si="34"/>
        <v>56519</v>
      </c>
      <c r="AC75" s="134">
        <v>1.1000000000000001</v>
      </c>
      <c r="AD75" s="134">
        <v>1.25</v>
      </c>
      <c r="AE75" s="134">
        <v>1.3</v>
      </c>
      <c r="AF75" s="134">
        <v>1.2</v>
      </c>
      <c r="AG75" s="134">
        <v>0</v>
      </c>
      <c r="AH75" s="134">
        <v>1</v>
      </c>
      <c r="AI75" s="134">
        <v>1.3</v>
      </c>
      <c r="AJ75" s="134">
        <v>1.3</v>
      </c>
      <c r="AK75" s="2"/>
      <c r="AL75" s="2" t="e">
        <f>IF(AND(Y31&gt;=$W$9,Y31&lt;=$W$9+5),0,IF($C$9&gt;$AF$51,ROUND(AI35*#REF!/(DATEVALUE(CONCATENATE("01/01/",YEAR(Z31)+1))-DATEVALUE(CONCATENATE("01/01/",YEAR(Z31))))*(Z31-Z30),2),0))</f>
        <v>#REF!</v>
      </c>
      <c r="AM75" s="34">
        <f t="shared" si="37"/>
        <v>23217</v>
      </c>
      <c r="AN75" s="57">
        <f t="shared" si="36"/>
        <v>55059</v>
      </c>
      <c r="AO75" s="130">
        <f t="shared" si="50"/>
        <v>0</v>
      </c>
      <c r="AP75" s="553">
        <f t="shared" si="27"/>
        <v>67</v>
      </c>
      <c r="AQ75" s="554">
        <f t="shared" si="51"/>
        <v>46878</v>
      </c>
      <c r="AR75" s="555">
        <f t="shared" si="41"/>
        <v>0.13900000000000001</v>
      </c>
      <c r="AS75" s="559">
        <f t="shared" si="52"/>
        <v>0</v>
      </c>
      <c r="AT75" s="546">
        <f t="shared" si="53"/>
        <v>0</v>
      </c>
      <c r="AU75" s="546">
        <f t="shared" si="54"/>
        <v>0</v>
      </c>
      <c r="AV75" s="546">
        <f t="shared" si="55"/>
        <v>0</v>
      </c>
      <c r="AW75" s="559"/>
      <c r="AX75" s="559">
        <v>0</v>
      </c>
      <c r="AY75" s="559">
        <f t="shared" si="17"/>
        <v>0</v>
      </c>
      <c r="AZ75" s="559">
        <f t="shared" si="32"/>
        <v>0</v>
      </c>
      <c r="BA75" s="559">
        <f t="shared" si="30"/>
        <v>0</v>
      </c>
      <c r="BB75" s="559"/>
      <c r="BC75" s="559"/>
      <c r="BD75" s="559"/>
      <c r="BE75" s="559"/>
      <c r="BF75" s="559"/>
      <c r="BG75" s="546">
        <f t="shared" si="56"/>
        <v>0</v>
      </c>
      <c r="BH75" s="108">
        <f t="shared" si="28"/>
        <v>0</v>
      </c>
      <c r="BI75" s="108">
        <f t="shared" ref="BI75:BI114" si="60">BH75</f>
        <v>0</v>
      </c>
      <c r="BJ75" s="22">
        <f t="shared" ref="BJ75:BJ114" si="61">H75</f>
        <v>46878</v>
      </c>
      <c r="BK75" s="108">
        <f t="shared" si="42"/>
        <v>0</v>
      </c>
      <c r="BL75" s="2" t="e">
        <f>IF(AND(G30&gt;=$W$9,G30&lt;=$W$9+5),0,IF($C$9&gt;$AF$51,ROUND(BG29*IF(#REF!="",0,#REF!)/(DATEVALUE(CONCATENATE("01/01/",YEAR(AQ30)+1))-DATEVALUE(CONCATENATE("01/01/",YEAR(AQ30))))*(AQ30-AQ29),2),0))</f>
        <v>#REF!</v>
      </c>
    </row>
    <row r="76" spans="1:64" s="16" customFormat="1" x14ac:dyDescent="0.3">
      <c r="A76" s="178"/>
      <c r="B76" s="178"/>
      <c r="C76" s="184"/>
      <c r="D76" s="184"/>
      <c r="E76" s="178"/>
      <c r="F76" s="178"/>
      <c r="G76" s="244">
        <f t="shared" ref="G76:G108" si="62">G75+1</f>
        <v>68</v>
      </c>
      <c r="H76" s="245">
        <f t="shared" si="43"/>
        <v>46909</v>
      </c>
      <c r="I76" s="246">
        <f t="shared" si="44"/>
        <v>4.9000000000000002E-2</v>
      </c>
      <c r="J76" s="242">
        <f t="shared" si="45"/>
        <v>0</v>
      </c>
      <c r="K76" s="242">
        <f t="shared" si="57"/>
        <v>0</v>
      </c>
      <c r="L76" s="242">
        <f t="shared" si="46"/>
        <v>0</v>
      </c>
      <c r="M76" s="242">
        <f t="shared" si="58"/>
        <v>0</v>
      </c>
      <c r="N76" s="242">
        <f t="shared" si="40"/>
        <v>0</v>
      </c>
      <c r="O76" s="242">
        <v>0</v>
      </c>
      <c r="P76" s="242">
        <f t="shared" si="22"/>
        <v>0</v>
      </c>
      <c r="Q76" s="242">
        <f t="shared" si="29"/>
        <v>0</v>
      </c>
      <c r="R76" s="242">
        <f t="shared" si="47"/>
        <v>0</v>
      </c>
      <c r="S76" s="242">
        <f t="shared" si="59"/>
        <v>0</v>
      </c>
      <c r="T76" s="467"/>
      <c r="U76" s="36">
        <f t="shared" ref="U76:U108" si="63">IF((U75-1)&lt;0,0,U75-1)</f>
        <v>0</v>
      </c>
      <c r="V76" s="36">
        <f t="shared" si="49"/>
        <v>0</v>
      </c>
      <c r="W76" s="2" t="e">
        <f>IF(AND(G41&gt;=$W$9,G41&lt;=$W$9+5),0,IF($C$9&gt;$AF$51,ROUND(S40*#REF!/(DATEVALUE(CONCATENATE("01/01/",YEAR(H41)+1))-DATEVALUE(CONCATENATE("01/01/",YEAR(H41))))*(H41-H40),2),0))</f>
        <v>#REF!</v>
      </c>
      <c r="X76" s="34">
        <f t="shared" si="35"/>
        <v>22562</v>
      </c>
      <c r="Y76" s="57">
        <f t="shared" si="34"/>
        <v>56884</v>
      </c>
      <c r="AC76" s="134">
        <v>1</v>
      </c>
      <c r="AD76" s="134">
        <v>1.1000000000000001</v>
      </c>
      <c r="AE76" s="134">
        <v>1.3</v>
      </c>
      <c r="AF76" s="134">
        <v>1.2</v>
      </c>
      <c r="AG76" s="134">
        <v>0</v>
      </c>
      <c r="AH76" s="134">
        <v>1</v>
      </c>
      <c r="AI76" s="134">
        <v>1</v>
      </c>
      <c r="AJ76" s="134">
        <v>1</v>
      </c>
      <c r="AL76" s="2" t="e">
        <f>IF(AND(Y32&gt;=$W$9,Y32&lt;=$W$9+5),0,IF($C$9&gt;$AF$51,ROUND(AI36*#REF!/(DATEVALUE(CONCATENATE("01/01/",YEAR(Z32)+1))-DATEVALUE(CONCATENATE("01/01/",YEAR(Z32))))*(Z32-Z31),2),0))</f>
        <v>#REF!</v>
      </c>
      <c r="AM76" s="34">
        <f t="shared" si="37"/>
        <v>23217</v>
      </c>
      <c r="AN76" s="57">
        <f t="shared" si="36"/>
        <v>55424</v>
      </c>
      <c r="AO76" s="130">
        <f t="shared" si="50"/>
        <v>0</v>
      </c>
      <c r="AP76" s="553">
        <f t="shared" ref="AP76:AP108" si="64">AP75+1</f>
        <v>68</v>
      </c>
      <c r="AQ76" s="554">
        <f t="shared" si="51"/>
        <v>46909</v>
      </c>
      <c r="AR76" s="555">
        <f t="shared" si="41"/>
        <v>0.13900000000000001</v>
      </c>
      <c r="AS76" s="559">
        <f t="shared" si="52"/>
        <v>0</v>
      </c>
      <c r="AT76" s="546">
        <f t="shared" si="53"/>
        <v>0</v>
      </c>
      <c r="AU76" s="546">
        <f t="shared" si="54"/>
        <v>0</v>
      </c>
      <c r="AV76" s="546">
        <f t="shared" si="55"/>
        <v>0</v>
      </c>
      <c r="AW76" s="559"/>
      <c r="AX76" s="559">
        <v>0</v>
      </c>
      <c r="AY76" s="559">
        <f t="shared" si="17"/>
        <v>0</v>
      </c>
      <c r="AZ76" s="559">
        <f t="shared" si="32"/>
        <v>0</v>
      </c>
      <c r="BA76" s="559">
        <f t="shared" si="30"/>
        <v>0</v>
      </c>
      <c r="BB76" s="559"/>
      <c r="BC76" s="559"/>
      <c r="BD76" s="559"/>
      <c r="BE76" s="559"/>
      <c r="BF76" s="559"/>
      <c r="BG76" s="546">
        <f t="shared" si="56"/>
        <v>0</v>
      </c>
      <c r="BH76" s="108">
        <f t="shared" ref="BH76:BH114" si="65">IF((BH75-1)&lt;0,0,BH75-1)</f>
        <v>0</v>
      </c>
      <c r="BI76" s="108">
        <f t="shared" si="60"/>
        <v>0</v>
      </c>
      <c r="BJ76" s="22">
        <f t="shared" si="61"/>
        <v>46909</v>
      </c>
      <c r="BK76" s="108">
        <f t="shared" si="42"/>
        <v>0</v>
      </c>
      <c r="BL76" s="2" t="e">
        <f>IF(AND(G31&gt;=$W$9,G31&lt;=$W$9+5),0,IF($C$9&gt;$AF$51,ROUND(BG30*IF(#REF!="",0,#REF!)/(DATEVALUE(CONCATENATE("01/01/",YEAR(AQ31)+1))-DATEVALUE(CONCATENATE("01/01/",YEAR(AQ31))))*(AQ31-AQ30),2),0))</f>
        <v>#REF!</v>
      </c>
    </row>
    <row r="77" spans="1:64" s="16" customFormat="1" x14ac:dyDescent="0.3">
      <c r="A77" s="178"/>
      <c r="B77" s="178"/>
      <c r="C77" s="184"/>
      <c r="D77" s="184"/>
      <c r="E77" s="178"/>
      <c r="F77" s="178"/>
      <c r="G77" s="244">
        <f t="shared" si="62"/>
        <v>69</v>
      </c>
      <c r="H77" s="245">
        <f t="shared" si="43"/>
        <v>46939</v>
      </c>
      <c r="I77" s="246">
        <f t="shared" si="44"/>
        <v>4.9000000000000002E-2</v>
      </c>
      <c r="J77" s="242">
        <f t="shared" si="45"/>
        <v>0</v>
      </c>
      <c r="K77" s="242">
        <f t="shared" si="57"/>
        <v>0</v>
      </c>
      <c r="L77" s="242">
        <f t="shared" si="46"/>
        <v>0</v>
      </c>
      <c r="M77" s="242">
        <f t="shared" si="58"/>
        <v>0</v>
      </c>
      <c r="N77" s="242">
        <f t="shared" si="40"/>
        <v>0</v>
      </c>
      <c r="O77" s="242">
        <v>0</v>
      </c>
      <c r="P77" s="242">
        <f t="shared" si="22"/>
        <v>0</v>
      </c>
      <c r="Q77" s="242">
        <f t="shared" si="29"/>
        <v>0</v>
      </c>
      <c r="R77" s="242">
        <f t="shared" si="47"/>
        <v>0</v>
      </c>
      <c r="S77" s="242">
        <f t="shared" si="59"/>
        <v>0</v>
      </c>
      <c r="T77" s="467"/>
      <c r="U77" s="36">
        <f t="shared" si="63"/>
        <v>0</v>
      </c>
      <c r="V77" s="36">
        <f t="shared" si="49"/>
        <v>0</v>
      </c>
      <c r="W77" s="2" t="e">
        <f>IF(AND(G42&gt;=$W$9,G42&lt;=$W$9+5),0,IF($C$9&gt;$AF$51,ROUND(S41*#REF!/(DATEVALUE(CONCATENATE("01/01/",YEAR(H42)+1))-DATEVALUE(CONCATENATE("01/01/",YEAR(H42))))*(H42-H41),2),0))</f>
        <v>#REF!</v>
      </c>
      <c r="X77" s="34">
        <f t="shared" si="35"/>
        <v>22562</v>
      </c>
      <c r="Y77" s="57">
        <f t="shared" si="34"/>
        <v>57249</v>
      </c>
      <c r="AC77" s="16">
        <f>IF($C$7&gt;=$AA$71,AC76,IF($C$7&gt;=$AA$70,AC75,IF($C$7&gt;=$AA$69,AC74,IF($C$7&gt;=$AA$68,AC73,AC72))))</f>
        <v>1.1000000000000001</v>
      </c>
      <c r="AD77" s="16">
        <v>1.3</v>
      </c>
      <c r="AE77" s="16">
        <f t="shared" ref="AE77:AI77" si="66">IF($C$7&gt;=$AA$71,AE76,IF($C$7&gt;=$AA$70,AE75,IF($C$7&gt;=$AA$69,AE74,IF($C$7&gt;=$AA$68,AE73,AE72))))</f>
        <v>1.3</v>
      </c>
      <c r="AF77" s="16">
        <f t="shared" si="66"/>
        <v>1.2</v>
      </c>
      <c r="AG77" s="16">
        <f t="shared" si="66"/>
        <v>0</v>
      </c>
      <c r="AH77" s="16">
        <f t="shared" si="66"/>
        <v>1</v>
      </c>
      <c r="AI77" s="16">
        <f t="shared" si="66"/>
        <v>1.3</v>
      </c>
      <c r="AJ77" s="16">
        <v>1</v>
      </c>
      <c r="AL77" s="2" t="e">
        <f>IF(AND(#REF!&gt;=$W$9,#REF!&lt;=$W$9+5),0,IF($C$9&gt;$AF$51,ROUND(AI37*#REF!/(DATEVALUE(CONCATENATE("01/01/",YEAR(#REF!)+1))-DATEVALUE(CONCATENATE("01/01/",YEAR(#REF!))))*(#REF!-Z32),2),0))</f>
        <v>#REF!</v>
      </c>
      <c r="AM77" s="34">
        <f t="shared" si="37"/>
        <v>23217</v>
      </c>
      <c r="AN77" s="57">
        <f t="shared" si="36"/>
        <v>55789</v>
      </c>
      <c r="AO77" s="130">
        <f t="shared" si="50"/>
        <v>0</v>
      </c>
      <c r="AP77" s="553">
        <f t="shared" si="64"/>
        <v>69</v>
      </c>
      <c r="AQ77" s="554">
        <f t="shared" si="51"/>
        <v>46939</v>
      </c>
      <c r="AR77" s="555">
        <f t="shared" si="41"/>
        <v>0.13900000000000001</v>
      </c>
      <c r="AS77" s="559">
        <f t="shared" si="52"/>
        <v>0</v>
      </c>
      <c r="AT77" s="546">
        <f t="shared" si="53"/>
        <v>0</v>
      </c>
      <c r="AU77" s="546">
        <f t="shared" si="54"/>
        <v>0</v>
      </c>
      <c r="AV77" s="546">
        <f t="shared" si="55"/>
        <v>0</v>
      </c>
      <c r="AW77" s="559"/>
      <c r="AX77" s="559">
        <v>0</v>
      </c>
      <c r="AY77" s="559">
        <f t="shared" si="17"/>
        <v>0</v>
      </c>
      <c r="AZ77" s="559">
        <f t="shared" si="32"/>
        <v>0</v>
      </c>
      <c r="BA77" s="559">
        <f t="shared" si="30"/>
        <v>0</v>
      </c>
      <c r="BB77" s="559"/>
      <c r="BC77" s="559"/>
      <c r="BD77" s="559"/>
      <c r="BE77" s="559"/>
      <c r="BF77" s="559"/>
      <c r="BG77" s="546">
        <f t="shared" si="56"/>
        <v>0</v>
      </c>
      <c r="BH77" s="108">
        <f t="shared" si="65"/>
        <v>0</v>
      </c>
      <c r="BI77" s="108">
        <f t="shared" si="60"/>
        <v>0</v>
      </c>
      <c r="BJ77" s="22">
        <f t="shared" si="61"/>
        <v>46939</v>
      </c>
      <c r="BK77" s="108">
        <f t="shared" si="42"/>
        <v>0</v>
      </c>
      <c r="BL77" s="2" t="e">
        <f>IF(AND(G32&gt;=$W$9,G32&lt;=$W$9+5),0,IF($C$9&gt;$AF$51,ROUND(BG31*IF(#REF!="",0,#REF!)/(DATEVALUE(CONCATENATE("01/01/",YEAR(AQ32)+1))-DATEVALUE(CONCATENATE("01/01/",YEAR(AQ32))))*(AQ32-AQ31),2),0))</f>
        <v>#REF!</v>
      </c>
    </row>
    <row r="78" spans="1:64" s="16" customFormat="1" x14ac:dyDescent="0.3">
      <c r="A78" s="178"/>
      <c r="B78" s="178"/>
      <c r="C78" s="184"/>
      <c r="D78" s="184"/>
      <c r="E78" s="178"/>
      <c r="F78" s="178"/>
      <c r="G78" s="244">
        <f t="shared" si="62"/>
        <v>70</v>
      </c>
      <c r="H78" s="245">
        <f t="shared" si="43"/>
        <v>46970</v>
      </c>
      <c r="I78" s="246">
        <f t="shared" si="44"/>
        <v>4.9000000000000002E-2</v>
      </c>
      <c r="J78" s="242">
        <f t="shared" si="45"/>
        <v>0</v>
      </c>
      <c r="K78" s="242">
        <f t="shared" si="57"/>
        <v>0</v>
      </c>
      <c r="L78" s="242">
        <f t="shared" si="46"/>
        <v>0</v>
      </c>
      <c r="M78" s="242">
        <f t="shared" si="58"/>
        <v>0</v>
      </c>
      <c r="N78" s="242">
        <f t="shared" si="40"/>
        <v>0</v>
      </c>
      <c r="O78" s="242">
        <v>0</v>
      </c>
      <c r="P78" s="242">
        <f t="shared" si="22"/>
        <v>0</v>
      </c>
      <c r="Q78" s="242">
        <f t="shared" si="29"/>
        <v>0</v>
      </c>
      <c r="R78" s="242">
        <f t="shared" si="47"/>
        <v>0</v>
      </c>
      <c r="S78" s="242">
        <f t="shared" si="59"/>
        <v>0</v>
      </c>
      <c r="T78" s="467"/>
      <c r="U78" s="36">
        <f t="shared" si="63"/>
        <v>0</v>
      </c>
      <c r="V78" s="36">
        <f t="shared" si="49"/>
        <v>0</v>
      </c>
      <c r="W78" s="2" t="e">
        <f>IF(AND(G43&gt;=$W$9,G43&lt;=$W$9+5),0,IF($C$9&gt;$AF$51,ROUND(S42*#REF!/(DATEVALUE(CONCATENATE("01/01/",YEAR(H43)+1))-DATEVALUE(CONCATENATE("01/01/",YEAR(H43))))*(H43-H42),2),0))</f>
        <v>#REF!</v>
      </c>
      <c r="X78" s="34">
        <f t="shared" si="35"/>
        <v>22562</v>
      </c>
      <c r="Y78" s="57">
        <f t="shared" si="34"/>
        <v>57614</v>
      </c>
      <c r="AC78" s="16" t="s">
        <v>330</v>
      </c>
      <c r="AD78" s="16" t="s">
        <v>112</v>
      </c>
      <c r="AE78" s="16" t="s">
        <v>116</v>
      </c>
      <c r="AF78" s="16" t="s">
        <v>117</v>
      </c>
      <c r="AG78" s="16" t="s">
        <v>113</v>
      </c>
      <c r="AH78" s="16" t="s">
        <v>122</v>
      </c>
      <c r="AI78" s="16" t="s">
        <v>121</v>
      </c>
      <c r="AL78" s="2" t="e">
        <f>IF(AND(#REF!&gt;=$W$9,#REF!&lt;=$W$9+5),0,IF($C$9&gt;$AF$51,ROUND(AI38*#REF!/(DATEVALUE(CONCATENATE("01/01/",YEAR(#REF!)+1))-DATEVALUE(CONCATENATE("01/01/",YEAR(#REF!))))*(#REF!-#REF!),2),0))</f>
        <v>#REF!</v>
      </c>
      <c r="AM78" s="34">
        <f t="shared" si="37"/>
        <v>23217</v>
      </c>
      <c r="AN78" s="57">
        <f t="shared" si="36"/>
        <v>56154</v>
      </c>
      <c r="AO78" s="130">
        <f t="shared" si="50"/>
        <v>0</v>
      </c>
      <c r="AP78" s="553">
        <f t="shared" si="64"/>
        <v>70</v>
      </c>
      <c r="AQ78" s="554">
        <f t="shared" si="51"/>
        <v>46970</v>
      </c>
      <c r="AR78" s="555">
        <f t="shared" si="41"/>
        <v>0.13900000000000001</v>
      </c>
      <c r="AS78" s="559">
        <f t="shared" si="52"/>
        <v>0</v>
      </c>
      <c r="AT78" s="546">
        <f t="shared" si="53"/>
        <v>0</v>
      </c>
      <c r="AU78" s="546">
        <f t="shared" si="54"/>
        <v>0</v>
      </c>
      <c r="AV78" s="546">
        <f t="shared" si="55"/>
        <v>0</v>
      </c>
      <c r="AW78" s="559"/>
      <c r="AX78" s="559">
        <v>0</v>
      </c>
      <c r="AY78" s="559">
        <f t="shared" si="17"/>
        <v>0</v>
      </c>
      <c r="AZ78" s="559">
        <f t="shared" si="32"/>
        <v>0</v>
      </c>
      <c r="BA78" s="559">
        <f t="shared" si="30"/>
        <v>0</v>
      </c>
      <c r="BB78" s="559"/>
      <c r="BC78" s="559"/>
      <c r="BD78" s="559"/>
      <c r="BE78" s="559"/>
      <c r="BF78" s="559"/>
      <c r="BG78" s="546">
        <f t="shared" si="56"/>
        <v>0</v>
      </c>
      <c r="BH78" s="108">
        <f t="shared" si="65"/>
        <v>0</v>
      </c>
      <c r="BI78" s="108">
        <f t="shared" si="60"/>
        <v>0</v>
      </c>
      <c r="BJ78" s="22">
        <f t="shared" si="61"/>
        <v>46970</v>
      </c>
      <c r="BK78" s="108">
        <f t="shared" si="42"/>
        <v>0</v>
      </c>
      <c r="BL78" s="2" t="e">
        <f>IF(AND(G33&gt;=$W$9,G33&lt;=$W$9+5),0,IF($C$9&gt;$AF$51,ROUND(BG32*IF(#REF!="",0,#REF!)/(DATEVALUE(CONCATENATE("01/01/",YEAR(AQ33)+1))-DATEVALUE(CONCATENATE("01/01/",YEAR(AQ33))))*(AQ33-AQ32),2),0))</f>
        <v>#REF!</v>
      </c>
    </row>
    <row r="79" spans="1:64" s="16" customFormat="1" x14ac:dyDescent="0.3">
      <c r="A79" s="178"/>
      <c r="B79" s="178"/>
      <c r="C79" s="184"/>
      <c r="D79" s="184"/>
      <c r="E79" s="178"/>
      <c r="F79" s="178"/>
      <c r="G79" s="244">
        <f t="shared" si="62"/>
        <v>71</v>
      </c>
      <c r="H79" s="245">
        <f t="shared" si="43"/>
        <v>47001</v>
      </c>
      <c r="I79" s="246">
        <f t="shared" si="44"/>
        <v>4.9000000000000002E-2</v>
      </c>
      <c r="J79" s="242">
        <f t="shared" si="45"/>
        <v>0</v>
      </c>
      <c r="K79" s="242">
        <f t="shared" si="57"/>
        <v>0</v>
      </c>
      <c r="L79" s="242">
        <f t="shared" si="46"/>
        <v>0</v>
      </c>
      <c r="M79" s="242">
        <f t="shared" si="58"/>
        <v>0</v>
      </c>
      <c r="N79" s="242">
        <f t="shared" si="40"/>
        <v>0</v>
      </c>
      <c r="O79" s="242">
        <v>0</v>
      </c>
      <c r="P79" s="242">
        <f t="shared" si="22"/>
        <v>0</v>
      </c>
      <c r="Q79" s="242">
        <f t="shared" ref="Q79:Q108" si="67">IF(V79=0,0,0)</f>
        <v>0</v>
      </c>
      <c r="R79" s="242">
        <f t="shared" si="47"/>
        <v>0</v>
      </c>
      <c r="S79" s="242">
        <f t="shared" si="59"/>
        <v>0</v>
      </c>
      <c r="T79" s="467"/>
      <c r="U79" s="36">
        <f t="shared" si="63"/>
        <v>0</v>
      </c>
      <c r="V79" s="36">
        <f t="shared" si="49"/>
        <v>0</v>
      </c>
      <c r="W79" s="2" t="e">
        <f>IF(AND(G44&gt;=$W$9,G44&lt;=$W$9+5),0,IF($C$9&gt;$AF$51,ROUND(S43*#REF!/(DATEVALUE(CONCATENATE("01/01/",YEAR(H44)+1))-DATEVALUE(CONCATENATE("01/01/",YEAR(H44))))*(H44-H43),2),0))</f>
        <v>#REF!</v>
      </c>
      <c r="X79" s="34">
        <f t="shared" si="35"/>
        <v>22562</v>
      </c>
      <c r="Y79" s="57">
        <f t="shared" si="34"/>
        <v>57979</v>
      </c>
      <c r="AC79" s="143">
        <f>MIN($C$7*IF($C$7&gt;$AB$71,AC76,IF($C$7&gt;$AB$70,AC75,IF($C$7&gt;$AB$69,AC74,IF($C$7&gt;$AB$68,AC73,AC72)))),5000000)</f>
        <v>1000000</v>
      </c>
      <c r="AD79" s="143">
        <f>MIN($C$7*IF($C$7&gt;$AB$72,AD77,IF($C$7&gt;$AB$77,AD76,IF($C$7&gt;$AB$70,AD75,IF($C$7&gt;$AB$69,AD74,IF($C$7&gt;$AB$68,AD73,AD72))))),5000000)</f>
        <v>1300000</v>
      </c>
      <c r="AE79" s="143">
        <f>MIN(3000000,$C$7*IF($C$7&gt;=$AA$71,AE76,IF($C$7&gt;=$AA$70,AE75,IF($C$7&gt;=$AA$69,AE74,IF($C$7&gt;=$AA$68,AE73,AE72)))))</f>
        <v>1300000</v>
      </c>
      <c r="AF79" s="143">
        <f>MIN(3000000,$C$7*IF($C$7&gt;=$AA$71,AF76,IF($C$7&gt;=$AA$70,AF75,IF($C$7&gt;=$AA$69,AF74,IF($C$7&gt;=$AA$68,AF73,AF72)))))</f>
        <v>1200000</v>
      </c>
      <c r="AG79" s="143">
        <f>MIN(3000000,$C$7*IF($C$7&gt;=$AA$71,AG76,IF($C$7&gt;=$AA$70,AG75,IF($C$7&gt;=$AA$69,AG74,IF($C$7&gt;=$AA$68,AG73,AG72)))))</f>
        <v>0</v>
      </c>
      <c r="AH79" s="143">
        <f>$C$7*IF($C$7&gt;=$AA$71,AH76,IF($C$7&gt;=$AA$70,AH75,IF($C$7&gt;=$AA$69,AH74,IF($C$7&gt;=$AA$68,AH73,AH72))))</f>
        <v>1000000</v>
      </c>
      <c r="AI79" s="143">
        <f>$C$7*IF($C$7&gt;=$AA$71,AI76,IF($C$7&gt;=$AA$70,AI75,IF($C$7&gt;=$AA$69,AI74,IF($C$7&gt;=$AA$68,AI73,AI72))))</f>
        <v>1300000</v>
      </c>
      <c r="AL79" s="2" t="e">
        <f>IF(AND(#REF!&gt;=$W$9,#REF!&lt;=$W$9+5),0,IF($C$9&gt;$AF$51,ROUND(AI39*#REF!/(DATEVALUE(CONCATENATE("01/01/",YEAR(#REF!)+1))-DATEVALUE(CONCATENATE("01/01/",YEAR(#REF!))))*(#REF!-#REF!),2),0))</f>
        <v>#REF!</v>
      </c>
      <c r="AM79" s="34">
        <f t="shared" si="37"/>
        <v>23217</v>
      </c>
      <c r="AN79" s="57">
        <f t="shared" si="36"/>
        <v>56519</v>
      </c>
      <c r="AO79" s="130">
        <f t="shared" si="50"/>
        <v>0</v>
      </c>
      <c r="AP79" s="553">
        <f t="shared" si="64"/>
        <v>71</v>
      </c>
      <c r="AQ79" s="554">
        <f t="shared" si="51"/>
        <v>47001</v>
      </c>
      <c r="AR79" s="555">
        <f t="shared" si="41"/>
        <v>0.13900000000000001</v>
      </c>
      <c r="AS79" s="559">
        <f t="shared" si="52"/>
        <v>0</v>
      </c>
      <c r="AT79" s="546">
        <f t="shared" si="53"/>
        <v>0</v>
      </c>
      <c r="AU79" s="546">
        <f t="shared" si="54"/>
        <v>0</v>
      </c>
      <c r="AV79" s="546">
        <f t="shared" si="55"/>
        <v>0</v>
      </c>
      <c r="AW79" s="559"/>
      <c r="AX79" s="559">
        <v>0</v>
      </c>
      <c r="AY79" s="559">
        <f t="shared" si="17"/>
        <v>0</v>
      </c>
      <c r="AZ79" s="559">
        <f t="shared" si="32"/>
        <v>0</v>
      </c>
      <c r="BA79" s="559">
        <f t="shared" si="30"/>
        <v>0</v>
      </c>
      <c r="BB79" s="559"/>
      <c r="BC79" s="559"/>
      <c r="BD79" s="559"/>
      <c r="BE79" s="559"/>
      <c r="BF79" s="559"/>
      <c r="BG79" s="546">
        <f t="shared" si="56"/>
        <v>0</v>
      </c>
      <c r="BH79" s="108">
        <f t="shared" si="65"/>
        <v>0</v>
      </c>
      <c r="BI79" s="108">
        <f t="shared" si="60"/>
        <v>0</v>
      </c>
      <c r="BJ79" s="22">
        <f t="shared" si="61"/>
        <v>47001</v>
      </c>
      <c r="BK79" s="108">
        <f t="shared" si="42"/>
        <v>0</v>
      </c>
      <c r="BL79" s="2" t="e">
        <f>IF(AND(G34&gt;=$W$9,G34&lt;=$W$9+5),0,IF($C$9&gt;$AF$51,ROUND(BG33*IF(#REF!="",0,#REF!)/(DATEVALUE(CONCATENATE("01/01/",YEAR(AQ34)+1))-DATEVALUE(CONCATENATE("01/01/",YEAR(AQ34))))*(AQ34-AQ33),2),0))</f>
        <v>#REF!</v>
      </c>
    </row>
    <row r="80" spans="1:64" s="16" customFormat="1" ht="13.8" thickBot="1" x14ac:dyDescent="0.35">
      <c r="A80" s="178"/>
      <c r="B80" s="178"/>
      <c r="C80" s="184"/>
      <c r="D80" s="184"/>
      <c r="E80" s="178"/>
      <c r="F80" s="178"/>
      <c r="G80" s="248">
        <f t="shared" si="62"/>
        <v>72</v>
      </c>
      <c r="H80" s="581">
        <f t="shared" si="43"/>
        <v>47031</v>
      </c>
      <c r="I80" s="250">
        <f t="shared" si="44"/>
        <v>4.9000000000000002E-2</v>
      </c>
      <c r="J80" s="242">
        <f t="shared" si="45"/>
        <v>0</v>
      </c>
      <c r="K80" s="252">
        <f t="shared" si="57"/>
        <v>0</v>
      </c>
      <c r="L80" s="252">
        <f t="shared" si="46"/>
        <v>0</v>
      </c>
      <c r="M80" s="252">
        <f t="shared" si="58"/>
        <v>0</v>
      </c>
      <c r="N80" s="252">
        <f t="shared" si="40"/>
        <v>0</v>
      </c>
      <c r="O80" s="252">
        <v>0</v>
      </c>
      <c r="P80" s="252">
        <f t="shared" si="22"/>
        <v>0</v>
      </c>
      <c r="Q80" s="252">
        <f t="shared" si="67"/>
        <v>0</v>
      </c>
      <c r="R80" s="252">
        <f t="shared" si="47"/>
        <v>0</v>
      </c>
      <c r="S80" s="252">
        <f t="shared" si="59"/>
        <v>0</v>
      </c>
      <c r="T80" s="252"/>
      <c r="U80" s="36">
        <f t="shared" si="63"/>
        <v>0</v>
      </c>
      <c r="V80" s="36">
        <f t="shared" si="49"/>
        <v>0</v>
      </c>
      <c r="W80" s="2" t="e">
        <f>IF(AND(G45&gt;=$W$9,G45&lt;=$W$9+5),0,IF($C$9&gt;$AF$51,ROUND(S44*#REF!/(DATEVALUE(CONCATENATE("01/01/",YEAR(H45)+1))-DATEVALUE(CONCATENATE("01/01/",YEAR(H45))))*(H45-H44),2),0))</f>
        <v>#REF!</v>
      </c>
      <c r="X80" s="34">
        <f t="shared" si="35"/>
        <v>22562</v>
      </c>
      <c r="Y80" s="57">
        <f t="shared" si="34"/>
        <v>58344</v>
      </c>
      <c r="AL80" s="2" t="e">
        <f>IF(AND(#REF!&gt;=$W$9,#REF!&lt;=$W$9+5),0,IF($C$9&gt;$AF$51,ROUND(AI40*#REF!/(DATEVALUE(CONCATENATE("01/01/",YEAR(#REF!)+1))-DATEVALUE(CONCATENATE("01/01/",YEAR(#REF!))))*(#REF!-#REF!),2),0))</f>
        <v>#REF!</v>
      </c>
      <c r="AM80" s="34">
        <f t="shared" si="37"/>
        <v>23217</v>
      </c>
      <c r="AN80" s="57">
        <f t="shared" si="36"/>
        <v>56884</v>
      </c>
      <c r="AO80" s="130">
        <f t="shared" si="50"/>
        <v>0</v>
      </c>
      <c r="AP80" s="556">
        <f t="shared" si="64"/>
        <v>72</v>
      </c>
      <c r="AQ80" s="582">
        <f t="shared" si="51"/>
        <v>47031</v>
      </c>
      <c r="AR80" s="557">
        <f t="shared" si="41"/>
        <v>0.13900000000000001</v>
      </c>
      <c r="AS80" s="560">
        <f t="shared" si="52"/>
        <v>0</v>
      </c>
      <c r="AT80" s="547">
        <f t="shared" si="53"/>
        <v>0</v>
      </c>
      <c r="AU80" s="547">
        <f t="shared" si="54"/>
        <v>0</v>
      </c>
      <c r="AV80" s="547">
        <f t="shared" si="55"/>
        <v>0</v>
      </c>
      <c r="AW80" s="560"/>
      <c r="AX80" s="560">
        <v>0</v>
      </c>
      <c r="AY80" s="560">
        <f t="shared" si="17"/>
        <v>0</v>
      </c>
      <c r="AZ80" s="560">
        <f t="shared" si="32"/>
        <v>0</v>
      </c>
      <c r="BA80" s="560">
        <f t="shared" si="30"/>
        <v>0</v>
      </c>
      <c r="BB80" s="560"/>
      <c r="BC80" s="560"/>
      <c r="BD80" s="560"/>
      <c r="BE80" s="560"/>
      <c r="BF80" s="560"/>
      <c r="BG80" s="547">
        <f t="shared" si="56"/>
        <v>0</v>
      </c>
      <c r="BH80" s="108">
        <f t="shared" si="65"/>
        <v>0</v>
      </c>
      <c r="BI80" s="108">
        <f t="shared" si="60"/>
        <v>0</v>
      </c>
      <c r="BJ80" s="22">
        <f t="shared" si="61"/>
        <v>47031</v>
      </c>
      <c r="BK80" s="108">
        <f t="shared" si="42"/>
        <v>0</v>
      </c>
      <c r="BL80" s="2" t="e">
        <f>IF(AND(G35&gt;=$W$9,G35&lt;=$W$9+5),0,IF($C$9&gt;$AF$51,ROUND(BG34*IF(#REF!="",0,#REF!)/(DATEVALUE(CONCATENATE("01/01/",YEAR(AQ35)+1))-DATEVALUE(CONCATENATE("01/01/",YEAR(AQ35))))*(AQ35-AQ34),2),0))</f>
        <v>#REF!</v>
      </c>
    </row>
    <row r="81" spans="1:84" s="16" customFormat="1" x14ac:dyDescent="0.3">
      <c r="A81" s="178"/>
      <c r="B81" s="178"/>
      <c r="C81" s="184"/>
      <c r="D81" s="184"/>
      <c r="E81" s="184"/>
      <c r="F81" s="178"/>
      <c r="G81" s="244">
        <f t="shared" si="62"/>
        <v>73</v>
      </c>
      <c r="H81" s="245">
        <f t="shared" si="43"/>
        <v>47062</v>
      </c>
      <c r="I81" s="246">
        <f t="shared" si="44"/>
        <v>4.9000000000000002E-2</v>
      </c>
      <c r="J81" s="242">
        <f t="shared" si="45"/>
        <v>0</v>
      </c>
      <c r="K81" s="242">
        <f t="shared" si="57"/>
        <v>0</v>
      </c>
      <c r="L81" s="242">
        <f t="shared" si="46"/>
        <v>0</v>
      </c>
      <c r="M81" s="242">
        <f t="shared" si="58"/>
        <v>0</v>
      </c>
      <c r="N81" s="242">
        <f t="shared" si="40"/>
        <v>0</v>
      </c>
      <c r="O81" s="242">
        <v>0</v>
      </c>
      <c r="P81" s="242">
        <f t="shared" si="22"/>
        <v>0</v>
      </c>
      <c r="Q81" s="242">
        <f t="shared" si="67"/>
        <v>0</v>
      </c>
      <c r="R81" s="242">
        <f t="shared" si="47"/>
        <v>0</v>
      </c>
      <c r="S81" s="242">
        <f t="shared" si="59"/>
        <v>0</v>
      </c>
      <c r="T81" s="467"/>
      <c r="U81" s="36">
        <f t="shared" si="63"/>
        <v>0</v>
      </c>
      <c r="V81" s="36">
        <f t="shared" si="49"/>
        <v>0</v>
      </c>
      <c r="W81" s="2" t="e">
        <f>IF(AND(G46&gt;=$W$9,G46&lt;=$W$9+5),0,IF($C$9&gt;$AF$51,ROUND(S45*#REF!/(DATEVALUE(CONCATENATE("01/01/",YEAR(H46)+1))-DATEVALUE(CONCATENATE("01/01/",YEAR(H46))))*(H46-H45),2),0))</f>
        <v>#REF!</v>
      </c>
      <c r="X81" s="34">
        <f t="shared" si="35"/>
        <v>22562</v>
      </c>
      <c r="Y81" s="57">
        <f t="shared" si="34"/>
        <v>58709</v>
      </c>
      <c r="AL81" s="2" t="e">
        <f>IF(AND(#REF!&gt;=$W$9,#REF!&lt;=$W$9+5),0,IF($C$9&gt;$AF$51,ROUND(AI41*#REF!/(DATEVALUE(CONCATENATE("01/01/",YEAR(#REF!)+1))-DATEVALUE(CONCATENATE("01/01/",YEAR(#REF!))))*(#REF!-#REF!),2),0))</f>
        <v>#REF!</v>
      </c>
      <c r="AM81" s="34">
        <f t="shared" si="37"/>
        <v>23217</v>
      </c>
      <c r="AN81" s="57">
        <f t="shared" si="36"/>
        <v>57249</v>
      </c>
      <c r="AO81" s="130">
        <f t="shared" si="50"/>
        <v>0</v>
      </c>
      <c r="AP81" s="553">
        <f t="shared" si="64"/>
        <v>73</v>
      </c>
      <c r="AQ81" s="554">
        <f t="shared" si="51"/>
        <v>47062</v>
      </c>
      <c r="AR81" s="555">
        <f t="shared" si="41"/>
        <v>0.13900000000000001</v>
      </c>
      <c r="AS81" s="559">
        <f t="shared" si="52"/>
        <v>0</v>
      </c>
      <c r="AT81" s="546">
        <f t="shared" si="53"/>
        <v>0</v>
      </c>
      <c r="AU81" s="546">
        <f t="shared" si="54"/>
        <v>0</v>
      </c>
      <c r="AV81" s="546">
        <f t="shared" si="55"/>
        <v>0</v>
      </c>
      <c r="AW81" s="559"/>
      <c r="AX81" s="559">
        <v>0</v>
      </c>
      <c r="AY81" s="559">
        <f t="shared" si="17"/>
        <v>0</v>
      </c>
      <c r="AZ81" s="559">
        <f t="shared" si="32"/>
        <v>0</v>
      </c>
      <c r="BA81" s="559">
        <f t="shared" si="30"/>
        <v>0</v>
      </c>
      <c r="BB81" s="559"/>
      <c r="BC81" s="559"/>
      <c r="BD81" s="559"/>
      <c r="BE81" s="559"/>
      <c r="BF81" s="559"/>
      <c r="BG81" s="546">
        <f t="shared" si="56"/>
        <v>0</v>
      </c>
      <c r="BH81" s="108">
        <f t="shared" si="65"/>
        <v>0</v>
      </c>
      <c r="BI81" s="108">
        <f t="shared" si="60"/>
        <v>0</v>
      </c>
      <c r="BJ81" s="22">
        <f t="shared" si="61"/>
        <v>47062</v>
      </c>
      <c r="BK81" s="108">
        <f t="shared" si="42"/>
        <v>0</v>
      </c>
      <c r="BL81" s="2" t="e">
        <f>IF(AND(G36&gt;=$W$9,G36&lt;=$W$9+5),0,IF($C$9&gt;$AF$51,ROUND(BG35*IF(#REF!="",0,#REF!)/(DATEVALUE(CONCATENATE("01/01/",YEAR(AQ36)+1))-DATEVALUE(CONCATENATE("01/01/",YEAR(AQ36))))*(AQ36-AQ35),2),0))</f>
        <v>#REF!</v>
      </c>
    </row>
    <row r="82" spans="1:84" s="16" customFormat="1" x14ac:dyDescent="0.3">
      <c r="A82" s="178"/>
      <c r="B82" s="178"/>
      <c r="C82" s="184"/>
      <c r="D82" s="184"/>
      <c r="E82" s="184"/>
      <c r="F82" s="178"/>
      <c r="G82" s="244">
        <f t="shared" si="62"/>
        <v>74</v>
      </c>
      <c r="H82" s="245">
        <f t="shared" si="43"/>
        <v>47092</v>
      </c>
      <c r="I82" s="246">
        <f t="shared" si="44"/>
        <v>4.9000000000000002E-2</v>
      </c>
      <c r="J82" s="242">
        <f t="shared" si="45"/>
        <v>0</v>
      </c>
      <c r="K82" s="242">
        <f t="shared" si="57"/>
        <v>0</v>
      </c>
      <c r="L82" s="242">
        <f t="shared" si="46"/>
        <v>0</v>
      </c>
      <c r="M82" s="242">
        <f t="shared" si="58"/>
        <v>0</v>
      </c>
      <c r="N82" s="242">
        <f t="shared" si="40"/>
        <v>0</v>
      </c>
      <c r="O82" s="242">
        <v>0</v>
      </c>
      <c r="P82" s="242">
        <f t="shared" si="22"/>
        <v>0</v>
      </c>
      <c r="Q82" s="242">
        <f t="shared" si="67"/>
        <v>0</v>
      </c>
      <c r="R82" s="242">
        <f t="shared" si="47"/>
        <v>0</v>
      </c>
      <c r="S82" s="242">
        <f t="shared" si="59"/>
        <v>0</v>
      </c>
      <c r="T82" s="467"/>
      <c r="U82" s="36">
        <f t="shared" si="63"/>
        <v>0</v>
      </c>
      <c r="V82" s="36">
        <f t="shared" si="49"/>
        <v>0</v>
      </c>
      <c r="W82" s="2" t="e">
        <f>IF(AND(G47&gt;=$W$9,G47&lt;=$W$9+5),0,IF($C$9&gt;$AF$51,ROUND(S46*#REF!/(DATEVALUE(CONCATENATE("01/01/",YEAR(H47)+1))-DATEVALUE(CONCATENATE("01/01/",YEAR(H47))))*(H47-H46),2),0))</f>
        <v>#REF!</v>
      </c>
      <c r="X82" s="34">
        <f t="shared" si="35"/>
        <v>22562</v>
      </c>
      <c r="Y82" s="57">
        <f t="shared" si="34"/>
        <v>59074</v>
      </c>
      <c r="Z82" s="60">
        <v>43858</v>
      </c>
      <c r="AE82" s="16">
        <f>500000*0.3*60</f>
        <v>9000000</v>
      </c>
      <c r="AL82" s="2" t="e">
        <f>IF(AND(#REF!&gt;=$W$9,#REF!&lt;=$W$9+5),0,IF($C$9&gt;$AF$51,ROUND(AI42*#REF!/(DATEVALUE(CONCATENATE("01/01/",YEAR(#REF!)+1))-DATEVALUE(CONCATENATE("01/01/",YEAR(#REF!))))*(#REF!-#REF!),2),0))</f>
        <v>#REF!</v>
      </c>
      <c r="AM82" s="34">
        <f t="shared" si="37"/>
        <v>23217</v>
      </c>
      <c r="AN82" s="57">
        <f t="shared" si="36"/>
        <v>57614</v>
      </c>
      <c r="AO82" s="130">
        <f t="shared" si="50"/>
        <v>0</v>
      </c>
      <c r="AP82" s="553">
        <f t="shared" si="64"/>
        <v>74</v>
      </c>
      <c r="AQ82" s="554">
        <f t="shared" si="51"/>
        <v>47092</v>
      </c>
      <c r="AR82" s="555">
        <f t="shared" si="41"/>
        <v>0.13900000000000001</v>
      </c>
      <c r="AS82" s="559">
        <f t="shared" si="52"/>
        <v>0</v>
      </c>
      <c r="AT82" s="546">
        <f t="shared" si="53"/>
        <v>0</v>
      </c>
      <c r="AU82" s="546">
        <f t="shared" si="54"/>
        <v>0</v>
      </c>
      <c r="AV82" s="546">
        <f t="shared" si="55"/>
        <v>0</v>
      </c>
      <c r="AW82" s="559"/>
      <c r="AX82" s="559">
        <v>0</v>
      </c>
      <c r="AY82" s="559">
        <f t="shared" si="17"/>
        <v>0</v>
      </c>
      <c r="AZ82" s="559">
        <f t="shared" si="32"/>
        <v>0</v>
      </c>
      <c r="BA82" s="559">
        <f t="shared" si="30"/>
        <v>0</v>
      </c>
      <c r="BB82" s="559"/>
      <c r="BC82" s="559"/>
      <c r="BD82" s="559"/>
      <c r="BE82" s="559"/>
      <c r="BF82" s="559"/>
      <c r="BG82" s="546">
        <f t="shared" si="56"/>
        <v>0</v>
      </c>
      <c r="BH82" s="108">
        <f t="shared" si="65"/>
        <v>0</v>
      </c>
      <c r="BI82" s="108">
        <f t="shared" si="60"/>
        <v>0</v>
      </c>
      <c r="BJ82" s="22">
        <f t="shared" si="61"/>
        <v>47092</v>
      </c>
      <c r="BK82" s="108">
        <f t="shared" si="42"/>
        <v>0</v>
      </c>
      <c r="BL82" s="2" t="e">
        <f>IF(AND(G37&gt;=$W$9,G37&lt;=$W$9+5),0,IF($C$9&gt;$AF$51,ROUND(BG36*IF(#REF!="",0,#REF!)/(DATEVALUE(CONCATENATE("01/01/",YEAR(AQ37)+1))-DATEVALUE(CONCATENATE("01/01/",YEAR(AQ37))))*(AQ37-AQ36),2),0))</f>
        <v>#REF!</v>
      </c>
    </row>
    <row r="83" spans="1:84" s="16" customFormat="1" x14ac:dyDescent="0.3">
      <c r="A83" s="178"/>
      <c r="B83" s="178"/>
      <c r="C83" s="184"/>
      <c r="D83" s="184"/>
      <c r="E83" s="184"/>
      <c r="F83" s="178"/>
      <c r="G83" s="244">
        <f t="shared" si="62"/>
        <v>75</v>
      </c>
      <c r="H83" s="245">
        <f t="shared" si="43"/>
        <v>47123</v>
      </c>
      <c r="I83" s="246">
        <f t="shared" si="44"/>
        <v>4.9000000000000002E-2</v>
      </c>
      <c r="J83" s="242">
        <f t="shared" si="45"/>
        <v>0</v>
      </c>
      <c r="K83" s="242">
        <f t="shared" si="57"/>
        <v>0</v>
      </c>
      <c r="L83" s="242">
        <f t="shared" si="46"/>
        <v>0</v>
      </c>
      <c r="M83" s="242">
        <f t="shared" si="58"/>
        <v>0</v>
      </c>
      <c r="N83" s="242">
        <f t="shared" si="40"/>
        <v>0</v>
      </c>
      <c r="O83" s="242">
        <v>0</v>
      </c>
      <c r="P83" s="242">
        <f t="shared" si="22"/>
        <v>0</v>
      </c>
      <c r="Q83" s="242">
        <f t="shared" si="67"/>
        <v>0</v>
      </c>
      <c r="R83" s="242">
        <f t="shared" si="47"/>
        <v>0</v>
      </c>
      <c r="S83" s="242">
        <f t="shared" si="59"/>
        <v>0</v>
      </c>
      <c r="T83" s="467"/>
      <c r="U83" s="36">
        <f t="shared" si="63"/>
        <v>0</v>
      </c>
      <c r="V83" s="36">
        <f t="shared" si="49"/>
        <v>0</v>
      </c>
      <c r="W83" s="2" t="e">
        <f>IF(AND(G48&gt;=$W$9,G48&lt;=$W$9+5),0,IF($C$9&gt;$AF$51,ROUND(S47*#REF!/(DATEVALUE(CONCATENATE("01/01/",YEAR(H48)+1))-DATEVALUE(CONCATENATE("01/01/",YEAR(H48))))*(H48-H47),2),0))</f>
        <v>#REF!</v>
      </c>
      <c r="X83" s="34">
        <f t="shared" si="35"/>
        <v>22562</v>
      </c>
      <c r="Y83" s="57">
        <f t="shared" si="34"/>
        <v>59439</v>
      </c>
      <c r="AL83" s="2" t="e">
        <f>IF(AND(#REF!&gt;=$W$9,#REF!&lt;=$W$9+5),0,IF($C$9&gt;$AF$51,ROUND(AI43*#REF!/(DATEVALUE(CONCATENATE("01/01/",YEAR(#REF!)+1))-DATEVALUE(CONCATENATE("01/01/",YEAR(#REF!))))*(#REF!-#REF!),2),0))</f>
        <v>#REF!</v>
      </c>
      <c r="AM83" s="34">
        <f t="shared" si="37"/>
        <v>23217</v>
      </c>
      <c r="AN83" s="57">
        <f t="shared" si="36"/>
        <v>57979</v>
      </c>
      <c r="AO83" s="130">
        <f t="shared" si="50"/>
        <v>0</v>
      </c>
      <c r="AP83" s="553">
        <f t="shared" si="64"/>
        <v>75</v>
      </c>
      <c r="AQ83" s="554">
        <f t="shared" si="51"/>
        <v>47123</v>
      </c>
      <c r="AR83" s="555">
        <f t="shared" si="41"/>
        <v>0.13900000000000001</v>
      </c>
      <c r="AS83" s="559">
        <f t="shared" si="52"/>
        <v>0</v>
      </c>
      <c r="AT83" s="546">
        <f t="shared" si="53"/>
        <v>0</v>
      </c>
      <c r="AU83" s="546">
        <f t="shared" si="54"/>
        <v>0</v>
      </c>
      <c r="AV83" s="546">
        <f t="shared" si="55"/>
        <v>0</v>
      </c>
      <c r="AW83" s="559"/>
      <c r="AX83" s="559">
        <v>0</v>
      </c>
      <c r="AY83" s="559">
        <f t="shared" si="17"/>
        <v>0</v>
      </c>
      <c r="AZ83" s="559">
        <f t="shared" si="32"/>
        <v>0</v>
      </c>
      <c r="BA83" s="559">
        <f t="shared" si="30"/>
        <v>0</v>
      </c>
      <c r="BB83" s="559"/>
      <c r="BC83" s="559"/>
      <c r="BD83" s="559"/>
      <c r="BE83" s="559"/>
      <c r="BF83" s="559"/>
      <c r="BG83" s="546">
        <f t="shared" si="56"/>
        <v>0</v>
      </c>
      <c r="BH83" s="108">
        <f t="shared" si="65"/>
        <v>0</v>
      </c>
      <c r="BI83" s="108">
        <f t="shared" si="60"/>
        <v>0</v>
      </c>
      <c r="BJ83" s="22">
        <f t="shared" si="61"/>
        <v>47123</v>
      </c>
      <c r="BK83" s="108">
        <f t="shared" si="42"/>
        <v>0</v>
      </c>
      <c r="BL83" s="2" t="e">
        <f>IF(AND(G38&gt;=$W$9,G38&lt;=$W$9+5),0,IF($C$9&gt;$AF$51,ROUND(BG37*IF(#REF!="",0,#REF!)/(DATEVALUE(CONCATENATE("01/01/",YEAR(AQ38)+1))-DATEVALUE(CONCATENATE("01/01/",YEAR(AQ38))))*(AQ38-AQ37),2),0))</f>
        <v>#REF!</v>
      </c>
    </row>
    <row r="84" spans="1:84" s="16" customFormat="1" x14ac:dyDescent="0.3">
      <c r="A84" s="178"/>
      <c r="B84" s="178"/>
      <c r="C84" s="184"/>
      <c r="D84" s="184"/>
      <c r="E84" s="184"/>
      <c r="F84" s="178"/>
      <c r="G84" s="244">
        <f t="shared" si="62"/>
        <v>76</v>
      </c>
      <c r="H84" s="245">
        <f t="shared" si="43"/>
        <v>47154</v>
      </c>
      <c r="I84" s="246">
        <f t="shared" si="44"/>
        <v>4.9000000000000002E-2</v>
      </c>
      <c r="J84" s="242">
        <f t="shared" si="45"/>
        <v>0</v>
      </c>
      <c r="K84" s="242">
        <f t="shared" si="57"/>
        <v>0</v>
      </c>
      <c r="L84" s="242">
        <f t="shared" si="46"/>
        <v>0</v>
      </c>
      <c r="M84" s="242">
        <f t="shared" si="58"/>
        <v>0</v>
      </c>
      <c r="N84" s="242">
        <f t="shared" si="40"/>
        <v>0</v>
      </c>
      <c r="O84" s="242">
        <v>0</v>
      </c>
      <c r="P84" s="242">
        <f t="shared" si="22"/>
        <v>0</v>
      </c>
      <c r="Q84" s="242">
        <f t="shared" si="67"/>
        <v>0</v>
      </c>
      <c r="R84" s="242">
        <f t="shared" si="47"/>
        <v>0</v>
      </c>
      <c r="S84" s="242">
        <f t="shared" si="59"/>
        <v>0</v>
      </c>
      <c r="T84" s="467"/>
      <c r="U84" s="36">
        <f t="shared" si="63"/>
        <v>0</v>
      </c>
      <c r="V84" s="36">
        <f t="shared" si="49"/>
        <v>0</v>
      </c>
      <c r="W84" s="2" t="e">
        <f>IF(AND(G49&gt;=$W$9,G49&lt;=$W$9+5),0,IF($C$9&gt;$AF$51,ROUND(S48*#REF!/(DATEVALUE(CONCATENATE("01/01/",YEAR(H49)+1))-DATEVALUE(CONCATENATE("01/01/",YEAR(H49))))*(H49-H48),2),0))</f>
        <v>#REF!</v>
      </c>
      <c r="X84" s="34">
        <f t="shared" si="35"/>
        <v>22562</v>
      </c>
      <c r="Y84" s="57">
        <f t="shared" si="34"/>
        <v>59804</v>
      </c>
      <c r="AL84" s="2" t="e">
        <f>IF(AND(#REF!&gt;=$W$9,#REF!&lt;=$W$9+5),0,IF($C$9&gt;$AF$51,ROUND(AI44*#REF!/(DATEVALUE(CONCATENATE("01/01/",YEAR(#REF!)+1))-DATEVALUE(CONCATENATE("01/01/",YEAR(#REF!))))*(#REF!-#REF!),2),0))</f>
        <v>#REF!</v>
      </c>
      <c r="AM84" s="34">
        <f t="shared" si="37"/>
        <v>23217</v>
      </c>
      <c r="AN84" s="57">
        <f t="shared" si="36"/>
        <v>58344</v>
      </c>
      <c r="AO84" s="130">
        <f t="shared" si="50"/>
        <v>0</v>
      </c>
      <c r="AP84" s="553">
        <f t="shared" si="64"/>
        <v>76</v>
      </c>
      <c r="AQ84" s="554">
        <f t="shared" si="51"/>
        <v>47154</v>
      </c>
      <c r="AR84" s="555">
        <f t="shared" si="41"/>
        <v>0.13900000000000001</v>
      </c>
      <c r="AS84" s="559">
        <f t="shared" si="52"/>
        <v>0</v>
      </c>
      <c r="AT84" s="546">
        <f t="shared" si="53"/>
        <v>0</v>
      </c>
      <c r="AU84" s="546">
        <f t="shared" si="54"/>
        <v>0</v>
      </c>
      <c r="AV84" s="546">
        <f t="shared" si="55"/>
        <v>0</v>
      </c>
      <c r="AW84" s="559"/>
      <c r="AX84" s="559">
        <v>0</v>
      </c>
      <c r="AY84" s="559">
        <f t="shared" si="17"/>
        <v>0</v>
      </c>
      <c r="AZ84" s="559">
        <f t="shared" si="32"/>
        <v>0</v>
      </c>
      <c r="BA84" s="559">
        <f t="shared" ref="BA84:BA108" si="68">IF(BI90=0,0,0)</f>
        <v>0</v>
      </c>
      <c r="BB84" s="559"/>
      <c r="BC84" s="559"/>
      <c r="BD84" s="559"/>
      <c r="BE84" s="559"/>
      <c r="BF84" s="559"/>
      <c r="BG84" s="546">
        <f t="shared" si="56"/>
        <v>0</v>
      </c>
      <c r="BH84" s="108">
        <f t="shared" si="65"/>
        <v>0</v>
      </c>
      <c r="BI84" s="108">
        <f t="shared" si="60"/>
        <v>0</v>
      </c>
      <c r="BJ84" s="22">
        <f t="shared" si="61"/>
        <v>47154</v>
      </c>
      <c r="BK84" s="108">
        <f t="shared" si="42"/>
        <v>0</v>
      </c>
      <c r="BL84" s="2" t="e">
        <f>IF(AND(G39&gt;=$W$9,G39&lt;=$W$9+5),0,IF($C$9&gt;$AF$51,ROUND(BG38*IF(#REF!="",0,#REF!)/(DATEVALUE(CONCATENATE("01/01/",YEAR(AQ39)+1))-DATEVALUE(CONCATENATE("01/01/",YEAR(AQ39))))*(AQ39-AQ38),2),0))</f>
        <v>#REF!</v>
      </c>
    </row>
    <row r="85" spans="1:84" s="16" customFormat="1" x14ac:dyDescent="0.3">
      <c r="A85" s="178"/>
      <c r="B85" s="178"/>
      <c r="C85" s="184"/>
      <c r="D85" s="184"/>
      <c r="E85" s="184"/>
      <c r="F85" s="178"/>
      <c r="G85" s="244">
        <f t="shared" si="62"/>
        <v>77</v>
      </c>
      <c r="H85" s="245">
        <f t="shared" si="43"/>
        <v>47182</v>
      </c>
      <c r="I85" s="246">
        <f t="shared" si="44"/>
        <v>4.9000000000000002E-2</v>
      </c>
      <c r="J85" s="242">
        <f t="shared" si="45"/>
        <v>0</v>
      </c>
      <c r="K85" s="242">
        <f t="shared" si="57"/>
        <v>0</v>
      </c>
      <c r="L85" s="242">
        <f t="shared" si="46"/>
        <v>0</v>
      </c>
      <c r="M85" s="242">
        <f t="shared" si="58"/>
        <v>0</v>
      </c>
      <c r="N85" s="242">
        <f t="shared" si="40"/>
        <v>0</v>
      </c>
      <c r="O85" s="242">
        <v>0</v>
      </c>
      <c r="P85" s="242">
        <f t="shared" si="22"/>
        <v>0</v>
      </c>
      <c r="Q85" s="242">
        <f t="shared" si="67"/>
        <v>0</v>
      </c>
      <c r="R85" s="242">
        <f t="shared" si="47"/>
        <v>0</v>
      </c>
      <c r="S85" s="242">
        <f t="shared" si="59"/>
        <v>0</v>
      </c>
      <c r="T85" s="467"/>
      <c r="U85" s="36">
        <f t="shared" si="63"/>
        <v>0</v>
      </c>
      <c r="V85" s="36">
        <f t="shared" si="49"/>
        <v>0</v>
      </c>
      <c r="W85" s="2" t="e">
        <f>IF(AND(G50&gt;=$W$9,G50&lt;=$W$9+5),0,IF($C$9&gt;$AF$51,ROUND(S49*#REF!/(DATEVALUE(CONCATENATE("01/01/",YEAR(H50)+1))-DATEVALUE(CONCATENATE("01/01/",YEAR(H50))))*(H50-H49),2),0))</f>
        <v>#REF!</v>
      </c>
      <c r="X85" s="34">
        <f t="shared" si="35"/>
        <v>22562</v>
      </c>
      <c r="Y85" s="57">
        <f t="shared" si="34"/>
        <v>60169</v>
      </c>
      <c r="AC85" s="890" t="s">
        <v>104</v>
      </c>
      <c r="AD85" s="890"/>
      <c r="AE85" s="890"/>
      <c r="AF85" s="890"/>
      <c r="AG85" s="890"/>
      <c r="AH85" s="890"/>
      <c r="AI85" s="890"/>
      <c r="AL85" s="2" t="e">
        <f>IF(AND(Y42&gt;=$W$9,Y42&lt;=$W$9+5),0,IF($C$9&gt;$AF$51,ROUND(AI45*#REF!/(DATEVALUE(CONCATENATE("01/01/",YEAR(Z42)+1))-DATEVALUE(CONCATENATE("01/01/",YEAR(Z42))))*(Z42-#REF!),2),0))</f>
        <v>#REF!</v>
      </c>
      <c r="AM85" s="34">
        <f t="shared" si="37"/>
        <v>23217</v>
      </c>
      <c r="AN85" s="57">
        <f t="shared" si="36"/>
        <v>58709</v>
      </c>
      <c r="AO85" s="130">
        <f t="shared" si="50"/>
        <v>0</v>
      </c>
      <c r="AP85" s="553">
        <f t="shared" si="64"/>
        <v>77</v>
      </c>
      <c r="AQ85" s="554">
        <f t="shared" si="51"/>
        <v>47182</v>
      </c>
      <c r="AR85" s="555">
        <f t="shared" si="41"/>
        <v>0.13900000000000001</v>
      </c>
      <c r="AS85" s="559">
        <f t="shared" si="52"/>
        <v>0</v>
      </c>
      <c r="AT85" s="546">
        <f t="shared" si="53"/>
        <v>0</v>
      </c>
      <c r="AU85" s="546">
        <f t="shared" si="54"/>
        <v>0</v>
      </c>
      <c r="AV85" s="546">
        <f t="shared" si="55"/>
        <v>0</v>
      </c>
      <c r="AW85" s="559"/>
      <c r="AX85" s="559">
        <v>0</v>
      </c>
      <c r="AY85" s="559">
        <f t="shared" si="17"/>
        <v>0</v>
      </c>
      <c r="AZ85" s="559">
        <f t="shared" ref="AZ85:AZ108" si="69">IF(BI91=0,0,0)</f>
        <v>0</v>
      </c>
      <c r="BA85" s="559">
        <f t="shared" si="68"/>
        <v>0</v>
      </c>
      <c r="BB85" s="559"/>
      <c r="BC85" s="559"/>
      <c r="BD85" s="559"/>
      <c r="BE85" s="559"/>
      <c r="BF85" s="559"/>
      <c r="BG85" s="546">
        <f t="shared" si="56"/>
        <v>0</v>
      </c>
      <c r="BH85" s="108">
        <f t="shared" si="65"/>
        <v>0</v>
      </c>
      <c r="BI85" s="108">
        <f t="shared" si="60"/>
        <v>0</v>
      </c>
      <c r="BJ85" s="22">
        <f t="shared" si="61"/>
        <v>47182</v>
      </c>
      <c r="BK85" s="108">
        <f t="shared" si="42"/>
        <v>0</v>
      </c>
      <c r="BL85" s="2" t="e">
        <f>IF(AND(G40&gt;=$W$9,G40&lt;=$W$9+5),0,IF($C$9&gt;$AF$51,ROUND(BG39*IF(#REF!="",0,#REF!)/(DATEVALUE(CONCATENATE("01/01/",YEAR(AQ40)+1))-DATEVALUE(CONCATENATE("01/01/",YEAR(AQ40))))*(AQ40-AQ39),2),0))</f>
        <v>#REF!</v>
      </c>
    </row>
    <row r="86" spans="1:84" s="16" customFormat="1" ht="14.4" x14ac:dyDescent="0.3">
      <c r="A86" s="178"/>
      <c r="B86" s="178"/>
      <c r="C86" s="184"/>
      <c r="D86" s="184"/>
      <c r="E86" s="184"/>
      <c r="F86" s="178"/>
      <c r="G86" s="244">
        <f t="shared" si="62"/>
        <v>78</v>
      </c>
      <c r="H86" s="245">
        <f t="shared" si="43"/>
        <v>47213</v>
      </c>
      <c r="I86" s="246">
        <f t="shared" si="44"/>
        <v>4.9000000000000002E-2</v>
      </c>
      <c r="J86" s="242">
        <f t="shared" si="45"/>
        <v>0</v>
      </c>
      <c r="K86" s="242">
        <f t="shared" si="57"/>
        <v>0</v>
      </c>
      <c r="L86" s="242">
        <f t="shared" si="46"/>
        <v>0</v>
      </c>
      <c r="M86" s="242">
        <f t="shared" si="58"/>
        <v>0</v>
      </c>
      <c r="N86" s="242">
        <f t="shared" si="40"/>
        <v>0</v>
      </c>
      <c r="O86" s="242">
        <v>0</v>
      </c>
      <c r="P86" s="242">
        <f t="shared" ref="P86:P108" si="70">L86+Q86</f>
        <v>0</v>
      </c>
      <c r="Q86" s="242">
        <f t="shared" si="67"/>
        <v>0</v>
      </c>
      <c r="R86" s="242">
        <f t="shared" si="47"/>
        <v>0</v>
      </c>
      <c r="S86" s="242">
        <f t="shared" si="59"/>
        <v>0</v>
      </c>
      <c r="T86" s="467"/>
      <c r="U86" s="36">
        <f t="shared" si="63"/>
        <v>0</v>
      </c>
      <c r="V86" s="36">
        <f t="shared" si="49"/>
        <v>0</v>
      </c>
      <c r="W86" s="2" t="e">
        <f>IF(AND(G51&gt;=$W$9,G51&lt;=$W$9+5),0,IF($C$9&gt;$AF$51,ROUND(S50*#REF!/(DATEVALUE(CONCATENATE("01/01/",YEAR(H51)+1))-DATEVALUE(CONCATENATE("01/01/",YEAR(H51))))*(H51-H50),2),0))</f>
        <v>#REF!</v>
      </c>
      <c r="X86" s="34">
        <f t="shared" si="35"/>
        <v>22562</v>
      </c>
      <c r="Y86" s="57">
        <f t="shared" si="34"/>
        <v>60534</v>
      </c>
      <c r="AC86" s="140"/>
      <c r="AD86" s="140"/>
      <c r="AE86" s="140" t="s">
        <v>106</v>
      </c>
      <c r="AF86" s="140" t="s">
        <v>107</v>
      </c>
      <c r="AG86" s="140" t="s">
        <v>108</v>
      </c>
      <c r="AH86" s="140" t="s">
        <v>109</v>
      </c>
      <c r="AI86" s="140" t="s">
        <v>110</v>
      </c>
      <c r="AL86" s="2" t="e">
        <f>IF(AND(Y43&gt;=$W$9,Y43&lt;=$W$9+5),0,IF($C$9&gt;$AF$51,ROUND(AI46*#REF!/(DATEVALUE(CONCATENATE("01/01/",YEAR(Z43)+1))-DATEVALUE(CONCATENATE("01/01/",YEAR(Z43))))*(Z43-Z42),2),0))</f>
        <v>#REF!</v>
      </c>
      <c r="AM86" s="34">
        <f t="shared" si="37"/>
        <v>23217</v>
      </c>
      <c r="AN86" s="57">
        <f t="shared" si="36"/>
        <v>59074</v>
      </c>
      <c r="AO86" s="130">
        <f t="shared" si="50"/>
        <v>0</v>
      </c>
      <c r="AP86" s="553">
        <f t="shared" si="64"/>
        <v>78</v>
      </c>
      <c r="AQ86" s="554">
        <f t="shared" si="51"/>
        <v>47213</v>
      </c>
      <c r="AR86" s="555">
        <f t="shared" si="41"/>
        <v>0.13900000000000001</v>
      </c>
      <c r="AS86" s="559">
        <f t="shared" si="52"/>
        <v>0</v>
      </c>
      <c r="AT86" s="546">
        <f t="shared" si="53"/>
        <v>0</v>
      </c>
      <c r="AU86" s="546">
        <f t="shared" si="54"/>
        <v>0</v>
      </c>
      <c r="AV86" s="546">
        <f t="shared" si="55"/>
        <v>0</v>
      </c>
      <c r="AW86" s="559"/>
      <c r="AX86" s="559">
        <v>0</v>
      </c>
      <c r="AY86" s="559">
        <f t="shared" ref="AY86:AY108" si="71">AU86+AZ86</f>
        <v>0</v>
      </c>
      <c r="AZ86" s="559">
        <f t="shared" si="69"/>
        <v>0</v>
      </c>
      <c r="BA86" s="559">
        <f t="shared" si="68"/>
        <v>0</v>
      </c>
      <c r="BB86" s="559"/>
      <c r="BC86" s="559"/>
      <c r="BD86" s="559"/>
      <c r="BE86" s="559"/>
      <c r="BF86" s="559"/>
      <c r="BG86" s="546">
        <f t="shared" si="56"/>
        <v>0</v>
      </c>
      <c r="BH86" s="108">
        <f t="shared" si="65"/>
        <v>0</v>
      </c>
      <c r="BI86" s="108">
        <f t="shared" si="60"/>
        <v>0</v>
      </c>
      <c r="BJ86" s="22">
        <f t="shared" si="61"/>
        <v>47213</v>
      </c>
      <c r="BK86" s="108">
        <f t="shared" si="42"/>
        <v>0</v>
      </c>
      <c r="BL86" s="2" t="e">
        <f>IF(AND(G41&gt;=$W$9,G41&lt;=$W$9+5),0,IF($C$9&gt;$AF$51,ROUND(BG40*IF(#REF!="",0,#REF!)/(DATEVALUE(CONCATENATE("01/01/",YEAR(AQ41)+1))-DATEVALUE(CONCATENATE("01/01/",YEAR(AQ41))))*(AQ41-AQ40),2),0))</f>
        <v>#REF!</v>
      </c>
    </row>
    <row r="87" spans="1:84" s="16" customFormat="1" ht="14.4" x14ac:dyDescent="0.3">
      <c r="A87" s="178"/>
      <c r="B87" s="178"/>
      <c r="C87" s="184"/>
      <c r="D87" s="184"/>
      <c r="E87" s="184"/>
      <c r="F87" s="178"/>
      <c r="G87" s="244">
        <f t="shared" si="62"/>
        <v>79</v>
      </c>
      <c r="H87" s="245">
        <f t="shared" si="43"/>
        <v>47243</v>
      </c>
      <c r="I87" s="246">
        <f t="shared" si="44"/>
        <v>4.9000000000000002E-2</v>
      </c>
      <c r="J87" s="242">
        <f t="shared" si="45"/>
        <v>0</v>
      </c>
      <c r="K87" s="242">
        <f t="shared" si="57"/>
        <v>0</v>
      </c>
      <c r="L87" s="242">
        <f t="shared" si="46"/>
        <v>0</v>
      </c>
      <c r="M87" s="242">
        <f t="shared" si="58"/>
        <v>0</v>
      </c>
      <c r="N87" s="242">
        <f t="shared" si="40"/>
        <v>0</v>
      </c>
      <c r="O87" s="242">
        <v>0</v>
      </c>
      <c r="P87" s="242">
        <f t="shared" si="70"/>
        <v>0</v>
      </c>
      <c r="Q87" s="242">
        <f t="shared" si="67"/>
        <v>0</v>
      </c>
      <c r="R87" s="242">
        <f t="shared" si="47"/>
        <v>0</v>
      </c>
      <c r="S87" s="242">
        <f t="shared" si="59"/>
        <v>0</v>
      </c>
      <c r="T87" s="467"/>
      <c r="U87" s="36">
        <f t="shared" si="63"/>
        <v>0</v>
      </c>
      <c r="V87" s="36">
        <f t="shared" si="49"/>
        <v>0</v>
      </c>
      <c r="W87" s="2" t="e">
        <f>IF(AND(G52&gt;=$W$9,G52&lt;=$W$9+5),0,IF($C$9&gt;$AF$51,ROUND(S51*#REF!/(DATEVALUE(CONCATENATE("01/01/",YEAR(H52)+1))-DATEVALUE(CONCATENATE("01/01/",YEAR(H52))))*(H52-H51),2),0))</f>
        <v>#REF!</v>
      </c>
      <c r="X87" s="34">
        <f t="shared" si="35"/>
        <v>22562</v>
      </c>
      <c r="Y87" s="57">
        <f t="shared" si="34"/>
        <v>60899</v>
      </c>
      <c r="AC87" s="140"/>
      <c r="AD87" s="140"/>
      <c r="AE87" s="141">
        <v>36</v>
      </c>
      <c r="AF87" s="142">
        <v>37</v>
      </c>
      <c r="AG87" s="142">
        <v>49</v>
      </c>
      <c r="AH87" s="141">
        <v>61</v>
      </c>
      <c r="AI87" s="141">
        <v>73</v>
      </c>
      <c r="AL87" s="2" t="e">
        <f>IF(AND(Y44&gt;=$W$9,Y44&lt;=$W$9+5),0,IF($C$9&gt;$AF$51,ROUND(AI47*#REF!/(DATEVALUE(CONCATENATE("01/01/",YEAR(Z44)+1))-DATEVALUE(CONCATENATE("01/01/",YEAR(Z44))))*(Z44-Z43),2),0))</f>
        <v>#REF!</v>
      </c>
      <c r="AM87" s="34">
        <f t="shared" si="37"/>
        <v>23217</v>
      </c>
      <c r="AN87" s="57">
        <f t="shared" si="36"/>
        <v>59439</v>
      </c>
      <c r="AO87" s="130">
        <f t="shared" si="50"/>
        <v>0</v>
      </c>
      <c r="AP87" s="553">
        <f t="shared" si="64"/>
        <v>79</v>
      </c>
      <c r="AQ87" s="554">
        <f t="shared" si="51"/>
        <v>47243</v>
      </c>
      <c r="AR87" s="555">
        <f t="shared" si="41"/>
        <v>0.13900000000000001</v>
      </c>
      <c r="AS87" s="559">
        <f t="shared" si="52"/>
        <v>0</v>
      </c>
      <c r="AT87" s="546">
        <f t="shared" si="53"/>
        <v>0</v>
      </c>
      <c r="AU87" s="546">
        <f t="shared" si="54"/>
        <v>0</v>
      </c>
      <c r="AV87" s="546">
        <f t="shared" si="55"/>
        <v>0</v>
      </c>
      <c r="AW87" s="559"/>
      <c r="AX87" s="559">
        <v>0</v>
      </c>
      <c r="AY87" s="559">
        <f t="shared" si="71"/>
        <v>0</v>
      </c>
      <c r="AZ87" s="559">
        <f t="shared" si="69"/>
        <v>0</v>
      </c>
      <c r="BA87" s="559">
        <f t="shared" si="68"/>
        <v>0</v>
      </c>
      <c r="BB87" s="559"/>
      <c r="BC87" s="559"/>
      <c r="BD87" s="559"/>
      <c r="BE87" s="559"/>
      <c r="BF87" s="559"/>
      <c r="BG87" s="546">
        <f t="shared" si="56"/>
        <v>0</v>
      </c>
      <c r="BH87" s="108">
        <f t="shared" si="65"/>
        <v>0</v>
      </c>
      <c r="BI87" s="108">
        <f t="shared" si="60"/>
        <v>0</v>
      </c>
      <c r="BJ87" s="22">
        <f t="shared" si="61"/>
        <v>47243</v>
      </c>
      <c r="BK87" s="108">
        <f t="shared" si="42"/>
        <v>0</v>
      </c>
      <c r="BL87" s="2" t="e">
        <f>IF(AND(G42&gt;=$W$9,G42&lt;=$W$9+5),0,IF($C$9&gt;$AF$51,ROUND(BG41*IF(#REF!="",0,#REF!)/(DATEVALUE(CONCATENATE("01/01/",YEAR(AQ42)+1))-DATEVALUE(CONCATENATE("01/01/",YEAR(AQ42))))*(AQ42-AQ41),2),0))</f>
        <v>#REF!</v>
      </c>
    </row>
    <row r="88" spans="1:84" s="16" customFormat="1" ht="14.4" x14ac:dyDescent="0.3">
      <c r="A88" s="178"/>
      <c r="B88" s="178"/>
      <c r="C88" s="184"/>
      <c r="D88" s="184"/>
      <c r="E88" s="184"/>
      <c r="F88" s="178"/>
      <c r="G88" s="244">
        <f t="shared" si="62"/>
        <v>80</v>
      </c>
      <c r="H88" s="245">
        <f t="shared" si="43"/>
        <v>47274</v>
      </c>
      <c r="I88" s="246">
        <f t="shared" si="44"/>
        <v>4.9000000000000002E-2</v>
      </c>
      <c r="J88" s="242">
        <f t="shared" si="45"/>
        <v>0</v>
      </c>
      <c r="K88" s="242">
        <f t="shared" si="57"/>
        <v>0</v>
      </c>
      <c r="L88" s="242">
        <f t="shared" si="46"/>
        <v>0</v>
      </c>
      <c r="M88" s="242">
        <f t="shared" si="58"/>
        <v>0</v>
      </c>
      <c r="N88" s="242">
        <f t="shared" si="40"/>
        <v>0</v>
      </c>
      <c r="O88" s="242">
        <v>0</v>
      </c>
      <c r="P88" s="242">
        <f t="shared" si="70"/>
        <v>0</v>
      </c>
      <c r="Q88" s="242">
        <f t="shared" si="67"/>
        <v>0</v>
      </c>
      <c r="R88" s="242">
        <f t="shared" si="47"/>
        <v>0</v>
      </c>
      <c r="S88" s="242">
        <f t="shared" si="59"/>
        <v>0</v>
      </c>
      <c r="T88" s="467"/>
      <c r="U88" s="36">
        <f t="shared" si="63"/>
        <v>0</v>
      </c>
      <c r="V88" s="36">
        <f t="shared" si="49"/>
        <v>0</v>
      </c>
      <c r="W88" s="2" t="e">
        <f>IF(AND(G53&gt;=$W$9,G53&lt;=$W$9+5),0,IF($C$9&gt;$AF$51,ROUND(S52*#REF!/(DATEVALUE(CONCATENATE("01/01/",YEAR(H53)+1))-DATEVALUE(CONCATENATE("01/01/",YEAR(H53))))*(H53-H52),2),0))</f>
        <v>#REF!</v>
      </c>
      <c r="X88" s="34">
        <f t="shared" si="35"/>
        <v>22562</v>
      </c>
      <c r="Y88" s="57">
        <f t="shared" si="34"/>
        <v>61264</v>
      </c>
      <c r="AC88" s="140"/>
      <c r="AD88" s="140"/>
      <c r="AE88" s="142">
        <v>36</v>
      </c>
      <c r="AF88" s="142">
        <v>48</v>
      </c>
      <c r="AG88" s="142">
        <v>60</v>
      </c>
      <c r="AH88" s="142">
        <v>72</v>
      </c>
      <c r="AI88" s="142">
        <v>84</v>
      </c>
      <c r="AL88" s="2" t="e">
        <f>IF(AND(Y45&gt;=$W$9,Y45&lt;=$W$9+5),0,IF($C$9&gt;$AF$51,ROUND(AI48*#REF!/(DATEVALUE(CONCATENATE("01/01/",YEAR(Z45)+1))-DATEVALUE(CONCATENATE("01/01/",YEAR(Z45))))*(Z45-Z44),2),0))</f>
        <v>#REF!</v>
      </c>
      <c r="AM88" s="34">
        <f t="shared" si="37"/>
        <v>23217</v>
      </c>
      <c r="AN88" s="57">
        <f t="shared" si="36"/>
        <v>59804</v>
      </c>
      <c r="AO88" s="130">
        <f t="shared" si="50"/>
        <v>0</v>
      </c>
      <c r="AP88" s="553">
        <f t="shared" si="64"/>
        <v>80</v>
      </c>
      <c r="AQ88" s="554">
        <f t="shared" si="51"/>
        <v>47274</v>
      </c>
      <c r="AR88" s="555">
        <f t="shared" si="41"/>
        <v>0.13900000000000001</v>
      </c>
      <c r="AS88" s="559">
        <f t="shared" si="52"/>
        <v>0</v>
      </c>
      <c r="AT88" s="546">
        <f t="shared" si="53"/>
        <v>0</v>
      </c>
      <c r="AU88" s="546">
        <f t="shared" si="54"/>
        <v>0</v>
      </c>
      <c r="AV88" s="546">
        <f t="shared" si="55"/>
        <v>0</v>
      </c>
      <c r="AW88" s="559"/>
      <c r="AX88" s="559">
        <v>0</v>
      </c>
      <c r="AY88" s="559">
        <f t="shared" si="71"/>
        <v>0</v>
      </c>
      <c r="AZ88" s="559">
        <f t="shared" si="69"/>
        <v>0</v>
      </c>
      <c r="BA88" s="559">
        <f t="shared" si="68"/>
        <v>0</v>
      </c>
      <c r="BB88" s="559"/>
      <c r="BC88" s="559"/>
      <c r="BD88" s="559"/>
      <c r="BE88" s="559"/>
      <c r="BF88" s="559"/>
      <c r="BG88" s="546">
        <f t="shared" si="56"/>
        <v>0</v>
      </c>
      <c r="BH88" s="108">
        <f t="shared" si="65"/>
        <v>0</v>
      </c>
      <c r="BI88" s="108">
        <f t="shared" si="60"/>
        <v>0</v>
      </c>
      <c r="BJ88" s="22">
        <f t="shared" si="61"/>
        <v>47274</v>
      </c>
      <c r="BK88" s="108">
        <f t="shared" si="42"/>
        <v>0</v>
      </c>
      <c r="BL88" s="2" t="e">
        <f>IF(AND(G43&gt;=$W$9,G43&lt;=$W$9+5),0,IF($C$9&gt;$AF$51,ROUND(BG42*IF(#REF!="",0,#REF!)/(DATEVALUE(CONCATENATE("01/01/",YEAR(AQ43)+1))-DATEVALUE(CONCATENATE("01/01/",YEAR(AQ43))))*(AQ43-AQ42),2),0))</f>
        <v>#REF!</v>
      </c>
      <c r="BX88" s="2"/>
      <c r="BY88" s="2"/>
      <c r="BZ88" s="2"/>
      <c r="CA88" s="2"/>
      <c r="CB88" s="2"/>
      <c r="CC88" s="2"/>
      <c r="CD88" s="2"/>
      <c r="CE88" s="2"/>
      <c r="CF88" s="2"/>
    </row>
    <row r="89" spans="1:84" s="16" customFormat="1" ht="13.8" x14ac:dyDescent="0.3">
      <c r="A89" s="178"/>
      <c r="B89" s="178"/>
      <c r="C89" s="184"/>
      <c r="D89" s="184"/>
      <c r="E89" s="184"/>
      <c r="F89" s="178"/>
      <c r="G89" s="244">
        <f t="shared" si="62"/>
        <v>81</v>
      </c>
      <c r="H89" s="245">
        <f t="shared" si="43"/>
        <v>47304</v>
      </c>
      <c r="I89" s="246">
        <f t="shared" si="44"/>
        <v>4.9000000000000002E-2</v>
      </c>
      <c r="J89" s="242">
        <f t="shared" si="45"/>
        <v>0</v>
      </c>
      <c r="K89" s="242">
        <f t="shared" si="57"/>
        <v>0</v>
      </c>
      <c r="L89" s="242">
        <f t="shared" si="46"/>
        <v>0</v>
      </c>
      <c r="M89" s="242">
        <f t="shared" si="58"/>
        <v>0</v>
      </c>
      <c r="N89" s="242">
        <f t="shared" si="40"/>
        <v>0</v>
      </c>
      <c r="O89" s="242">
        <v>0</v>
      </c>
      <c r="P89" s="242">
        <f t="shared" si="70"/>
        <v>0</v>
      </c>
      <c r="Q89" s="242">
        <f t="shared" si="67"/>
        <v>0</v>
      </c>
      <c r="R89" s="242">
        <f t="shared" si="47"/>
        <v>0</v>
      </c>
      <c r="S89" s="242">
        <f t="shared" si="59"/>
        <v>0</v>
      </c>
      <c r="T89" s="467"/>
      <c r="U89" s="36">
        <f t="shared" si="63"/>
        <v>0</v>
      </c>
      <c r="V89" s="36">
        <f t="shared" si="49"/>
        <v>0</v>
      </c>
      <c r="W89" s="2" t="e">
        <f>IF(AND(G54&gt;=$W$9,G54&lt;=$W$9+5),0,IF($C$9&gt;$AF$51,ROUND(S53*#REF!/(DATEVALUE(CONCATENATE("01/01/",YEAR(H54)+1))-DATEVALUE(CONCATENATE("01/01/",YEAR(H54))))*(H54-H53),2),0))</f>
        <v>#REF!</v>
      </c>
      <c r="X89" s="34">
        <f t="shared" si="35"/>
        <v>22562</v>
      </c>
      <c r="Y89" s="57">
        <f t="shared" si="34"/>
        <v>61629</v>
      </c>
      <c r="AC89" s="142">
        <v>0</v>
      </c>
      <c r="AD89" s="142">
        <v>199000</v>
      </c>
      <c r="AE89" s="580">
        <v>2499</v>
      </c>
      <c r="AF89" s="580">
        <v>3499</v>
      </c>
      <c r="AG89" s="580">
        <v>5499</v>
      </c>
      <c r="AH89" s="580"/>
      <c r="AI89" s="580"/>
      <c r="AL89" s="2" t="e">
        <f>IF(AND(Y46&gt;=$W$9,Y46&lt;=$W$9+5),0,IF($C$9&gt;$AF$51,ROUND(AI49*#REF!/(DATEVALUE(CONCATENATE("01/01/",YEAR(Z46)+1))-DATEVALUE(CONCATENATE("01/01/",YEAR(Z46))))*(Z46-Z45),2),0))</f>
        <v>#REF!</v>
      </c>
      <c r="AM89" s="34">
        <f t="shared" si="37"/>
        <v>23217</v>
      </c>
      <c r="AN89" s="57">
        <f t="shared" si="36"/>
        <v>60169</v>
      </c>
      <c r="AO89" s="130">
        <f t="shared" si="50"/>
        <v>0</v>
      </c>
      <c r="AP89" s="553">
        <f t="shared" si="64"/>
        <v>81</v>
      </c>
      <c r="AQ89" s="554">
        <f t="shared" si="51"/>
        <v>47304</v>
      </c>
      <c r="AR89" s="555">
        <f t="shared" si="41"/>
        <v>0.13900000000000001</v>
      </c>
      <c r="AS89" s="559">
        <f t="shared" si="52"/>
        <v>0</v>
      </c>
      <c r="AT89" s="546">
        <f t="shared" si="53"/>
        <v>0</v>
      </c>
      <c r="AU89" s="546">
        <f t="shared" si="54"/>
        <v>0</v>
      </c>
      <c r="AV89" s="546">
        <f t="shared" si="55"/>
        <v>0</v>
      </c>
      <c r="AW89" s="559"/>
      <c r="AX89" s="559">
        <v>0</v>
      </c>
      <c r="AY89" s="559">
        <f t="shared" si="71"/>
        <v>0</v>
      </c>
      <c r="AZ89" s="559">
        <f t="shared" si="69"/>
        <v>0</v>
      </c>
      <c r="BA89" s="559">
        <f t="shared" si="68"/>
        <v>0</v>
      </c>
      <c r="BB89" s="559"/>
      <c r="BC89" s="559"/>
      <c r="BD89" s="559"/>
      <c r="BE89" s="559"/>
      <c r="BF89" s="559"/>
      <c r="BG89" s="546">
        <f t="shared" si="56"/>
        <v>0</v>
      </c>
      <c r="BH89" s="108">
        <f t="shared" si="65"/>
        <v>0</v>
      </c>
      <c r="BI89" s="108">
        <f t="shared" si="60"/>
        <v>0</v>
      </c>
      <c r="BJ89" s="22">
        <f t="shared" si="61"/>
        <v>47304</v>
      </c>
      <c r="BK89" s="108">
        <f t="shared" si="42"/>
        <v>0</v>
      </c>
      <c r="BL89" s="2" t="e">
        <f>IF(AND(G44&gt;=$W$9,G44&lt;=$W$9+5),0,IF($C$9&gt;$AF$51,ROUND(BG43*IF(#REF!="",0,#REF!)/(DATEVALUE(CONCATENATE("01/01/",YEAR(AQ44)+1))-DATEVALUE(CONCATENATE("01/01/",YEAR(AQ44))))*(AQ44-AQ43),2),0))</f>
        <v>#REF!</v>
      </c>
      <c r="BX89" s="2"/>
      <c r="BY89" s="2"/>
      <c r="BZ89" s="2"/>
      <c r="CA89" s="2"/>
      <c r="CB89" s="2"/>
      <c r="CC89" s="2"/>
      <c r="CD89" s="2"/>
      <c r="CE89" s="2"/>
      <c r="CF89" s="2"/>
    </row>
    <row r="90" spans="1:84" s="16" customFormat="1" ht="13.8" x14ac:dyDescent="0.3">
      <c r="A90" s="178"/>
      <c r="B90" s="178"/>
      <c r="C90" s="184"/>
      <c r="D90" s="184"/>
      <c r="E90" s="184"/>
      <c r="F90" s="184"/>
      <c r="G90" s="244">
        <f t="shared" si="62"/>
        <v>82</v>
      </c>
      <c r="H90" s="245">
        <f t="shared" si="43"/>
        <v>47335</v>
      </c>
      <c r="I90" s="246">
        <f t="shared" si="44"/>
        <v>4.9000000000000002E-2</v>
      </c>
      <c r="J90" s="242">
        <f t="shared" si="45"/>
        <v>0</v>
      </c>
      <c r="K90" s="242">
        <f t="shared" si="57"/>
        <v>0</v>
      </c>
      <c r="L90" s="242">
        <f t="shared" si="46"/>
        <v>0</v>
      </c>
      <c r="M90" s="242">
        <f t="shared" si="58"/>
        <v>0</v>
      </c>
      <c r="N90" s="242">
        <f t="shared" si="40"/>
        <v>0</v>
      </c>
      <c r="O90" s="242">
        <v>0</v>
      </c>
      <c r="P90" s="242">
        <f t="shared" si="70"/>
        <v>0</v>
      </c>
      <c r="Q90" s="242">
        <f t="shared" si="67"/>
        <v>0</v>
      </c>
      <c r="R90" s="242">
        <f t="shared" si="47"/>
        <v>0</v>
      </c>
      <c r="S90" s="242">
        <f t="shared" si="59"/>
        <v>0</v>
      </c>
      <c r="T90" s="467"/>
      <c r="U90" s="36">
        <f t="shared" si="63"/>
        <v>0</v>
      </c>
      <c r="V90" s="36">
        <f t="shared" si="49"/>
        <v>0</v>
      </c>
      <c r="W90" s="2" t="e">
        <f>IF(AND(G55&gt;=$W$9,G55&lt;=$W$9+5),0,IF($C$9&gt;$AF$51,ROUND(S54*#REF!/(DATEVALUE(CONCATENATE("01/01/",YEAR(H55)+1))-DATEVALUE(CONCATENATE("01/01/",YEAR(H55))))*(H55-H54),2),0))</f>
        <v>#REF!</v>
      </c>
      <c r="X90" s="34">
        <f t="shared" si="35"/>
        <v>22562</v>
      </c>
      <c r="Y90" s="57">
        <f t="shared" si="34"/>
        <v>61994</v>
      </c>
      <c r="AC90" s="142">
        <v>199001</v>
      </c>
      <c r="AD90" s="142">
        <v>500000</v>
      </c>
      <c r="AE90" s="580">
        <v>3499</v>
      </c>
      <c r="AF90" s="580">
        <v>4999</v>
      </c>
      <c r="AG90" s="580">
        <v>6999</v>
      </c>
      <c r="AH90" s="580"/>
      <c r="AI90" s="580"/>
      <c r="AL90" s="2" t="e">
        <f>IF(AND(Y47&gt;=$W$9,Y47&lt;=$W$9+5),0,IF($C$9&gt;$AF$51,ROUND(AI50*#REF!/(DATEVALUE(CONCATENATE("01/01/",YEAR(Z47)+1))-DATEVALUE(CONCATENATE("01/01/",YEAR(Z47))))*(Z47-Z46),2),0))</f>
        <v>#REF!</v>
      </c>
      <c r="AM90" s="34">
        <f t="shared" si="37"/>
        <v>23217</v>
      </c>
      <c r="AN90" s="57">
        <f t="shared" si="36"/>
        <v>60534</v>
      </c>
      <c r="AO90" s="130">
        <f t="shared" si="50"/>
        <v>0</v>
      </c>
      <c r="AP90" s="553">
        <f t="shared" si="64"/>
        <v>82</v>
      </c>
      <c r="AQ90" s="554">
        <f t="shared" si="51"/>
        <v>47335</v>
      </c>
      <c r="AR90" s="555">
        <f t="shared" si="41"/>
        <v>0.13900000000000001</v>
      </c>
      <c r="AS90" s="559">
        <f t="shared" si="52"/>
        <v>0</v>
      </c>
      <c r="AT90" s="546">
        <f t="shared" si="53"/>
        <v>0</v>
      </c>
      <c r="AU90" s="546">
        <f t="shared" si="54"/>
        <v>0</v>
      </c>
      <c r="AV90" s="546">
        <f t="shared" si="55"/>
        <v>0</v>
      </c>
      <c r="AW90" s="559"/>
      <c r="AX90" s="559">
        <v>0</v>
      </c>
      <c r="AY90" s="559">
        <f t="shared" si="71"/>
        <v>0</v>
      </c>
      <c r="AZ90" s="559">
        <f t="shared" si="69"/>
        <v>0</v>
      </c>
      <c r="BA90" s="559">
        <f t="shared" si="68"/>
        <v>0</v>
      </c>
      <c r="BB90" s="559"/>
      <c r="BC90" s="559"/>
      <c r="BD90" s="559"/>
      <c r="BE90" s="559"/>
      <c r="BF90" s="559"/>
      <c r="BG90" s="546">
        <f t="shared" si="56"/>
        <v>0</v>
      </c>
      <c r="BH90" s="108">
        <f t="shared" si="65"/>
        <v>0</v>
      </c>
      <c r="BI90" s="108">
        <f t="shared" si="60"/>
        <v>0</v>
      </c>
      <c r="BJ90" s="22">
        <f t="shared" si="61"/>
        <v>47335</v>
      </c>
      <c r="BK90" s="108">
        <f t="shared" si="42"/>
        <v>0</v>
      </c>
      <c r="BL90" s="2" t="e">
        <f>IF(AND(G45&gt;=$W$9,G45&lt;=$W$9+5),0,IF($C$9&gt;$AF$51,ROUND(BG44*IF(#REF!="",0,#REF!)/(DATEVALUE(CONCATENATE("01/01/",YEAR(AQ45)+1))-DATEVALUE(CONCATENATE("01/01/",YEAR(AQ45))))*(AQ45-AQ44),2),0))</f>
        <v>#REF!</v>
      </c>
      <c r="BX90" s="2"/>
      <c r="BY90" s="2"/>
      <c r="BZ90" s="2"/>
      <c r="CA90" s="2"/>
      <c r="CB90" s="2"/>
      <c r="CC90" s="2"/>
      <c r="CD90" s="2"/>
      <c r="CE90" s="2"/>
      <c r="CF90" s="2"/>
    </row>
    <row r="91" spans="1:84" s="16" customFormat="1" ht="13.8" x14ac:dyDescent="0.3">
      <c r="A91" s="178"/>
      <c r="B91" s="178"/>
      <c r="C91" s="184"/>
      <c r="D91" s="184"/>
      <c r="E91" s="184"/>
      <c r="F91" s="184"/>
      <c r="G91" s="244">
        <f t="shared" si="62"/>
        <v>83</v>
      </c>
      <c r="H91" s="245">
        <f t="shared" si="43"/>
        <v>47366</v>
      </c>
      <c r="I91" s="246">
        <f t="shared" si="44"/>
        <v>4.9000000000000002E-2</v>
      </c>
      <c r="J91" s="242">
        <f t="shared" si="45"/>
        <v>0</v>
      </c>
      <c r="K91" s="242">
        <f t="shared" si="57"/>
        <v>0</v>
      </c>
      <c r="L91" s="242">
        <f t="shared" si="46"/>
        <v>0</v>
      </c>
      <c r="M91" s="242">
        <f t="shared" si="58"/>
        <v>0</v>
      </c>
      <c r="N91" s="242">
        <f t="shared" si="40"/>
        <v>0</v>
      </c>
      <c r="O91" s="242">
        <v>0</v>
      </c>
      <c r="P91" s="242">
        <f t="shared" si="70"/>
        <v>0</v>
      </c>
      <c r="Q91" s="242">
        <f t="shared" si="67"/>
        <v>0</v>
      </c>
      <c r="R91" s="242">
        <f t="shared" si="47"/>
        <v>0</v>
      </c>
      <c r="S91" s="242">
        <f t="shared" si="59"/>
        <v>0</v>
      </c>
      <c r="T91" s="467"/>
      <c r="U91" s="36">
        <f t="shared" si="63"/>
        <v>0</v>
      </c>
      <c r="V91" s="36">
        <f t="shared" si="49"/>
        <v>0</v>
      </c>
      <c r="W91" s="2" t="e">
        <f>IF(AND(G56&gt;=$W$9,G56&lt;=$W$9+5),0,IF($C$9&gt;$AF$51,ROUND(S55*#REF!/(DATEVALUE(CONCATENATE("01/01/",YEAR(H56)+1))-DATEVALUE(CONCATENATE("01/01/",YEAR(H56))))*(H56-H55),2),0))</f>
        <v>#REF!</v>
      </c>
      <c r="X91" s="34">
        <f t="shared" si="35"/>
        <v>22562</v>
      </c>
      <c r="Y91" s="57">
        <f t="shared" si="34"/>
        <v>62359</v>
      </c>
      <c r="AC91" s="142">
        <v>500001</v>
      </c>
      <c r="AD91" s="142">
        <v>1000000</v>
      </c>
      <c r="AE91" s="580">
        <v>4999</v>
      </c>
      <c r="AF91" s="580">
        <v>6499</v>
      </c>
      <c r="AG91" s="580">
        <v>8499</v>
      </c>
      <c r="AH91" s="580">
        <v>9499</v>
      </c>
      <c r="AI91" s="580">
        <v>10999</v>
      </c>
      <c r="AL91" s="2" t="e">
        <f>IF(AND(Y48&gt;=$W$9,Y48&lt;=$W$9+5),0,IF($C$9&gt;$AF$51,ROUND(AI51*#REF!/(DATEVALUE(CONCATENATE("01/01/",YEAR(Z48)+1))-DATEVALUE(CONCATENATE("01/01/",YEAR(Z48))))*(Z48-Z47),2),0))</f>
        <v>#REF!</v>
      </c>
      <c r="AM91" s="34">
        <f t="shared" si="37"/>
        <v>23217</v>
      </c>
      <c r="AN91" s="57">
        <f t="shared" si="36"/>
        <v>60899</v>
      </c>
      <c r="AO91" s="130">
        <f t="shared" si="50"/>
        <v>0</v>
      </c>
      <c r="AP91" s="553">
        <f t="shared" si="64"/>
        <v>83</v>
      </c>
      <c r="AQ91" s="554">
        <f t="shared" si="51"/>
        <v>47366</v>
      </c>
      <c r="AR91" s="555">
        <f t="shared" si="41"/>
        <v>0.13900000000000001</v>
      </c>
      <c r="AS91" s="559">
        <f t="shared" si="52"/>
        <v>0</v>
      </c>
      <c r="AT91" s="546">
        <f t="shared" si="53"/>
        <v>0</v>
      </c>
      <c r="AU91" s="546">
        <f t="shared" si="54"/>
        <v>0</v>
      </c>
      <c r="AV91" s="546">
        <f t="shared" si="55"/>
        <v>0</v>
      </c>
      <c r="AW91" s="559"/>
      <c r="AX91" s="559">
        <v>0</v>
      </c>
      <c r="AY91" s="559">
        <f t="shared" si="71"/>
        <v>0</v>
      </c>
      <c r="AZ91" s="559">
        <f t="shared" si="69"/>
        <v>0</v>
      </c>
      <c r="BA91" s="559">
        <f t="shared" si="68"/>
        <v>0</v>
      </c>
      <c r="BB91" s="559"/>
      <c r="BC91" s="559"/>
      <c r="BD91" s="559"/>
      <c r="BE91" s="559"/>
      <c r="BF91" s="559"/>
      <c r="BG91" s="546">
        <f t="shared" si="56"/>
        <v>0</v>
      </c>
      <c r="BH91" s="108">
        <f t="shared" si="65"/>
        <v>0</v>
      </c>
      <c r="BI91" s="108">
        <f t="shared" si="60"/>
        <v>0</v>
      </c>
      <c r="BJ91" s="22">
        <f t="shared" si="61"/>
        <v>47366</v>
      </c>
      <c r="BK91" s="108">
        <f t="shared" si="42"/>
        <v>0</v>
      </c>
      <c r="BL91" s="2" t="e">
        <f>IF(AND(G46&gt;=$W$9,G46&lt;=$W$9+5),0,IF($C$9&gt;$AF$51,ROUND(BG45*IF(#REF!="",0,#REF!)/(DATEVALUE(CONCATENATE("01/01/",YEAR(AQ46)+1))-DATEVALUE(CONCATENATE("01/01/",YEAR(AQ46))))*(AQ46-AQ45),2),0))</f>
        <v>#REF!</v>
      </c>
      <c r="BX91" s="2"/>
      <c r="BY91" s="2"/>
      <c r="BZ91" s="2"/>
      <c r="CA91" s="2"/>
      <c r="CB91" s="2"/>
      <c r="CC91" s="2"/>
      <c r="CD91" s="2"/>
      <c r="CE91" s="2"/>
      <c r="CF91" s="2"/>
    </row>
    <row r="92" spans="1:84" s="16" customFormat="1" ht="13.8" x14ac:dyDescent="0.3">
      <c r="A92" s="178"/>
      <c r="B92" s="178"/>
      <c r="C92" s="184"/>
      <c r="D92" s="184"/>
      <c r="E92" s="184"/>
      <c r="F92" s="184"/>
      <c r="G92" s="244">
        <f t="shared" si="62"/>
        <v>84</v>
      </c>
      <c r="H92" s="245">
        <f t="shared" si="43"/>
        <v>47396</v>
      </c>
      <c r="I92" s="246">
        <f t="shared" si="44"/>
        <v>4.9000000000000002E-2</v>
      </c>
      <c r="J92" s="242">
        <f t="shared" si="45"/>
        <v>0</v>
      </c>
      <c r="K92" s="242">
        <f t="shared" si="57"/>
        <v>0</v>
      </c>
      <c r="L92" s="242">
        <f t="shared" si="46"/>
        <v>0</v>
      </c>
      <c r="M92" s="242">
        <f t="shared" si="58"/>
        <v>0</v>
      </c>
      <c r="N92" s="242">
        <f t="shared" si="40"/>
        <v>0</v>
      </c>
      <c r="O92" s="242">
        <v>0</v>
      </c>
      <c r="P92" s="242">
        <f t="shared" si="70"/>
        <v>0</v>
      </c>
      <c r="Q92" s="242">
        <f t="shared" si="67"/>
        <v>0</v>
      </c>
      <c r="R92" s="242">
        <f t="shared" si="47"/>
        <v>0</v>
      </c>
      <c r="S92" s="242">
        <f t="shared" si="59"/>
        <v>0</v>
      </c>
      <c r="T92" s="467"/>
      <c r="U92" s="36">
        <f t="shared" si="63"/>
        <v>0</v>
      </c>
      <c r="V92" s="36">
        <f t="shared" si="49"/>
        <v>0</v>
      </c>
      <c r="W92" s="2" t="e">
        <f>IF(AND(G57&gt;=$W$9,G57&lt;=$W$9+5),0,IF($C$9&gt;$AF$51,ROUND(S56*#REF!/(DATEVALUE(CONCATENATE("01/01/",YEAR(H57)+1))-DATEVALUE(CONCATENATE("01/01/",YEAR(H57))))*(H57-H56),2),0))</f>
        <v>#REF!</v>
      </c>
      <c r="X92" s="34">
        <f t="shared" si="35"/>
        <v>22562</v>
      </c>
      <c r="Y92" s="57">
        <f t="shared" si="34"/>
        <v>62724</v>
      </c>
      <c r="AC92" s="142">
        <v>1000001</v>
      </c>
      <c r="AD92" s="142">
        <v>10000000</v>
      </c>
      <c r="AE92" s="580">
        <v>6499</v>
      </c>
      <c r="AF92" s="580">
        <v>8499</v>
      </c>
      <c r="AG92" s="580">
        <v>9999</v>
      </c>
      <c r="AH92" s="580">
        <v>10999</v>
      </c>
      <c r="AI92" s="580">
        <v>11999</v>
      </c>
      <c r="AL92" s="2" t="e">
        <f>IF(AND(Y49&gt;=$W$9,Y49&lt;=$W$9+5),0,IF($C$9&gt;$AF$51,ROUND(AI52*#REF!/(DATEVALUE(CONCATENATE("01/01/",YEAR(Z49)+1))-DATEVALUE(CONCATENATE("01/01/",YEAR(Z49))))*(Z49-Z48),2),0))</f>
        <v>#REF!</v>
      </c>
      <c r="AM92" s="34">
        <f t="shared" si="37"/>
        <v>23217</v>
      </c>
      <c r="AN92" s="57">
        <f t="shared" si="36"/>
        <v>61264</v>
      </c>
      <c r="AO92" s="130">
        <f t="shared" si="50"/>
        <v>0</v>
      </c>
      <c r="AP92" s="553">
        <f t="shared" si="64"/>
        <v>84</v>
      </c>
      <c r="AQ92" s="554">
        <f t="shared" si="51"/>
        <v>47396</v>
      </c>
      <c r="AR92" s="555">
        <f t="shared" si="41"/>
        <v>0.13900000000000001</v>
      </c>
      <c r="AS92" s="559">
        <f t="shared" si="52"/>
        <v>0</v>
      </c>
      <c r="AT92" s="546">
        <f t="shared" si="53"/>
        <v>0</v>
      </c>
      <c r="AU92" s="546">
        <f t="shared" si="54"/>
        <v>0</v>
      </c>
      <c r="AV92" s="546">
        <f t="shared" si="55"/>
        <v>0</v>
      </c>
      <c r="AW92" s="559"/>
      <c r="AX92" s="559">
        <v>0</v>
      </c>
      <c r="AY92" s="559">
        <f t="shared" si="71"/>
        <v>0</v>
      </c>
      <c r="AZ92" s="559">
        <f t="shared" si="69"/>
        <v>0</v>
      </c>
      <c r="BA92" s="559">
        <f t="shared" si="68"/>
        <v>0</v>
      </c>
      <c r="BB92" s="559"/>
      <c r="BC92" s="559"/>
      <c r="BD92" s="559"/>
      <c r="BE92" s="559"/>
      <c r="BF92" s="559"/>
      <c r="BG92" s="546">
        <f t="shared" si="56"/>
        <v>0</v>
      </c>
      <c r="BH92" s="108">
        <f t="shared" si="65"/>
        <v>0</v>
      </c>
      <c r="BI92" s="108">
        <f t="shared" si="60"/>
        <v>0</v>
      </c>
      <c r="BJ92" s="22">
        <f t="shared" si="61"/>
        <v>47396</v>
      </c>
      <c r="BK92" s="108">
        <f t="shared" si="42"/>
        <v>0</v>
      </c>
      <c r="BL92" s="2" t="e">
        <f>IF(AND(G47&gt;=$W$9,G47&lt;=$W$9+5),0,IF($C$9&gt;$AF$51,ROUND(BG46*IF(#REF!="",0,#REF!)/(DATEVALUE(CONCATENATE("01/01/",YEAR(AQ47)+1))-DATEVALUE(CONCATENATE("01/01/",YEAR(AQ47))))*(AQ47-AQ46),2),0))</f>
        <v>#REF!</v>
      </c>
      <c r="BX92" s="2"/>
      <c r="BY92" s="2"/>
      <c r="BZ92" s="2"/>
      <c r="CA92" s="2"/>
      <c r="CB92" s="2"/>
      <c r="CC92" s="2"/>
      <c r="CD92" s="2"/>
      <c r="CE92" s="2"/>
      <c r="CF92" s="2"/>
    </row>
    <row r="93" spans="1:84" s="16" customFormat="1" hidden="1" x14ac:dyDescent="0.3">
      <c r="A93" s="178"/>
      <c r="B93" s="178"/>
      <c r="C93" s="184"/>
      <c r="D93" s="184"/>
      <c r="E93" s="184"/>
      <c r="F93" s="184"/>
      <c r="G93" s="114">
        <f t="shared" si="62"/>
        <v>85</v>
      </c>
      <c r="H93" s="111">
        <f t="shared" ref="H93:H108" si="72">IF((OR(DAY($AD$54)=29,DAY($AD$54)=30,DAY($AD$54)=31)),(EDATE($C$9-3,G93)),(IF((OR(DAY($AD$54)=1,DAY($AD$54)=2,DAY($AD$54)=3)),(EDATE($C$9,G93)+3),EDATE($C$9,G93))))</f>
        <v>47427</v>
      </c>
      <c r="I93" s="176">
        <f t="shared" si="44"/>
        <v>4.9000000000000002E-2</v>
      </c>
      <c r="J93" s="24">
        <f t="shared" si="45"/>
        <v>0</v>
      </c>
      <c r="K93" s="24">
        <f t="shared" ref="K93:K108" si="73">IF(G93&gt;$C$10,0,ROUNDUP($S$8*$C$13/12/((1-(1+$C$13/12)^(0-$C$10))),0))</f>
        <v>0</v>
      </c>
      <c r="L93" s="24">
        <f t="shared" si="46"/>
        <v>0</v>
      </c>
      <c r="M93" s="24">
        <f t="shared" ref="M93:M108" si="74">IF(V93=0,0,IF(V93=1,S92,IF(S92+N93+L93&gt;K92,K93-L93-N93,S92)))</f>
        <v>0</v>
      </c>
      <c r="N93" s="24">
        <f t="shared" si="40"/>
        <v>0</v>
      </c>
      <c r="O93" s="24">
        <v>0</v>
      </c>
      <c r="P93" s="24">
        <f t="shared" si="70"/>
        <v>0</v>
      </c>
      <c r="Q93" s="24">
        <f t="shared" si="67"/>
        <v>0</v>
      </c>
      <c r="R93" s="24">
        <f t="shared" si="47"/>
        <v>0</v>
      </c>
      <c r="S93" s="24">
        <f t="shared" si="59"/>
        <v>0</v>
      </c>
      <c r="T93" s="24"/>
      <c r="U93" s="36">
        <f t="shared" si="63"/>
        <v>0</v>
      </c>
      <c r="V93" s="36">
        <f t="shared" si="49"/>
        <v>0</v>
      </c>
      <c r="W93" s="2" t="e">
        <f>IF(AND(G58&gt;=$W$9,G58&lt;=$W$9+5),0,IF($C$9&gt;$AF$51,ROUND(S57*#REF!/(DATEVALUE(CONCATENATE("01/01/",YEAR(H58)+1))-DATEVALUE(CONCATENATE("01/01/",YEAR(H58))))*(H58-H57),2),0))</f>
        <v>#REF!</v>
      </c>
      <c r="X93" s="34">
        <f t="shared" si="35"/>
        <v>22562</v>
      </c>
      <c r="Y93" s="57">
        <f t="shared" si="34"/>
        <v>63089</v>
      </c>
      <c r="AL93" s="2" t="e">
        <f>IF(AND(Y50&gt;=$W$9,Y50&lt;=$W$9+5),0,IF($C$9&gt;$AF$51,ROUND(AI53*#REF!/(DATEVALUE(CONCATENATE("01/01/",YEAR(Z50)+1))-DATEVALUE(CONCATENATE("01/01/",YEAR(Z50))))*(Z50-Z49),2),0))</f>
        <v>#REF!</v>
      </c>
      <c r="AM93" s="34">
        <f t="shared" si="37"/>
        <v>23217</v>
      </c>
      <c r="AN93" s="57">
        <f t="shared" si="36"/>
        <v>61629</v>
      </c>
      <c r="AO93" s="130">
        <f t="shared" si="50"/>
        <v>0</v>
      </c>
      <c r="AP93" s="109">
        <f t="shared" si="64"/>
        <v>85</v>
      </c>
      <c r="AQ93" s="110">
        <f t="shared" ref="AQ93:AQ108" si="75">IF((OR(DAY($AD$54)=29,DAY($AD$54)=30,DAY($AD$54)=31)),(EDATE($C$9-3,AP93)),(IF((OR(DAY($AD$54)=1,DAY($AD$54)=2,DAY($AD$54)=3)),(EDATE($C$9,AP93)+3),EDATE($C$9,AP93))))</f>
        <v>47427</v>
      </c>
      <c r="AR93" s="562">
        <f t="shared" si="41"/>
        <v>0.13900000000000001</v>
      </c>
      <c r="AS93" s="105">
        <f t="shared" si="52"/>
        <v>0</v>
      </c>
      <c r="AT93" s="105">
        <f>IF(AND(G93&gt;=$W$9,G93&lt;=$W$9+5),$W$10,IF(AND(BG92+AW93+AU93&gt;AT92,AT92&lt;&gt;0),IF(#REF!="Да",$AL$40,$D$19),IF(BG92=0,0,BG92+AW93+AU93+AU94)))</f>
        <v>0</v>
      </c>
      <c r="AU93" s="105">
        <f t="shared" ref="AU93:AU108" si="76">IF(AND(G93&gt;=$W$9,G93&lt;=$W$9+5),0,IF($C$9&gt;$AF$51,ROUND(BG92*AR93*((AQ93-DATE(YEAR(AQ93),MONTH(AQ93),1)+1)/(DATE(YEAR(AQ93)+1,1,1)-DATE(YEAR(AQ93),1,1))+(EOMONTH(AQ92,0)-AQ92)/(DATE(YEAR(AQ92)+1,1,1)-DATE(YEAR(AQ92),1,1))),2),0))</f>
        <v>0</v>
      </c>
      <c r="AV93" s="105">
        <f t="shared" si="55"/>
        <v>0</v>
      </c>
      <c r="AW93" s="105">
        <f t="shared" ref="AW93:AW108" si="77">IF(AY93-AZ93&gt;$D$19,$D$19-AU93,IF(BI93=0,0,BA93)+BX127)</f>
        <v>0</v>
      </c>
      <c r="AX93" s="105">
        <v>0</v>
      </c>
      <c r="AY93" s="105">
        <f t="shared" si="71"/>
        <v>0</v>
      </c>
      <c r="AZ93" s="105">
        <f t="shared" si="69"/>
        <v>0</v>
      </c>
      <c r="BA93" s="105">
        <f t="shared" si="68"/>
        <v>0</v>
      </c>
      <c r="BB93" s="105"/>
      <c r="BC93" s="105"/>
      <c r="BD93" s="105"/>
      <c r="BE93" s="105"/>
      <c r="BF93" s="105"/>
      <c r="BG93" s="105">
        <f t="shared" si="56"/>
        <v>0</v>
      </c>
      <c r="BH93" s="108">
        <f t="shared" si="65"/>
        <v>0</v>
      </c>
      <c r="BI93" s="108">
        <f t="shared" si="60"/>
        <v>0</v>
      </c>
      <c r="BJ93" s="22">
        <f t="shared" si="61"/>
        <v>47427</v>
      </c>
      <c r="BK93" s="108">
        <f t="shared" si="42"/>
        <v>0</v>
      </c>
      <c r="BL93" s="2" t="e">
        <f>IF(AND(G48&gt;=$W$9,G48&lt;=$W$9+5),0,IF($C$9&gt;$AF$51,ROUND(BG47*IF(#REF!="",0,#REF!)/(DATEVALUE(CONCATENATE("01/01/",YEAR(AQ48)+1))-DATEVALUE(CONCATENATE("01/01/",YEAR(AQ48))))*(AQ48-AQ47),2),0))</f>
        <v>#REF!</v>
      </c>
      <c r="BX93" s="2"/>
      <c r="BY93" s="2"/>
      <c r="BZ93" s="2"/>
      <c r="CA93" s="2"/>
      <c r="CB93" s="2"/>
      <c r="CC93" s="2"/>
      <c r="CD93" s="2"/>
      <c r="CE93" s="2"/>
      <c r="CF93" s="2"/>
    </row>
    <row r="94" spans="1:84" s="16" customFormat="1" hidden="1" x14ac:dyDescent="0.3">
      <c r="A94" s="178"/>
      <c r="B94" s="178"/>
      <c r="C94" s="184"/>
      <c r="D94" s="184"/>
      <c r="E94" s="184"/>
      <c r="F94" s="184"/>
      <c r="G94" s="114">
        <f t="shared" si="62"/>
        <v>86</v>
      </c>
      <c r="H94" s="111">
        <f t="shared" si="72"/>
        <v>47457</v>
      </c>
      <c r="I94" s="176">
        <f t="shared" si="44"/>
        <v>4.9000000000000002E-2</v>
      </c>
      <c r="J94" s="24">
        <f t="shared" si="45"/>
        <v>0</v>
      </c>
      <c r="K94" s="24">
        <f t="shared" si="73"/>
        <v>0</v>
      </c>
      <c r="L94" s="24">
        <f t="shared" si="46"/>
        <v>0</v>
      </c>
      <c r="M94" s="24">
        <f t="shared" si="74"/>
        <v>0</v>
      </c>
      <c r="N94" s="24">
        <f t="shared" si="40"/>
        <v>0</v>
      </c>
      <c r="O94" s="24">
        <v>0</v>
      </c>
      <c r="P94" s="24">
        <f t="shared" si="70"/>
        <v>0</v>
      </c>
      <c r="Q94" s="24">
        <f t="shared" si="67"/>
        <v>0</v>
      </c>
      <c r="R94" s="24">
        <f t="shared" si="47"/>
        <v>0</v>
      </c>
      <c r="S94" s="24">
        <f t="shared" si="59"/>
        <v>0</v>
      </c>
      <c r="T94" s="24"/>
      <c r="U94" s="36">
        <f t="shared" si="63"/>
        <v>0</v>
      </c>
      <c r="V94" s="36">
        <f t="shared" si="49"/>
        <v>0</v>
      </c>
      <c r="W94" s="2" t="e">
        <f>IF(AND(G59&gt;=$W$9,G59&lt;=$W$9+5),0,IF($C$9&gt;$AF$51,ROUND(S58*#REF!/(DATEVALUE(CONCATENATE("01/01/",YEAR(H59)+1))-DATEVALUE(CONCATENATE("01/01/",YEAR(H59))))*(H59-H58),2),0))</f>
        <v>#REF!</v>
      </c>
      <c r="X94" s="34">
        <f t="shared" si="35"/>
        <v>22562</v>
      </c>
      <c r="Y94" s="57">
        <f t="shared" si="34"/>
        <v>63454</v>
      </c>
      <c r="AL94" s="2" t="e">
        <f>IF(AND(Y51&gt;=$W$9,Y51&lt;=$W$9+5),0,IF($C$9&gt;$AF$51,ROUND(AI54*#REF!/(DATEVALUE(CONCATENATE("01/01/",YEAR(Z51)+1))-DATEVALUE(CONCATENATE("01/01/",YEAR(Z51))))*(Z51-Z50),2),0))</f>
        <v>#REF!</v>
      </c>
      <c r="AM94" s="34">
        <f t="shared" si="37"/>
        <v>23217</v>
      </c>
      <c r="AN94" s="57">
        <f t="shared" si="36"/>
        <v>61994</v>
      </c>
      <c r="AO94" s="130">
        <f t="shared" si="50"/>
        <v>0</v>
      </c>
      <c r="AP94" s="109">
        <f t="shared" si="64"/>
        <v>86</v>
      </c>
      <c r="AQ94" s="110">
        <f t="shared" si="75"/>
        <v>47457</v>
      </c>
      <c r="AR94" s="562">
        <f t="shared" si="41"/>
        <v>0.13900000000000001</v>
      </c>
      <c r="AS94" s="105">
        <f t="shared" si="52"/>
        <v>0</v>
      </c>
      <c r="AT94" s="105">
        <f>IF(AND(G94&gt;=$W$9,G94&lt;=$W$9+5),$W$10,IF(AND(BG93+AW94+AU94&gt;AT93,AT93&lt;&gt;0),IF(#REF!="Да",$AL$40,$D$19),IF(BG93=0,0,BG93+AW94+AU94+AU95)))</f>
        <v>0</v>
      </c>
      <c r="AU94" s="105">
        <f t="shared" si="76"/>
        <v>0</v>
      </c>
      <c r="AV94" s="105">
        <f t="shared" si="55"/>
        <v>0</v>
      </c>
      <c r="AW94" s="105">
        <f t="shared" si="77"/>
        <v>0</v>
      </c>
      <c r="AX94" s="105">
        <v>0</v>
      </c>
      <c r="AY94" s="105">
        <f t="shared" si="71"/>
        <v>0</v>
      </c>
      <c r="AZ94" s="105">
        <f t="shared" si="69"/>
        <v>0</v>
      </c>
      <c r="BA94" s="105">
        <f t="shared" si="68"/>
        <v>0</v>
      </c>
      <c r="BB94" s="105"/>
      <c r="BC94" s="105"/>
      <c r="BD94" s="105"/>
      <c r="BE94" s="105"/>
      <c r="BF94" s="105"/>
      <c r="BG94" s="105">
        <f t="shared" si="56"/>
        <v>0</v>
      </c>
      <c r="BH94" s="108">
        <f t="shared" si="65"/>
        <v>0</v>
      </c>
      <c r="BI94" s="108">
        <f t="shared" si="60"/>
        <v>0</v>
      </c>
      <c r="BJ94" s="22">
        <f t="shared" si="61"/>
        <v>47457</v>
      </c>
      <c r="BK94" s="108">
        <f t="shared" si="42"/>
        <v>0</v>
      </c>
      <c r="BL94" s="2" t="e">
        <f>IF(AND(G49&gt;=$W$9,G49&lt;=$W$9+5),0,IF($C$9&gt;$AF$51,ROUND(BG48*IF(#REF!="",0,#REF!)/(DATEVALUE(CONCATENATE("01/01/",YEAR(AQ49)+1))-DATEVALUE(CONCATENATE("01/01/",YEAR(AQ49))))*(AQ49-AQ48),2),0))</f>
        <v>#REF!</v>
      </c>
      <c r="BX94" s="2"/>
      <c r="BY94" s="2"/>
      <c r="BZ94" s="2"/>
      <c r="CA94" s="2"/>
      <c r="CB94" s="2"/>
      <c r="CC94" s="2"/>
      <c r="CD94" s="2"/>
      <c r="CE94" s="2"/>
      <c r="CF94" s="2"/>
    </row>
    <row r="95" spans="1:84" s="16" customFormat="1" hidden="1" x14ac:dyDescent="0.3">
      <c r="A95" s="178"/>
      <c r="B95" s="178"/>
      <c r="C95" s="184"/>
      <c r="D95" s="184"/>
      <c r="E95" s="184"/>
      <c r="F95" s="184"/>
      <c r="G95" s="114">
        <f t="shared" si="62"/>
        <v>87</v>
      </c>
      <c r="H95" s="111">
        <f t="shared" si="72"/>
        <v>47488</v>
      </c>
      <c r="I95" s="176">
        <f t="shared" si="44"/>
        <v>4.9000000000000002E-2</v>
      </c>
      <c r="J95" s="24">
        <f t="shared" si="45"/>
        <v>0</v>
      </c>
      <c r="K95" s="24">
        <f t="shared" si="73"/>
        <v>0</v>
      </c>
      <c r="L95" s="24">
        <f t="shared" si="46"/>
        <v>0</v>
      </c>
      <c r="M95" s="24">
        <f t="shared" si="74"/>
        <v>0</v>
      </c>
      <c r="N95" s="24">
        <f t="shared" si="40"/>
        <v>0</v>
      </c>
      <c r="O95" s="24">
        <v>0</v>
      </c>
      <c r="P95" s="24">
        <f t="shared" si="70"/>
        <v>0</v>
      </c>
      <c r="Q95" s="24">
        <f t="shared" si="67"/>
        <v>0</v>
      </c>
      <c r="R95" s="24">
        <f t="shared" si="47"/>
        <v>0</v>
      </c>
      <c r="S95" s="24">
        <f t="shared" si="59"/>
        <v>0</v>
      </c>
      <c r="T95" s="24"/>
      <c r="U95" s="36">
        <f t="shared" si="63"/>
        <v>0</v>
      </c>
      <c r="V95" s="36">
        <f t="shared" si="49"/>
        <v>0</v>
      </c>
      <c r="W95" s="2" t="e">
        <f>IF(AND(G60&gt;=$W$9,G60&lt;=$W$9+5),0,IF($C$9&gt;$AF$51,ROUND(S59*#REF!/(DATEVALUE(CONCATENATE("01/01/",YEAR(H60)+1))-DATEVALUE(CONCATENATE("01/01/",YEAR(H60))))*(H60-H59),2),0))</f>
        <v>#REF!</v>
      </c>
      <c r="X95" s="34">
        <f t="shared" si="35"/>
        <v>22562</v>
      </c>
      <c r="Y95" s="57">
        <f t="shared" si="34"/>
        <v>63819</v>
      </c>
      <c r="AL95" s="2" t="e">
        <f>IF(AND(Y52&gt;=$W$9,Y52&lt;=$W$9+5),0,IF($C$9&gt;$AF$51,ROUND(AI55*#REF!/(DATEVALUE(CONCATENATE("01/01/",YEAR(Z52)+1))-DATEVALUE(CONCATENATE("01/01/",YEAR(Z52))))*(Z52-Z51),2),0))</f>
        <v>#REF!</v>
      </c>
      <c r="AM95" s="34">
        <f t="shared" si="37"/>
        <v>23217</v>
      </c>
      <c r="AN95" s="57">
        <f t="shared" si="36"/>
        <v>62359</v>
      </c>
      <c r="AO95" s="130">
        <f t="shared" si="50"/>
        <v>0</v>
      </c>
      <c r="AP95" s="109">
        <f t="shared" si="64"/>
        <v>87</v>
      </c>
      <c r="AQ95" s="110">
        <f t="shared" si="75"/>
        <v>47488</v>
      </c>
      <c r="AR95" s="562">
        <f t="shared" si="41"/>
        <v>0.13900000000000001</v>
      </c>
      <c r="AS95" s="105">
        <f t="shared" si="52"/>
        <v>0</v>
      </c>
      <c r="AT95" s="105">
        <f>IF(AND(G95&gt;=$W$9,G95&lt;=$W$9+5),$W$10,IF(AND(BG94+AW95+AU95&gt;AT94,AT94&lt;&gt;0),IF(#REF!="Да",$AL$40,$D$19),IF(BG94=0,0,BG94+AW95+AU95+AU96)))</f>
        <v>0</v>
      </c>
      <c r="AU95" s="105">
        <f t="shared" si="76"/>
        <v>0</v>
      </c>
      <c r="AV95" s="105">
        <f t="shared" si="55"/>
        <v>0</v>
      </c>
      <c r="AW95" s="105">
        <f t="shared" si="77"/>
        <v>0</v>
      </c>
      <c r="AX95" s="105">
        <v>0</v>
      </c>
      <c r="AY95" s="105">
        <f t="shared" si="71"/>
        <v>0</v>
      </c>
      <c r="AZ95" s="105">
        <f t="shared" si="69"/>
        <v>0</v>
      </c>
      <c r="BA95" s="105">
        <f t="shared" si="68"/>
        <v>0</v>
      </c>
      <c r="BB95" s="105"/>
      <c r="BC95" s="105"/>
      <c r="BD95" s="105"/>
      <c r="BE95" s="105"/>
      <c r="BF95" s="105"/>
      <c r="BG95" s="105">
        <f t="shared" si="56"/>
        <v>0</v>
      </c>
      <c r="BH95" s="108">
        <f t="shared" si="65"/>
        <v>0</v>
      </c>
      <c r="BI95" s="108">
        <f t="shared" si="60"/>
        <v>0</v>
      </c>
      <c r="BJ95" s="22">
        <f t="shared" si="61"/>
        <v>47488</v>
      </c>
      <c r="BK95" s="108">
        <f t="shared" si="42"/>
        <v>0</v>
      </c>
      <c r="BL95" s="2" t="e">
        <f>IF(AND(G50&gt;=$W$9,G50&lt;=$W$9+5),0,IF($C$9&gt;$AF$51,ROUND(BG49*IF(#REF!="",0,#REF!)/(DATEVALUE(CONCATENATE("01/01/",YEAR(AQ50)+1))-DATEVALUE(CONCATENATE("01/01/",YEAR(AQ50))))*(AQ50-AQ49),2),0))</f>
        <v>#REF!</v>
      </c>
      <c r="BX95" s="2"/>
      <c r="BY95" s="2"/>
      <c r="BZ95" s="2"/>
      <c r="CA95" s="2"/>
      <c r="CB95" s="2"/>
      <c r="CC95" s="2"/>
      <c r="CD95" s="2"/>
      <c r="CE95" s="2"/>
      <c r="CF95" s="2"/>
    </row>
    <row r="96" spans="1:84" s="16" customFormat="1" hidden="1" x14ac:dyDescent="0.3">
      <c r="A96" s="178"/>
      <c r="B96" s="178"/>
      <c r="C96" s="184"/>
      <c r="D96" s="184"/>
      <c r="E96" s="184"/>
      <c r="F96" s="184"/>
      <c r="G96" s="114">
        <f t="shared" si="62"/>
        <v>88</v>
      </c>
      <c r="H96" s="111">
        <f t="shared" si="72"/>
        <v>47519</v>
      </c>
      <c r="I96" s="176">
        <f t="shared" si="44"/>
        <v>4.9000000000000002E-2</v>
      </c>
      <c r="J96" s="24">
        <f t="shared" si="45"/>
        <v>0</v>
      </c>
      <c r="K96" s="24">
        <f t="shared" si="73"/>
        <v>0</v>
      </c>
      <c r="L96" s="24">
        <f t="shared" si="46"/>
        <v>0</v>
      </c>
      <c r="M96" s="24">
        <f t="shared" si="74"/>
        <v>0</v>
      </c>
      <c r="N96" s="24">
        <f t="shared" si="40"/>
        <v>0</v>
      </c>
      <c r="O96" s="24">
        <v>0</v>
      </c>
      <c r="P96" s="24">
        <f t="shared" si="70"/>
        <v>0</v>
      </c>
      <c r="Q96" s="24">
        <f t="shared" si="67"/>
        <v>0</v>
      </c>
      <c r="R96" s="24">
        <f t="shared" si="47"/>
        <v>0</v>
      </c>
      <c r="S96" s="24">
        <f t="shared" si="59"/>
        <v>0</v>
      </c>
      <c r="T96" s="24"/>
      <c r="U96" s="36">
        <f t="shared" si="63"/>
        <v>0</v>
      </c>
      <c r="V96" s="36">
        <f t="shared" si="49"/>
        <v>0</v>
      </c>
      <c r="W96" s="2" t="e">
        <f>IF(AND(G61&gt;=$W$9,G61&lt;=$W$9+5),0,IF($C$9&gt;$AF$51,ROUND(S60*#REF!/(DATEVALUE(CONCATENATE("01/01/",YEAR(H61)+1))-DATEVALUE(CONCATENATE("01/01/",YEAR(H61))))*(H61-H60),2),0))</f>
        <v>#REF!</v>
      </c>
      <c r="X96" s="34">
        <f t="shared" si="35"/>
        <v>22562</v>
      </c>
      <c r="Y96" s="57">
        <f t="shared" si="34"/>
        <v>64184</v>
      </c>
      <c r="AL96" s="2" t="e">
        <f>IF(AND(Y53&gt;=$W$9,Y53&lt;=$W$9+5),0,IF($C$9&gt;$AF$51,ROUND(AI56*#REF!/(DATEVALUE(CONCATENATE("01/01/",YEAR(Z53)+1))-DATEVALUE(CONCATENATE("01/01/",YEAR(Z53))))*(Z53-Z52),2),0))</f>
        <v>#REF!</v>
      </c>
      <c r="AM96" s="34">
        <f t="shared" si="37"/>
        <v>23217</v>
      </c>
      <c r="AN96" s="57">
        <f t="shared" si="36"/>
        <v>62724</v>
      </c>
      <c r="AO96" s="130">
        <f t="shared" si="50"/>
        <v>0</v>
      </c>
      <c r="AP96" s="109">
        <f t="shared" si="64"/>
        <v>88</v>
      </c>
      <c r="AQ96" s="110">
        <f t="shared" si="75"/>
        <v>47519</v>
      </c>
      <c r="AR96" s="562">
        <f t="shared" si="41"/>
        <v>0.13900000000000001</v>
      </c>
      <c r="AS96" s="105">
        <f t="shared" si="52"/>
        <v>0</v>
      </c>
      <c r="AT96" s="105">
        <f>IF(AND(G96&gt;=$W$9,G96&lt;=$W$9+5),$W$10,IF(AND(BG95+AW96+AU96&gt;AT95,AT95&lt;&gt;0),IF(#REF!="Да",$AL$40,$D$19),IF(BG95=0,0,BG95+AW96+AU96+AU97)))</f>
        <v>0</v>
      </c>
      <c r="AU96" s="105">
        <f t="shared" si="76"/>
        <v>0</v>
      </c>
      <c r="AV96" s="105">
        <f t="shared" si="55"/>
        <v>0</v>
      </c>
      <c r="AW96" s="105">
        <f t="shared" si="77"/>
        <v>0</v>
      </c>
      <c r="AX96" s="105">
        <v>0</v>
      </c>
      <c r="AY96" s="105">
        <f t="shared" si="71"/>
        <v>0</v>
      </c>
      <c r="AZ96" s="105">
        <f t="shared" si="69"/>
        <v>0</v>
      </c>
      <c r="BA96" s="105">
        <f t="shared" si="68"/>
        <v>0</v>
      </c>
      <c r="BB96" s="105"/>
      <c r="BC96" s="105"/>
      <c r="BD96" s="105"/>
      <c r="BE96" s="105"/>
      <c r="BF96" s="105"/>
      <c r="BG96" s="105">
        <f t="shared" si="56"/>
        <v>0</v>
      </c>
      <c r="BH96" s="108">
        <f t="shared" si="65"/>
        <v>0</v>
      </c>
      <c r="BI96" s="108">
        <f t="shared" si="60"/>
        <v>0</v>
      </c>
      <c r="BJ96" s="22">
        <f t="shared" si="61"/>
        <v>47519</v>
      </c>
      <c r="BK96" s="108">
        <f t="shared" si="42"/>
        <v>0</v>
      </c>
      <c r="BL96" s="2" t="e">
        <f>IF(AND(G51&gt;=$W$9,G51&lt;=$W$9+5),0,IF($C$9&gt;$AF$51,ROUND(BG50*IF(#REF!="",0,#REF!)/(DATEVALUE(CONCATENATE("01/01/",YEAR(AQ51)+1))-DATEVALUE(CONCATENATE("01/01/",YEAR(AQ51))))*(AQ51-AQ50),2),0))</f>
        <v>#REF!</v>
      </c>
      <c r="BX96" s="2"/>
      <c r="BY96" s="2"/>
      <c r="BZ96" s="2"/>
      <c r="CA96" s="2"/>
      <c r="CB96" s="2"/>
      <c r="CC96" s="2"/>
      <c r="CD96" s="2"/>
      <c r="CE96" s="2"/>
      <c r="CF96" s="2"/>
    </row>
    <row r="97" spans="1:1217" s="16" customFormat="1" hidden="1" x14ac:dyDescent="0.3">
      <c r="A97" s="178"/>
      <c r="B97" s="178"/>
      <c r="C97" s="184"/>
      <c r="D97" s="184"/>
      <c r="E97" s="184"/>
      <c r="F97" s="184"/>
      <c r="G97" s="114">
        <f t="shared" si="62"/>
        <v>89</v>
      </c>
      <c r="H97" s="111">
        <f t="shared" si="72"/>
        <v>47547</v>
      </c>
      <c r="I97" s="176">
        <f t="shared" si="44"/>
        <v>4.9000000000000002E-2</v>
      </c>
      <c r="J97" s="24">
        <f t="shared" si="45"/>
        <v>0</v>
      </c>
      <c r="K97" s="24">
        <f t="shared" si="73"/>
        <v>0</v>
      </c>
      <c r="L97" s="24">
        <f t="shared" si="46"/>
        <v>0</v>
      </c>
      <c r="M97" s="24">
        <f t="shared" si="74"/>
        <v>0</v>
      </c>
      <c r="N97" s="24">
        <f t="shared" si="40"/>
        <v>0</v>
      </c>
      <c r="O97" s="24">
        <v>0</v>
      </c>
      <c r="P97" s="24">
        <f t="shared" si="70"/>
        <v>0</v>
      </c>
      <c r="Q97" s="24">
        <f t="shared" si="67"/>
        <v>0</v>
      </c>
      <c r="R97" s="24">
        <f t="shared" si="47"/>
        <v>0</v>
      </c>
      <c r="S97" s="24">
        <f t="shared" si="59"/>
        <v>0</v>
      </c>
      <c r="T97" s="24"/>
      <c r="U97" s="36">
        <f t="shared" si="63"/>
        <v>0</v>
      </c>
      <c r="V97" s="36">
        <f t="shared" si="49"/>
        <v>0</v>
      </c>
      <c r="W97" s="2" t="e">
        <f>IF(AND(G62&gt;=$W$9,G62&lt;=$W$9+5),0,IF($C$9&gt;$AF$51,ROUND(S61*#REF!/(DATEVALUE(CONCATENATE("01/01/",YEAR(H62)+1))-DATEVALUE(CONCATENATE("01/01/",YEAR(H62))))*(H62-H61),2),0))</f>
        <v>#REF!</v>
      </c>
      <c r="X97" s="34">
        <f t="shared" si="35"/>
        <v>22562</v>
      </c>
      <c r="Y97" s="57">
        <f t="shared" si="34"/>
        <v>64549</v>
      </c>
      <c r="AL97" s="2" t="e">
        <f>IF(AND(Y54&gt;=$W$9,Y54&lt;=$W$9+5),0,IF($C$9&gt;$AF$51,ROUND(AI57*#REF!/(DATEVALUE(CONCATENATE("01/01/",YEAR(Z54)+1))-DATEVALUE(CONCATENATE("01/01/",YEAR(Z54))))*(Z54-Z53),2),0))</f>
        <v>#REF!</v>
      </c>
      <c r="AM97" s="34">
        <f t="shared" si="37"/>
        <v>23217</v>
      </c>
      <c r="AN97" s="57">
        <f t="shared" si="36"/>
        <v>63089</v>
      </c>
      <c r="AO97" s="130">
        <f t="shared" si="50"/>
        <v>0</v>
      </c>
      <c r="AP97" s="109">
        <f t="shared" si="64"/>
        <v>89</v>
      </c>
      <c r="AQ97" s="110">
        <f t="shared" si="75"/>
        <v>47547</v>
      </c>
      <c r="AR97" s="562">
        <f t="shared" si="41"/>
        <v>0.13900000000000001</v>
      </c>
      <c r="AS97" s="105">
        <f t="shared" si="52"/>
        <v>0</v>
      </c>
      <c r="AT97" s="105">
        <f>IF(AND(G97&gt;=$W$9,G97&lt;=$W$9+5),$W$10,IF(AND(BG96+AW97+AU97&gt;AT96,AT96&lt;&gt;0),IF(#REF!="Да",$AL$40,$D$19),IF(BG96=0,0,BG96+AW97+AU97+AU98)))</f>
        <v>0</v>
      </c>
      <c r="AU97" s="105">
        <f t="shared" si="76"/>
        <v>0</v>
      </c>
      <c r="AV97" s="105">
        <f t="shared" si="55"/>
        <v>0</v>
      </c>
      <c r="AW97" s="105">
        <f t="shared" si="77"/>
        <v>0</v>
      </c>
      <c r="AX97" s="105">
        <v>0</v>
      </c>
      <c r="AY97" s="105">
        <f t="shared" si="71"/>
        <v>0</v>
      </c>
      <c r="AZ97" s="105">
        <f t="shared" si="69"/>
        <v>0</v>
      </c>
      <c r="BA97" s="105">
        <f t="shared" si="68"/>
        <v>0</v>
      </c>
      <c r="BB97" s="105"/>
      <c r="BC97" s="105"/>
      <c r="BD97" s="105"/>
      <c r="BE97" s="105"/>
      <c r="BF97" s="105"/>
      <c r="BG97" s="105">
        <f t="shared" si="56"/>
        <v>0</v>
      </c>
      <c r="BH97" s="108">
        <f t="shared" si="65"/>
        <v>0</v>
      </c>
      <c r="BI97" s="108">
        <f t="shared" si="60"/>
        <v>0</v>
      </c>
      <c r="BJ97" s="22">
        <f t="shared" si="61"/>
        <v>47547</v>
      </c>
      <c r="BK97" s="108">
        <f t="shared" si="42"/>
        <v>0</v>
      </c>
      <c r="BL97" s="2" t="e">
        <f>IF(AND(G52&gt;=$W$9,G52&lt;=$W$9+5),0,IF($C$9&gt;$AF$51,ROUND(BG51*IF(#REF!="",0,#REF!)/(DATEVALUE(CONCATENATE("01/01/",YEAR(AQ52)+1))-DATEVALUE(CONCATENATE("01/01/",YEAR(AQ52))))*(AQ52-AQ51),2),0))</f>
        <v>#REF!</v>
      </c>
      <c r="BX97" s="2"/>
      <c r="BY97" s="2"/>
      <c r="BZ97" s="2"/>
      <c r="CA97" s="2"/>
      <c r="CB97" s="2"/>
      <c r="CC97" s="2"/>
      <c r="CD97" s="2"/>
      <c r="CE97" s="2"/>
      <c r="CF97" s="2"/>
    </row>
    <row r="98" spans="1:1217" s="16" customFormat="1" hidden="1" x14ac:dyDescent="0.3">
      <c r="A98" s="178"/>
      <c r="B98" s="178"/>
      <c r="C98" s="184"/>
      <c r="D98" s="184"/>
      <c r="E98" s="184"/>
      <c r="F98" s="184"/>
      <c r="G98" s="114">
        <f t="shared" si="62"/>
        <v>90</v>
      </c>
      <c r="H98" s="111">
        <f t="shared" si="72"/>
        <v>47578</v>
      </c>
      <c r="I98" s="176">
        <f t="shared" si="44"/>
        <v>4.9000000000000002E-2</v>
      </c>
      <c r="J98" s="24">
        <f t="shared" si="45"/>
        <v>0</v>
      </c>
      <c r="K98" s="24">
        <f t="shared" si="73"/>
        <v>0</v>
      </c>
      <c r="L98" s="24">
        <f t="shared" si="46"/>
        <v>0</v>
      </c>
      <c r="M98" s="24">
        <f t="shared" si="74"/>
        <v>0</v>
      </c>
      <c r="N98" s="24">
        <f t="shared" si="40"/>
        <v>0</v>
      </c>
      <c r="O98" s="24">
        <v>0</v>
      </c>
      <c r="P98" s="24">
        <f t="shared" si="70"/>
        <v>0</v>
      </c>
      <c r="Q98" s="24">
        <f t="shared" si="67"/>
        <v>0</v>
      </c>
      <c r="R98" s="24">
        <f t="shared" si="47"/>
        <v>0</v>
      </c>
      <c r="S98" s="24">
        <f t="shared" si="59"/>
        <v>0</v>
      </c>
      <c r="T98" s="24"/>
      <c r="U98" s="36">
        <f t="shared" si="63"/>
        <v>0</v>
      </c>
      <c r="V98" s="36">
        <f t="shared" si="49"/>
        <v>0</v>
      </c>
      <c r="W98" s="2" t="e">
        <f>IF(AND(G63&gt;=$W$9,G63&lt;=$W$9+5),0,IF($C$9&gt;$AF$51,ROUND(S62*#REF!/(DATEVALUE(CONCATENATE("01/01/",YEAR(H63)+1))-DATEVALUE(CONCATENATE("01/01/",YEAR(H63))))*(H63-H62),2),0))</f>
        <v>#REF!</v>
      </c>
      <c r="X98" s="34">
        <f t="shared" si="35"/>
        <v>22562</v>
      </c>
      <c r="Y98" s="57">
        <f t="shared" si="34"/>
        <v>64914</v>
      </c>
      <c r="AL98" s="2" t="e">
        <f>IF(AND(Y55&gt;=$W$9,Y55&lt;=$W$9+5),0,IF($C$9&gt;$AF$51,ROUND(AI58*#REF!/(DATEVALUE(CONCATENATE("01/01/",YEAR(Z55)+1))-DATEVALUE(CONCATENATE("01/01/",YEAR(Z55))))*(Z55-Z54),2),0))</f>
        <v>#REF!</v>
      </c>
      <c r="AM98" s="34">
        <f t="shared" si="37"/>
        <v>23217</v>
      </c>
      <c r="AN98" s="57">
        <f t="shared" si="36"/>
        <v>63454</v>
      </c>
      <c r="AO98" s="130">
        <f t="shared" si="50"/>
        <v>0</v>
      </c>
      <c r="AP98" s="109">
        <f t="shared" si="64"/>
        <v>90</v>
      </c>
      <c r="AQ98" s="110">
        <f t="shared" si="75"/>
        <v>47578</v>
      </c>
      <c r="AR98" s="562">
        <f t="shared" si="41"/>
        <v>0.13900000000000001</v>
      </c>
      <c r="AS98" s="105">
        <f t="shared" si="52"/>
        <v>0</v>
      </c>
      <c r="AT98" s="105">
        <f>IF(AND(G98&gt;=$W$9,G98&lt;=$W$9+5),$W$10,IF(AND(BG97+AW98+AU98&gt;AT97,AT97&lt;&gt;0),IF(#REF!="Да",$AL$40,$D$19),IF(BG97=0,0,BG97+AW98+AU98+AU99)))</f>
        <v>0</v>
      </c>
      <c r="AU98" s="105">
        <f t="shared" si="76"/>
        <v>0</v>
      </c>
      <c r="AV98" s="105">
        <f t="shared" si="55"/>
        <v>0</v>
      </c>
      <c r="AW98" s="105">
        <f t="shared" si="77"/>
        <v>0</v>
      </c>
      <c r="AX98" s="105">
        <v>0</v>
      </c>
      <c r="AY98" s="105">
        <f t="shared" si="71"/>
        <v>0</v>
      </c>
      <c r="AZ98" s="105">
        <f t="shared" si="69"/>
        <v>0</v>
      </c>
      <c r="BA98" s="105">
        <f t="shared" si="68"/>
        <v>0</v>
      </c>
      <c r="BB98" s="105"/>
      <c r="BC98" s="105"/>
      <c r="BD98" s="105"/>
      <c r="BE98" s="105"/>
      <c r="BF98" s="105"/>
      <c r="BG98" s="105">
        <f t="shared" si="56"/>
        <v>0</v>
      </c>
      <c r="BH98" s="108">
        <f t="shared" si="65"/>
        <v>0</v>
      </c>
      <c r="BI98" s="108">
        <f t="shared" si="60"/>
        <v>0</v>
      </c>
      <c r="BJ98" s="22">
        <f t="shared" si="61"/>
        <v>47578</v>
      </c>
      <c r="BK98" s="108">
        <f t="shared" si="42"/>
        <v>0</v>
      </c>
      <c r="BL98" s="2" t="e">
        <f>IF(AND(G53&gt;=$W$9,G53&lt;=$W$9+5),0,IF($C$9&gt;$AF$51,ROUND(BG52*IF(#REF!="",0,#REF!)/(DATEVALUE(CONCATENATE("01/01/",YEAR(AQ53)+1))-DATEVALUE(CONCATENATE("01/01/",YEAR(AQ53))))*(AQ53-AQ52),2),0))</f>
        <v>#REF!</v>
      </c>
      <c r="BX98" s="2"/>
      <c r="BY98" s="2"/>
      <c r="BZ98" s="2"/>
      <c r="CA98" s="2"/>
      <c r="CB98" s="2"/>
      <c r="CC98" s="2"/>
      <c r="CD98" s="2"/>
      <c r="CE98" s="2"/>
      <c r="CF98" s="2"/>
    </row>
    <row r="99" spans="1:1217" s="16" customFormat="1" hidden="1" x14ac:dyDescent="0.3">
      <c r="A99" s="178"/>
      <c r="B99" s="178"/>
      <c r="C99" s="184"/>
      <c r="D99" s="184"/>
      <c r="E99" s="184"/>
      <c r="F99" s="184"/>
      <c r="G99" s="114">
        <f t="shared" si="62"/>
        <v>91</v>
      </c>
      <c r="H99" s="111">
        <f t="shared" si="72"/>
        <v>47608</v>
      </c>
      <c r="I99" s="176">
        <f t="shared" si="44"/>
        <v>4.9000000000000002E-2</v>
      </c>
      <c r="J99" s="24">
        <f t="shared" si="45"/>
        <v>0</v>
      </c>
      <c r="K99" s="24">
        <f t="shared" si="73"/>
        <v>0</v>
      </c>
      <c r="L99" s="24">
        <f t="shared" si="46"/>
        <v>0</v>
      </c>
      <c r="M99" s="24">
        <f t="shared" si="74"/>
        <v>0</v>
      </c>
      <c r="N99" s="24">
        <f t="shared" si="40"/>
        <v>0</v>
      </c>
      <c r="O99" s="24">
        <v>0</v>
      </c>
      <c r="P99" s="24">
        <f t="shared" si="70"/>
        <v>0</v>
      </c>
      <c r="Q99" s="24">
        <f t="shared" si="67"/>
        <v>0</v>
      </c>
      <c r="R99" s="24">
        <f t="shared" si="47"/>
        <v>0</v>
      </c>
      <c r="S99" s="24">
        <f t="shared" si="59"/>
        <v>0</v>
      </c>
      <c r="T99" s="24"/>
      <c r="U99" s="36">
        <f t="shared" si="63"/>
        <v>0</v>
      </c>
      <c r="V99" s="36">
        <f t="shared" si="49"/>
        <v>0</v>
      </c>
      <c r="W99" s="2" t="e">
        <f>IF(AND(G64&gt;=$W$9,G64&lt;=$W$9+5),0,IF($C$9&gt;$AF$51,ROUND(S63*#REF!/(DATEVALUE(CONCATENATE("01/01/",YEAR(H64)+1))-DATEVALUE(CONCATENATE("01/01/",YEAR(H64))))*(H64-H63),2),0))</f>
        <v>#REF!</v>
      </c>
      <c r="X99" s="34">
        <f t="shared" si="35"/>
        <v>22562</v>
      </c>
      <c r="Y99" s="57">
        <f t="shared" si="34"/>
        <v>65279</v>
      </c>
      <c r="AL99" s="2" t="e">
        <f>IF(AND(Y56&gt;=$W$9,Y56&lt;=$W$9+5),0,IF($C$9&gt;$AF$51,ROUND(AI59*#REF!/(DATEVALUE(CONCATENATE("01/01/",YEAR(Z56)+1))-DATEVALUE(CONCATENATE("01/01/",YEAR(Z56))))*(Z56-Z55),2),0))</f>
        <v>#VALUE!</v>
      </c>
      <c r="AM99" s="34">
        <f t="shared" si="37"/>
        <v>23217</v>
      </c>
      <c r="AN99" s="57">
        <f t="shared" si="36"/>
        <v>63819</v>
      </c>
      <c r="AO99" s="130">
        <f t="shared" si="50"/>
        <v>0</v>
      </c>
      <c r="AP99" s="109">
        <f t="shared" si="64"/>
        <v>91</v>
      </c>
      <c r="AQ99" s="110">
        <f t="shared" si="75"/>
        <v>47608</v>
      </c>
      <c r="AR99" s="562">
        <f t="shared" si="41"/>
        <v>0.13900000000000001</v>
      </c>
      <c r="AS99" s="105">
        <f t="shared" si="52"/>
        <v>0</v>
      </c>
      <c r="AT99" s="105">
        <f>IF(AND(G99&gt;=$W$9,G99&lt;=$W$9+5),$W$10,IF(AND(BG98+AW99+AU99&gt;AT98,AT98&lt;&gt;0),IF(#REF!="Да",$AL$40,$D$19),IF(BG98=0,0,BG98+AW99+AU99+AU100)))</f>
        <v>0</v>
      </c>
      <c r="AU99" s="105">
        <f t="shared" si="76"/>
        <v>0</v>
      </c>
      <c r="AV99" s="105">
        <f t="shared" si="55"/>
        <v>0</v>
      </c>
      <c r="AW99" s="105">
        <f t="shared" si="77"/>
        <v>0</v>
      </c>
      <c r="AX99" s="105">
        <v>0</v>
      </c>
      <c r="AY99" s="105">
        <f t="shared" si="71"/>
        <v>0</v>
      </c>
      <c r="AZ99" s="105">
        <f t="shared" si="69"/>
        <v>0</v>
      </c>
      <c r="BA99" s="105">
        <f t="shared" si="68"/>
        <v>0</v>
      </c>
      <c r="BB99" s="105"/>
      <c r="BC99" s="105"/>
      <c r="BD99" s="105"/>
      <c r="BE99" s="105"/>
      <c r="BF99" s="105"/>
      <c r="BG99" s="105">
        <f t="shared" si="56"/>
        <v>0</v>
      </c>
      <c r="BH99" s="108">
        <f t="shared" si="65"/>
        <v>0</v>
      </c>
      <c r="BI99" s="108">
        <f t="shared" si="60"/>
        <v>0</v>
      </c>
      <c r="BJ99" s="22">
        <f t="shared" si="61"/>
        <v>47608</v>
      </c>
      <c r="BK99" s="108">
        <f t="shared" si="42"/>
        <v>0</v>
      </c>
      <c r="BL99" s="2" t="e">
        <f>IF(AND(G54&gt;=$W$9,G54&lt;=$W$9+5),0,IF($C$9&gt;$AF$51,ROUND(BG53*IF(#REF!="",0,#REF!)/(DATEVALUE(CONCATENATE("01/01/",YEAR(AQ54)+1))-DATEVALUE(CONCATENATE("01/01/",YEAR(AQ54))))*(AQ54-AQ53),2),0))</f>
        <v>#REF!</v>
      </c>
      <c r="BX99" s="2"/>
      <c r="BY99" s="2"/>
      <c r="BZ99" s="2"/>
      <c r="CA99" s="2"/>
      <c r="CB99" s="2"/>
      <c r="CC99" s="2"/>
      <c r="CD99" s="2"/>
      <c r="CE99" s="2"/>
      <c r="CF99" s="2"/>
    </row>
    <row r="100" spans="1:1217" s="16" customFormat="1" hidden="1" x14ac:dyDescent="0.3">
      <c r="A100" s="178"/>
      <c r="B100" s="178"/>
      <c r="C100" s="184"/>
      <c r="D100" s="184"/>
      <c r="E100" s="184"/>
      <c r="F100" s="184"/>
      <c r="G100" s="114">
        <f t="shared" si="62"/>
        <v>92</v>
      </c>
      <c r="H100" s="111">
        <f t="shared" si="72"/>
        <v>47639</v>
      </c>
      <c r="I100" s="176">
        <f t="shared" si="44"/>
        <v>4.9000000000000002E-2</v>
      </c>
      <c r="J100" s="24">
        <f t="shared" si="45"/>
        <v>0</v>
      </c>
      <c r="K100" s="24">
        <f t="shared" si="73"/>
        <v>0</v>
      </c>
      <c r="L100" s="24">
        <f t="shared" si="46"/>
        <v>0</v>
      </c>
      <c r="M100" s="24">
        <f t="shared" si="74"/>
        <v>0</v>
      </c>
      <c r="N100" s="24">
        <f t="shared" si="40"/>
        <v>0</v>
      </c>
      <c r="O100" s="24">
        <v>0</v>
      </c>
      <c r="P100" s="24">
        <f t="shared" si="70"/>
        <v>0</v>
      </c>
      <c r="Q100" s="24">
        <f t="shared" si="67"/>
        <v>0</v>
      </c>
      <c r="R100" s="24">
        <f t="shared" si="47"/>
        <v>0</v>
      </c>
      <c r="S100" s="24">
        <f t="shared" si="59"/>
        <v>0</v>
      </c>
      <c r="T100" s="24"/>
      <c r="U100" s="36">
        <f t="shared" si="63"/>
        <v>0</v>
      </c>
      <c r="V100" s="36">
        <f t="shared" si="49"/>
        <v>0</v>
      </c>
      <c r="W100" s="2" t="e">
        <f>IF(AND(G65&gt;=$W$9,G65&lt;=$W$9+5),0,IF($C$9&gt;$AF$51,ROUND(S64*#REF!/(DATEVALUE(CONCATENATE("01/01/",YEAR(H65)+1))-DATEVALUE(CONCATENATE("01/01/",YEAR(H65))))*(H65-H64),2),0))</f>
        <v>#REF!</v>
      </c>
      <c r="X100" s="34">
        <f t="shared" si="35"/>
        <v>22562</v>
      </c>
      <c r="Y100" s="57">
        <f t="shared" si="34"/>
        <v>65644</v>
      </c>
      <c r="AL100" s="2" t="e">
        <f>IF(AND(Y57&gt;=$W$9,Y57&lt;=$W$9+5),0,IF($C$9&gt;$AF$51,ROUND(AI60*#REF!/(DATEVALUE(CONCATENATE("01/01/",YEAR(Z57)+1))-DATEVALUE(CONCATENATE("01/01/",YEAR(Z57))))*(Z57-Z56),2),0))</f>
        <v>#REF!</v>
      </c>
      <c r="AM100" s="34">
        <f t="shared" si="37"/>
        <v>23217</v>
      </c>
      <c r="AN100" s="57">
        <f t="shared" si="36"/>
        <v>64184</v>
      </c>
      <c r="AO100" s="130">
        <f t="shared" si="50"/>
        <v>0</v>
      </c>
      <c r="AP100" s="109">
        <f t="shared" si="64"/>
        <v>92</v>
      </c>
      <c r="AQ100" s="110">
        <f t="shared" si="75"/>
        <v>47639</v>
      </c>
      <c r="AR100" s="562">
        <f t="shared" si="41"/>
        <v>0.13900000000000001</v>
      </c>
      <c r="AS100" s="105">
        <f t="shared" si="52"/>
        <v>0</v>
      </c>
      <c r="AT100" s="105">
        <f>IF(AND(G100&gt;=$W$9,G100&lt;=$W$9+5),$W$10,IF(AND(BG99+AW100+AU100&gt;AT99,AT99&lt;&gt;0),IF(#REF!="Да",$AL$40,$D$19),IF(BG99=0,0,BG99+AW100+AU100+AU101)))</f>
        <v>0</v>
      </c>
      <c r="AU100" s="105">
        <f t="shared" si="76"/>
        <v>0</v>
      </c>
      <c r="AV100" s="105">
        <f t="shared" si="55"/>
        <v>0</v>
      </c>
      <c r="AW100" s="105">
        <f t="shared" si="77"/>
        <v>0</v>
      </c>
      <c r="AX100" s="105">
        <v>0</v>
      </c>
      <c r="AY100" s="105">
        <f t="shared" si="71"/>
        <v>0</v>
      </c>
      <c r="AZ100" s="105">
        <f t="shared" si="69"/>
        <v>0</v>
      </c>
      <c r="BA100" s="105">
        <f t="shared" si="68"/>
        <v>0</v>
      </c>
      <c r="BB100" s="105"/>
      <c r="BC100" s="105"/>
      <c r="BD100" s="105"/>
      <c r="BE100" s="105"/>
      <c r="BF100" s="105"/>
      <c r="BG100" s="105">
        <f t="shared" si="56"/>
        <v>0</v>
      </c>
      <c r="BH100" s="108">
        <f t="shared" si="65"/>
        <v>0</v>
      </c>
      <c r="BI100" s="108">
        <f t="shared" si="60"/>
        <v>0</v>
      </c>
      <c r="BJ100" s="22">
        <f t="shared" si="61"/>
        <v>47639</v>
      </c>
      <c r="BK100" s="108">
        <f t="shared" si="42"/>
        <v>0</v>
      </c>
      <c r="BL100" s="2" t="e">
        <f>IF(AND(G55&gt;=$W$9,G55&lt;=$W$9+5),0,IF($C$9&gt;$AF$51,ROUND(BG54*IF(#REF!="",0,#REF!)/(DATEVALUE(CONCATENATE("01/01/",YEAR(AQ55)+1))-DATEVALUE(CONCATENATE("01/01/",YEAR(AQ55))))*(AQ55-AQ54),2),0))</f>
        <v>#REF!</v>
      </c>
      <c r="BX100" s="2"/>
      <c r="BY100" s="2"/>
      <c r="BZ100" s="2"/>
      <c r="CA100" s="2"/>
      <c r="CB100" s="2"/>
      <c r="CC100" s="2"/>
      <c r="CD100" s="2"/>
      <c r="CE100" s="2"/>
      <c r="CF100" s="2"/>
    </row>
    <row r="101" spans="1:1217" s="16" customFormat="1" hidden="1" x14ac:dyDescent="0.3">
      <c r="A101" s="2"/>
      <c r="B101" s="2"/>
      <c r="C101" s="1"/>
      <c r="D101" s="1"/>
      <c r="E101" s="1"/>
      <c r="F101" s="184"/>
      <c r="G101" s="114">
        <f t="shared" si="62"/>
        <v>93</v>
      </c>
      <c r="H101" s="111">
        <f t="shared" si="72"/>
        <v>47669</v>
      </c>
      <c r="I101" s="176">
        <f t="shared" si="44"/>
        <v>4.9000000000000002E-2</v>
      </c>
      <c r="J101" s="24">
        <f t="shared" si="45"/>
        <v>0</v>
      </c>
      <c r="K101" s="24">
        <f t="shared" si="73"/>
        <v>0</v>
      </c>
      <c r="L101" s="24">
        <f t="shared" si="46"/>
        <v>0</v>
      </c>
      <c r="M101" s="24">
        <f t="shared" si="74"/>
        <v>0</v>
      </c>
      <c r="N101" s="24">
        <f t="shared" si="40"/>
        <v>0</v>
      </c>
      <c r="O101" s="24">
        <v>0</v>
      </c>
      <c r="P101" s="24">
        <f t="shared" si="70"/>
        <v>0</v>
      </c>
      <c r="Q101" s="24">
        <f t="shared" si="67"/>
        <v>0</v>
      </c>
      <c r="R101" s="24">
        <f t="shared" si="47"/>
        <v>0</v>
      </c>
      <c r="S101" s="24">
        <f t="shared" si="59"/>
        <v>0</v>
      </c>
      <c r="T101" s="24"/>
      <c r="U101" s="36">
        <f t="shared" si="63"/>
        <v>0</v>
      </c>
      <c r="V101" s="36">
        <f t="shared" si="49"/>
        <v>0</v>
      </c>
      <c r="W101" s="2" t="e">
        <f>IF(AND(G66&gt;=$W$9,G66&lt;=$W$9+5),0,IF($C$9&gt;$AF$51,ROUND(S65*#REF!/(DATEVALUE(CONCATENATE("01/01/",YEAR(H66)+1))-DATEVALUE(CONCATENATE("01/01/",YEAR(H66))))*(H66-H65),2),0))</f>
        <v>#REF!</v>
      </c>
      <c r="X101" s="34">
        <f t="shared" si="35"/>
        <v>22562</v>
      </c>
      <c r="Y101" s="57">
        <f t="shared" si="34"/>
        <v>66009</v>
      </c>
      <c r="AL101" s="2" t="e">
        <f>IF(AND(Y58&gt;=$W$9,Y58&lt;=$W$9+5),0,IF($C$9&gt;$AF$51,ROUND(AI61*#REF!/(DATEVALUE(CONCATENATE("01/01/",YEAR(Z58)+1))-DATEVALUE(CONCATENATE("01/01/",YEAR(Z58))))*(Z58-Z57),2),0))</f>
        <v>#REF!</v>
      </c>
      <c r="AM101" s="34">
        <f t="shared" si="37"/>
        <v>23217</v>
      </c>
      <c r="AN101" s="57">
        <f t="shared" si="36"/>
        <v>64549</v>
      </c>
      <c r="AO101" s="130">
        <f t="shared" si="50"/>
        <v>0</v>
      </c>
      <c r="AP101" s="109">
        <f t="shared" si="64"/>
        <v>93</v>
      </c>
      <c r="AQ101" s="110">
        <f t="shared" si="75"/>
        <v>47669</v>
      </c>
      <c r="AR101" s="562">
        <f t="shared" si="41"/>
        <v>0.13900000000000001</v>
      </c>
      <c r="AS101" s="105">
        <f t="shared" si="52"/>
        <v>0</v>
      </c>
      <c r="AT101" s="105">
        <f>IF(AND(G101&gt;=$W$9,G101&lt;=$W$9+5),$W$10,IF(AND(BG100+AW101+AU101&gt;AT100,AT100&lt;&gt;0),IF(#REF!="Да",$AL$40,$D$19),IF(BG100=0,0,BG100+AW101+AU101+AU102)))</f>
        <v>0</v>
      </c>
      <c r="AU101" s="105">
        <f t="shared" si="76"/>
        <v>0</v>
      </c>
      <c r="AV101" s="105">
        <f t="shared" si="55"/>
        <v>0</v>
      </c>
      <c r="AW101" s="105">
        <f t="shared" si="77"/>
        <v>0</v>
      </c>
      <c r="AX101" s="105">
        <v>0</v>
      </c>
      <c r="AY101" s="105">
        <f t="shared" si="71"/>
        <v>0</v>
      </c>
      <c r="AZ101" s="105">
        <f t="shared" si="69"/>
        <v>0</v>
      </c>
      <c r="BA101" s="105">
        <f t="shared" si="68"/>
        <v>0</v>
      </c>
      <c r="BB101" s="105"/>
      <c r="BC101" s="105"/>
      <c r="BD101" s="105"/>
      <c r="BE101" s="105"/>
      <c r="BF101" s="105"/>
      <c r="BG101" s="105">
        <f t="shared" si="56"/>
        <v>0</v>
      </c>
      <c r="BH101" s="108">
        <f t="shared" si="65"/>
        <v>0</v>
      </c>
      <c r="BI101" s="108">
        <f t="shared" si="60"/>
        <v>0</v>
      </c>
      <c r="BJ101" s="22">
        <f t="shared" si="61"/>
        <v>47669</v>
      </c>
      <c r="BK101" s="108">
        <f t="shared" si="42"/>
        <v>0</v>
      </c>
      <c r="BL101" s="2" t="e">
        <f>IF(AND(G56&gt;=$W$9,G56&lt;=$W$9+5),0,IF($C$9&gt;$AF$51,ROUND(BG55*IF(#REF!="",0,#REF!)/(DATEVALUE(CONCATENATE("01/01/",YEAR(AQ56)+1))-DATEVALUE(CONCATENATE("01/01/",YEAR(AQ56))))*(AQ56-AQ55),2),0))</f>
        <v>#REF!</v>
      </c>
      <c r="BX101" s="2"/>
      <c r="BY101" s="2"/>
      <c r="BZ101" s="2"/>
      <c r="CA101" s="2"/>
      <c r="CB101" s="2"/>
      <c r="CC101" s="2"/>
      <c r="CD101" s="2"/>
      <c r="CE101" s="2"/>
      <c r="CF101" s="2"/>
    </row>
    <row r="102" spans="1:1217" s="16" customFormat="1" hidden="1" x14ac:dyDescent="0.3">
      <c r="A102" s="2"/>
      <c r="B102" s="2"/>
      <c r="C102" s="1"/>
      <c r="D102" s="1"/>
      <c r="E102" s="1"/>
      <c r="F102" s="184"/>
      <c r="G102" s="114">
        <f t="shared" si="62"/>
        <v>94</v>
      </c>
      <c r="H102" s="111">
        <f t="shared" si="72"/>
        <v>47700</v>
      </c>
      <c r="I102" s="176">
        <f t="shared" si="44"/>
        <v>4.9000000000000002E-2</v>
      </c>
      <c r="J102" s="24">
        <f t="shared" si="45"/>
        <v>0</v>
      </c>
      <c r="K102" s="24">
        <f t="shared" si="73"/>
        <v>0</v>
      </c>
      <c r="L102" s="24">
        <f t="shared" si="46"/>
        <v>0</v>
      </c>
      <c r="M102" s="24">
        <f t="shared" si="74"/>
        <v>0</v>
      </c>
      <c r="N102" s="24">
        <f t="shared" si="40"/>
        <v>0</v>
      </c>
      <c r="O102" s="24">
        <v>0</v>
      </c>
      <c r="P102" s="24">
        <f t="shared" si="70"/>
        <v>0</v>
      </c>
      <c r="Q102" s="24">
        <f t="shared" si="67"/>
        <v>0</v>
      </c>
      <c r="R102" s="24">
        <f t="shared" si="47"/>
        <v>0</v>
      </c>
      <c r="S102" s="24">
        <f t="shared" si="59"/>
        <v>0</v>
      </c>
      <c r="T102" s="24"/>
      <c r="U102" s="36">
        <f t="shared" si="63"/>
        <v>0</v>
      </c>
      <c r="V102" s="36">
        <f t="shared" si="49"/>
        <v>0</v>
      </c>
      <c r="W102" s="2" t="e">
        <f>IF(AND(G67&gt;=$W$9,G67&lt;=$W$9+5),0,IF($C$9&gt;$AF$51,ROUND(S66*#REF!/(DATEVALUE(CONCATENATE("01/01/",YEAR(H67)+1))-DATEVALUE(CONCATENATE("01/01/",YEAR(H67))))*(H67-H66),2),0))</f>
        <v>#REF!</v>
      </c>
      <c r="X102" s="34">
        <f t="shared" si="35"/>
        <v>22562</v>
      </c>
      <c r="Y102" s="57">
        <f t="shared" si="34"/>
        <v>66374</v>
      </c>
      <c r="AL102" s="2" t="e">
        <f>IF(AND(Y59&gt;=$W$9,Y59&lt;=$W$9+5),0,IF($C$9&gt;$AF$51,ROUND(AI62*#REF!/(DATEVALUE(CONCATENATE("01/01/",YEAR(Z59)+1))-DATEVALUE(CONCATENATE("01/01/",YEAR(Z59))))*(Z59-Z58),2),0))</f>
        <v>#REF!</v>
      </c>
      <c r="AM102" s="34">
        <f t="shared" si="37"/>
        <v>23217</v>
      </c>
      <c r="AN102" s="57">
        <f t="shared" si="36"/>
        <v>64914</v>
      </c>
      <c r="AO102" s="130">
        <f t="shared" si="50"/>
        <v>0</v>
      </c>
      <c r="AP102" s="109">
        <f t="shared" si="64"/>
        <v>94</v>
      </c>
      <c r="AQ102" s="110">
        <f t="shared" si="75"/>
        <v>47700</v>
      </c>
      <c r="AR102" s="562">
        <f t="shared" si="41"/>
        <v>0.13900000000000001</v>
      </c>
      <c r="AS102" s="105">
        <f t="shared" si="52"/>
        <v>0</v>
      </c>
      <c r="AT102" s="105">
        <f>IF(AND(G102&gt;=$W$9,G102&lt;=$W$9+5),$W$10,IF(AND(BG101+AW102+AU102&gt;AT101,AT101&lt;&gt;0),IF(#REF!="Да",$AL$40,$D$19),IF(BG101=0,0,BG101+AW102+AU102+AU103)))</f>
        <v>0</v>
      </c>
      <c r="AU102" s="105">
        <f t="shared" si="76"/>
        <v>0</v>
      </c>
      <c r="AV102" s="105">
        <f t="shared" si="55"/>
        <v>0</v>
      </c>
      <c r="AW102" s="105">
        <f t="shared" si="77"/>
        <v>0</v>
      </c>
      <c r="AX102" s="105">
        <v>0</v>
      </c>
      <c r="AY102" s="105">
        <f t="shared" si="71"/>
        <v>0</v>
      </c>
      <c r="AZ102" s="105">
        <f t="shared" si="69"/>
        <v>0</v>
      </c>
      <c r="BA102" s="105">
        <f t="shared" si="68"/>
        <v>0</v>
      </c>
      <c r="BB102" s="105"/>
      <c r="BC102" s="105"/>
      <c r="BD102" s="105"/>
      <c r="BE102" s="105"/>
      <c r="BF102" s="105"/>
      <c r="BG102" s="105">
        <f t="shared" si="56"/>
        <v>0</v>
      </c>
      <c r="BH102" s="108">
        <f t="shared" si="65"/>
        <v>0</v>
      </c>
      <c r="BI102" s="108">
        <f t="shared" si="60"/>
        <v>0</v>
      </c>
      <c r="BJ102" s="22">
        <f t="shared" si="61"/>
        <v>47700</v>
      </c>
      <c r="BK102" s="108">
        <f t="shared" si="42"/>
        <v>0</v>
      </c>
      <c r="BL102" s="2" t="e">
        <f>IF(AND(G57&gt;=$W$9,G57&lt;=$W$9+5),0,IF($C$9&gt;$AF$51,ROUND(BG56*IF(#REF!="",0,#REF!)/(DATEVALUE(CONCATENATE("01/01/",YEAR(AQ57)+1))-DATEVALUE(CONCATENATE("01/01/",YEAR(AQ57))))*(AQ57-AQ56),2),0))</f>
        <v>#REF!</v>
      </c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  <c r="AAB102" s="2"/>
      <c r="AAC102" s="2"/>
      <c r="AAD102" s="2"/>
      <c r="AAE102" s="2"/>
      <c r="AAF102" s="2"/>
      <c r="AAG102" s="2"/>
      <c r="AAH102" s="2"/>
      <c r="AAI102" s="2"/>
      <c r="AAJ102" s="2"/>
      <c r="AAK102" s="2"/>
      <c r="AAL102" s="2"/>
      <c r="AAM102" s="2"/>
      <c r="AAN102" s="2"/>
      <c r="AAO102" s="2"/>
      <c r="AAP102" s="2"/>
      <c r="AAQ102" s="2"/>
      <c r="AAR102" s="2"/>
      <c r="AAS102" s="2"/>
      <c r="AAT102" s="2"/>
      <c r="AAU102" s="2"/>
      <c r="AAV102" s="2"/>
      <c r="AAW102" s="2"/>
      <c r="AAX102" s="2"/>
      <c r="AAY102" s="2"/>
      <c r="AAZ102" s="2"/>
      <c r="ABA102" s="2"/>
      <c r="ABB102" s="2"/>
      <c r="ABC102" s="2"/>
      <c r="ABD102" s="2"/>
      <c r="ABE102" s="2"/>
      <c r="ABF102" s="2"/>
      <c r="ABG102" s="2"/>
      <c r="ABH102" s="2"/>
      <c r="ABI102" s="2"/>
      <c r="ABJ102" s="2"/>
      <c r="ABK102" s="2"/>
      <c r="ABL102" s="2"/>
      <c r="ABM102" s="2"/>
      <c r="ABN102" s="2"/>
      <c r="ABO102" s="2"/>
      <c r="ABP102" s="2"/>
      <c r="ABQ102" s="2"/>
      <c r="ABR102" s="2"/>
      <c r="ABS102" s="2"/>
      <c r="ABT102" s="2"/>
      <c r="ABU102" s="2"/>
      <c r="ABV102" s="2"/>
      <c r="ABW102" s="2"/>
      <c r="ABX102" s="2"/>
      <c r="ABY102" s="2"/>
      <c r="ABZ102" s="2"/>
      <c r="ACA102" s="2"/>
      <c r="ACB102" s="2"/>
      <c r="ACC102" s="2"/>
      <c r="ACD102" s="2"/>
      <c r="ACE102" s="2"/>
      <c r="ACF102" s="2"/>
      <c r="ACG102" s="2"/>
      <c r="ACH102" s="2"/>
      <c r="ACI102" s="2"/>
      <c r="ACJ102" s="2"/>
      <c r="ACK102" s="2"/>
      <c r="ACL102" s="2"/>
      <c r="ACM102" s="2"/>
      <c r="ACN102" s="2"/>
      <c r="ACO102" s="2"/>
      <c r="ACP102" s="2"/>
      <c r="ACQ102" s="2"/>
      <c r="ACR102" s="2"/>
      <c r="ACS102" s="2"/>
      <c r="ACT102" s="2"/>
      <c r="ACU102" s="2"/>
      <c r="ACV102" s="2"/>
      <c r="ACW102" s="2"/>
      <c r="ACX102" s="2"/>
      <c r="ACY102" s="2"/>
      <c r="ACZ102" s="2"/>
      <c r="ADA102" s="2"/>
      <c r="ADB102" s="2"/>
      <c r="ADC102" s="2"/>
      <c r="ADD102" s="2"/>
      <c r="ADE102" s="2"/>
      <c r="ADF102" s="2"/>
      <c r="ADG102" s="2"/>
      <c r="ADH102" s="2"/>
      <c r="ADI102" s="2"/>
      <c r="ADJ102" s="2"/>
      <c r="ADK102" s="2"/>
      <c r="ADL102" s="2"/>
      <c r="ADM102" s="2"/>
      <c r="ADN102" s="2"/>
      <c r="ADO102" s="2"/>
      <c r="ADP102" s="2"/>
      <c r="ADQ102" s="2"/>
      <c r="ADR102" s="2"/>
      <c r="ADS102" s="2"/>
      <c r="ADT102" s="2"/>
      <c r="ADU102" s="2"/>
      <c r="ADV102" s="2"/>
      <c r="ADW102" s="2"/>
      <c r="ADX102" s="2"/>
      <c r="ADY102" s="2"/>
      <c r="ADZ102" s="2"/>
      <c r="AEA102" s="2"/>
      <c r="AEB102" s="2"/>
      <c r="AEC102" s="2"/>
      <c r="AED102" s="2"/>
      <c r="AEE102" s="2"/>
      <c r="AEF102" s="2"/>
      <c r="AEG102" s="2"/>
      <c r="AEH102" s="2"/>
      <c r="AEI102" s="2"/>
      <c r="AEJ102" s="2"/>
      <c r="AEK102" s="2"/>
      <c r="AEL102" s="2"/>
      <c r="AEM102" s="2"/>
      <c r="AEN102" s="2"/>
      <c r="AEO102" s="2"/>
      <c r="AEP102" s="2"/>
      <c r="AEQ102" s="2"/>
      <c r="AER102" s="2"/>
      <c r="AES102" s="2"/>
      <c r="AET102" s="2"/>
      <c r="AEU102" s="2"/>
      <c r="AEV102" s="2"/>
      <c r="AEW102" s="2"/>
      <c r="AEX102" s="2"/>
      <c r="AEY102" s="2"/>
      <c r="AEZ102" s="2"/>
      <c r="AFA102" s="2"/>
      <c r="AFB102" s="2"/>
      <c r="AFC102" s="2"/>
      <c r="AFD102" s="2"/>
      <c r="AFE102" s="2"/>
      <c r="AFF102" s="2"/>
      <c r="AFG102" s="2"/>
      <c r="AFH102" s="2"/>
      <c r="AFI102" s="2"/>
      <c r="AFJ102" s="2"/>
      <c r="AFK102" s="2"/>
      <c r="AFL102" s="2"/>
      <c r="AFM102" s="2"/>
      <c r="AFN102" s="2"/>
      <c r="AFO102" s="2"/>
      <c r="AFP102" s="2"/>
      <c r="AFQ102" s="2"/>
      <c r="AFR102" s="2"/>
      <c r="AFS102" s="2"/>
      <c r="AFT102" s="2"/>
      <c r="AFU102" s="2"/>
      <c r="AFV102" s="2"/>
      <c r="AFW102" s="2"/>
      <c r="AFX102" s="2"/>
      <c r="AFY102" s="2"/>
      <c r="AFZ102" s="2"/>
      <c r="AGA102" s="2"/>
      <c r="AGB102" s="2"/>
      <c r="AGC102" s="2"/>
      <c r="AGD102" s="2"/>
      <c r="AGE102" s="2"/>
      <c r="AGF102" s="2"/>
      <c r="AGG102" s="2"/>
      <c r="AGH102" s="2"/>
      <c r="AGI102" s="2"/>
      <c r="AGJ102" s="2"/>
      <c r="AGK102" s="2"/>
      <c r="AGL102" s="2"/>
      <c r="AGM102" s="2"/>
      <c r="AGN102" s="2"/>
      <c r="AGO102" s="2"/>
      <c r="AGP102" s="2"/>
      <c r="AGQ102" s="2"/>
      <c r="AGR102" s="2"/>
      <c r="AGS102" s="2"/>
      <c r="AGT102" s="2"/>
      <c r="AGU102" s="2"/>
      <c r="AGV102" s="2"/>
      <c r="AGW102" s="2"/>
      <c r="AGX102" s="2"/>
      <c r="AGY102" s="2"/>
      <c r="AGZ102" s="2"/>
      <c r="AHA102" s="2"/>
      <c r="AHB102" s="2"/>
      <c r="AHC102" s="2"/>
      <c r="AHD102" s="2"/>
      <c r="AHE102" s="2"/>
      <c r="AHF102" s="2"/>
      <c r="AHG102" s="2"/>
      <c r="AHH102" s="2"/>
      <c r="AHI102" s="2"/>
      <c r="AHJ102" s="2"/>
      <c r="AHK102" s="2"/>
      <c r="AHL102" s="2"/>
      <c r="AHM102" s="2"/>
      <c r="AHN102" s="2"/>
      <c r="AHO102" s="2"/>
      <c r="AHP102" s="2"/>
      <c r="AHQ102" s="2"/>
      <c r="AHR102" s="2"/>
      <c r="AHS102" s="2"/>
      <c r="AHT102" s="2"/>
      <c r="AHU102" s="2"/>
      <c r="AHV102" s="2"/>
      <c r="AHW102" s="2"/>
      <c r="AHX102" s="2"/>
      <c r="AHY102" s="2"/>
      <c r="AHZ102" s="2"/>
      <c r="AIA102" s="2"/>
      <c r="AIB102" s="2"/>
      <c r="AIC102" s="2"/>
      <c r="AID102" s="2"/>
      <c r="AIE102" s="2"/>
      <c r="AIF102" s="2"/>
      <c r="AIG102" s="2"/>
      <c r="AIH102" s="2"/>
      <c r="AII102" s="2"/>
      <c r="AIJ102" s="2"/>
      <c r="AIK102" s="2"/>
      <c r="AIL102" s="2"/>
      <c r="AIM102" s="2"/>
      <c r="AIN102" s="2"/>
      <c r="AIO102" s="2"/>
      <c r="AIP102" s="2"/>
      <c r="AIQ102" s="2"/>
      <c r="AIR102" s="2"/>
      <c r="AIS102" s="2"/>
      <c r="AIT102" s="2"/>
      <c r="AIU102" s="2"/>
      <c r="AIV102" s="2"/>
      <c r="AIW102" s="2"/>
      <c r="AIX102" s="2"/>
      <c r="AIY102" s="2"/>
      <c r="AIZ102" s="2"/>
      <c r="AJA102" s="2"/>
      <c r="AJB102" s="2"/>
      <c r="AJC102" s="2"/>
      <c r="AJD102" s="2"/>
      <c r="AJE102" s="2"/>
      <c r="AJF102" s="2"/>
      <c r="AJG102" s="2"/>
      <c r="AJH102" s="2"/>
      <c r="AJI102" s="2"/>
      <c r="AJJ102" s="2"/>
      <c r="AJK102" s="2"/>
      <c r="AJL102" s="2"/>
      <c r="AJM102" s="2"/>
      <c r="AJN102" s="2"/>
      <c r="AJO102" s="2"/>
      <c r="AJP102" s="2"/>
      <c r="AJQ102" s="2"/>
      <c r="AJR102" s="2"/>
      <c r="AJS102" s="2"/>
      <c r="AJT102" s="2"/>
      <c r="AJU102" s="2"/>
      <c r="AJV102" s="2"/>
      <c r="AJW102" s="2"/>
      <c r="AJX102" s="2"/>
      <c r="AJY102" s="2"/>
      <c r="AJZ102" s="2"/>
      <c r="AKA102" s="2"/>
      <c r="AKB102" s="2"/>
      <c r="AKC102" s="2"/>
      <c r="AKD102" s="2"/>
      <c r="AKE102" s="2"/>
      <c r="AKF102" s="2"/>
      <c r="AKG102" s="2"/>
      <c r="AKH102" s="2"/>
      <c r="AKI102" s="2"/>
      <c r="AKJ102" s="2"/>
      <c r="AKK102" s="2"/>
      <c r="AKL102" s="2"/>
      <c r="AKM102" s="2"/>
      <c r="AKN102" s="2"/>
      <c r="AKO102" s="2"/>
      <c r="AKP102" s="2"/>
      <c r="AKQ102" s="2"/>
      <c r="AKR102" s="2"/>
      <c r="AKS102" s="2"/>
      <c r="AKT102" s="2"/>
      <c r="AKU102" s="2"/>
      <c r="AKV102" s="2"/>
      <c r="AKW102" s="2"/>
      <c r="AKX102" s="2"/>
      <c r="AKY102" s="2"/>
      <c r="AKZ102" s="2"/>
      <c r="ALA102" s="2"/>
      <c r="ALB102" s="2"/>
      <c r="ALC102" s="2"/>
      <c r="ALD102" s="2"/>
      <c r="ALE102" s="2"/>
      <c r="ALF102" s="2"/>
      <c r="ALG102" s="2"/>
      <c r="ALH102" s="2"/>
      <c r="ALI102" s="2"/>
      <c r="ALJ102" s="2"/>
      <c r="ALK102" s="2"/>
      <c r="ALL102" s="2"/>
      <c r="ALM102" s="2"/>
      <c r="ALN102" s="2"/>
      <c r="ALO102" s="2"/>
      <c r="ALP102" s="2"/>
      <c r="ALQ102" s="2"/>
      <c r="ALR102" s="2"/>
      <c r="ALS102" s="2"/>
      <c r="ALT102" s="2"/>
      <c r="ALU102" s="2"/>
      <c r="ALV102" s="2"/>
      <c r="ALW102" s="2"/>
      <c r="ALX102" s="2"/>
      <c r="ALY102" s="2"/>
      <c r="ALZ102" s="2"/>
      <c r="AMA102" s="2"/>
      <c r="AMB102" s="2"/>
      <c r="AMC102" s="2"/>
      <c r="AMD102" s="2"/>
      <c r="AME102" s="2"/>
      <c r="AMF102" s="2"/>
      <c r="AMG102" s="2"/>
      <c r="AMH102" s="2"/>
      <c r="AMI102" s="2"/>
      <c r="AMJ102" s="2"/>
      <c r="AMK102" s="2"/>
      <c r="AML102" s="2"/>
      <c r="AMM102" s="2"/>
      <c r="AMN102" s="2"/>
      <c r="AMO102" s="2"/>
      <c r="AMP102" s="2"/>
      <c r="AMQ102" s="2"/>
      <c r="AMR102" s="2"/>
      <c r="AMS102" s="2"/>
      <c r="AMT102" s="2"/>
      <c r="AMU102" s="2"/>
      <c r="AMV102" s="2"/>
      <c r="AMW102" s="2"/>
      <c r="AMX102" s="2"/>
      <c r="AMY102" s="2"/>
      <c r="AMZ102" s="2"/>
      <c r="ANA102" s="2"/>
      <c r="ANB102" s="2"/>
      <c r="ANC102" s="2"/>
      <c r="AND102" s="2"/>
      <c r="ANE102" s="2"/>
      <c r="ANF102" s="2"/>
      <c r="ANG102" s="2"/>
      <c r="ANH102" s="2"/>
      <c r="ANI102" s="2"/>
      <c r="ANJ102" s="2"/>
      <c r="ANK102" s="2"/>
      <c r="ANL102" s="2"/>
      <c r="ANM102" s="2"/>
      <c r="ANN102" s="2"/>
      <c r="ANO102" s="2"/>
      <c r="ANP102" s="2"/>
      <c r="ANQ102" s="2"/>
      <c r="ANR102" s="2"/>
      <c r="ANS102" s="2"/>
      <c r="ANT102" s="2"/>
      <c r="ANU102" s="2"/>
      <c r="ANV102" s="2"/>
      <c r="ANW102" s="2"/>
      <c r="ANX102" s="2"/>
      <c r="ANY102" s="2"/>
      <c r="ANZ102" s="2"/>
      <c r="AOA102" s="2"/>
      <c r="AOB102" s="2"/>
      <c r="AOC102" s="2"/>
      <c r="AOD102" s="2"/>
      <c r="AOE102" s="2"/>
      <c r="AOF102" s="2"/>
      <c r="AOG102" s="2"/>
      <c r="AOH102" s="2"/>
      <c r="AOI102" s="2"/>
      <c r="AOJ102" s="2"/>
      <c r="AOK102" s="2"/>
      <c r="AOL102" s="2"/>
      <c r="AOM102" s="2"/>
      <c r="AON102" s="2"/>
      <c r="AOO102" s="2"/>
      <c r="AOP102" s="2"/>
      <c r="AOQ102" s="2"/>
      <c r="AOR102" s="2"/>
      <c r="AOS102" s="2"/>
      <c r="AOT102" s="2"/>
      <c r="AOU102" s="2"/>
      <c r="AOV102" s="2"/>
      <c r="AOW102" s="2"/>
      <c r="AOX102" s="2"/>
      <c r="AOY102" s="2"/>
      <c r="AOZ102" s="2"/>
      <c r="APA102" s="2"/>
      <c r="APB102" s="2"/>
      <c r="APC102" s="2"/>
      <c r="APD102" s="2"/>
      <c r="APE102" s="2"/>
      <c r="APF102" s="2"/>
      <c r="APG102" s="2"/>
      <c r="APH102" s="2"/>
      <c r="API102" s="2"/>
      <c r="APJ102" s="2"/>
      <c r="APK102" s="2"/>
      <c r="APL102" s="2"/>
      <c r="APM102" s="2"/>
      <c r="APN102" s="2"/>
      <c r="APO102" s="2"/>
      <c r="APP102" s="2"/>
      <c r="APQ102" s="2"/>
      <c r="APR102" s="2"/>
      <c r="APS102" s="2"/>
      <c r="APT102" s="2"/>
      <c r="APU102" s="2"/>
      <c r="APV102" s="2"/>
      <c r="APW102" s="2"/>
      <c r="APX102" s="2"/>
      <c r="APY102" s="2"/>
      <c r="APZ102" s="2"/>
      <c r="AQA102" s="2"/>
      <c r="AQB102" s="2"/>
      <c r="AQC102" s="2"/>
      <c r="AQD102" s="2"/>
      <c r="AQE102" s="2"/>
      <c r="AQF102" s="2"/>
      <c r="AQG102" s="2"/>
      <c r="AQH102" s="2"/>
      <c r="AQI102" s="2"/>
      <c r="AQJ102" s="2"/>
      <c r="AQK102" s="2"/>
      <c r="AQL102" s="2"/>
      <c r="AQM102" s="2"/>
      <c r="AQN102" s="2"/>
      <c r="AQO102" s="2"/>
      <c r="AQP102" s="2"/>
      <c r="AQQ102" s="2"/>
      <c r="AQR102" s="2"/>
      <c r="AQS102" s="2"/>
      <c r="AQT102" s="2"/>
      <c r="AQU102" s="2"/>
      <c r="AQV102" s="2"/>
      <c r="AQW102" s="2"/>
      <c r="AQX102" s="2"/>
      <c r="AQY102" s="2"/>
      <c r="AQZ102" s="2"/>
      <c r="ARA102" s="2"/>
      <c r="ARB102" s="2"/>
      <c r="ARC102" s="2"/>
      <c r="ARD102" s="2"/>
      <c r="ARE102" s="2"/>
      <c r="ARF102" s="2"/>
      <c r="ARG102" s="2"/>
      <c r="ARH102" s="2"/>
      <c r="ARI102" s="2"/>
      <c r="ARJ102" s="2"/>
      <c r="ARK102" s="2"/>
      <c r="ARL102" s="2"/>
      <c r="ARM102" s="2"/>
      <c r="ARN102" s="2"/>
      <c r="ARO102" s="2"/>
      <c r="ARP102" s="2"/>
      <c r="ARQ102" s="2"/>
      <c r="ARR102" s="2"/>
      <c r="ARS102" s="2"/>
      <c r="ART102" s="2"/>
      <c r="ARU102" s="2"/>
      <c r="ARV102" s="2"/>
      <c r="ARW102" s="2"/>
      <c r="ARX102" s="2"/>
      <c r="ARY102" s="2"/>
      <c r="ARZ102" s="2"/>
      <c r="ASA102" s="2"/>
      <c r="ASB102" s="2"/>
      <c r="ASC102" s="2"/>
      <c r="ASD102" s="2"/>
      <c r="ASE102" s="2"/>
      <c r="ASF102" s="2"/>
      <c r="ASG102" s="2"/>
      <c r="ASH102" s="2"/>
      <c r="ASI102" s="2"/>
      <c r="ASJ102" s="2"/>
      <c r="ASK102" s="2"/>
      <c r="ASL102" s="2"/>
      <c r="ASM102" s="2"/>
      <c r="ASN102" s="2"/>
      <c r="ASO102" s="2"/>
      <c r="ASP102" s="2"/>
      <c r="ASQ102" s="2"/>
      <c r="ASR102" s="2"/>
      <c r="ASS102" s="2"/>
      <c r="AST102" s="2"/>
      <c r="ASU102" s="2"/>
      <c r="ASV102" s="2"/>
      <c r="ASW102" s="2"/>
      <c r="ASX102" s="2"/>
      <c r="ASY102" s="2"/>
      <c r="ASZ102" s="2"/>
      <c r="ATA102" s="2"/>
      <c r="ATB102" s="2"/>
      <c r="ATC102" s="2"/>
      <c r="ATD102" s="2"/>
      <c r="ATE102" s="2"/>
      <c r="ATF102" s="2"/>
      <c r="ATG102" s="2"/>
      <c r="ATH102" s="2"/>
      <c r="ATI102" s="2"/>
      <c r="ATJ102" s="2"/>
      <c r="ATK102" s="2"/>
      <c r="ATL102" s="2"/>
      <c r="ATM102" s="2"/>
      <c r="ATN102" s="2"/>
      <c r="ATO102" s="2"/>
      <c r="ATP102" s="2"/>
      <c r="ATQ102" s="2"/>
      <c r="ATR102" s="2"/>
      <c r="ATS102" s="2"/>
      <c r="ATT102" s="2"/>
      <c r="ATU102" s="2"/>
    </row>
    <row r="103" spans="1:1217" hidden="1" x14ac:dyDescent="0.3">
      <c r="F103" s="184"/>
      <c r="G103" s="114">
        <f t="shared" si="62"/>
        <v>95</v>
      </c>
      <c r="H103" s="111">
        <f t="shared" si="72"/>
        <v>47731</v>
      </c>
      <c r="I103" s="176">
        <f t="shared" si="44"/>
        <v>4.9000000000000002E-2</v>
      </c>
      <c r="J103" s="24">
        <f t="shared" si="45"/>
        <v>0</v>
      </c>
      <c r="K103" s="24">
        <f t="shared" si="73"/>
        <v>0</v>
      </c>
      <c r="L103" s="24">
        <f t="shared" si="46"/>
        <v>0</v>
      </c>
      <c r="M103" s="24">
        <f t="shared" si="74"/>
        <v>0</v>
      </c>
      <c r="N103" s="24">
        <f t="shared" si="40"/>
        <v>0</v>
      </c>
      <c r="O103" s="24">
        <v>0</v>
      </c>
      <c r="P103" s="24">
        <f t="shared" si="70"/>
        <v>0</v>
      </c>
      <c r="Q103" s="24">
        <f t="shared" si="67"/>
        <v>0</v>
      </c>
      <c r="R103" s="24">
        <f t="shared" si="47"/>
        <v>0</v>
      </c>
      <c r="S103" s="24">
        <f t="shared" si="59"/>
        <v>0</v>
      </c>
      <c r="T103" s="24"/>
      <c r="U103" s="36">
        <f t="shared" si="63"/>
        <v>0</v>
      </c>
      <c r="V103" s="36">
        <f t="shared" si="49"/>
        <v>0</v>
      </c>
      <c r="W103" s="2" t="e">
        <f>IF(AND(G68&gt;=$W$9,G68&lt;=$W$9+5),0,IF($C$9&gt;$AF$51,ROUND(S67*#REF!/(DATEVALUE(CONCATENATE("01/01/",YEAR(H68)+1))-DATEVALUE(CONCATENATE("01/01/",YEAR(H68))))*(H68-H67),2),0))</f>
        <v>#REF!</v>
      </c>
      <c r="X103" s="34">
        <f t="shared" si="35"/>
        <v>22562</v>
      </c>
      <c r="Y103" s="57">
        <f t="shared" si="34"/>
        <v>66739</v>
      </c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2" t="e">
        <f>IF(AND(Y60&gt;=$W$9,Y60&lt;=$W$9+5),0,IF($C$9&gt;$AF$51,ROUND(AI63*#REF!/(DATEVALUE(CONCATENATE("01/01/",YEAR(Z60)+1))-DATEVALUE(CONCATENATE("01/01/",YEAR(Z60))))*(Z60-Z59),2),0))</f>
        <v>#REF!</v>
      </c>
      <c r="AM103" s="34">
        <f t="shared" si="37"/>
        <v>23217</v>
      </c>
      <c r="AN103" s="57">
        <f t="shared" si="36"/>
        <v>65279</v>
      </c>
      <c r="AO103" s="130">
        <f t="shared" si="50"/>
        <v>0</v>
      </c>
      <c r="AP103" s="109">
        <f t="shared" si="64"/>
        <v>95</v>
      </c>
      <c r="AQ103" s="110">
        <f t="shared" si="75"/>
        <v>47731</v>
      </c>
      <c r="AR103" s="562">
        <f t="shared" si="41"/>
        <v>0.13900000000000001</v>
      </c>
      <c r="AS103" s="105">
        <f t="shared" si="52"/>
        <v>0</v>
      </c>
      <c r="AT103" s="105">
        <f>IF(AND(G103&gt;=$W$9,G103&lt;=$W$9+5),$W$10,IF(AND(BG102+AW103+AU103&gt;AT102,AT102&lt;&gt;0),IF(#REF!="Да",$AL$40,$D$19),IF(BG102=0,0,BG102+AW103+AU103+AU104)))</f>
        <v>0</v>
      </c>
      <c r="AU103" s="105">
        <f t="shared" si="76"/>
        <v>0</v>
      </c>
      <c r="AV103" s="105">
        <f t="shared" si="55"/>
        <v>0</v>
      </c>
      <c r="AW103" s="105">
        <f t="shared" si="77"/>
        <v>0</v>
      </c>
      <c r="AX103" s="105">
        <v>0</v>
      </c>
      <c r="AY103" s="105">
        <f t="shared" si="71"/>
        <v>0</v>
      </c>
      <c r="AZ103" s="105">
        <f t="shared" si="69"/>
        <v>0</v>
      </c>
      <c r="BA103" s="105">
        <f t="shared" si="68"/>
        <v>0</v>
      </c>
      <c r="BB103" s="105"/>
      <c r="BC103" s="105"/>
      <c r="BD103" s="105"/>
      <c r="BE103" s="105"/>
      <c r="BF103" s="105"/>
      <c r="BG103" s="105">
        <f t="shared" si="56"/>
        <v>0</v>
      </c>
      <c r="BH103" s="108">
        <f t="shared" si="65"/>
        <v>0</v>
      </c>
      <c r="BI103" s="108">
        <f t="shared" si="60"/>
        <v>0</v>
      </c>
      <c r="BJ103" s="22">
        <f t="shared" si="61"/>
        <v>47731</v>
      </c>
      <c r="BK103" s="108">
        <f t="shared" si="42"/>
        <v>0</v>
      </c>
      <c r="BL103" s="2" t="e">
        <f>IF(AND(G58&gt;=$W$9,G58&lt;=$W$9+5),0,IF($C$9&gt;$AF$51,ROUND(BG57*IF(#REF!="",0,#REF!)/(DATEVALUE(CONCATENATE("01/01/",YEAR(AQ58)+1))-DATEVALUE(CONCATENATE("01/01/",YEAR(AQ58))))*(AQ58-AQ57),2),0))</f>
        <v>#REF!</v>
      </c>
    </row>
    <row r="104" spans="1:1217" hidden="1" x14ac:dyDescent="0.3">
      <c r="F104" s="184"/>
      <c r="G104" s="114">
        <f t="shared" si="62"/>
        <v>96</v>
      </c>
      <c r="H104" s="111">
        <f t="shared" si="72"/>
        <v>47761</v>
      </c>
      <c r="I104" s="176">
        <f t="shared" si="44"/>
        <v>4.9000000000000002E-2</v>
      </c>
      <c r="J104" s="24">
        <f t="shared" si="45"/>
        <v>0</v>
      </c>
      <c r="K104" s="24">
        <f t="shared" si="73"/>
        <v>0</v>
      </c>
      <c r="L104" s="24">
        <f t="shared" si="46"/>
        <v>0</v>
      </c>
      <c r="M104" s="24">
        <f t="shared" si="74"/>
        <v>0</v>
      </c>
      <c r="N104" s="24">
        <f t="shared" si="40"/>
        <v>0</v>
      </c>
      <c r="O104" s="24">
        <v>0</v>
      </c>
      <c r="P104" s="24">
        <f t="shared" si="70"/>
        <v>0</v>
      </c>
      <c r="Q104" s="24">
        <f t="shared" si="67"/>
        <v>0</v>
      </c>
      <c r="R104" s="24">
        <f t="shared" si="47"/>
        <v>0</v>
      </c>
      <c r="S104" s="24">
        <f t="shared" si="59"/>
        <v>0</v>
      </c>
      <c r="T104" s="24"/>
      <c r="U104" s="36">
        <f t="shared" si="63"/>
        <v>0</v>
      </c>
      <c r="V104" s="36">
        <f t="shared" si="49"/>
        <v>0</v>
      </c>
      <c r="W104" s="2" t="e">
        <f>IF(AND(G69&gt;=$W$9,G69&lt;=$W$9+5),0,IF($C$9&gt;$AF$51,ROUND(S68*#REF!/(DATEVALUE(CONCATENATE("01/01/",YEAR(H69)+1))-DATEVALUE(CONCATENATE("01/01/",YEAR(H69))))*(H69-H68),2),0))</f>
        <v>#REF!</v>
      </c>
      <c r="X104" s="34">
        <f t="shared" si="35"/>
        <v>0</v>
      </c>
      <c r="Y104" s="57">
        <f t="shared" si="34"/>
        <v>67104</v>
      </c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2" t="e">
        <f>IF(AND(Y61&gt;=$W$9,Y61&lt;=$W$9+5),0,IF($C$9&gt;$AF$51,ROUND(AI64*#REF!/(DATEVALUE(CONCATENATE("01/01/",YEAR(Z61)+1))-DATEVALUE(CONCATENATE("01/01/",YEAR(Z61))))*(Z61-Z60),2),0))</f>
        <v>#REF!</v>
      </c>
      <c r="AM104" s="34">
        <f t="shared" si="37"/>
        <v>23217</v>
      </c>
      <c r="AN104" s="57">
        <f t="shared" si="36"/>
        <v>65644</v>
      </c>
      <c r="AO104" s="130">
        <f t="shared" si="50"/>
        <v>0</v>
      </c>
      <c r="AP104" s="109">
        <f t="shared" si="64"/>
        <v>96</v>
      </c>
      <c r="AQ104" s="110">
        <f t="shared" si="75"/>
        <v>47761</v>
      </c>
      <c r="AR104" s="562">
        <f t="shared" si="41"/>
        <v>0.13900000000000001</v>
      </c>
      <c r="AS104" s="105">
        <f t="shared" si="52"/>
        <v>0</v>
      </c>
      <c r="AT104" s="105">
        <f>IF(AND(G104&gt;=$W$9,G104&lt;=$W$9+5),$W$10,IF(AND(BG103+AW104+AU104&gt;AT103,AT103&lt;&gt;0),IF(#REF!="Да",$AL$40,$D$19),IF(BG103=0,0,BG103+AW104+AU104+AU105)))</f>
        <v>0</v>
      </c>
      <c r="AU104" s="105">
        <f t="shared" si="76"/>
        <v>0</v>
      </c>
      <c r="AV104" s="105">
        <f t="shared" si="55"/>
        <v>0</v>
      </c>
      <c r="AW104" s="105">
        <f t="shared" si="77"/>
        <v>0</v>
      </c>
      <c r="AX104" s="105">
        <v>0</v>
      </c>
      <c r="AY104" s="105">
        <f t="shared" si="71"/>
        <v>0</v>
      </c>
      <c r="AZ104" s="105">
        <f t="shared" si="69"/>
        <v>0</v>
      </c>
      <c r="BA104" s="105">
        <f t="shared" si="68"/>
        <v>0</v>
      </c>
      <c r="BB104" s="105"/>
      <c r="BC104" s="105"/>
      <c r="BD104" s="105"/>
      <c r="BE104" s="105"/>
      <c r="BF104" s="105"/>
      <c r="BG104" s="105">
        <f t="shared" si="56"/>
        <v>0</v>
      </c>
      <c r="BH104" s="108">
        <f t="shared" si="65"/>
        <v>0</v>
      </c>
      <c r="BI104" s="108">
        <f t="shared" si="60"/>
        <v>0</v>
      </c>
      <c r="BJ104" s="22">
        <f t="shared" si="61"/>
        <v>47761</v>
      </c>
      <c r="BK104" s="108">
        <f t="shared" si="42"/>
        <v>0</v>
      </c>
      <c r="BL104" s="2" t="e">
        <f>IF(AND(G59&gt;=$W$9,G59&lt;=$W$9+5),0,IF($C$9&gt;$AF$51,ROUND(BG58*IF(#REF!="",0,#REF!)/(DATEVALUE(CONCATENATE("01/01/",YEAR(AQ59)+1))-DATEVALUE(CONCATENATE("01/01/",YEAR(AQ59))))*(AQ59-AQ58),2),0))</f>
        <v>#REF!</v>
      </c>
    </row>
    <row r="105" spans="1:1217" hidden="1" x14ac:dyDescent="0.3">
      <c r="F105" s="184"/>
      <c r="G105" s="114">
        <f t="shared" si="62"/>
        <v>97</v>
      </c>
      <c r="H105" s="111">
        <f t="shared" si="72"/>
        <v>47792</v>
      </c>
      <c r="I105" s="176">
        <f t="shared" si="44"/>
        <v>4.9000000000000002E-2</v>
      </c>
      <c r="J105" s="24">
        <f t="shared" si="45"/>
        <v>0</v>
      </c>
      <c r="K105" s="24">
        <f t="shared" si="73"/>
        <v>0</v>
      </c>
      <c r="L105" s="24">
        <f t="shared" si="46"/>
        <v>0</v>
      </c>
      <c r="M105" s="24">
        <f t="shared" si="74"/>
        <v>0</v>
      </c>
      <c r="N105" s="24">
        <f t="shared" si="40"/>
        <v>0</v>
      </c>
      <c r="O105" s="24">
        <v>0</v>
      </c>
      <c r="P105" s="24">
        <f t="shared" si="70"/>
        <v>0</v>
      </c>
      <c r="Q105" s="24">
        <f t="shared" si="67"/>
        <v>0</v>
      </c>
      <c r="R105" s="24">
        <f t="shared" si="47"/>
        <v>0</v>
      </c>
      <c r="S105" s="24">
        <f t="shared" si="59"/>
        <v>0</v>
      </c>
      <c r="T105" s="24"/>
      <c r="U105" s="36">
        <f t="shared" si="63"/>
        <v>0</v>
      </c>
      <c r="V105" s="36">
        <f t="shared" si="49"/>
        <v>0</v>
      </c>
      <c r="W105" s="2" t="e">
        <f>IF(AND(G70&gt;=$W$9,G70&lt;=$W$9+5),0,IF($C$9&gt;$AF$51,ROUND(S69*#REF!/(DATEVALUE(CONCATENATE("01/01/",YEAR(H70)+1))-DATEVALUE(CONCATENATE("01/01/",YEAR(H70))))*(H70-H69),2),0))</f>
        <v>#REF!</v>
      </c>
      <c r="X105" s="34">
        <f t="shared" si="35"/>
        <v>0</v>
      </c>
      <c r="Y105" s="57">
        <f t="shared" si="34"/>
        <v>67469</v>
      </c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2" t="e">
        <f>IF(AND(Y62&gt;=$W$9,Y62&lt;=$W$9+5),0,IF($C$9&gt;$AF$51,ROUND(AI65*#REF!/(DATEVALUE(CONCATENATE("01/01/",YEAR(Z62)+1))-DATEVALUE(CONCATENATE("01/01/",YEAR(Z62))))*(Z62-Z61),2),0))</f>
        <v>#REF!</v>
      </c>
      <c r="AM105" s="34">
        <f t="shared" si="37"/>
        <v>23217</v>
      </c>
      <c r="AN105" s="57">
        <f t="shared" si="36"/>
        <v>66009</v>
      </c>
      <c r="AO105" s="130">
        <f t="shared" si="50"/>
        <v>0</v>
      </c>
      <c r="AP105" s="109">
        <f t="shared" si="64"/>
        <v>97</v>
      </c>
      <c r="AQ105" s="110">
        <f t="shared" si="75"/>
        <v>47792</v>
      </c>
      <c r="AR105" s="562">
        <f t="shared" si="41"/>
        <v>0.13900000000000001</v>
      </c>
      <c r="AS105" s="105">
        <f t="shared" si="52"/>
        <v>0</v>
      </c>
      <c r="AT105" s="105">
        <f>IF(AND(G105&gt;=$W$9,G105&lt;=$W$9+5),$W$10,IF(AND(BG104+AW105+AU105&gt;AT104,AT104&lt;&gt;0),IF(#REF!="Да",$AL$40,$D$19),IF(BG104=0,0,BG104+AW105+AU105+AU106)))</f>
        <v>0</v>
      </c>
      <c r="AU105" s="105">
        <f t="shared" si="76"/>
        <v>0</v>
      </c>
      <c r="AV105" s="105">
        <f t="shared" si="55"/>
        <v>0</v>
      </c>
      <c r="AW105" s="105">
        <f t="shared" si="77"/>
        <v>0</v>
      </c>
      <c r="AX105" s="105">
        <v>0</v>
      </c>
      <c r="AY105" s="105">
        <f t="shared" si="71"/>
        <v>0</v>
      </c>
      <c r="AZ105" s="105">
        <f t="shared" si="69"/>
        <v>0</v>
      </c>
      <c r="BA105" s="105">
        <f t="shared" si="68"/>
        <v>0</v>
      </c>
      <c r="BB105" s="105"/>
      <c r="BC105" s="105"/>
      <c r="BD105" s="105"/>
      <c r="BE105" s="105"/>
      <c r="BF105" s="105"/>
      <c r="BG105" s="105">
        <f t="shared" si="56"/>
        <v>0</v>
      </c>
      <c r="BH105" s="108">
        <f t="shared" si="65"/>
        <v>0</v>
      </c>
      <c r="BI105" s="108">
        <f t="shared" si="60"/>
        <v>0</v>
      </c>
      <c r="BJ105" s="22">
        <f t="shared" si="61"/>
        <v>47792</v>
      </c>
      <c r="BK105" s="108">
        <f t="shared" si="42"/>
        <v>0</v>
      </c>
      <c r="BL105" s="2" t="e">
        <f>IF(AND(G60&gt;=$W$9,G60&lt;=$W$9+5),0,IF($C$9&gt;$AF$51,ROUND(BG59*IF(#REF!="",0,#REF!)/(DATEVALUE(CONCATENATE("01/01/",YEAR(AQ60)+1))-DATEVALUE(CONCATENATE("01/01/",YEAR(AQ60))))*(AQ60-AQ59),2),0))</f>
        <v>#REF!</v>
      </c>
    </row>
    <row r="106" spans="1:1217" hidden="1" x14ac:dyDescent="0.3">
      <c r="F106" s="184"/>
      <c r="G106" s="114">
        <f t="shared" si="62"/>
        <v>98</v>
      </c>
      <c r="H106" s="111">
        <f t="shared" si="72"/>
        <v>47822</v>
      </c>
      <c r="I106" s="176">
        <f t="shared" si="44"/>
        <v>4.9000000000000002E-2</v>
      </c>
      <c r="J106" s="24">
        <f t="shared" si="45"/>
        <v>0</v>
      </c>
      <c r="K106" s="24">
        <f t="shared" si="73"/>
        <v>0</v>
      </c>
      <c r="L106" s="24">
        <f t="shared" si="46"/>
        <v>0</v>
      </c>
      <c r="M106" s="24">
        <f t="shared" si="74"/>
        <v>0</v>
      </c>
      <c r="N106" s="24">
        <f t="shared" si="40"/>
        <v>0</v>
      </c>
      <c r="O106" s="24">
        <v>0</v>
      </c>
      <c r="P106" s="24">
        <f t="shared" si="70"/>
        <v>0</v>
      </c>
      <c r="Q106" s="24">
        <f t="shared" si="67"/>
        <v>0</v>
      </c>
      <c r="R106" s="24">
        <f t="shared" si="47"/>
        <v>0</v>
      </c>
      <c r="S106" s="24">
        <f t="shared" si="59"/>
        <v>0</v>
      </c>
      <c r="T106" s="24"/>
      <c r="U106" s="36">
        <f t="shared" si="63"/>
        <v>0</v>
      </c>
      <c r="V106" s="36">
        <f t="shared" si="49"/>
        <v>0</v>
      </c>
      <c r="W106" s="2" t="e">
        <f>IF(AND(G71&gt;=$W$9,G71&lt;=$W$9+5),0,IF($C$9&gt;$AF$51,ROUND(S70*#REF!/(DATEVALUE(CONCATENATE("01/01/",YEAR(H71)+1))-DATEVALUE(CONCATENATE("01/01/",YEAR(H71))))*(H71-H70),2),0))</f>
        <v>#REF!</v>
      </c>
      <c r="X106" s="34">
        <f t="shared" si="35"/>
        <v>0</v>
      </c>
      <c r="Y106" s="57">
        <f t="shared" si="34"/>
        <v>67834</v>
      </c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2" t="e">
        <f>IF(AND(Y63&gt;=$W$9,Y63&lt;=$W$9+5),0,IF($C$9&gt;$AF$51,ROUND(AI66*#REF!/(DATEVALUE(CONCATENATE("01/01/",YEAR(Z63)+1))-DATEVALUE(CONCATENATE("01/01/",YEAR(Z63))))*(Z63-Z62),2),0))</f>
        <v>#REF!</v>
      </c>
      <c r="AM106" s="34">
        <f t="shared" si="37"/>
        <v>23217</v>
      </c>
      <c r="AN106" s="57">
        <f t="shared" si="36"/>
        <v>66374</v>
      </c>
      <c r="AO106" s="130">
        <f t="shared" si="50"/>
        <v>0</v>
      </c>
      <c r="AP106" s="109">
        <f t="shared" si="64"/>
        <v>98</v>
      </c>
      <c r="AQ106" s="110">
        <f t="shared" si="75"/>
        <v>47822</v>
      </c>
      <c r="AR106" s="562">
        <f t="shared" si="41"/>
        <v>0.13900000000000001</v>
      </c>
      <c r="AS106" s="105">
        <f t="shared" si="52"/>
        <v>0</v>
      </c>
      <c r="AT106" s="105">
        <f>IF(AND(G106&gt;=$W$9,G106&lt;=$W$9+5),$W$10,IF(AND(BG105+AW106+AU106&gt;AT105,AT105&lt;&gt;0),IF(#REF!="Да",$AL$40,$D$19),IF(BG105=0,0,BG105+AW106+AU106+AU107)))</f>
        <v>0</v>
      </c>
      <c r="AU106" s="105">
        <f t="shared" si="76"/>
        <v>0</v>
      </c>
      <c r="AV106" s="105">
        <f t="shared" si="55"/>
        <v>0</v>
      </c>
      <c r="AW106" s="105">
        <f t="shared" si="77"/>
        <v>0</v>
      </c>
      <c r="AX106" s="105">
        <v>0</v>
      </c>
      <c r="AY106" s="105">
        <f t="shared" si="71"/>
        <v>0</v>
      </c>
      <c r="AZ106" s="105">
        <f t="shared" si="69"/>
        <v>0</v>
      </c>
      <c r="BA106" s="105">
        <f t="shared" si="68"/>
        <v>0</v>
      </c>
      <c r="BB106" s="105"/>
      <c r="BC106" s="105"/>
      <c r="BD106" s="105"/>
      <c r="BE106" s="105"/>
      <c r="BF106" s="105"/>
      <c r="BG106" s="105">
        <f t="shared" si="56"/>
        <v>0</v>
      </c>
      <c r="BH106" s="108">
        <f t="shared" si="65"/>
        <v>0</v>
      </c>
      <c r="BI106" s="108">
        <f t="shared" si="60"/>
        <v>0</v>
      </c>
      <c r="BJ106" s="22">
        <f t="shared" si="61"/>
        <v>47822</v>
      </c>
      <c r="BK106" s="108">
        <f t="shared" si="42"/>
        <v>0</v>
      </c>
      <c r="BL106" s="2" t="e">
        <f>IF(AND(G61&gt;=$W$9,G61&lt;=$W$9+5),0,IF($C$9&gt;$AF$51,ROUND(BG60*IF(#REF!="",0,#REF!)/(DATEVALUE(CONCATENATE("01/01/",YEAR(AQ61)+1))-DATEVALUE(CONCATENATE("01/01/",YEAR(AQ61))))*(AQ61-AQ60),2),0))</f>
        <v>#REF!</v>
      </c>
    </row>
    <row r="107" spans="1:1217" hidden="1" x14ac:dyDescent="0.3">
      <c r="F107" s="184"/>
      <c r="G107" s="114">
        <f t="shared" si="62"/>
        <v>99</v>
      </c>
      <c r="H107" s="111">
        <f t="shared" si="72"/>
        <v>47853</v>
      </c>
      <c r="I107" s="176">
        <f t="shared" si="44"/>
        <v>4.9000000000000002E-2</v>
      </c>
      <c r="J107" s="24">
        <f t="shared" si="45"/>
        <v>0</v>
      </c>
      <c r="K107" s="24">
        <f t="shared" si="73"/>
        <v>0</v>
      </c>
      <c r="L107" s="24">
        <f t="shared" si="46"/>
        <v>0</v>
      </c>
      <c r="M107" s="24">
        <f t="shared" si="74"/>
        <v>0</v>
      </c>
      <c r="N107" s="24">
        <f t="shared" si="40"/>
        <v>0</v>
      </c>
      <c r="O107" s="24">
        <v>0</v>
      </c>
      <c r="P107" s="24">
        <f t="shared" si="70"/>
        <v>0</v>
      </c>
      <c r="Q107" s="24">
        <f t="shared" si="67"/>
        <v>0</v>
      </c>
      <c r="R107" s="24">
        <f t="shared" si="47"/>
        <v>0</v>
      </c>
      <c r="S107" s="24">
        <f t="shared" si="59"/>
        <v>0</v>
      </c>
      <c r="T107" s="24"/>
      <c r="U107" s="36">
        <f t="shared" si="63"/>
        <v>0</v>
      </c>
      <c r="V107" s="36">
        <f t="shared" si="49"/>
        <v>0</v>
      </c>
      <c r="W107" s="2" t="e">
        <f>IF(AND(G72&gt;=$W$9,G72&lt;=$W$9+5),0,IF($C$9&gt;$AF$51,ROUND(S71*#REF!/(DATEVALUE(CONCATENATE("01/01/",YEAR(H72)+1))-DATEVALUE(CONCATENATE("01/01/",YEAR(H72))))*(H72-H71),2),0))</f>
        <v>#REF!</v>
      </c>
      <c r="X107" s="34">
        <f t="shared" si="35"/>
        <v>0</v>
      </c>
      <c r="Y107" s="57">
        <f t="shared" si="34"/>
        <v>68199</v>
      </c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2" t="e">
        <f>IF(AND(Y64&gt;=$W$9,Y64&lt;=$W$9+5),0,IF($C$9&gt;$AF$51,ROUND(AI67*#REF!/(DATEVALUE(CONCATENATE("01/01/",YEAR(Z64)+1))-DATEVALUE(CONCATENATE("01/01/",YEAR(Z64))))*(Z64-Z63),2),0))</f>
        <v>#REF!</v>
      </c>
      <c r="AM107" s="34">
        <f t="shared" si="37"/>
        <v>23217</v>
      </c>
      <c r="AN107" s="57">
        <f t="shared" si="36"/>
        <v>66739</v>
      </c>
      <c r="AO107" s="130">
        <f t="shared" si="50"/>
        <v>0</v>
      </c>
      <c r="AP107" s="109">
        <f t="shared" si="64"/>
        <v>99</v>
      </c>
      <c r="AQ107" s="110">
        <f t="shared" si="75"/>
        <v>47853</v>
      </c>
      <c r="AR107" s="562">
        <f t="shared" si="41"/>
        <v>0.13900000000000001</v>
      </c>
      <c r="AS107" s="105">
        <f t="shared" si="52"/>
        <v>0</v>
      </c>
      <c r="AT107" s="105">
        <f>IF(AND(G107&gt;=$W$9,G107&lt;=$W$9+5),$W$10,IF(AND(BG106+AW107+AU107&gt;AT106,AT106&lt;&gt;0),IF(#REF!="Да",$AL$40,$D$19),IF(BG106=0,0,BG106+AW107+AU107+AU108)))</f>
        <v>0</v>
      </c>
      <c r="AU107" s="105">
        <f t="shared" si="76"/>
        <v>0</v>
      </c>
      <c r="AV107" s="105">
        <f t="shared" si="55"/>
        <v>0</v>
      </c>
      <c r="AW107" s="105">
        <f t="shared" si="77"/>
        <v>0</v>
      </c>
      <c r="AX107" s="105">
        <v>0</v>
      </c>
      <c r="AY107" s="105">
        <f t="shared" si="71"/>
        <v>0</v>
      </c>
      <c r="AZ107" s="105">
        <f t="shared" si="69"/>
        <v>0</v>
      </c>
      <c r="BA107" s="105">
        <f t="shared" si="68"/>
        <v>0</v>
      </c>
      <c r="BB107" s="105"/>
      <c r="BC107" s="105"/>
      <c r="BD107" s="105"/>
      <c r="BE107" s="105"/>
      <c r="BF107" s="105"/>
      <c r="BG107" s="105">
        <f t="shared" si="56"/>
        <v>0</v>
      </c>
      <c r="BH107" s="108">
        <f t="shared" si="65"/>
        <v>0</v>
      </c>
      <c r="BI107" s="108">
        <f t="shared" si="60"/>
        <v>0</v>
      </c>
      <c r="BJ107" s="22">
        <f t="shared" si="61"/>
        <v>47853</v>
      </c>
      <c r="BK107" s="108">
        <f t="shared" si="42"/>
        <v>0</v>
      </c>
      <c r="BL107" s="2" t="e">
        <f>IF(AND(G62&gt;=$W$9,G62&lt;=$W$9+5),0,IF($C$9&gt;$AF$51,ROUND(BG61*IF(#REF!="",0,#REF!)/(DATEVALUE(CONCATENATE("01/01/",YEAR(AQ62)+1))-DATEVALUE(CONCATENATE("01/01/",YEAR(AQ62))))*(AQ62-AQ61),2),0))</f>
        <v>#REF!</v>
      </c>
    </row>
    <row r="108" spans="1:1217" hidden="1" x14ac:dyDescent="0.3">
      <c r="F108" s="184"/>
      <c r="G108" s="114">
        <f t="shared" si="62"/>
        <v>100</v>
      </c>
      <c r="H108" s="111">
        <f t="shared" si="72"/>
        <v>47884</v>
      </c>
      <c r="I108" s="176">
        <f t="shared" si="44"/>
        <v>4.9000000000000002E-2</v>
      </c>
      <c r="J108" s="24">
        <f t="shared" si="45"/>
        <v>0</v>
      </c>
      <c r="K108" s="24">
        <f t="shared" si="73"/>
        <v>0</v>
      </c>
      <c r="L108" s="24">
        <f t="shared" si="46"/>
        <v>0</v>
      </c>
      <c r="M108" s="24">
        <f t="shared" si="74"/>
        <v>0</v>
      </c>
      <c r="N108" s="24">
        <f t="shared" si="40"/>
        <v>0</v>
      </c>
      <c r="O108" s="24">
        <v>0</v>
      </c>
      <c r="P108" s="24">
        <f t="shared" si="70"/>
        <v>0</v>
      </c>
      <c r="Q108" s="24">
        <f t="shared" si="67"/>
        <v>0</v>
      </c>
      <c r="R108" s="24">
        <f t="shared" si="47"/>
        <v>0</v>
      </c>
      <c r="S108" s="24">
        <f t="shared" si="59"/>
        <v>0</v>
      </c>
      <c r="T108" s="24"/>
      <c r="U108" s="36">
        <f t="shared" si="63"/>
        <v>0</v>
      </c>
      <c r="V108" s="36">
        <f>IF(ISERR(CEILING(FLOOR(NPER($C$11/12,-$AD$55,S107),0.1),1))=TRUE,0,CEILING(FLOOR(NPER($C$11/12,-$AD$55,S107),0.1),1))</f>
        <v>0</v>
      </c>
      <c r="W108" s="2" t="e">
        <f>IF(AND(G73&gt;=$W$9,G73&lt;=$W$9+5),0,IF($C$9&gt;$AF$51,ROUND(S72*#REF!/(DATEVALUE(CONCATENATE("01/01/",YEAR(H73)+1))-DATEVALUE(CONCATENATE("01/01/",YEAR(H73))))*(H73-H72),2),0))</f>
        <v>#REF!</v>
      </c>
      <c r="X108" s="34">
        <f t="shared" si="35"/>
        <v>0</v>
      </c>
      <c r="Y108" s="57">
        <f t="shared" si="34"/>
        <v>68564</v>
      </c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2" t="e">
        <f>IF(AND(Y65&gt;=$W$9,Y65&lt;=$W$9+5),0,IF($C$9&gt;$AF$51,ROUND(AI68*#REF!/(DATEVALUE(CONCATENATE("01/01/",YEAR(Z65)+1))-DATEVALUE(CONCATENATE("01/01/",YEAR(Z65))))*(Z65-Z64),2),0))</f>
        <v>#REF!</v>
      </c>
      <c r="AM108" s="34">
        <f t="shared" si="37"/>
        <v>0</v>
      </c>
      <c r="AN108" s="57">
        <f t="shared" si="36"/>
        <v>67104</v>
      </c>
      <c r="AO108" s="130">
        <f t="shared" si="50"/>
        <v>0</v>
      </c>
      <c r="AP108" s="109">
        <f t="shared" si="64"/>
        <v>100</v>
      </c>
      <c r="AQ108" s="110">
        <f t="shared" si="75"/>
        <v>47884</v>
      </c>
      <c r="AR108" s="562">
        <f t="shared" si="41"/>
        <v>0.13900000000000001</v>
      </c>
      <c r="AS108" s="105">
        <f t="shared" si="52"/>
        <v>0</v>
      </c>
      <c r="AT108" s="105">
        <f>IF(AND(G108&gt;=$W$9,G108&lt;=$W$9+5),$W$10,IF(AND(BG107+AW108+AU108&gt;AT107,AT107&lt;&gt;0),IF(#REF!="Да",$AL$40,$D$19),IF(BG107=0,0,BG107+AW108+AU108+AU109)))</f>
        <v>0</v>
      </c>
      <c r="AU108" s="105">
        <f t="shared" si="76"/>
        <v>0</v>
      </c>
      <c r="AV108" s="105">
        <f t="shared" si="55"/>
        <v>0</v>
      </c>
      <c r="AW108" s="105">
        <f t="shared" si="77"/>
        <v>0</v>
      </c>
      <c r="AX108" s="105">
        <v>0</v>
      </c>
      <c r="AY108" s="105">
        <f t="shared" si="71"/>
        <v>0</v>
      </c>
      <c r="AZ108" s="105">
        <f t="shared" si="69"/>
        <v>0</v>
      </c>
      <c r="BA108" s="105">
        <f t="shared" si="68"/>
        <v>0</v>
      </c>
      <c r="BB108" s="105"/>
      <c r="BC108" s="105"/>
      <c r="BD108" s="105"/>
      <c r="BE108" s="105"/>
      <c r="BF108" s="105"/>
      <c r="BG108" s="105">
        <f t="shared" si="56"/>
        <v>0</v>
      </c>
      <c r="BH108" s="108">
        <f t="shared" si="65"/>
        <v>0</v>
      </c>
      <c r="BI108" s="108">
        <f t="shared" si="60"/>
        <v>0</v>
      </c>
      <c r="BJ108" s="22">
        <f t="shared" si="61"/>
        <v>47884</v>
      </c>
      <c r="BK108" s="108">
        <f t="shared" si="42"/>
        <v>0</v>
      </c>
      <c r="BL108" s="2" t="e">
        <f>IF(AND(G63&gt;=$W$9,G63&lt;=$W$9+5),0,IF($C$9&gt;$AF$51,ROUND(BG62*IF(#REF!="",0,#REF!)/(DATEVALUE(CONCATENATE("01/01/",YEAR(AQ63)+1))-DATEVALUE(CONCATENATE("01/01/",YEAR(AQ63))))*(AQ63-AQ62),2),0))</f>
        <v>#REF!</v>
      </c>
    </row>
    <row r="109" spans="1:1217" x14ac:dyDescent="0.3">
      <c r="F109" s="184"/>
      <c r="G109" s="28"/>
      <c r="H109" s="29" t="s">
        <v>7</v>
      </c>
      <c r="I109" s="29"/>
      <c r="J109" s="30" t="e">
        <f>(SUM(J9:J108))</f>
        <v>#REF!</v>
      </c>
      <c r="K109" s="30">
        <f>(SUM(K9:K108)-IF(CODE(C12)=209,AI51,0))</f>
        <v>1353720</v>
      </c>
      <c r="L109" s="30">
        <f t="shared" ref="L109:R109" si="78">SUM(L9:L108)</f>
        <v>155368.76099127252</v>
      </c>
      <c r="M109" s="30">
        <f t="shared" si="78"/>
        <v>1198465.9635666343</v>
      </c>
      <c r="N109" s="31" t="e">
        <f t="shared" si="78"/>
        <v>#REF!</v>
      </c>
      <c r="O109" s="31">
        <f t="shared" si="78"/>
        <v>0</v>
      </c>
      <c r="P109" s="31" t="e">
        <f t="shared" si="78"/>
        <v>#REF!</v>
      </c>
      <c r="Q109" s="31" t="e">
        <f t="shared" si="78"/>
        <v>#REF!</v>
      </c>
      <c r="R109" s="31">
        <f t="shared" si="78"/>
        <v>0</v>
      </c>
      <c r="S109" s="31"/>
      <c r="T109" s="31"/>
      <c r="U109" s="31"/>
      <c r="V109" s="31"/>
      <c r="W109" s="2" t="e">
        <f>IF(AND(G74&gt;=$W$9,G74&lt;=$W$9+5),0,IF($C$9&gt;$AF$51,ROUND(S73*#REF!/(DATEVALUE(CONCATENATE("01/01/",YEAR(H74)+1))-DATEVALUE(CONCATENATE("01/01/",YEAR(H74))))*(H74-H73),2),0))</f>
        <v>#REF!</v>
      </c>
      <c r="X109" s="34">
        <f t="shared" si="35"/>
        <v>0</v>
      </c>
      <c r="Y109" s="57">
        <f t="shared" ref="Y109:Y143" si="79">Y108+365</f>
        <v>68929</v>
      </c>
      <c r="Z109" s="16"/>
      <c r="AA109" s="16"/>
      <c r="AB109" s="16"/>
      <c r="AC109" s="16"/>
      <c r="AD109" s="16"/>
      <c r="AE109" s="16">
        <f>IF($C$7&lt;=$AD$89,AE89,IF($C$7&lt;=$AD$90,AE90,IF($C$7&lt;=$AD$91,AE91,AE92)))</f>
        <v>4999</v>
      </c>
      <c r="AF109" s="16">
        <f>IF($C$7&lt;=$AD$89,AF89,IF($C$7&lt;=$AD$90,AF90,IF($C$7&lt;=$AD$91,AF91,AF92)))</f>
        <v>6499</v>
      </c>
      <c r="AG109" s="16">
        <f>IF($C$7&lt;=$AD$89,AG89,IF($C$7&lt;=$AD$90,AG90,IF($C$7&lt;=$AD$91,AG91,AG92)))</f>
        <v>8499</v>
      </c>
      <c r="AH109" s="16">
        <f>IF($C$7&lt;=$AD$89,AH89,IF($C$7&lt;=$AD$90,AH90,IF($C$7&lt;=$AD$91,AH91,AH92)))</f>
        <v>9499</v>
      </c>
      <c r="AI109" s="16">
        <f>IF($C$7&lt;=$AD$89,AI89,IF($C$7&lt;=$AD$90,AI90,IF($C$7&lt;=$AD$91,AI91,AI92)))</f>
        <v>10999</v>
      </c>
      <c r="AJ109" s="16">
        <f>IF($C$10&lt;=AE88,AE109,IF($C$10&lt;=AF88,AF109,IF($C$10&lt;=AG88,AG109,IF($C$10&lt;=AH88,AH109,AI109))))</f>
        <v>8499</v>
      </c>
      <c r="AK109" s="16"/>
      <c r="AL109" s="2" t="e">
        <f>IF(AND(Y66&gt;=$W$9,Y66&lt;=$W$9+5),0,IF($C$9&gt;$AF$51,ROUND(AI69*#REF!/(DATEVALUE(CONCATENATE("01/01/",YEAR(Z66)+1))-DATEVALUE(CONCATENATE("01/01/",YEAR(Z66))))*(Z66-Z65),2),0))</f>
        <v>#REF!</v>
      </c>
      <c r="AM109" s="34">
        <f t="shared" si="37"/>
        <v>0</v>
      </c>
      <c r="AN109" s="57">
        <f t="shared" si="36"/>
        <v>67469</v>
      </c>
      <c r="AO109" s="130"/>
      <c r="AP109" s="28"/>
      <c r="AQ109" s="29" t="s">
        <v>7</v>
      </c>
      <c r="AR109" s="29"/>
      <c r="AS109" s="30" t="e">
        <f>SUM(AS9:AS108)</f>
        <v>#REF!</v>
      </c>
      <c r="AT109" s="30">
        <f>(SUM(AT9:AT108)-IF(CODE(C12)=209,BX43,0))</f>
        <v>1393020</v>
      </c>
      <c r="AU109" s="30">
        <f>SUM(AU9:AU108)</f>
        <v>393442.9467140286</v>
      </c>
      <c r="AV109" s="30">
        <f>SUM(AV9:AV108)</f>
        <v>1000000.0000000002</v>
      </c>
      <c r="AW109" s="30">
        <f>SUM(AW9:AW108)</f>
        <v>0</v>
      </c>
      <c r="AX109" s="31"/>
      <c r="AY109" s="31"/>
      <c r="AZ109" s="30" t="e">
        <f>SUM(AZ9:AZ108)</f>
        <v>#REF!</v>
      </c>
      <c r="BA109" s="31"/>
      <c r="BB109" s="31"/>
      <c r="BC109" s="31"/>
      <c r="BD109" s="31"/>
      <c r="BE109" s="31"/>
      <c r="BF109" s="31"/>
      <c r="BG109" s="31"/>
      <c r="BH109" s="108">
        <f t="shared" si="65"/>
        <v>0</v>
      </c>
      <c r="BI109" s="108">
        <f t="shared" si="60"/>
        <v>0</v>
      </c>
      <c r="BJ109" s="22" t="str">
        <f t="shared" si="61"/>
        <v>Итого</v>
      </c>
      <c r="BK109" s="108">
        <f t="shared" si="42"/>
        <v>1353720</v>
      </c>
      <c r="BL109" s="2" t="e">
        <f>IF(AND(G64&gt;=$W$9,G64&lt;=$W$9+5),0,IF($C$9&gt;$AF$51,ROUND(BG63*IF(#REF!="",0,#REF!)/(DATEVALUE(CONCATENATE("01/01/",YEAR(AQ64)+1))-DATEVALUE(CONCATENATE("01/01/",YEAR(AQ64))))*(AQ64-AQ63),2),0))</f>
        <v>#REF!</v>
      </c>
    </row>
    <row r="110" spans="1:1217" x14ac:dyDescent="0.25">
      <c r="W110" s="2" t="e">
        <f>IF(AND(G75&gt;=$W$9,G75&lt;=$W$9+5),0,IF($C$9&gt;$AF$51,ROUND(S74*#REF!/(DATEVALUE(CONCATENATE("01/01/",YEAR(H75)+1))-DATEVALUE(CONCATENATE("01/01/",YEAR(H75))))*(H75-H74),2),0))</f>
        <v>#REF!</v>
      </c>
      <c r="X110" s="34">
        <f t="shared" ref="X110:X142" si="80">IF(K75 &gt; 0, K75, 0)</f>
        <v>0</v>
      </c>
      <c r="Y110" s="57">
        <f t="shared" si="79"/>
        <v>69294</v>
      </c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2" t="e">
        <f>IF(AND(Y67&gt;=$W$9,Y67&lt;=$W$9+5),0,IF($C$9&gt;$AF$51,ROUND(AI70*#REF!/(DATEVALUE(CONCATENATE("01/01/",YEAR(Z67)+1))-DATEVALUE(CONCATENATE("01/01/",YEAR(Z67))))*(Z67-Z66),2),0))</f>
        <v>#VALUE!</v>
      </c>
      <c r="AM110" s="34">
        <f t="shared" si="37"/>
        <v>0</v>
      </c>
      <c r="AN110" s="57">
        <f t="shared" si="36"/>
        <v>67834</v>
      </c>
      <c r="AO110" s="130"/>
      <c r="BH110" s="108">
        <f t="shared" si="65"/>
        <v>0</v>
      </c>
      <c r="BI110" s="108">
        <f t="shared" si="60"/>
        <v>0</v>
      </c>
      <c r="BJ110" s="22">
        <f t="shared" si="61"/>
        <v>0</v>
      </c>
      <c r="BK110" s="108">
        <f t="shared" si="42"/>
        <v>0</v>
      </c>
      <c r="BL110" s="2" t="e">
        <f>IF(AND(G65&gt;=$W$9,G65&lt;=$W$9+5),0,IF($C$9&gt;$AF$51,ROUND(BG64*IF(#REF!="",0,#REF!)/(DATEVALUE(CONCATENATE("01/01/",YEAR(AQ65)+1))-DATEVALUE(CONCATENATE("01/01/",YEAR(AQ65))))*(AQ65-AQ64),2),0))</f>
        <v>#REF!</v>
      </c>
    </row>
    <row r="111" spans="1:1217" x14ac:dyDescent="0.25">
      <c r="W111" s="2" t="e">
        <f>IF(AND(G76&gt;=$W$9,G76&lt;=$W$9+5),0,IF($C$9&gt;$AF$51,ROUND(S75*#REF!/(DATEVALUE(CONCATENATE("01/01/",YEAR(H76)+1))-DATEVALUE(CONCATENATE("01/01/",YEAR(H76))))*(H76-H75),2),0))</f>
        <v>#REF!</v>
      </c>
      <c r="X111" s="34">
        <f t="shared" si="80"/>
        <v>0</v>
      </c>
      <c r="Y111" s="57">
        <f t="shared" si="79"/>
        <v>69659</v>
      </c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2" t="e">
        <f>IF(AND(Y68&gt;=$W$9,Y68&lt;=$W$9+5),0,IF($C$9&gt;$AF$51,ROUND(AI71*#REF!/(DATEVALUE(CONCATENATE("01/01/",YEAR(Z68)+1))-DATEVALUE(CONCATENATE("01/01/",YEAR(Z68))))*(Z68-Z67),2),0))</f>
        <v>#REF!</v>
      </c>
      <c r="AM111" s="34">
        <f t="shared" si="37"/>
        <v>0</v>
      </c>
      <c r="AN111" s="57">
        <f t="shared" si="36"/>
        <v>68199</v>
      </c>
      <c r="AO111" s="130"/>
      <c r="BH111" s="108">
        <f t="shared" si="65"/>
        <v>0</v>
      </c>
      <c r="BI111" s="108">
        <f t="shared" si="60"/>
        <v>0</v>
      </c>
      <c r="BJ111" s="22">
        <f t="shared" si="61"/>
        <v>0</v>
      </c>
      <c r="BK111" s="108">
        <f t="shared" si="42"/>
        <v>0</v>
      </c>
      <c r="BL111" s="2" t="e">
        <f>IF(AND(G66&gt;=$W$9,G66&lt;=$W$9+5),0,IF($C$9&gt;$AF$51,ROUND(BG65*IF(#REF!="",0,#REF!)/(DATEVALUE(CONCATENATE("01/01/",YEAR(AQ66)+1))-DATEVALUE(CONCATENATE("01/01/",YEAR(AQ66))))*(AQ66-AQ65),2),0))</f>
        <v>#REF!</v>
      </c>
    </row>
    <row r="112" spans="1:1217" x14ac:dyDescent="0.25">
      <c r="W112" s="2" t="e">
        <f>IF(AND(G77&gt;=$W$9,G77&lt;=$W$9+5),0,IF($C$9&gt;$AF$51,ROUND(S76*#REF!/(DATEVALUE(CONCATENATE("01/01/",YEAR(H77)+1))-DATEVALUE(CONCATENATE("01/01/",YEAR(H77))))*(H77-H76),2),0))</f>
        <v>#REF!</v>
      </c>
      <c r="X112" s="34">
        <f t="shared" si="80"/>
        <v>0</v>
      </c>
      <c r="Y112" s="57">
        <f t="shared" si="79"/>
        <v>70024</v>
      </c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2" t="e">
        <f>IF(AND(Y69&gt;=$W$9,Y69&lt;=$W$9+5),0,IF($C$9&gt;$AF$51,ROUND(AI72*#REF!/(DATEVALUE(CONCATENATE("01/01/",YEAR(Z69)+1))-DATEVALUE(CONCATENATE("01/01/",YEAR(Z69))))*(Z69-Z68),2),0))</f>
        <v>#REF!</v>
      </c>
      <c r="AM112" s="34">
        <f t="shared" si="37"/>
        <v>0</v>
      </c>
      <c r="AN112" s="57">
        <f t="shared" si="36"/>
        <v>68564</v>
      </c>
      <c r="AO112" s="130"/>
      <c r="BH112" s="108">
        <f t="shared" si="65"/>
        <v>0</v>
      </c>
      <c r="BI112" s="108">
        <f t="shared" si="60"/>
        <v>0</v>
      </c>
      <c r="BJ112" s="22">
        <f t="shared" si="61"/>
        <v>0</v>
      </c>
      <c r="BK112" s="108">
        <f t="shared" si="42"/>
        <v>0</v>
      </c>
      <c r="BL112" s="2" t="e">
        <f>IF(AND(G67&gt;=$W$9,G67&lt;=$W$9+5),0,IF($C$9&gt;$AF$51,ROUND(BG66*IF(#REF!="",0,#REF!)/(DATEVALUE(CONCATENATE("01/01/",YEAR(AQ67)+1))-DATEVALUE(CONCATENATE("01/01/",YEAR(AQ67))))*(AQ67-AQ66),2),0))</f>
        <v>#REF!</v>
      </c>
    </row>
    <row r="113" spans="23:64" x14ac:dyDescent="0.25">
      <c r="W113" s="2" t="e">
        <f>IF(AND(G78&gt;=$W$9,G78&lt;=$W$9+5),0,IF($C$9&gt;$AF$51,ROUND(S77*#REF!/(DATEVALUE(CONCATENATE("01/01/",YEAR(H78)+1))-DATEVALUE(CONCATENATE("01/01/",YEAR(H78))))*(H78-H77),2),0))</f>
        <v>#REF!</v>
      </c>
      <c r="X113" s="34">
        <f t="shared" si="80"/>
        <v>0</v>
      </c>
      <c r="Y113" s="57">
        <f t="shared" si="79"/>
        <v>70389</v>
      </c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2" t="e">
        <f>IF(AND(Y70&gt;=$W$9,Y70&lt;=$W$9+5),0,IF($C$9&gt;$AF$51,ROUND(AI73*#REF!/(DATEVALUE(CONCATENATE("01/01/",YEAR(Z70)+1))-DATEVALUE(CONCATENATE("01/01/",YEAR(Z70))))*(Z70-Z69),2),0))</f>
        <v>#REF!</v>
      </c>
      <c r="AM113" s="34">
        <f t="shared" si="37"/>
        <v>0</v>
      </c>
      <c r="AN113" s="57">
        <f t="shared" ref="AN113:AN147" si="81">AN112+365</f>
        <v>68929</v>
      </c>
      <c r="AO113" s="130"/>
      <c r="BH113" s="108">
        <f t="shared" si="65"/>
        <v>0</v>
      </c>
      <c r="BI113" s="108">
        <f t="shared" si="60"/>
        <v>0</v>
      </c>
      <c r="BJ113" s="22">
        <f t="shared" si="61"/>
        <v>0</v>
      </c>
      <c r="BK113" s="108">
        <f t="shared" si="42"/>
        <v>0</v>
      </c>
      <c r="BL113" s="2" t="e">
        <f>IF(AND(G68&gt;=$W$9,G68&lt;=$W$9+5),0,IF($C$9&gt;$AF$51,ROUND(BG67*IF(#REF!="",0,#REF!)/(DATEVALUE(CONCATENATE("01/01/",YEAR(AQ68)+1))-DATEVALUE(CONCATENATE("01/01/",YEAR(AQ68))))*(AQ68-AQ67),2),0))</f>
        <v>#REF!</v>
      </c>
    </row>
    <row r="114" spans="23:64" x14ac:dyDescent="0.25">
      <c r="W114" s="2" t="e">
        <f>IF(AND(G79&gt;=$W$9,G79&lt;=$W$9+5),0,IF($C$9&gt;$AF$51,ROUND(S78*#REF!/(DATEVALUE(CONCATENATE("01/01/",YEAR(H79)+1))-DATEVALUE(CONCATENATE("01/01/",YEAR(H79))))*(H79-H78),2),0))</f>
        <v>#REF!</v>
      </c>
      <c r="X114" s="34">
        <f t="shared" si="80"/>
        <v>0</v>
      </c>
      <c r="Y114" s="57">
        <f>Y83+365</f>
        <v>59804</v>
      </c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2" t="e">
        <f>IF(AND(Y71&gt;=$W$9,Y71&lt;=$W$9+5),0,IF($C$9&gt;$AF$51,ROUND(AI74*#REF!/(DATEVALUE(CONCATENATE("01/01/",YEAR(Z71)+1))-DATEVALUE(CONCATENATE("01/01/",YEAR(Z71))))*(Z71-Z70),2),0))</f>
        <v>#REF!</v>
      </c>
      <c r="AM114" s="34">
        <f t="shared" ref="AM114:AM147" si="82">AT75</f>
        <v>0</v>
      </c>
      <c r="AN114" s="57">
        <f t="shared" si="81"/>
        <v>69294</v>
      </c>
      <c r="AO114" s="130"/>
      <c r="BH114" s="108">
        <f t="shared" si="65"/>
        <v>0</v>
      </c>
      <c r="BI114" s="108">
        <f t="shared" si="60"/>
        <v>0</v>
      </c>
      <c r="BJ114" s="22">
        <f t="shared" si="61"/>
        <v>0</v>
      </c>
      <c r="BK114" s="108">
        <f t="shared" si="42"/>
        <v>0</v>
      </c>
      <c r="BL114" s="2" t="e">
        <f>IF(AND(G69&gt;=$W$9,G69&lt;=$W$9+5),0,IF($C$9&gt;$AF$51,ROUND(BG68*IF(#REF!="",0,#REF!)/(DATEVALUE(CONCATENATE("01/01/",YEAR(AQ69)+1))-DATEVALUE(CONCATENATE("01/01/",YEAR(AQ69))))*(AQ69-AQ68),2),0))</f>
        <v>#REF!</v>
      </c>
    </row>
    <row r="115" spans="23:64" x14ac:dyDescent="0.25">
      <c r="W115" s="2" t="e">
        <f>IF(AND(G80&gt;=$W$9,G80&lt;=$W$9+5),0,IF($C$9&gt;$AF$51,ROUND(S79*#REF!/(DATEVALUE(CONCATENATE("01/01/",YEAR(H80)+1))-DATEVALUE(CONCATENATE("01/01/",YEAR(H80))))*(H80-H79),2),0))</f>
        <v>#REF!</v>
      </c>
      <c r="X115" s="34">
        <f t="shared" si="80"/>
        <v>0</v>
      </c>
      <c r="Y115" s="57">
        <f t="shared" si="79"/>
        <v>60169</v>
      </c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2" t="e">
        <f>IF(AND(Y72&gt;=$W$9,Y72&lt;=$W$9+5),0,IF($C$9&gt;$AF$51,ROUND(AI75*#REF!/(DATEVALUE(CONCATENATE("01/01/",YEAR(Z72)+1))-DATEVALUE(CONCATENATE("01/01/",YEAR(Z72))))*(Z72-Z71),2),0))</f>
        <v>#REF!</v>
      </c>
      <c r="AM115" s="34">
        <f t="shared" si="82"/>
        <v>0</v>
      </c>
      <c r="AN115" s="57">
        <f t="shared" si="81"/>
        <v>69659</v>
      </c>
      <c r="AO115" s="130"/>
      <c r="BH115" s="31"/>
      <c r="BI115" s="51"/>
      <c r="BJ115" s="29" t="s">
        <v>67</v>
      </c>
      <c r="BK115" s="152" t="e">
        <f>XIRR(BK7:BK114,BJ7:BJ114)</f>
        <v>#VALUE!</v>
      </c>
      <c r="BL115" s="2" t="e">
        <f>IF(AND(G70&gt;=$W$9,G70&lt;=$W$9+5),0,IF($C$9&gt;$AF$51,ROUND(BG69*IF(#REF!="",0,#REF!)/(DATEVALUE(CONCATENATE("01/01/",YEAR(AQ70)+1))-DATEVALUE(CONCATENATE("01/01/",YEAR(AQ70))))*(AQ70-AQ69),2),0))</f>
        <v>#REF!</v>
      </c>
    </row>
    <row r="116" spans="23:64" x14ac:dyDescent="0.25">
      <c r="W116" s="2" t="e">
        <f>IF(AND(G81&gt;=$W$9,G81&lt;=$W$9+5),0,IF($C$9&gt;$AF$51,ROUND(S80*#REF!/(DATEVALUE(CONCATENATE("01/01/",YEAR(H81)+1))-DATEVALUE(CONCATENATE("01/01/",YEAR(H81))))*(H81-H80),2),0))</f>
        <v>#REF!</v>
      </c>
      <c r="X116" s="34">
        <f t="shared" si="80"/>
        <v>0</v>
      </c>
      <c r="Y116" s="57">
        <f t="shared" si="79"/>
        <v>60534</v>
      </c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2" t="e">
        <f>IF(AND(Y73&gt;=$W$9,Y73&lt;=$W$9+5),0,IF($C$9&gt;$AF$51,ROUND(AI76*#REF!/(DATEVALUE(CONCATENATE("01/01/",YEAR(Z73)+1))-DATEVALUE(CONCATENATE("01/01/",YEAR(Z73))))*(Z73-Z72),2),0))</f>
        <v>#REF!</v>
      </c>
      <c r="AM116" s="34">
        <f t="shared" si="82"/>
        <v>0</v>
      </c>
      <c r="AN116" s="57">
        <f t="shared" si="81"/>
        <v>70024</v>
      </c>
      <c r="AO116" s="130"/>
      <c r="BL116" s="2" t="e">
        <f>IF(AND(G71&gt;=$W$9,G71&lt;=$W$9+5),0,IF($C$9&gt;$AF$51,ROUND(BG70*IF(#REF!="",0,#REF!)/(DATEVALUE(CONCATENATE("01/01/",YEAR(AQ71)+1))-DATEVALUE(CONCATENATE("01/01/",YEAR(AQ71))))*(AQ71-AQ70),2),0))</f>
        <v>#REF!</v>
      </c>
    </row>
    <row r="117" spans="23:64" x14ac:dyDescent="0.25">
      <c r="W117" s="2" t="e">
        <f>IF(AND(G82&gt;=$W$9,G82&lt;=$W$9+5),0,IF($C$9&gt;$AF$51,ROUND(S81*#REF!/(DATEVALUE(CONCATENATE("01/01/",YEAR(H82)+1))-DATEVALUE(CONCATENATE("01/01/",YEAR(H82))))*(H82-H81),2),0))</f>
        <v>#REF!</v>
      </c>
      <c r="X117" s="34">
        <f t="shared" si="80"/>
        <v>0</v>
      </c>
      <c r="Y117" s="57">
        <f t="shared" si="79"/>
        <v>60899</v>
      </c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2" t="e">
        <f>IF(AND(Y74&gt;=$W$9,Y74&lt;=$W$9+5),0,IF($C$9&gt;$AF$51,ROUND(AI77*#REF!/(DATEVALUE(CONCATENATE("01/01/",YEAR(Z74)+1))-DATEVALUE(CONCATENATE("01/01/",YEAR(Z74))))*(Z74-Z73),2),0))</f>
        <v>#REF!</v>
      </c>
      <c r="AM117" s="34">
        <f t="shared" si="82"/>
        <v>0</v>
      </c>
      <c r="AN117" s="57">
        <f t="shared" si="81"/>
        <v>70389</v>
      </c>
      <c r="AO117" s="130"/>
      <c r="BL117" s="2" t="e">
        <f>IF(AND(G72&gt;=$W$9,G72&lt;=$W$9+5),0,IF($C$9&gt;$AF$51,ROUND(BG71*IF(#REF!="",0,#REF!)/(DATEVALUE(CONCATENATE("01/01/",YEAR(AQ72)+1))-DATEVALUE(CONCATENATE("01/01/",YEAR(AQ72))))*(AQ72-AQ71),2),0))</f>
        <v>#REF!</v>
      </c>
    </row>
    <row r="118" spans="23:64" x14ac:dyDescent="0.25">
      <c r="W118" s="2" t="e">
        <f>IF(AND(G83&gt;=$W$9,G83&lt;=$W$9+5),0,IF($C$9&gt;$AF$51,ROUND(S82*#REF!/(DATEVALUE(CONCATENATE("01/01/",YEAR(H83)+1))-DATEVALUE(CONCATENATE("01/01/",YEAR(H83))))*(H83-H82),2),0))</f>
        <v>#REF!</v>
      </c>
      <c r="X118" s="34">
        <f t="shared" si="80"/>
        <v>0</v>
      </c>
      <c r="Y118" s="57">
        <f t="shared" si="79"/>
        <v>61264</v>
      </c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2" t="e">
        <f>IF(AND(Y75&gt;=$W$9,Y75&lt;=$W$9+5),0,IF($C$9&gt;$AF$51,ROUND(AI78*#REF!/(DATEVALUE(CONCATENATE("01/01/",YEAR(Z75)+1))-DATEVALUE(CONCATENATE("01/01/",YEAR(Z75))))*(Z75-Z74),2),0))</f>
        <v>#VALUE!</v>
      </c>
      <c r="AM118" s="34">
        <f t="shared" si="82"/>
        <v>0</v>
      </c>
      <c r="AN118" s="57">
        <f>AN87+365</f>
        <v>59804</v>
      </c>
      <c r="AO118" s="130"/>
      <c r="BL118" s="2" t="e">
        <f>IF(AND(G73&gt;=$W$9,G73&lt;=$W$9+5),0,IF($C$9&gt;$AF$51,ROUND(BG72*IF(#REF!="",0,#REF!)/(DATEVALUE(CONCATENATE("01/01/",YEAR(AQ73)+1))-DATEVALUE(CONCATENATE("01/01/",YEAR(AQ73))))*(AQ73-AQ72),2),0))</f>
        <v>#REF!</v>
      </c>
    </row>
    <row r="119" spans="23:64" x14ac:dyDescent="0.25">
      <c r="W119" s="2" t="e">
        <f>IF(AND(G84&gt;=$W$9,G84&lt;=$W$9+5),0,IF($C$9&gt;$AF$51,ROUND(S83*#REF!/(DATEVALUE(CONCATENATE("01/01/",YEAR(H84)+1))-DATEVALUE(CONCATENATE("01/01/",YEAR(H84))))*(H84-H83),2),0))</f>
        <v>#REF!</v>
      </c>
      <c r="X119" s="34">
        <f t="shared" si="80"/>
        <v>0</v>
      </c>
      <c r="Y119" s="57">
        <f t="shared" si="79"/>
        <v>61629</v>
      </c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2" t="e">
        <f>IF(AND(Y76&gt;=$W$9,Y76&lt;=$W$9+5),0,IF($C$9&gt;$AF$51,ROUND(AI79*#REF!/(DATEVALUE(CONCATENATE("01/01/",YEAR(Z76)+1))-DATEVALUE(CONCATENATE("01/01/",YEAR(Z76))))*(Z76-Z75),2),0))</f>
        <v>#REF!</v>
      </c>
      <c r="AM119" s="34">
        <f t="shared" si="82"/>
        <v>0</v>
      </c>
      <c r="AN119" s="57">
        <f t="shared" si="81"/>
        <v>60169</v>
      </c>
      <c r="AO119" s="130"/>
      <c r="BL119" s="2" t="e">
        <f>IF(AND(G74&gt;=$W$9,G74&lt;=$W$9+5),0,IF($C$9&gt;$AF$51,ROUND(BG73*IF(#REF!="",0,#REF!)/(DATEVALUE(CONCATENATE("01/01/",YEAR(AQ74)+1))-DATEVALUE(CONCATENATE("01/01/",YEAR(AQ74))))*(AQ74-AQ73),2),0))</f>
        <v>#REF!</v>
      </c>
    </row>
    <row r="120" spans="23:64" x14ac:dyDescent="0.25">
      <c r="W120" s="2" t="e">
        <f>IF(AND(G85&gt;=$W$9,G85&lt;=$W$9+5),0,IF($C$9&gt;$AF$51,ROUND(S84*#REF!/(DATEVALUE(CONCATENATE("01/01/",YEAR(H85)+1))-DATEVALUE(CONCATENATE("01/01/",YEAR(H85))))*(H85-H84),2),0))</f>
        <v>#REF!</v>
      </c>
      <c r="X120" s="34">
        <f t="shared" si="80"/>
        <v>0</v>
      </c>
      <c r="Y120" s="57">
        <f t="shared" si="79"/>
        <v>61994</v>
      </c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2" t="e">
        <f>IF(AND(Y77&gt;=$W$9,Y77&lt;=$W$9+5),0,IF($C$9&gt;$AF$51,ROUND(AI80*#REF!/(DATEVALUE(CONCATENATE("01/01/",YEAR(Z77)+1))-DATEVALUE(CONCATENATE("01/01/",YEAR(Z77))))*(Z77-Z76),2),0))</f>
        <v>#REF!</v>
      </c>
      <c r="AM120" s="34">
        <f t="shared" si="82"/>
        <v>0</v>
      </c>
      <c r="AN120" s="57">
        <f t="shared" si="81"/>
        <v>60534</v>
      </c>
      <c r="AO120" s="130"/>
      <c r="BL120" s="2" t="e">
        <f>IF(AND(G75&gt;=$W$9,G75&lt;=$W$9+5),0,IF($C$9&gt;$AF$51,ROUND(BG74*IF(#REF!="",0,#REF!)/(DATEVALUE(CONCATENATE("01/01/",YEAR(AQ75)+1))-DATEVALUE(CONCATENATE("01/01/",YEAR(AQ75))))*(AQ75-AQ74),2),0))</f>
        <v>#REF!</v>
      </c>
    </row>
    <row r="121" spans="23:64" x14ac:dyDescent="0.25">
      <c r="W121" s="2" t="e">
        <f>IF(AND(G86&gt;=$W$9,G86&lt;=$W$9+5),0,IF($C$9&gt;$AF$51,ROUND(S85*#REF!/(DATEVALUE(CONCATENATE("01/01/",YEAR(H86)+1))-DATEVALUE(CONCATENATE("01/01/",YEAR(H86))))*(H86-H85),2),0))</f>
        <v>#REF!</v>
      </c>
      <c r="X121" s="34">
        <f t="shared" si="80"/>
        <v>0</v>
      </c>
      <c r="Y121" s="57">
        <f t="shared" si="79"/>
        <v>62359</v>
      </c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2" t="e">
        <f>IF(AND(Y78&gt;=$W$9,Y78&lt;=$W$9+5),0,IF($C$9&gt;$AF$51,ROUND(AI81*#REF!/(DATEVALUE(CONCATENATE("01/01/",YEAR(Z78)+1))-DATEVALUE(CONCATENATE("01/01/",YEAR(Z78))))*(Z78-Z77),2),0))</f>
        <v>#REF!</v>
      </c>
      <c r="AM121" s="34">
        <f t="shared" si="82"/>
        <v>0</v>
      </c>
      <c r="AN121" s="57">
        <f t="shared" si="81"/>
        <v>60899</v>
      </c>
      <c r="AO121" s="130"/>
      <c r="BL121" s="2" t="e">
        <f>IF(AND(G76&gt;=$W$9,G76&lt;=$W$9+5),0,IF($C$9&gt;$AF$51,ROUND(BG75*IF(#REF!="",0,#REF!)/(DATEVALUE(CONCATENATE("01/01/",YEAR(AQ76)+1))-DATEVALUE(CONCATENATE("01/01/",YEAR(AQ76))))*(AQ76-AQ75),2),0))</f>
        <v>#REF!</v>
      </c>
    </row>
    <row r="122" spans="23:64" x14ac:dyDescent="0.25">
      <c r="W122" s="2" t="e">
        <f>IF(AND(G87&gt;=$W$9,G87&lt;=$W$9+5),0,IF($C$9&gt;$AF$51,ROUND(S86*#REF!/(DATEVALUE(CONCATENATE("01/01/",YEAR(H87)+1))-DATEVALUE(CONCATENATE("01/01/",YEAR(H87))))*(H87-H86),2),0))</f>
        <v>#REF!</v>
      </c>
      <c r="X122" s="34">
        <f t="shared" si="80"/>
        <v>0</v>
      </c>
      <c r="Y122" s="57">
        <f t="shared" si="79"/>
        <v>62724</v>
      </c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2" t="e">
        <f>IF(AND(Y79&gt;=$W$9,Y79&lt;=$W$9+5),0,IF($C$9&gt;$AF$51,ROUND(AI82*#REF!/(DATEVALUE(CONCATENATE("01/01/",YEAR(Z79)+1))-DATEVALUE(CONCATENATE("01/01/",YEAR(Z79))))*(Z79-Z78),2),0))</f>
        <v>#REF!</v>
      </c>
      <c r="AM122" s="34">
        <f t="shared" si="82"/>
        <v>0</v>
      </c>
      <c r="AN122" s="57">
        <f t="shared" si="81"/>
        <v>61264</v>
      </c>
      <c r="AO122" s="130"/>
      <c r="BL122" s="2" t="e">
        <f>IF(AND(G77&gt;=$W$9,G77&lt;=$W$9+5),0,IF($C$9&gt;$AF$51,ROUND(BG76*IF(#REF!="",0,#REF!)/(DATEVALUE(CONCATENATE("01/01/",YEAR(AQ77)+1))-DATEVALUE(CONCATENATE("01/01/",YEAR(AQ77))))*(AQ77-AQ76),2),0))</f>
        <v>#REF!</v>
      </c>
    </row>
    <row r="123" spans="23:64" x14ac:dyDescent="0.25">
      <c r="W123" s="2" t="e">
        <f>IF(AND(G88&gt;=$W$9,G88&lt;=$W$9+5),0,IF($C$9&gt;$AF$51,ROUND(S87*#REF!/(DATEVALUE(CONCATENATE("01/01/",YEAR(H88)+1))-DATEVALUE(CONCATENATE("01/01/",YEAR(H88))))*(H88-H87),2),0))</f>
        <v>#REF!</v>
      </c>
      <c r="X123" s="34">
        <f t="shared" si="80"/>
        <v>0</v>
      </c>
      <c r="Y123" s="57">
        <f t="shared" si="79"/>
        <v>63089</v>
      </c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2" t="e">
        <f>IF(AND(Y80&gt;=$W$9,Y80&lt;=$W$9+5),0,IF($C$9&gt;$AF$51,ROUND(AI83*#REF!/(DATEVALUE(CONCATENATE("01/01/",YEAR(Z80)+1))-DATEVALUE(CONCATENATE("01/01/",YEAR(Z80))))*(Z80-Z79),2),0))</f>
        <v>#REF!</v>
      </c>
      <c r="AM123" s="34">
        <f t="shared" si="82"/>
        <v>0</v>
      </c>
      <c r="AN123" s="57">
        <f t="shared" si="81"/>
        <v>61629</v>
      </c>
      <c r="AO123" s="130"/>
      <c r="BL123" s="2" t="e">
        <f>IF(AND(G78&gt;=$W$9,G78&lt;=$W$9+5),0,IF($C$9&gt;$AF$51,ROUND(BG77*IF(#REF!="",0,#REF!)/(DATEVALUE(CONCATENATE("01/01/",YEAR(AQ78)+1))-DATEVALUE(CONCATENATE("01/01/",YEAR(AQ78))))*(AQ78-AQ77),2),0))</f>
        <v>#REF!</v>
      </c>
    </row>
    <row r="124" spans="23:64" x14ac:dyDescent="0.25">
      <c r="W124" s="2" t="e">
        <f>IF(AND(G89&gt;=$W$9,G89&lt;=$W$9+5),0,IF($C$9&gt;$AF$51,ROUND(S88*#REF!/(DATEVALUE(CONCATENATE("01/01/",YEAR(H89)+1))-DATEVALUE(CONCATENATE("01/01/",YEAR(H89))))*(H89-H88),2),0))</f>
        <v>#REF!</v>
      </c>
      <c r="X124" s="34">
        <f t="shared" si="80"/>
        <v>0</v>
      </c>
      <c r="Y124" s="57">
        <f t="shared" si="79"/>
        <v>63454</v>
      </c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2" t="e">
        <f>IF(AND(Y81&gt;=$W$9,Y81&lt;=$W$9+5),0,IF($C$9&gt;$AF$51,ROUND(AI84*#REF!/(DATEVALUE(CONCATENATE("01/01/",YEAR(Z81)+1))-DATEVALUE(CONCATENATE("01/01/",YEAR(Z81))))*(Z81-Z80),2),0))</f>
        <v>#REF!</v>
      </c>
      <c r="AM124" s="34">
        <f t="shared" si="82"/>
        <v>0</v>
      </c>
      <c r="AN124" s="57">
        <f t="shared" si="81"/>
        <v>61994</v>
      </c>
      <c r="AO124" s="130"/>
      <c r="BL124" s="2" t="e">
        <f>IF(AND(G79&gt;=$W$9,G79&lt;=$W$9+5),0,IF($C$9&gt;$AF$51,ROUND(BG78*IF(#REF!="",0,#REF!)/(DATEVALUE(CONCATENATE("01/01/",YEAR(AQ79)+1))-DATEVALUE(CONCATENATE("01/01/",YEAR(AQ79))))*(AQ79-AQ78),2),0))</f>
        <v>#REF!</v>
      </c>
    </row>
    <row r="125" spans="23:64" x14ac:dyDescent="0.25">
      <c r="W125" s="2" t="e">
        <f>IF(AND(G90&gt;=$W$9,G90&lt;=$W$9+5),0,IF($C$9&gt;$AF$51,ROUND(S89*#REF!/(DATEVALUE(CONCATENATE("01/01/",YEAR(H90)+1))-DATEVALUE(CONCATENATE("01/01/",YEAR(H90))))*(H90-H89),2),0))</f>
        <v>#REF!</v>
      </c>
      <c r="X125" s="34">
        <f t="shared" si="80"/>
        <v>0</v>
      </c>
      <c r="Y125" s="57">
        <f t="shared" si="79"/>
        <v>63819</v>
      </c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2" t="e">
        <f>IF(AND(Y82&gt;=$W$9,Y82&lt;=$W$9+5),0,IF($C$9&gt;$AF$51,ROUND(AI85*#REF!/(DATEVALUE(CONCATENATE("01/01/",YEAR(Z82)+1))-DATEVALUE(CONCATENATE("01/01/",YEAR(Z82))))*(Z82-Z81),2),0))</f>
        <v>#REF!</v>
      </c>
      <c r="AM125" s="34">
        <f t="shared" si="82"/>
        <v>0</v>
      </c>
      <c r="AN125" s="57">
        <f t="shared" si="81"/>
        <v>62359</v>
      </c>
      <c r="AO125" s="130"/>
      <c r="BL125" s="2" t="e">
        <f>IF(AND(G80&gt;=$W$9,G80&lt;=$W$9+5),0,IF($C$9&gt;$AF$51,ROUND(BG79*IF(#REF!="",0,#REF!)/(DATEVALUE(CONCATENATE("01/01/",YEAR(AQ80)+1))-DATEVALUE(CONCATENATE("01/01/",YEAR(AQ80))))*(AQ80-AQ79),2),0))</f>
        <v>#REF!</v>
      </c>
    </row>
    <row r="126" spans="23:64" x14ac:dyDescent="0.25">
      <c r="W126" s="2" t="e">
        <f>IF(AND(G91&gt;=$W$9,G91&lt;=$W$9+5),0,IF($C$9&gt;$AF$51,ROUND(S90*#REF!/(DATEVALUE(CONCATENATE("01/01/",YEAR(H91)+1))-DATEVALUE(CONCATENATE("01/01/",YEAR(H91))))*(H91-H90),2),0))</f>
        <v>#REF!</v>
      </c>
      <c r="X126" s="34">
        <f t="shared" si="80"/>
        <v>0</v>
      </c>
      <c r="Y126" s="57">
        <f t="shared" si="79"/>
        <v>64184</v>
      </c>
      <c r="AC126" s="16"/>
      <c r="AD126" s="16"/>
      <c r="AE126" s="16"/>
      <c r="AF126" s="16"/>
      <c r="AG126" s="16"/>
      <c r="AH126" s="16"/>
      <c r="AI126" s="16"/>
      <c r="AJ126" s="16"/>
      <c r="AK126" s="16"/>
      <c r="AL126" s="2" t="e">
        <f>IF(AND(Y83&gt;=$W$9,Y83&lt;=$W$9+5),0,IF($C$9&gt;$AF$51,ROUND(AI86*#REF!/(DATEVALUE(CONCATENATE("01/01/",YEAR(Z83)+1))-DATEVALUE(CONCATENATE("01/01/",YEAR(Z83))))*(Z83-Z82),2),0))</f>
        <v>#VALUE!</v>
      </c>
      <c r="AM126" s="34">
        <f t="shared" si="82"/>
        <v>0</v>
      </c>
      <c r="AN126" s="57">
        <f t="shared" si="81"/>
        <v>62724</v>
      </c>
      <c r="AO126" s="130"/>
      <c r="BL126" s="2" t="e">
        <f>IF(AND(G81&gt;=$W$9,G81&lt;=$W$9+5),0,IF($C$9&gt;$AF$51,ROUND(BG80*IF(#REF!="",0,#REF!)/(DATEVALUE(CONCATENATE("01/01/",YEAR(AQ81)+1))-DATEVALUE(CONCATENATE("01/01/",YEAR(AQ81))))*(AQ81-AQ80),2),0))</f>
        <v>#REF!</v>
      </c>
    </row>
    <row r="127" spans="23:64" x14ac:dyDescent="0.25">
      <c r="W127" s="2" t="e">
        <f>IF(AND(G92&gt;=$W$9,G92&lt;=$W$9+5),0,IF($C$9&gt;$AF$51,ROUND(S91*#REF!/(DATEVALUE(CONCATENATE("01/01/",YEAR(H92)+1))-DATEVALUE(CONCATENATE("01/01/",YEAR(H92))))*(H92-H91),2),0))</f>
        <v>#REF!</v>
      </c>
      <c r="X127" s="34">
        <f t="shared" si="80"/>
        <v>0</v>
      </c>
      <c r="Y127" s="57">
        <f t="shared" si="79"/>
        <v>64549</v>
      </c>
      <c r="AC127" s="16"/>
      <c r="AD127" s="16"/>
      <c r="AE127" s="16"/>
      <c r="AF127" s="16"/>
      <c r="AG127" s="16"/>
      <c r="AH127" s="16"/>
      <c r="AI127" s="16"/>
      <c r="AJ127" s="16"/>
      <c r="AK127" s="16"/>
      <c r="AL127" s="2" t="e">
        <f>IF(AND(Y84&gt;=$W$9,Y84&lt;=$W$9+5),0,IF($C$9&gt;$AF$51,ROUND(AI87*#REF!/(DATEVALUE(CONCATENATE("01/01/",YEAR(Z84)+1))-DATEVALUE(CONCATENATE("01/01/",YEAR(Z84))))*(Z84-Z83),2),0))</f>
        <v>#REF!</v>
      </c>
      <c r="AM127" s="34">
        <f t="shared" si="82"/>
        <v>0</v>
      </c>
      <c r="AN127" s="57">
        <f t="shared" si="81"/>
        <v>63089</v>
      </c>
      <c r="BL127" s="2" t="e">
        <f>IF(AND(G82&gt;=$W$9,G82&lt;=$W$9+5),0,IF($C$9&gt;$AF$51,ROUND(BG81*IF(#REF!="",0,#REF!)/(DATEVALUE(CONCATENATE("01/01/",YEAR(AQ82)+1))-DATEVALUE(CONCATENATE("01/01/",YEAR(AQ82))))*(AQ82-AQ81),2),0))</f>
        <v>#REF!</v>
      </c>
    </row>
    <row r="128" spans="23:64" x14ac:dyDescent="0.25">
      <c r="W128" s="2" t="e">
        <f>IF(AND(G93&gt;=$W$9,G93&lt;=$W$9+5),0,IF($C$9&gt;$AF$51,ROUND(S92*#REF!/(DATEVALUE(CONCATENATE("01/01/",YEAR(H93)+1))-DATEVALUE(CONCATENATE("01/01/",YEAR(H93))))*(H93-H92),2),0))</f>
        <v>#REF!</v>
      </c>
      <c r="X128" s="34">
        <f t="shared" si="80"/>
        <v>0</v>
      </c>
      <c r="Y128" s="57">
        <f t="shared" si="79"/>
        <v>64914</v>
      </c>
      <c r="AC128" s="16"/>
      <c r="AD128" s="16"/>
      <c r="AE128" s="16"/>
      <c r="AF128" s="16"/>
      <c r="AG128" s="16"/>
      <c r="AH128" s="16"/>
      <c r="AI128" s="16"/>
      <c r="AJ128" s="16"/>
      <c r="AK128" s="60"/>
      <c r="AL128" s="2" t="e">
        <f>IF(AND(Y85&gt;=$W$9,Y85&lt;=$W$9+5),0,IF($C$9&gt;$AF$51,ROUND(AI88*#REF!/(DATEVALUE(CONCATENATE("01/01/",YEAR(Z85)+1))-DATEVALUE(CONCATENATE("01/01/",YEAR(Z85))))*(Z85-Z84),2),0))</f>
        <v>#REF!</v>
      </c>
      <c r="AM128" s="34">
        <f t="shared" si="82"/>
        <v>0</v>
      </c>
      <c r="AN128" s="57">
        <f t="shared" si="81"/>
        <v>63454</v>
      </c>
      <c r="BL128" s="2" t="e">
        <f>IF(AND(G83&gt;=$W$9,G83&lt;=$W$9+5),0,IF($C$9&gt;$AF$51,ROUND(BG82*IF(#REF!="",0,#REF!)/(DATEVALUE(CONCATENATE("01/01/",YEAR(AQ83)+1))-DATEVALUE(CONCATENATE("01/01/",YEAR(AQ83))))*(AQ83-AQ82),2),0))</f>
        <v>#REF!</v>
      </c>
    </row>
    <row r="129" spans="23:64" x14ac:dyDescent="0.25">
      <c r="W129" s="2" t="e">
        <f>IF(AND(G94&gt;=$W$9,G94&lt;=$W$9+5),0,IF($C$9&gt;$AF$51,ROUND(S93*#REF!/(DATEVALUE(CONCATENATE("01/01/",YEAR(H94)+1))-DATEVALUE(CONCATENATE("01/01/",YEAR(H94))))*(H94-H93),2),0))</f>
        <v>#REF!</v>
      </c>
      <c r="X129" s="34">
        <f t="shared" si="80"/>
        <v>0</v>
      </c>
      <c r="Y129" s="57">
        <f t="shared" si="79"/>
        <v>65279</v>
      </c>
      <c r="AC129" s="16"/>
      <c r="AD129" s="16"/>
      <c r="AE129" s="33"/>
      <c r="AF129" s="33"/>
      <c r="AG129" s="33"/>
      <c r="AH129" s="33"/>
      <c r="AI129" s="16"/>
      <c r="AL129" s="2" t="e">
        <f>IF(AND(Y86&gt;=$W$9,Y86&lt;=$W$9+5),0,IF($C$9&gt;$AF$51,ROUND(AI89*#REF!/(DATEVALUE(CONCATENATE("01/01/",YEAR(Z86)+1))-DATEVALUE(CONCATENATE("01/01/",YEAR(Z86))))*(Z86-Z85),2),0))</f>
        <v>#REF!</v>
      </c>
      <c r="AM129" s="34">
        <f t="shared" si="82"/>
        <v>0</v>
      </c>
      <c r="AN129" s="57">
        <f t="shared" si="81"/>
        <v>63819</v>
      </c>
      <c r="BL129" s="2" t="e">
        <f>IF(AND(G84&gt;=$W$9,G84&lt;=$W$9+5),0,IF($C$9&gt;$AF$51,ROUND(BG83*IF(#REF!="",0,#REF!)/(DATEVALUE(CONCATENATE("01/01/",YEAR(AQ84)+1))-DATEVALUE(CONCATENATE("01/01/",YEAR(AQ84))))*(AQ84-AQ83),2),0))</f>
        <v>#REF!</v>
      </c>
    </row>
    <row r="130" spans="23:64" x14ac:dyDescent="0.25">
      <c r="W130" s="2" t="e">
        <f>IF(AND(G95&gt;=$W$9,G95&lt;=$W$9+5),0,IF($C$9&gt;$AF$51,ROUND(S94*#REF!/(DATEVALUE(CONCATENATE("01/01/",YEAR(H95)+1))-DATEVALUE(CONCATENATE("01/01/",YEAR(H95))))*(H95-H94),2),0))</f>
        <v>#REF!</v>
      </c>
      <c r="X130" s="34">
        <f t="shared" si="80"/>
        <v>0</v>
      </c>
      <c r="Y130" s="57">
        <f t="shared" si="79"/>
        <v>65644</v>
      </c>
      <c r="AL130" s="2" t="e">
        <f>IF(AND(Y87&gt;=$W$9,Y87&lt;=$W$9+5),0,IF($C$9&gt;$AF$51,ROUND(AI90*#REF!/(DATEVALUE(CONCATENATE("01/01/",YEAR(Z87)+1))-DATEVALUE(CONCATENATE("01/01/",YEAR(Z87))))*(Z87-Z86),2),0))</f>
        <v>#REF!</v>
      </c>
      <c r="AM130" s="34">
        <f t="shared" si="82"/>
        <v>0</v>
      </c>
      <c r="AN130" s="57">
        <f t="shared" si="81"/>
        <v>64184</v>
      </c>
      <c r="BL130" s="2" t="e">
        <f>IF(AND(G85&gt;=$W$9,G85&lt;=$W$9+5),0,IF($C$9&gt;$AF$51,ROUND(BG84*IF(#REF!="",0,#REF!)/(DATEVALUE(CONCATENATE("01/01/",YEAR(AQ85)+1))-DATEVALUE(CONCATENATE("01/01/",YEAR(AQ85))))*(AQ85-AQ84),2),0))</f>
        <v>#REF!</v>
      </c>
    </row>
    <row r="131" spans="23:64" x14ac:dyDescent="0.25">
      <c r="W131" s="2" t="e">
        <f>IF(AND(G96&gt;=$W$9,G96&lt;=$W$9+5),0,IF($C$9&gt;$AF$51,ROUND(S95*#REF!/(DATEVALUE(CONCATENATE("01/01/",YEAR(H96)+1))-DATEVALUE(CONCATENATE("01/01/",YEAR(H96))))*(H96-H95),2),0))</f>
        <v>#REF!</v>
      </c>
      <c r="X131" s="34">
        <f t="shared" si="80"/>
        <v>0</v>
      </c>
      <c r="Y131" s="57">
        <f t="shared" si="79"/>
        <v>66009</v>
      </c>
      <c r="AL131" s="2" t="e">
        <f>IF(AND(Y88&gt;=$W$9,Y88&lt;=$W$9+5),0,IF($C$9&gt;$AF$51,ROUND(AI91*#REF!/(DATEVALUE(CONCATENATE("01/01/",YEAR(Z88)+1))-DATEVALUE(CONCATENATE("01/01/",YEAR(Z88))))*(Z88-Z87),2),0))</f>
        <v>#REF!</v>
      </c>
      <c r="AM131" s="34">
        <f t="shared" si="82"/>
        <v>0</v>
      </c>
      <c r="AN131" s="57">
        <f t="shared" si="81"/>
        <v>64549</v>
      </c>
      <c r="BL131" s="2" t="e">
        <f>IF(AND(G86&gt;=$W$9,G86&lt;=$W$9+5),0,IF($C$9&gt;$AF$51,ROUND(BG85*IF(#REF!="",0,#REF!)/(DATEVALUE(CONCATENATE("01/01/",YEAR(AQ86)+1))-DATEVALUE(CONCATENATE("01/01/",YEAR(AQ86))))*(AQ86-AQ85),2),0))</f>
        <v>#REF!</v>
      </c>
    </row>
    <row r="132" spans="23:64" x14ac:dyDescent="0.25">
      <c r="W132" s="2" t="e">
        <f>IF(AND(G97&gt;=$W$9,G97&lt;=$W$9+5),0,IF($C$9&gt;$AF$51,ROUND(S96*#REF!/(DATEVALUE(CONCATENATE("01/01/",YEAR(H97)+1))-DATEVALUE(CONCATENATE("01/01/",YEAR(H97))))*(H97-H96),2),0))</f>
        <v>#REF!</v>
      </c>
      <c r="X132" s="34">
        <f t="shared" si="80"/>
        <v>0</v>
      </c>
      <c r="Y132" s="57">
        <f t="shared" si="79"/>
        <v>66374</v>
      </c>
      <c r="AL132" s="2" t="e">
        <f>IF(AND(Y89&gt;=$W$9,Y89&lt;=$W$9+5),0,IF($C$9&gt;$AF$51,ROUND(AI92*#REF!/(DATEVALUE(CONCATENATE("01/01/",YEAR(Z89)+1))-DATEVALUE(CONCATENATE("01/01/",YEAR(Z89))))*(Z89-Z88),2),0))</f>
        <v>#REF!</v>
      </c>
      <c r="AM132" s="34">
        <f t="shared" si="82"/>
        <v>0</v>
      </c>
      <c r="AN132" s="57">
        <f t="shared" si="81"/>
        <v>64914</v>
      </c>
      <c r="BL132" s="2" t="e">
        <f>IF(AND(G87&gt;=$W$9,G87&lt;=$W$9+5),0,IF($C$9&gt;$AF$51,ROUND(BG86*IF(#REF!="",0,#REF!)/(DATEVALUE(CONCATENATE("01/01/",YEAR(AQ87)+1))-DATEVALUE(CONCATENATE("01/01/",YEAR(AQ87))))*(AQ87-AQ86),2),0))</f>
        <v>#REF!</v>
      </c>
    </row>
    <row r="133" spans="23:64" x14ac:dyDescent="0.25">
      <c r="W133" s="2" t="e">
        <f>IF(AND(G98&gt;=$W$9,G98&lt;=$W$9+5),0,IF($C$9&gt;$AF$51,ROUND(S97*#REF!/(DATEVALUE(CONCATENATE("01/01/",YEAR(H98)+1))-DATEVALUE(CONCATENATE("01/01/",YEAR(H98))))*(H98-H97),2),0))</f>
        <v>#REF!</v>
      </c>
      <c r="X133" s="34">
        <f t="shared" si="80"/>
        <v>0</v>
      </c>
      <c r="Y133" s="57">
        <f t="shared" si="79"/>
        <v>66739</v>
      </c>
      <c r="AL133" s="2" t="e">
        <f>IF(AND(Y90&gt;=$W$9,Y90&lt;=$W$9+5),0,IF($C$9&gt;$AF$51,ROUND(AI93*#REF!/(DATEVALUE(CONCATENATE("01/01/",YEAR(Z90)+1))-DATEVALUE(CONCATENATE("01/01/",YEAR(Z90))))*(Z90-Z89),2),0))</f>
        <v>#REF!</v>
      </c>
      <c r="AM133" s="34">
        <f t="shared" si="82"/>
        <v>0</v>
      </c>
      <c r="AN133" s="57">
        <f t="shared" si="81"/>
        <v>65279</v>
      </c>
      <c r="BL133" s="2" t="e">
        <f>IF(AND(G88&gt;=$W$9,G88&lt;=$W$9+5),0,IF($C$9&gt;$AF$51,ROUND(BG87*IF(#REF!="",0,#REF!)/(DATEVALUE(CONCATENATE("01/01/",YEAR(AQ88)+1))-DATEVALUE(CONCATENATE("01/01/",YEAR(AQ88))))*(AQ88-AQ87),2),0))</f>
        <v>#REF!</v>
      </c>
    </row>
    <row r="134" spans="23:64" x14ac:dyDescent="0.25">
      <c r="W134" s="2" t="e">
        <f>IF(AND(G99&gt;=$W$9,G99&lt;=$W$9+5),0,IF($C$9&gt;$AF$51,ROUND(S98*#REF!/(DATEVALUE(CONCATENATE("01/01/",YEAR(H99)+1))-DATEVALUE(CONCATENATE("01/01/",YEAR(H99))))*(H99-H98),2),0))</f>
        <v>#REF!</v>
      </c>
      <c r="X134" s="34">
        <f t="shared" si="80"/>
        <v>0</v>
      </c>
      <c r="Y134" s="57">
        <f t="shared" si="79"/>
        <v>67104</v>
      </c>
      <c r="AL134" s="2" t="e">
        <f>IF(AND(Y91&gt;=$W$9,Y91&lt;=$W$9+5),0,IF($C$9&gt;$AF$51,ROUND(AI94*#REF!/(DATEVALUE(CONCATENATE("01/01/",YEAR(Z91)+1))-DATEVALUE(CONCATENATE("01/01/",YEAR(Z91))))*(Z91-Z90),2),0))</f>
        <v>#REF!</v>
      </c>
      <c r="AM134" s="34">
        <f t="shared" si="82"/>
        <v>0</v>
      </c>
      <c r="AN134" s="57">
        <f t="shared" si="81"/>
        <v>65644</v>
      </c>
      <c r="BL134" s="2" t="e">
        <f>IF(AND(G89&gt;=$W$9,G89&lt;=$W$9+5),0,IF($C$9&gt;$AF$51,ROUND(BG88*IF(#REF!="",0,#REF!)/(DATEVALUE(CONCATENATE("01/01/",YEAR(AQ89)+1))-DATEVALUE(CONCATENATE("01/01/",YEAR(AQ89))))*(AQ89-AQ88),2),0))</f>
        <v>#REF!</v>
      </c>
    </row>
    <row r="135" spans="23:64" x14ac:dyDescent="0.25">
      <c r="W135" s="2" t="e">
        <f>IF(AND(G100&gt;=$W$9,G100&lt;=$W$9+5),0,IF($C$9&gt;$AF$51,ROUND(S99*#REF!/(DATEVALUE(CONCATENATE("01/01/",YEAR(H100)+1))-DATEVALUE(CONCATENATE("01/01/",YEAR(H100))))*(H100-H99),2),0))</f>
        <v>#REF!</v>
      </c>
      <c r="X135" s="34">
        <f t="shared" si="80"/>
        <v>0</v>
      </c>
      <c r="Y135" s="57">
        <f t="shared" si="79"/>
        <v>67469</v>
      </c>
      <c r="AL135" s="2" t="e">
        <f>IF(AND(Y92&gt;=$W$9,Y92&lt;=$W$9+5),0,IF($C$9&gt;$AF$51,ROUND(AI95*#REF!/(DATEVALUE(CONCATENATE("01/01/",YEAR(Z92)+1))-DATEVALUE(CONCATENATE("01/01/",YEAR(Z92))))*(Z92-Z91),2),0))</f>
        <v>#REF!</v>
      </c>
      <c r="AM135" s="34">
        <f t="shared" si="82"/>
        <v>0</v>
      </c>
      <c r="AN135" s="57">
        <f t="shared" si="81"/>
        <v>66009</v>
      </c>
      <c r="BL135" s="2" t="e">
        <f>IF(AND(G90&gt;=$W$9,G90&lt;=$W$9+5),0,IF($C$9&gt;$AF$51,ROUND(BG89*IF(#REF!="",0,#REF!)/(DATEVALUE(CONCATENATE("01/01/",YEAR(AQ90)+1))-DATEVALUE(CONCATENATE("01/01/",YEAR(AQ90))))*(AQ90-AQ89),2),0))</f>
        <v>#REF!</v>
      </c>
    </row>
    <row r="136" spans="23:64" x14ac:dyDescent="0.25">
      <c r="W136" s="2" t="e">
        <f>IF(AND(G101&gt;=$W$9,G101&lt;=$W$9+5),0,IF($C$9&gt;$AF$51,ROUND(S100*#REF!/(DATEVALUE(CONCATENATE("01/01/",YEAR(H101)+1))-DATEVALUE(CONCATENATE("01/01/",YEAR(H101))))*(H101-H100),2),0))</f>
        <v>#REF!</v>
      </c>
      <c r="X136" s="34">
        <f t="shared" si="80"/>
        <v>0</v>
      </c>
      <c r="Y136" s="57">
        <f t="shared" si="79"/>
        <v>67834</v>
      </c>
      <c r="AL136" s="2" t="e">
        <f>IF(AND(Y93&gt;=$W$9,Y93&lt;=$W$9+5),0,IF($C$9&gt;$AF$51,ROUND(AI96*#REF!/(DATEVALUE(CONCATENATE("01/01/",YEAR(Z93)+1))-DATEVALUE(CONCATENATE("01/01/",YEAR(Z93))))*(Z93-Z92),2),0))</f>
        <v>#REF!</v>
      </c>
      <c r="AM136" s="34">
        <f t="shared" si="82"/>
        <v>0</v>
      </c>
      <c r="AN136" s="57">
        <f t="shared" si="81"/>
        <v>66374</v>
      </c>
      <c r="BL136" s="2" t="e">
        <f>IF(AND(G91&gt;=$W$9,G91&lt;=$W$9+5),0,IF($C$9&gt;$AF$51,ROUND(BG90*IF(#REF!="",0,#REF!)/(DATEVALUE(CONCATENATE("01/01/",YEAR(AQ91)+1))-DATEVALUE(CONCATENATE("01/01/",YEAR(AQ91))))*(AQ91-AQ90),2),0))</f>
        <v>#REF!</v>
      </c>
    </row>
    <row r="137" spans="23:64" x14ac:dyDescent="0.25">
      <c r="W137" s="2" t="e">
        <f>IF(AND(G102&gt;=$W$9,G102&lt;=$W$9+5),0,IF($C$9&gt;$AF$51,ROUND(S101*#REF!/(DATEVALUE(CONCATENATE("01/01/",YEAR(H102)+1))-DATEVALUE(CONCATENATE("01/01/",YEAR(H102))))*(H102-H101),2),0))</f>
        <v>#REF!</v>
      </c>
      <c r="X137" s="34">
        <f t="shared" si="80"/>
        <v>0</v>
      </c>
      <c r="Y137" s="57">
        <f t="shared" si="79"/>
        <v>68199</v>
      </c>
      <c r="AL137" s="2" t="e">
        <f>IF(AND(Y94&gt;=$W$9,Y94&lt;=$W$9+5),0,IF($C$9&gt;$AF$51,ROUND(AI97*#REF!/(DATEVALUE(CONCATENATE("01/01/",YEAR(Z94)+1))-DATEVALUE(CONCATENATE("01/01/",YEAR(Z94))))*(Z94-Z93),2),0))</f>
        <v>#REF!</v>
      </c>
      <c r="AM137" s="34">
        <f t="shared" si="82"/>
        <v>0</v>
      </c>
      <c r="AN137" s="57">
        <f t="shared" si="81"/>
        <v>66739</v>
      </c>
      <c r="BL137" s="2" t="e">
        <f>IF(AND(G92&gt;=$W$9,G92&lt;=$W$9+5),0,IF($C$9&gt;$AF$51,ROUND(BG91*IF(#REF!="",0,#REF!)/(DATEVALUE(CONCATENATE("01/01/",YEAR(AQ92)+1))-DATEVALUE(CONCATENATE("01/01/",YEAR(AQ92))))*(AQ92-AQ91),2),0))</f>
        <v>#REF!</v>
      </c>
    </row>
    <row r="138" spans="23:64" x14ac:dyDescent="0.25">
      <c r="W138" s="2" t="e">
        <f>IF(AND(G103&gt;=$W$9,G103&lt;=$W$9+5),0,IF($C$9&gt;$AF$51,ROUND(S102*#REF!/(DATEVALUE(CONCATENATE("01/01/",YEAR(H103)+1))-DATEVALUE(CONCATENATE("01/01/",YEAR(H103))))*(H103-H102),2),0))</f>
        <v>#REF!</v>
      </c>
      <c r="X138" s="34">
        <f t="shared" si="80"/>
        <v>0</v>
      </c>
      <c r="Y138" s="57">
        <f t="shared" si="79"/>
        <v>68564</v>
      </c>
      <c r="AL138" s="2" t="e">
        <f>IF(AND(Y95&gt;=$W$9,Y95&lt;=$W$9+5),0,IF($C$9&gt;$AF$51,ROUND(AI98*#REF!/(DATEVALUE(CONCATENATE("01/01/",YEAR(Z95)+1))-DATEVALUE(CONCATENATE("01/01/",YEAR(Z95))))*(Z95-Z94),2),0))</f>
        <v>#REF!</v>
      </c>
      <c r="AM138" s="34">
        <f t="shared" si="82"/>
        <v>0</v>
      </c>
      <c r="AN138" s="57">
        <f t="shared" si="81"/>
        <v>67104</v>
      </c>
      <c r="BL138" s="2" t="e">
        <f>IF(AND(G93&gt;=$W$9,G93&lt;=$W$9+5),0,IF($C$9&gt;$AF$51,ROUND(BG92*IF(#REF!="",0,#REF!)/(DATEVALUE(CONCATENATE("01/01/",YEAR(AQ93)+1))-DATEVALUE(CONCATENATE("01/01/",YEAR(AQ93))))*(AQ93-AQ92),2),0))</f>
        <v>#REF!</v>
      </c>
    </row>
    <row r="139" spans="23:64" x14ac:dyDescent="0.25">
      <c r="W139" s="2" t="e">
        <f>IF(AND(G104&gt;=$W$9,G104&lt;=$W$9+5),0,IF($C$9&gt;$AF$51,ROUND(S103*#REF!/(DATEVALUE(CONCATENATE("01/01/",YEAR(H104)+1))-DATEVALUE(CONCATENATE("01/01/",YEAR(H104))))*(H104-H103),2),0))</f>
        <v>#REF!</v>
      </c>
      <c r="X139" s="34">
        <f t="shared" si="80"/>
        <v>0</v>
      </c>
      <c r="Y139" s="57">
        <f t="shared" si="79"/>
        <v>68929</v>
      </c>
      <c r="AL139" s="2" t="e">
        <f>IF(AND(Y96&gt;=$W$9,Y96&lt;=$W$9+5),0,IF($C$9&gt;$AF$51,ROUND(AI99*#REF!/(DATEVALUE(CONCATENATE("01/01/",YEAR(Z96)+1))-DATEVALUE(CONCATENATE("01/01/",YEAR(Z96))))*(Z96-Z95),2),0))</f>
        <v>#REF!</v>
      </c>
      <c r="AM139" s="34">
        <f t="shared" si="82"/>
        <v>0</v>
      </c>
      <c r="AN139" s="57">
        <f t="shared" si="81"/>
        <v>67469</v>
      </c>
      <c r="BL139" s="2" t="e">
        <f>IF(AND(G94&gt;=$W$9,G94&lt;=$W$9+5),0,IF($C$9&gt;$AF$51,ROUND(BG93*IF(#REF!="",0,#REF!)/(DATEVALUE(CONCATENATE("01/01/",YEAR(AQ94)+1))-DATEVALUE(CONCATENATE("01/01/",YEAR(AQ94))))*(AQ94-AQ93),2),0))</f>
        <v>#REF!</v>
      </c>
    </row>
    <row r="140" spans="23:64" x14ac:dyDescent="0.25">
      <c r="W140" s="2" t="e">
        <f>IF(AND(G105&gt;=$W$9,G105&lt;=$W$9+5),0,IF($C$9&gt;$AF$51,ROUND(S104*#REF!/(DATEVALUE(CONCATENATE("01/01/",YEAR(H105)+1))-DATEVALUE(CONCATENATE("01/01/",YEAR(H105))))*(H105-H104),2),0))</f>
        <v>#REF!</v>
      </c>
      <c r="X140" s="34">
        <f t="shared" si="80"/>
        <v>0</v>
      </c>
      <c r="Y140" s="57">
        <f t="shared" si="79"/>
        <v>69294</v>
      </c>
      <c r="AL140" s="2" t="e">
        <f>IF(AND(Y97&gt;=$W$9,Y97&lt;=$W$9+5),0,IF($C$9&gt;$AF$51,ROUND(AI100*#REF!/(DATEVALUE(CONCATENATE("01/01/",YEAR(Z97)+1))-DATEVALUE(CONCATENATE("01/01/",YEAR(Z97))))*(Z97-Z96),2),0))</f>
        <v>#REF!</v>
      </c>
      <c r="AM140" s="34">
        <f t="shared" si="82"/>
        <v>0</v>
      </c>
      <c r="AN140" s="57">
        <f t="shared" si="81"/>
        <v>67834</v>
      </c>
      <c r="BL140" s="2" t="e">
        <f>IF(AND(G95&gt;=$W$9,G95&lt;=$W$9+5),0,IF($C$9&gt;$AF$51,ROUND(BG94*IF(#REF!="",0,#REF!)/(DATEVALUE(CONCATENATE("01/01/",YEAR(AQ95)+1))-DATEVALUE(CONCATENATE("01/01/",YEAR(AQ95))))*(AQ95-AQ94),2),0))</f>
        <v>#REF!</v>
      </c>
    </row>
    <row r="141" spans="23:64" x14ac:dyDescent="0.25">
      <c r="W141" s="2" t="e">
        <f>IF(AND(G106&gt;=$W$9,G106&lt;=$W$9+5),0,IF($C$9&gt;$AF$51,ROUND(S105*#REF!/(DATEVALUE(CONCATENATE("01/01/",YEAR(H106)+1))-DATEVALUE(CONCATENATE("01/01/",YEAR(H106))))*(H106-H105),2),0))</f>
        <v>#REF!</v>
      </c>
      <c r="X141" s="34">
        <f t="shared" si="80"/>
        <v>0</v>
      </c>
      <c r="Y141" s="57">
        <f t="shared" si="79"/>
        <v>69659</v>
      </c>
      <c r="AL141" s="2" t="e">
        <f>IF(AND(Y98&gt;=$W$9,Y98&lt;=$W$9+5),0,IF($C$9&gt;$AF$51,ROUND(AI101*#REF!/(DATEVALUE(CONCATENATE("01/01/",YEAR(Z98)+1))-DATEVALUE(CONCATENATE("01/01/",YEAR(Z98))))*(Z98-Z97),2),0))</f>
        <v>#REF!</v>
      </c>
      <c r="AM141" s="34">
        <f t="shared" si="82"/>
        <v>0</v>
      </c>
      <c r="AN141" s="57">
        <f t="shared" si="81"/>
        <v>68199</v>
      </c>
      <c r="BL141" s="2" t="e">
        <f>IF(AND(G96&gt;=$W$9,G96&lt;=$W$9+5),0,IF($C$9&gt;$AF$51,ROUND(BG95*IF(#REF!="",0,#REF!)/(DATEVALUE(CONCATENATE("01/01/",YEAR(AQ96)+1))-DATEVALUE(CONCATENATE("01/01/",YEAR(AQ96))))*(AQ96-AQ95),2),0))</f>
        <v>#REF!</v>
      </c>
    </row>
    <row r="142" spans="23:64" x14ac:dyDescent="0.25">
      <c r="W142" s="2" t="e">
        <f>IF(AND(G107&gt;=$W$9,G107&lt;=$W$9+5),0,IF($C$9&gt;$AF$51,ROUND(S106*#REF!/(DATEVALUE(CONCATENATE("01/01/",YEAR(H107)+1))-DATEVALUE(CONCATENATE("01/01/",YEAR(H107))))*(H107-H106),2),0))</f>
        <v>#REF!</v>
      </c>
      <c r="X142" s="34">
        <f t="shared" si="80"/>
        <v>0</v>
      </c>
      <c r="Y142" s="57">
        <f t="shared" si="79"/>
        <v>70024</v>
      </c>
      <c r="AL142" s="2" t="e">
        <f>IF(AND(Y99&gt;=$W$9,Y99&lt;=$W$9+5),0,IF($C$9&gt;$AF$51,ROUND(AI102*#REF!/(DATEVALUE(CONCATENATE("01/01/",YEAR(Z99)+1))-DATEVALUE(CONCATENATE("01/01/",YEAR(Z99))))*(Z99-Z98),2),0))</f>
        <v>#REF!</v>
      </c>
      <c r="AM142" s="34">
        <f t="shared" si="82"/>
        <v>0</v>
      </c>
      <c r="AN142" s="57">
        <f t="shared" si="81"/>
        <v>68564</v>
      </c>
      <c r="BL142" s="2" t="e">
        <f>IF(AND(G97&gt;=$W$9,G97&lt;=$W$9+5),0,IF($C$9&gt;$AF$51,ROUND(BG96*IF(#REF!="",0,#REF!)/(DATEVALUE(CONCATENATE("01/01/",YEAR(AQ97)+1))-DATEVALUE(CONCATENATE("01/01/",YEAR(AQ97))))*(AQ97-AQ96),2),0))</f>
        <v>#REF!</v>
      </c>
    </row>
    <row r="143" spans="23:64" x14ac:dyDescent="0.25">
      <c r="W143" s="2" t="e">
        <f>IF(AND(G108&gt;=$W$9,G108&lt;=$W$9+5),0,IF($C$9&gt;$AF$51,ROUND(S107*#REF!/(DATEVALUE(CONCATENATE("01/01/",YEAR(H108)+1))-DATEVALUE(CONCATENATE("01/01/",YEAR(H108))))*(H108-H107),2),0))</f>
        <v>#REF!</v>
      </c>
      <c r="X143" s="34">
        <f>IF(K108 &gt; 0, $K$9, 0)</f>
        <v>0</v>
      </c>
      <c r="Y143" s="57">
        <f t="shared" si="79"/>
        <v>70389</v>
      </c>
      <c r="AL143" s="2" t="e">
        <f>IF(AND(Y100&gt;=$W$9,Y100&lt;=$W$9+5),0,IF($C$9&gt;$AF$51,ROUND(AI103*#REF!/(DATEVALUE(CONCATENATE("01/01/",YEAR(Z100)+1))-DATEVALUE(CONCATENATE("01/01/",YEAR(Z100))))*(Z100-Z99),2),0))</f>
        <v>#REF!</v>
      </c>
      <c r="AM143" s="34">
        <f t="shared" si="82"/>
        <v>0</v>
      </c>
      <c r="AN143" s="57">
        <f t="shared" si="81"/>
        <v>68929</v>
      </c>
      <c r="BL143" s="2" t="e">
        <f>IF(AND(G98&gt;=$W$9,G98&lt;=$W$9+5),0,IF($C$9&gt;$AF$51,ROUND(BG97*IF(#REF!="",0,#REF!)/(DATEVALUE(CONCATENATE("01/01/",YEAR(AQ98)+1))-DATEVALUE(CONCATENATE("01/01/",YEAR(AQ98))))*(AQ98-AQ97),2),0))</f>
        <v>#REF!</v>
      </c>
    </row>
    <row r="144" spans="23:64" x14ac:dyDescent="0.25">
      <c r="W144" s="35" t="e">
        <f>SUM(W44:W143)</f>
        <v>#REF!</v>
      </c>
      <c r="X144" s="35">
        <f>SUM(X44:X143)</f>
        <v>1353720</v>
      </c>
      <c r="Y144" s="154">
        <f>XIRR(X42:X143,Y42:Y143)*12</f>
        <v>4.9006140232086187E-2</v>
      </c>
      <c r="AL144" s="2" t="e">
        <f>IF(AND(Y101&gt;=$W$9,Y101&lt;=$W$9+5),0,IF($C$9&gt;$AF$51,ROUND(AI104*#REF!/(DATEVALUE(CONCATENATE("01/01/",YEAR(Z101)+1))-DATEVALUE(CONCATENATE("01/01/",YEAR(Z101))))*(Z101-Z100),2),0))</f>
        <v>#REF!</v>
      </c>
      <c r="AM144" s="34">
        <f t="shared" si="82"/>
        <v>0</v>
      </c>
      <c r="AN144" s="57">
        <f t="shared" si="81"/>
        <v>69294</v>
      </c>
      <c r="BL144" s="2" t="e">
        <f>IF(AND(G99&gt;=$W$9,G99&lt;=$W$9+5),0,IF($C$9&gt;$AF$51,ROUND(BG98*IF(#REF!="",0,#REF!)/(DATEVALUE(CONCATENATE("01/01/",YEAR(AQ99)+1))-DATEVALUE(CONCATENATE("01/01/",YEAR(AQ99))))*(AQ99-AQ98),2),0))</f>
        <v>#REF!</v>
      </c>
    </row>
    <row r="145" spans="24:64" x14ac:dyDescent="0.25">
      <c r="X145" s="34"/>
      <c r="Y145" s="57"/>
      <c r="AL145" s="2" t="e">
        <f>IF(AND(Y102&gt;=$W$9,Y102&lt;=$W$9+5),0,IF($C$9&gt;$AF$51,ROUND(AI105*#REF!/(DATEVALUE(CONCATENATE("01/01/",YEAR(Z102)+1))-DATEVALUE(CONCATENATE("01/01/",YEAR(Z102))))*(Z102-Z101),2),0))</f>
        <v>#REF!</v>
      </c>
      <c r="AM145" s="34">
        <f t="shared" si="82"/>
        <v>0</v>
      </c>
      <c r="AN145" s="57">
        <f t="shared" si="81"/>
        <v>69659</v>
      </c>
      <c r="BL145" s="2" t="e">
        <f>IF(AND(G100&gt;=$W$9,G100&lt;=$W$9+5),0,IF($C$9&gt;$AF$51,ROUND(BG99*IF(#REF!="",0,#REF!)/(DATEVALUE(CONCATENATE("01/01/",YEAR(AQ100)+1))-DATEVALUE(CONCATENATE("01/01/",YEAR(AQ100))))*(AQ100-AQ99),2),0))</f>
        <v>#REF!</v>
      </c>
    </row>
    <row r="146" spans="24:64" x14ac:dyDescent="0.25">
      <c r="X146" s="34"/>
      <c r="Y146" s="57"/>
      <c r="AL146" s="2" t="e">
        <f>IF(AND(Y103&gt;=$W$9,Y103&lt;=$W$9+5),0,IF($C$9&gt;$AF$51,ROUND(AI106*#REF!/(DATEVALUE(CONCATENATE("01/01/",YEAR(Z103)+1))-DATEVALUE(CONCATENATE("01/01/",YEAR(Z103))))*(Z103-Z102),2),0))</f>
        <v>#REF!</v>
      </c>
      <c r="AM146" s="34">
        <f t="shared" si="82"/>
        <v>0</v>
      </c>
      <c r="AN146" s="57">
        <f t="shared" si="81"/>
        <v>70024</v>
      </c>
      <c r="BL146" s="2" t="e">
        <f>IF(AND(G101&gt;=$W$9,G101&lt;=$W$9+5),0,IF($C$9&gt;$AF$51,ROUND(BG100*IF(#REF!="",0,#REF!)/(DATEVALUE(CONCATENATE("01/01/",YEAR(AQ101)+1))-DATEVALUE(CONCATENATE("01/01/",YEAR(AQ101))))*(AQ101-AQ100),2),0))</f>
        <v>#REF!</v>
      </c>
    </row>
    <row r="147" spans="24:64" x14ac:dyDescent="0.25">
      <c r="X147" s="34"/>
      <c r="Y147" s="57"/>
      <c r="AL147" s="2" t="e">
        <f>IF(AND(Y104&gt;=$W$9,Y104&lt;=$W$9+5),0,IF($C$9&gt;$AF$51,ROUND(AI107*#REF!/(DATEVALUE(CONCATENATE("01/01/",YEAR(Z104)+1))-DATEVALUE(CONCATENATE("01/01/",YEAR(Z104))))*(Z104-Z103),2),0))</f>
        <v>#REF!</v>
      </c>
      <c r="AM147" s="34">
        <f t="shared" si="82"/>
        <v>0</v>
      </c>
      <c r="AN147" s="57">
        <f t="shared" si="81"/>
        <v>70389</v>
      </c>
      <c r="BL147" s="2" t="e">
        <f>IF(AND(G102&gt;=$W$9,G102&lt;=$W$9+5),0,IF($C$9&gt;$AF$51,ROUND(BG101*IF(#REF!="",0,#REF!)/(DATEVALUE(CONCATENATE("01/01/",YEAR(AQ102)+1))-DATEVALUE(CONCATENATE("01/01/",YEAR(AQ102))))*(AQ102-AQ101),2),0))</f>
        <v>#REF!</v>
      </c>
    </row>
    <row r="148" spans="24:64" x14ac:dyDescent="0.25">
      <c r="X148" s="34"/>
      <c r="Y148" s="57"/>
      <c r="AL148" s="35" t="e">
        <f>SUM(AL48:AL147)</f>
        <v>#REF!</v>
      </c>
      <c r="AM148" s="35">
        <f>SUM(AM48:AM147)</f>
        <v>1393020</v>
      </c>
      <c r="AN148" s="154">
        <f>XIRR(AM46:AM147,AN46:AN147)*12</f>
        <v>0.13901084661483765</v>
      </c>
      <c r="BL148" s="2" t="e">
        <f>IF(AND(G103&gt;=$W$9,G103&lt;=$W$9+5),0,IF($C$9&gt;$AF$51,ROUND(BG102*IF(#REF!="",0,#REF!)/(DATEVALUE(CONCATENATE("01/01/",YEAR(AQ103)+1))-DATEVALUE(CONCATENATE("01/01/",YEAR(AQ103))))*(AQ103-AQ102),2),0))</f>
        <v>#REF!</v>
      </c>
    </row>
    <row r="149" spans="24:64" x14ac:dyDescent="0.25">
      <c r="BL149" s="2" t="e">
        <f>IF(AND(G104&gt;=$W$9,G104&lt;=$W$9+5),0,IF($C$9&gt;$AF$51,ROUND(BG103*IF(#REF!="",0,#REF!)/(DATEVALUE(CONCATENATE("01/01/",YEAR(AQ104)+1))-DATEVALUE(CONCATENATE("01/01/",YEAR(AQ104))))*(AQ104-AQ103),2),0))</f>
        <v>#REF!</v>
      </c>
    </row>
    <row r="150" spans="24:64" x14ac:dyDescent="0.25">
      <c r="BL150" s="2" t="e">
        <f>IF(AND(G105&gt;=$W$9,G105&lt;=$W$9+5),0,IF($C$9&gt;$AF$51,ROUND(BG104*IF(#REF!="",0,#REF!)/(DATEVALUE(CONCATENATE("01/01/",YEAR(AQ105)+1))-DATEVALUE(CONCATENATE("01/01/",YEAR(AQ105))))*(AQ105-AQ104),2),0))</f>
        <v>#REF!</v>
      </c>
    </row>
    <row r="151" spans="24:64" x14ac:dyDescent="0.25">
      <c r="BL151" s="2" t="e">
        <f>IF(AND(G106&gt;=$W$9,G106&lt;=$W$9+5),0,IF($C$9&gt;$AF$51,ROUND(BG105*IF(#REF!="",0,#REF!)/(DATEVALUE(CONCATENATE("01/01/",YEAR(AQ106)+1))-DATEVALUE(CONCATENATE("01/01/",YEAR(AQ106))))*(AQ106-AQ105),2),0))</f>
        <v>#REF!</v>
      </c>
    </row>
    <row r="152" spans="24:64" x14ac:dyDescent="0.25">
      <c r="BL152" s="2" t="e">
        <f>IF(AND(G107&gt;=$W$9,G107&lt;=$W$9+5),0,IF($C$9&gt;$AF$51,ROUND(BG106*IF(#REF!="",0,#REF!)/(DATEVALUE(CONCATENATE("01/01/",YEAR(AQ107)+1))-DATEVALUE(CONCATENATE("01/01/",YEAR(AQ107))))*(AQ107-AQ106),2),0))</f>
        <v>#REF!</v>
      </c>
    </row>
    <row r="153" spans="24:64" x14ac:dyDescent="0.25">
      <c r="BL153" s="2" t="e">
        <f>IF(AND(G108&gt;=$W$9,G108&lt;=$W$9+5),0,IF($C$9&gt;$AF$51,ROUND(BG107*IF(#REF!="",0,#REF!)/(DATEVALUE(CONCATENATE("01/01/",YEAR(AQ108)+1))-DATEVALUE(CONCATENATE("01/01/",YEAR(AQ108))))*(AQ108-AQ107),2),0))</f>
        <v>#REF!</v>
      </c>
    </row>
    <row r="154" spans="24:64" x14ac:dyDescent="0.25">
      <c r="BL154" s="35" t="e">
        <f>SUM(BL54:BL153)</f>
        <v>#REF!</v>
      </c>
    </row>
  </sheetData>
  <sheetProtection sheet="1" selectLockedCells="1"/>
  <dataConsolidate/>
  <mergeCells count="59">
    <mergeCell ref="BN3:BT3"/>
    <mergeCell ref="A5:E5"/>
    <mergeCell ref="J6:J7"/>
    <mergeCell ref="A1:E2"/>
    <mergeCell ref="A3:E3"/>
    <mergeCell ref="G3:U4"/>
    <mergeCell ref="AP3:BH4"/>
    <mergeCell ref="A6:B6"/>
    <mergeCell ref="C6:D6"/>
    <mergeCell ref="G6:G7"/>
    <mergeCell ref="H6:H7"/>
    <mergeCell ref="I6:I7"/>
    <mergeCell ref="AT6:AT7"/>
    <mergeCell ref="AU6:AU7"/>
    <mergeCell ref="AV6:AV7"/>
    <mergeCell ref="K6:K7"/>
    <mergeCell ref="AR6:AR7"/>
    <mergeCell ref="L6:L7"/>
    <mergeCell ref="M6:M7"/>
    <mergeCell ref="Q6:Q7"/>
    <mergeCell ref="S6:S7"/>
    <mergeCell ref="T6:T7"/>
    <mergeCell ref="A13:B13"/>
    <mergeCell ref="BN10:BN11"/>
    <mergeCell ref="BO10:BO11"/>
    <mergeCell ref="A11:B11"/>
    <mergeCell ref="BG6:BG7"/>
    <mergeCell ref="BN6:BT6"/>
    <mergeCell ref="A7:B7"/>
    <mergeCell ref="C7:D7"/>
    <mergeCell ref="BN7:BN8"/>
    <mergeCell ref="BO7:BO8"/>
    <mergeCell ref="BR7:BR8"/>
    <mergeCell ref="BS7:BS8"/>
    <mergeCell ref="BT7:BT8"/>
    <mergeCell ref="A8:B8"/>
    <mergeCell ref="AP6:AP7"/>
    <mergeCell ref="AQ6:AQ7"/>
    <mergeCell ref="A9:B9"/>
    <mergeCell ref="C9:D9"/>
    <mergeCell ref="A10:B10"/>
    <mergeCell ref="C10:D10"/>
    <mergeCell ref="A12:B12"/>
    <mergeCell ref="BN13:BN14"/>
    <mergeCell ref="BO13:BO14"/>
    <mergeCell ref="A14:A15"/>
    <mergeCell ref="AC85:AI85"/>
    <mergeCell ref="A17:C17"/>
    <mergeCell ref="A18:B18"/>
    <mergeCell ref="A19:B19"/>
    <mergeCell ref="A20:B20"/>
    <mergeCell ref="A21:B21"/>
    <mergeCell ref="A22:B22"/>
    <mergeCell ref="A23:E23"/>
    <mergeCell ref="A24:A25"/>
    <mergeCell ref="A26:B26"/>
    <mergeCell ref="A27:B27"/>
    <mergeCell ref="BN33:BN35"/>
    <mergeCell ref="A16:E16"/>
  </mergeCells>
  <dataValidations count="6">
    <dataValidation type="list" allowBlank="1" showInputMessage="1" showErrorMessage="1" sqref="E13" xr:uid="{00000000-0002-0000-0800-000000000000}">
      <formula1>$F$12:$F$13</formula1>
    </dataValidation>
    <dataValidation type="list" allowBlank="1" showInputMessage="1" showErrorMessage="1" sqref="C11" xr:uid="{00000000-0002-0000-0800-000001000000}">
      <formula1>$AB$5:$AB$9</formula1>
    </dataValidation>
    <dataValidation type="list" allowBlank="1" showInputMessage="1" showErrorMessage="1" sqref="C14" xr:uid="{00000000-0002-0000-0800-000002000000}">
      <formula1>$Y$28:$Z$28</formula1>
    </dataValidation>
    <dataValidation type="list" allowBlank="1" showInputMessage="1" showErrorMessage="1" sqref="C12" xr:uid="{00000000-0002-0000-0800-000003000000}">
      <formula1>$W$3:$AA$3</formula1>
    </dataValidation>
    <dataValidation type="list" allowBlank="1" showInputMessage="1" showErrorMessage="1" sqref="C10:D10" xr:uid="{00000000-0002-0000-0800-000004000000}">
      <formula1>$G$44:$G$92</formula1>
    </dataValidation>
    <dataValidation type="list" allowBlank="1" showInputMessage="1" showErrorMessage="1" sqref="C8" xr:uid="{00000000-0002-0000-0800-000005000000}">
      <formula1>$W$29:$W$34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1" fitToWidth="2" orientation="portrait" r:id="rId1"/>
  <colBreaks count="1" manualBreakCount="1">
    <brk id="5" max="10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13</vt:i4>
      </vt:variant>
    </vt:vector>
  </HeadingPairs>
  <TitlesOfParts>
    <vt:vector size="37" baseType="lpstr">
      <vt:lpstr>Рефинансирование</vt:lpstr>
      <vt:lpstr>КЭШ, Реф</vt:lpstr>
      <vt:lpstr>Оптимистичный</vt:lpstr>
      <vt:lpstr>КЭШ, Реф (БВ_ОПТИ_Льготный)</vt:lpstr>
      <vt:lpstr>КЭШ, Реф (БВ_ОПТИ_Базовый)</vt:lpstr>
      <vt:lpstr>Автомобильный (с залогом ТС)</vt:lpstr>
      <vt:lpstr>КЭШ, Реф (БВ_АВТО_Базовый)</vt:lpstr>
      <vt:lpstr>Суперсмарт</vt:lpstr>
      <vt:lpstr>Практичный</vt:lpstr>
      <vt:lpstr>КЭШ, Реф (БВ_АВТО_Льготный)</vt:lpstr>
      <vt:lpstr>Стабильный + Промо</vt:lpstr>
      <vt:lpstr>Снижаем ставку</vt:lpstr>
      <vt:lpstr>Для снижаем ставку</vt:lpstr>
      <vt:lpstr>Прайм</vt:lpstr>
      <vt:lpstr>Перспектива</vt:lpstr>
      <vt:lpstr>Перспектива Лайт</vt:lpstr>
      <vt:lpstr>Для Перспективы</vt:lpstr>
      <vt:lpstr>Для Прайм</vt:lpstr>
      <vt:lpstr>Реф.-Перспектива</vt:lpstr>
      <vt:lpstr>Расчет даты для переноса</vt:lpstr>
      <vt:lpstr>ДиВ!_График МЕП</vt:lpstr>
      <vt:lpstr>ДиВ!_График по сроку</vt:lpstr>
      <vt:lpstr>Сумма первого МЕП по КК</vt:lpstr>
      <vt:lpstr>Образовательный</vt:lpstr>
      <vt:lpstr>'Автомобильный (с залогом ТС)'!Область_печати</vt:lpstr>
      <vt:lpstr>'КЭШ, Реф'!Область_печати</vt:lpstr>
      <vt:lpstr>'КЭШ, Реф (БВ_АВТО_Базовый)'!Область_печати</vt:lpstr>
      <vt:lpstr>'КЭШ, Реф (БВ_ОПТИ_Базовый)'!Область_печати</vt:lpstr>
      <vt:lpstr>Оптимистичный!Область_печати</vt:lpstr>
      <vt:lpstr>Перспектива!Область_печати</vt:lpstr>
      <vt:lpstr>'Перспектива Лайт'!Область_печати</vt:lpstr>
      <vt:lpstr>Прайм!Область_печати</vt:lpstr>
      <vt:lpstr>Практичный!Область_печати</vt:lpstr>
      <vt:lpstr>'Реф.-Перспектива'!Область_печати</vt:lpstr>
      <vt:lpstr>'Снижаем ставку'!Область_печати</vt:lpstr>
      <vt:lpstr>'Стабильный + Промо'!Область_печати</vt:lpstr>
      <vt:lpstr>Суперсмарт!Область_печати</vt:lpstr>
    </vt:vector>
  </TitlesOfParts>
  <Company>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Svedentsov</dc:creator>
  <cp:lastModifiedBy>Замятина Роза Валериевна</cp:lastModifiedBy>
  <cp:lastPrinted>2021-03-10T09:32:59Z</cp:lastPrinted>
  <dcterms:created xsi:type="dcterms:W3CDTF">2002-06-26T12:14:04Z</dcterms:created>
  <dcterms:modified xsi:type="dcterms:W3CDTF">2024-02-08T07:29:34Z</dcterms:modified>
</cp:coreProperties>
</file>